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luencers Selecionados" sheetId="1" r:id="rId4"/>
    <sheet state="visible" name="Influencers Tratados" sheetId="2" r:id="rId5"/>
    <sheet state="visible" name="BDTrat" sheetId="3" r:id="rId6"/>
    <sheet state="visible" name="BD" sheetId="4" r:id="rId7"/>
  </sheets>
  <definedNames>
    <definedName hidden="1" localSheetId="1" name="_xlnm._FilterDatabase">'Influencers Tratados'!$A$1:$K$1909</definedName>
  </definedNames>
  <calcPr/>
</workbook>
</file>

<file path=xl/sharedStrings.xml><?xml version="1.0" encoding="utf-8"?>
<sst xmlns="http://schemas.openxmlformats.org/spreadsheetml/2006/main" count="20814" uniqueCount="7315">
  <si>
    <t>Usuário</t>
  </si>
  <si>
    <t>User_Name</t>
  </si>
  <si>
    <t>Descrição</t>
  </si>
  <si>
    <t>PageRank</t>
  </si>
  <si>
    <t>N. Seguidores</t>
  </si>
  <si>
    <t>Conteúdo majoritariamente sobre educação financeira</t>
  </si>
  <si>
    <t>Pontua SNA?</t>
  </si>
  <si>
    <t>Possui 1.000 seguidores?</t>
  </si>
  <si>
    <t>Possui outras redes sociais?</t>
  </si>
  <si>
    <t>Conteúdo em PT</t>
  </si>
  <si>
    <t>Influenciador Brasileiro?</t>
  </si>
  <si>
    <t>Alexandre Silveira</t>
  </si>
  <si>
    <t>asilveiramg</t>
  </si>
  <si>
    <t>🇧🇷 Ministro de Minas e Energia 🔺Ex-senador por Minas Gerais ⚖️ Advogado 🧔🏻‍♂️Ex-deputado Federal</t>
  </si>
  <si>
    <t xml:space="preserve">      9.673</t>
  </si>
  <si>
    <t>Não</t>
  </si>
  <si>
    <t>Sim</t>
  </si>
  <si>
    <t>Lula</t>
  </si>
  <si>
    <t>lulaoficial</t>
  </si>
  <si>
    <t>Filho da Dona Lindu, marido da @JanjaLula, presidente da República. Trabalhando para reconstruir o Brasil.</t>
  </si>
  <si>
    <t xml:space="preserve">  8.214.483</t>
  </si>
  <si>
    <t>Geraldo Alckmin 🇧🇷</t>
  </si>
  <si>
    <t>geraldoalckmin</t>
  </si>
  <si>
    <t>Pai e avô orgulhoso, marido apaixonado, médico e homem público. Quatro vezes governador de SP. Vice-presidente do Brasil e ministro do Desenvolvimento.</t>
  </si>
  <si>
    <t xml:space="preserve">  1.441.182</t>
  </si>
  <si>
    <t>Amazoni@zul🇧🇷</t>
  </si>
  <si>
    <t>amazoniaazulbr</t>
  </si>
  <si>
    <t>Informação, análise e estatística sobre Infraestrutura, Logística, Supply Chain, mobilidade, Transportes e Tecnologia. Amazônia Verde e Azul</t>
  </si>
  <si>
    <t xml:space="preserve">     64.720</t>
  </si>
  <si>
    <t>Paulo Gala</t>
  </si>
  <si>
    <t>paulogala</t>
  </si>
  <si>
    <t>Ajudo as pessoas a Desmistificar a Economia | Posts sobre Economia e Finanças | Autor, Investidor, Professor na FGV/SP,  Economista-Chefe do Banco Master</t>
  </si>
  <si>
    <t xml:space="preserve">     46.892</t>
  </si>
  <si>
    <t>Sâmia Bomfim</t>
  </si>
  <si>
    <t>samiabomfim</t>
  </si>
  <si>
    <t>♀️ Mãe do Hugo, feminista, deputada federal reeleita pelo PSOL SP</t>
  </si>
  <si>
    <t xml:space="preserve">    668.849</t>
  </si>
  <si>
    <t>Luiz-Eduardo Del-Bem</t>
  </si>
  <si>
    <t>dudelbem</t>
  </si>
  <si>
    <t>Geneticist &amp; Evolutionary Biologist | Prof @UFMG | PI @delbemlab | Member @eseb_org @iaptglobal | Alum @unicampoficial @harvard</t>
  </si>
  <si>
    <t xml:space="preserve">      5.043</t>
  </si>
  <si>
    <t>Matheus Gomes</t>
  </si>
  <si>
    <t>matheuspggomes</t>
  </si>
  <si>
    <t>🙅🏾 Deputado Estadual do @psol50 | Membro da Bancada Negra ✊🏾 | Deputado + votado em PoA, 5º + votado do RS | Mestre em História (UFRGS) Ecossocialista 🌎</t>
  </si>
  <si>
    <t xml:space="preserve">     49.479</t>
  </si>
  <si>
    <t>Rodrigo Luis Veloso</t>
  </si>
  <si>
    <t>rodrigoluisvelo</t>
  </si>
  <si>
    <t>Siga p/ mais informações. Sociólogo e Comunicador, ambientalista do Instituto Urca, da Frente LGBTIA+ RJ, da Articulação Judaica de Esquerda e do PSOL</t>
  </si>
  <si>
    <t xml:space="preserve">     12.295</t>
  </si>
  <si>
    <t>Carlos A. Sardenberg</t>
  </si>
  <si>
    <t>realsardenberg</t>
  </si>
  <si>
    <t>Jornalista, âncora do programa CBN Brasil,  comentarista na CBN, colunista em O Globo, palestrante</t>
  </si>
  <si>
    <t xml:space="preserve">    496.724</t>
  </si>
  <si>
    <t>Rafael Zattar</t>
  </si>
  <si>
    <t>zattarrafael</t>
  </si>
  <si>
    <t>🥇TOP 01 Analista Financeiro do Brasil/ANBIMA 🤝| Sócio Dica de Hoje Research | 🥇 Referência em Fundos de Investimentos🇧🇷 https://t.co/cgEjt6R3aQ</t>
  </si>
  <si>
    <t xml:space="preserve">    117.787</t>
  </si>
  <si>
    <t>Fonte Anitta</t>
  </si>
  <si>
    <t>fonteanittabr</t>
  </si>
  <si>
    <t>Há 5 anos sendo sua melhor e mais atualizada fonte de informações sobre a cantora @Anitta. | Fan account</t>
  </si>
  <si>
    <t xml:space="preserve">     33.212</t>
  </si>
  <si>
    <t>Jair M. Bolsonaro</t>
  </si>
  <si>
    <t>jairbolsonaro</t>
  </si>
  <si>
    <t>38• Presidente da República Federativa do Brasil 🇧🇷</t>
  </si>
  <si>
    <t xml:space="preserve"> 11.581.476</t>
  </si>
  <si>
    <t>Nath Finanças 💰</t>
  </si>
  <si>
    <t>nathfinancas</t>
  </si>
  <si>
    <t>Administradora| Finanças| Investimentos| Empresária| Vascaína 💢🌈| Amo Rap e memes💙| Contato :comercial@nathfinancas.com</t>
  </si>
  <si>
    <t xml:space="preserve">    598.379</t>
  </si>
  <si>
    <t>Pop Base</t>
  </si>
  <si>
    <t>popbase</t>
  </si>
  <si>
    <t>Pop Base is your best source for all pop culture related entertainment, news, award show coverage, chart updates, statistics and more. | email@popbase.tv</t>
  </si>
  <si>
    <t xml:space="preserve">  1.140.070</t>
  </si>
  <si>
    <t>José Guimarães</t>
  </si>
  <si>
    <t>guimaraes13pt</t>
  </si>
  <si>
    <t>Líder do governo Lula na Câmara, deputado federal (PT/CE), advogado e vice-presidente nacional do PT.</t>
  </si>
  <si>
    <t xml:space="preserve">    156.358</t>
  </si>
  <si>
    <t>ike</t>
  </si>
  <si>
    <t>henriquemerda</t>
  </si>
  <si>
    <t>ufsm ⚕️</t>
  </si>
  <si>
    <t xml:space="preserve">      1.546</t>
  </si>
  <si>
    <t>𝘑𝘢𝘳𝘣𝘪𝘵𝘵𝘦𝘳 || 𝔾𝕣𝕚𝕡 🖤</t>
  </si>
  <si>
    <t>bossbitter_</t>
  </si>
  <si>
    <t xml:space="preserve">      1.104</t>
  </si>
  <si>
    <t>Pablo Spyer</t>
  </si>
  <si>
    <t>pablospyer</t>
  </si>
  <si>
    <t>Economista, Sócio XP, CEO VaiTourinho, Apresentador Jovem Pan , Conselheiro ANCORD - Toda opinião é livre, só bloqueio quem fala palavrões (crianças me seguem)</t>
  </si>
  <si>
    <t xml:space="preserve">    289.187</t>
  </si>
  <si>
    <t>Maycon Chagas</t>
  </si>
  <si>
    <t>maiyconc</t>
  </si>
  <si>
    <t>Jornalista, militante petista, lulista, antifascista, não uso pix e butequeiro. Tik Teko e Instadesgrama é MayconChagasJF . Segue lá.</t>
  </si>
  <si>
    <t xml:space="preserve">     25.080</t>
  </si>
  <si>
    <t>Leonardo Bianchi</t>
  </si>
  <si>
    <t>captblicero</t>
  </si>
  <si>
    <t>Giornalista. Autore di "La Gente" e "Complotti!"(@minimumfax). Curo anche una newsletter sulle teorie del complotto (https://t.co/oPQHaOyt0T).</t>
  </si>
  <si>
    <t xml:space="preserve">     44.083</t>
  </si>
  <si>
    <t>jun atfer era</t>
  </si>
  <si>
    <t>juncoments</t>
  </si>
  <si>
    <t>favs, séries, novelas e mais um bocado</t>
  </si>
  <si>
    <t xml:space="preserve">      5.605</t>
  </si>
  <si>
    <t>Rosario Valastro</t>
  </si>
  <si>
    <t>rosariovalastro</t>
  </si>
  <si>
    <t>Presidente Nazionale della @crocerossa. Analista di processo, Dottorando di ricerca, già Avvocato Cassazionista. Tweets are my own. RTs are not endorsement</t>
  </si>
  <si>
    <t xml:space="preserve">      1.956</t>
  </si>
  <si>
    <t>Iago Ivanovitch</t>
  </si>
  <si>
    <t>iagoivanovitch</t>
  </si>
  <si>
    <t>:)</t>
  </si>
  <si>
    <t xml:space="preserve">     12.380</t>
  </si>
  <si>
    <t>Flávio Medrado</t>
  </si>
  <si>
    <t>flaviomedrado</t>
  </si>
  <si>
    <t>🔸Advogado especialista em Direito Tributário, nacional-desenvolvimentista e torcedor do Esporte Clube Vitória.</t>
  </si>
  <si>
    <t xml:space="preserve">      1.387</t>
  </si>
  <si>
    <t>Coringa Opressor® The Legendary (ZV)🃏</t>
  </si>
  <si>
    <t>coringopressor</t>
  </si>
  <si>
    <t>Eu vos castigarei segundo o fruto das vossas ações, diz o Senhor e acenderei o fogo no seu bosque, que consumirá a tudo o que está em redor dela. Jeremias 21:14</t>
  </si>
  <si>
    <t xml:space="preserve">     11.947</t>
  </si>
  <si>
    <t>luscas ™️</t>
  </si>
  <si>
    <t>luscas</t>
  </si>
  <si>
    <t>amigo da angelina jolie nas horas vagas. contato luscasconsoli@outlook.com ✉️</t>
  </si>
  <si>
    <t xml:space="preserve">  7.393.590</t>
  </si>
  <si>
    <t>Ministério da Saúde 🩵</t>
  </si>
  <si>
    <t>minsaude</t>
  </si>
  <si>
    <t>Perfil oficial para informações, divulgação de serviços e esclarecimentos. Aqui, você acompanha o nosso dia a dia! https://t.co/UEqhy9nsz3</t>
  </si>
  <si>
    <t xml:space="preserve">  1.362.441</t>
  </si>
  <si>
    <t>Elmano de Freitas</t>
  </si>
  <si>
    <t>elmanooficial</t>
  </si>
  <si>
    <t>Governador do Ceará</t>
  </si>
  <si>
    <t xml:space="preserve">     24.838</t>
  </si>
  <si>
    <t>Flávio Dino 🇧🇷</t>
  </si>
  <si>
    <t>flaviodino</t>
  </si>
  <si>
    <t>Ministro da Justiça e Segurança Pública. Senador (2023/2031), advogado, professor, mestre em Direito (UFPE). Foi juiz federal, deputado federal e governador MA</t>
  </si>
  <si>
    <t xml:space="preserve">  1.168.641</t>
  </si>
  <si>
    <t>Miguel Rossetto</t>
  </si>
  <si>
    <t>miguelsrossetto</t>
  </si>
  <si>
    <t>Deputado Estadual pelo PT-RS. Sociólogo e Mestre em Políticas Públicas. Dep. Federal, Vice-Governador do RS com Olívio Dutra, e Ministro de Lula e Dilma.</t>
  </si>
  <si>
    <t xml:space="preserve">      8.386</t>
  </si>
  <si>
    <t>Planeta do Flamengo 🌎</t>
  </si>
  <si>
    <t>fla_infos</t>
  </si>
  <si>
    <t>Perfil totalmente dedicado ao Clube de Regatas do Flamengo ⚽️ 
🏀
Contato // planetadoflamengo1@gmail.com 📩
 https://t.co/W9iNAHqeBQ</t>
  </si>
  <si>
    <t xml:space="preserve">     82.681</t>
  </si>
  <si>
    <t>vinícius</t>
  </si>
  <si>
    <t>selenamarxista</t>
  </si>
  <si>
    <t>protect selena gomez no matter what</t>
  </si>
  <si>
    <t xml:space="preserve">      1.595</t>
  </si>
  <si>
    <t>Carlos Bolsonaro</t>
  </si>
  <si>
    <t>carlosbolsonaro</t>
  </si>
  <si>
    <t>Vereador da cidade do Rio de Janeiro. Filho do 38• Presidente do Brasil 🇧🇷</t>
  </si>
  <si>
    <t xml:space="preserve">  3.549.564</t>
  </si>
  <si>
    <t>Helio Lopes</t>
  </si>
  <si>
    <t>depheliolopes</t>
  </si>
  <si>
    <t xml:space="preserve">    577.204</t>
  </si>
  <si>
    <t>não, sei usar virgulas</t>
  </si>
  <si>
    <t>donacarine</t>
  </si>
  <si>
    <t>Esposa, Mãe e chata</t>
  </si>
  <si>
    <t xml:space="preserve">     13.603</t>
  </si>
  <si>
    <t>Guerreiro BLANKA</t>
  </si>
  <si>
    <t>guerreroblanka2</t>
  </si>
  <si>
    <t>Monarquista, Anti-Fascista, Anti-Comunista e Libertário! e HOMEM LIVRE ACIMA DE TUDO.</t>
  </si>
  <si>
    <t xml:space="preserve">      1.367</t>
  </si>
  <si>
    <t>Cdrama Lovers</t>
  </si>
  <si>
    <t>cdramal</t>
  </si>
  <si>
    <t>✨ Quer saber mais sobre C-drama? Fonte de informações, OSTs e curiosidades asiáticas! fan account
  ⚠️ Conta reserva @LoversCdrama</t>
  </si>
  <si>
    <t xml:space="preserve">     17.879</t>
  </si>
  <si>
    <t>| La Sacerdotisa Tarot |</t>
  </si>
  <si>
    <t>oman_tarot1</t>
  </si>
  <si>
    <t>| Virginiana, Bruxaria Tradicional, Cartomancia. | Psicóloga e fazendo Mestrado/Filosofia. | ◾ Quer agendar sua consulta? link abaixo disponível</t>
  </si>
  <si>
    <t xml:space="preserve">      6.129</t>
  </si>
  <si>
    <t>Diosfera🌺⚔️🌺☦️⩩</t>
  </si>
  <si>
    <t>arefsoid</t>
  </si>
  <si>
    <t>4ª conta, Escritor, Poliglota, Italo-Brasileiro🇧🇷🇮🇹, NatTrad, entusiasta multiplo, ENTJ-T, Ortodoxo, CEO da Bolha, Czarista &amp; vice-líder do @RLegionari</t>
  </si>
  <si>
    <t xml:space="preserve">      9.343</t>
  </si>
  <si>
    <t>sabrinafernandes.bsky.social</t>
  </si>
  <si>
    <t>safbf</t>
  </si>
  <si>
    <t>Sociologist, ecosocialist and author
Brazil, internationalism, ecosocialism and just transitions
@alamedainst Head of Research
Tweets: pt/en/es
she/ela</t>
  </si>
  <si>
    <t xml:space="preserve">    271.387</t>
  </si>
  <si>
    <t>@GeopoliticaBR</t>
  </si>
  <si>
    <t>geopoliticabra</t>
  </si>
  <si>
    <t>Análises de alto nível sobre geopolítica, história e história militar, sistemas de armas, tecnologia e assuntos relacionados a esses temas.</t>
  </si>
  <si>
    <t xml:space="preserve">     21.466</t>
  </si>
  <si>
    <t>Felipe Kieling 🇧🇷</t>
  </si>
  <si>
    <t>felipekieling</t>
  </si>
  <si>
    <t>Brazilian journalist. European correspondent for Grupo Bandeirantes de Comunicação! Follow me on Instagram: felipekieling</t>
  </si>
  <si>
    <t xml:space="preserve">     39.168</t>
  </si>
  <si>
    <t>Formula Whatever</t>
  </si>
  <si>
    <t>formulawhatever</t>
  </si>
  <si>
    <t>fangirl, hater, nico rosberg apologist</t>
  </si>
  <si>
    <t xml:space="preserve">      3.895</t>
  </si>
  <si>
    <t>Última Divisão</t>
  </si>
  <si>
    <t>ultimadivisao</t>
  </si>
  <si>
    <t>Boas histórias de futebol em qualquer divisão, em qualquer lugar. Temos canal no YT e mais redes.
Parcerias: ultimadivisao@nwb.com.br</t>
  </si>
  <si>
    <t xml:space="preserve">     66.394</t>
  </si>
  <si>
    <t>Análise Política</t>
  </si>
  <si>
    <t>analise2023</t>
  </si>
  <si>
    <t>Temos como objetivo analisar os principais assuntos relacionados à política, economia e eleições. 
PIX: analisespoliticas10@gmail.com</t>
  </si>
  <si>
    <t xml:space="preserve">     39.982</t>
  </si>
  <si>
    <t>Giulia</t>
  </si>
  <si>
    <t>itsgiuliadip</t>
  </si>
  <si>
    <t>foolhardy ambition enjoyer</t>
  </si>
  <si>
    <t xml:space="preserve">      3.604</t>
  </si>
  <si>
    <t>Gonçalo Pinto</t>
  </si>
  <si>
    <t>goncalo_nspinto</t>
  </si>
  <si>
    <t>BSc &amp; MSc in Economics | CEFA | @LiberalPT | Porto | Portugal 🇵🇹 🇪🇺</t>
  </si>
  <si>
    <t xml:space="preserve">      1.383</t>
  </si>
  <si>
    <t>AGU</t>
  </si>
  <si>
    <t>advocaciageral</t>
  </si>
  <si>
    <t>Conta oficial da Advocacia-Geral da União (AGU)
Política de Uso e Moderação: https://t.co/ovXqDmhJBF</t>
  </si>
  <si>
    <t xml:space="preserve">    330.494</t>
  </si>
  <si>
    <t>Tamara 💙🇺🇦</t>
  </si>
  <si>
    <t>fadin9heart5</t>
  </si>
  <si>
    <t>Gamer | LFC | Shiny Pokémon Hunter | (F1 FA14, CL16, PG10) | (F2 AL12) | Team RXR | WRC TN11 | She/Her 25+</t>
  </si>
  <si>
    <t xml:space="preserve">      1.127</t>
  </si>
  <si>
    <t>Q.</t>
  </si>
  <si>
    <t>leclercstyre</t>
  </si>
  <si>
    <t>One dream one team — translating 🇮🇹🇫🇷 articles</t>
  </si>
  <si>
    <t xml:space="preserve">      2.558</t>
  </si>
  <si>
    <t>Luciana Santos</t>
  </si>
  <si>
    <t>lucianasantos</t>
  </si>
  <si>
    <t>Ministra de Ciência, Tecnologia e Inovação e presidenta nacional do PCdoB.</t>
  </si>
  <si>
    <t xml:space="preserve">     44.431</t>
  </si>
  <si>
    <t>Gritinho do Tom Araya</t>
  </si>
  <si>
    <t>brunopommer</t>
  </si>
  <si>
    <t>Louco dos gatos, goleiro e metal hipster.
O caminho é pela esquerda.</t>
  </si>
  <si>
    <t xml:space="preserve">      1.781</t>
  </si>
  <si>
    <t>tiny</t>
  </si>
  <si>
    <t>billistin</t>
  </si>
  <si>
    <t>sou hipócrita</t>
  </si>
  <si>
    <t xml:space="preserve">      2.817</t>
  </si>
  <si>
    <t>Gustavo Castañon</t>
  </si>
  <si>
    <t>gustavocastanon</t>
  </si>
  <si>
    <t>Professor de Filosofia e Psicologia na Universidade Federal de Juiz de Fora.</t>
  </si>
  <si>
    <t xml:space="preserve">     24.404</t>
  </si>
  <si>
    <t>Acervo Cruzeiro | Fan Account</t>
  </si>
  <si>
    <t>acervodocec</t>
  </si>
  <si>
    <t>ғᴜᴛᴇʙᴏʟ, ᴍᴇᴍᴇs ᴇ ᴄʀᴜᴢᴇɪʀᴏ ᴇsᴘᴏʀᴛᴇ ᴄʟᴜʙᴇ ᴀᴄɪᴍᴀ ᴅᴇ ᴛᴜᴅᴏ 🇮🇹 | contato e sugestões via DM 📩</t>
  </si>
  <si>
    <t xml:space="preserve">      8.920</t>
  </si>
  <si>
    <t>Rafaela 🇧🇷✝️</t>
  </si>
  <si>
    <t>rafaelafcnv</t>
  </si>
  <si>
    <t>Insta: rafaelaferreiracn | CRF ❤️🖤</t>
  </si>
  <si>
    <t xml:space="preserve">     73.556</t>
  </si>
  <si>
    <t>Diego Pautasso 🧉</t>
  </si>
  <si>
    <t>dgpautasso</t>
  </si>
  <si>
    <t>Doutor em Ciência Política pela UFRGS. Autor de Imperialismo; China e Rússia no Pós Guerra Fria; e co-autor de Teoria das Relações Internacionais</t>
  </si>
  <si>
    <t xml:space="preserve">     11.949</t>
  </si>
  <si>
    <t>Jorge Lopes Cançado</t>
  </si>
  <si>
    <t>lopes_cancado</t>
  </si>
  <si>
    <t>Consultor em comunicação digital. Conselheiro do @itv_oficial. Atleticano. Pai da Lara.</t>
  </si>
  <si>
    <t xml:space="preserve">      9.301</t>
  </si>
  <si>
    <t>Marinha do Brasil</t>
  </si>
  <si>
    <t>marmilbr</t>
  </si>
  <si>
    <t>Bem-vindo ao Perfil Oficial da Marinha do Brasil.</t>
  </si>
  <si>
    <t xml:space="preserve">    927.228</t>
  </si>
  <si>
    <t>Jorginho Mello</t>
  </si>
  <si>
    <t>jorginhomello</t>
  </si>
  <si>
    <t>- Governador de SC
- Eleito o melhor senador do Brasil
- Ex-líder do Governo Bolsonaro no Senado e no Congresso Nacional</t>
  </si>
  <si>
    <t xml:space="preserve">    116.394</t>
  </si>
  <si>
    <t>Rodrigo Lorenzoni</t>
  </si>
  <si>
    <t>rdlorenzoni</t>
  </si>
  <si>
    <t>Deputado Estadual reeleito - PL/RS - 85.692 votos. Autor da Lei de Liberdade Econômica gaúcha. 🇧🇷🧉</t>
  </si>
  <si>
    <t xml:space="preserve">     18.138</t>
  </si>
  <si>
    <t>Extensão Anitta | Fan Account</t>
  </si>
  <si>
    <t>extensaoanitta</t>
  </si>
  <si>
    <t>Sua principal e mais completa fonte de informações sobre a cantora, compositora, atriz e empresária, Anitta no Brasil. 🇧🇷</t>
  </si>
  <si>
    <t xml:space="preserve">      5.513</t>
  </si>
  <si>
    <t>Folha de S.Paulo</t>
  </si>
  <si>
    <t>folha</t>
  </si>
  <si>
    <t>Um jornal a serviço do Brasil
Newsletters: https://t.co/NVUcVDAjzm
Insta: https://t.co/ktjTHtETj7 
TikTok: https://t.co/EOgj84KB9l
Facebook: https://t.co/Iq0fS3e2sF
Assine: https://t.co/OJOZUvKPWW</t>
  </si>
  <si>
    <t xml:space="preserve">  8.886.110</t>
  </si>
  <si>
    <t>kill yi zhuo</t>
  </si>
  <si>
    <t>ningparda</t>
  </si>
  <si>
    <t>hot girl ningning</t>
  </si>
  <si>
    <t xml:space="preserve">      4.651</t>
  </si>
  <si>
    <t>CANAL ALVINEGRO - RepShow - 🏆37 🏆71 🏆21</t>
  </si>
  <si>
    <t>repsoldandre</t>
  </si>
  <si>
    <t>🐔ÂNCORA DO CANAL ALVINEGRO🐔
============================
🐔FUNDADOR DO HOJE TEM GALO🐔
==================
⚽ CONTATO COMERCIAL:  https://t.co/9FbFmCjECi</t>
  </si>
  <si>
    <t xml:space="preserve">      8.092</t>
  </si>
  <si>
    <t>g1</t>
  </si>
  <si>
    <t>Siga o g1 nas redes sociais:
https://t.co/Z0QGNc44I7</t>
  </si>
  <si>
    <t xml:space="preserve"> 14.925.972</t>
  </si>
  <si>
    <t>Humberto Costa</t>
  </si>
  <si>
    <t>senadorhumberto</t>
  </si>
  <si>
    <t>Perfil oficial do Senador Humberto Costa (PT-PE). Ex-ministro da Saúde, atual presidente da Comissão de Assuntos Sociais do Senado. #TrabalhoQueViraRealidade</t>
  </si>
  <si>
    <t xml:space="preserve">    640.554</t>
  </si>
  <si>
    <t>SZA Access</t>
  </si>
  <si>
    <t>szaaccess</t>
  </si>
  <si>
    <t>Sua mais completa fonte de notícias sobre a cantora, compositora e produtora SZA no Brasil. | @uploadsza — Fan Account</t>
  </si>
  <si>
    <t xml:space="preserve">     10.890</t>
  </si>
  <si>
    <t>ICL Notícias</t>
  </si>
  <si>
    <t>iclnoticias</t>
  </si>
  <si>
    <t>ICL Notícias, todos os dias, pelos canais do Eduardo Moreira+Instituto Conhecimento Liberta.</t>
  </si>
  <si>
    <t xml:space="preserve">     83.279</t>
  </si>
  <si>
    <t>Crypto ID®</t>
  </si>
  <si>
    <t>portalcryptoid</t>
  </si>
  <si>
    <t>O maior portal de notícias sobre identificação digital. Confira!</t>
  </si>
  <si>
    <t xml:space="preserve">      1.257</t>
  </si>
  <si>
    <t>Luiz C. M. De Barros</t>
  </si>
  <si>
    <t>lcmbarros</t>
  </si>
  <si>
    <t>Foi diretor do Banco Central, Presidente do BNDES e Ministro das Comunicações. Palestrante</t>
  </si>
  <si>
    <t xml:space="preserve">     53.440</t>
  </si>
  <si>
    <t>gabi ceo do croche 🐌</t>
  </si>
  <si>
    <t>acidsaturn</t>
  </si>
  <si>
    <t>apenas crochê &amp; bichinhos fofo •
agenda de FEV/2024 aberta para encomendas • @/saturn.atelie no insta</t>
  </si>
  <si>
    <t xml:space="preserve">      8.124</t>
  </si>
  <si>
    <t>miuccia ✨ straw hat loving hours</t>
  </si>
  <si>
    <t>miumilta</t>
  </si>
  <si>
    <t>Leonora Miuccia (Primal/Behemoth) | weird girlie enjoyer and resident forever DM 💕💀</t>
  </si>
  <si>
    <t xml:space="preserve">      4.076</t>
  </si>
  <si>
    <t>clayton silvestre</t>
  </si>
  <si>
    <t>clayton_history</t>
  </si>
  <si>
    <t>Ciências Sociais, gestão de segurança, docente e pesquisador do Datafolha. Ex-agente de segurança da Rede Globo e Seleção Americana de Futebol na Copa de 2014.</t>
  </si>
  <si>
    <t xml:space="preserve">      1.392</t>
  </si>
  <si>
    <t>Governo do RJ</t>
  </si>
  <si>
    <t>govrj</t>
  </si>
  <si>
    <t>Um RJ pra se apaixonar! 💙 Perfil oficial do Governo do Estado do Rio de Janeiro no Twitter.</t>
  </si>
  <si>
    <t xml:space="preserve">    409.844</t>
  </si>
  <si>
    <t>PAULO 🎀</t>
  </si>
  <si>
    <t>pauloxxsilva</t>
  </si>
  <si>
    <t>Super Summer, o videoclipe - disponível agora no YouTube mais próximo: https://t.co/Bs9nk2GmjW</t>
  </si>
  <si>
    <t xml:space="preserve">      8.026</t>
  </si>
  <si>
    <t>Pippi Calzelunghe #IoSonoAntifascista </t>
  </si>
  <si>
    <t>pippicalz</t>
  </si>
  <si>
    <t>Sempre dalla parte del torto.
Antifascista ✊
Se i muri non parlano nessuno lo farà e di noi non resterà che un silenzio disumano. [MEP]</t>
  </si>
  <si>
    <t xml:space="preserve">      2.680</t>
  </si>
  <si>
    <t>ph 🪩</t>
  </si>
  <si>
    <t>henriquecomentt</t>
  </si>
  <si>
    <t>a coisa que eu mais prezo na vida é conselho de mendiga</t>
  </si>
  <si>
    <t xml:space="preserve">      1.978</t>
  </si>
  <si>
    <t>Jaques Wagner</t>
  </si>
  <si>
    <t>jaqueswagner</t>
  </si>
  <si>
    <t>Senador da Bahia. Líder do governo no Senado. Ex-governador, ex-ministro e ex-deputado. Pai, avô e marido de Fatinha. Trabalho e amor pela Bahia! ❤️</t>
  </si>
  <si>
    <t xml:space="preserve">    136.729</t>
  </si>
  <si>
    <t>A Malvada Profe</t>
  </si>
  <si>
    <t>mariaartze</t>
  </si>
  <si>
    <t>Nas trincheiras da ESO.
Emigrante a medio retornar. Womansplainer.
(Sie - vostede)
Trans rights are human rights. Trans women are women. Dongalizos GO HOME.</t>
  </si>
  <si>
    <t xml:space="preserve">      3.552</t>
  </si>
  <si>
    <t>✸.𝚂𝚊𝚌𝚑𝚒 ⌑﹒| 𝟏𝟗𝟖𝟗 (Taylor's version)</t>
  </si>
  <si>
    <t>isitsachils</t>
  </si>
  <si>
    <t>♡ — Tᥲkᥱ mᥱ to thᥱ ᥣᥲkᥱs ᥕhᥱrᥱ
           ᥲᥣᥣ thᥱ ρoᥱts ᥕᥱᥒt to dιᥱ ₊˚ʚ 🧊 ₊˚✧ ﾟ.     @Taylorswift13</t>
  </si>
  <si>
    <t xml:space="preserve">      2.628</t>
  </si>
  <si>
    <t>Rafael</t>
  </si>
  <si>
    <t>still_feb</t>
  </si>
  <si>
    <t>pra quê</t>
  </si>
  <si>
    <t xml:space="preserve">      2.065</t>
  </si>
  <si>
    <t>Radio Alfa</t>
  </si>
  <si>
    <t>radioalfa</t>
  </si>
  <si>
    <t>il quotidiano radiofonico di Salerno e provincia | WhatsApp 338 11 11 102 | https://t.co/3LLGqWjjOX | https://t.co/6H6hrKIfsb</t>
  </si>
  <si>
    <t xml:space="preserve">      3.488</t>
  </si>
  <si>
    <t>BlockTrends</t>
  </si>
  <si>
    <t>blocktrendsbr</t>
  </si>
  <si>
    <t>Educação e informação da criptoeconomia. Tendências, artigos e lives que unem o mercado financeiro tradicional à indústria de blockchain.</t>
  </si>
  <si>
    <t>papacu</t>
  </si>
  <si>
    <t>leodaponte</t>
  </si>
  <si>
    <t>deus me deu um dão</t>
  </si>
  <si>
    <t xml:space="preserve">      1.262</t>
  </si>
  <si>
    <t>Conexão Itajubá</t>
  </si>
  <si>
    <t>conexaoitajuba</t>
  </si>
  <si>
    <t>Tudo sobre Itajubá e região!</t>
  </si>
  <si>
    <t xml:space="preserve">      1.832</t>
  </si>
  <si>
    <t>Girafa Mulamba 🦒⚫🔴</t>
  </si>
  <si>
    <t>girafa_mulamba</t>
  </si>
  <si>
    <t>Flamenguista retardado, Paraense Bicolor e sofredor dos Red Devils, pescoçudo, Volcel e integrante da fauna Waifuísta.
Democracia é minha pingola.</t>
  </si>
  <si>
    <t xml:space="preserve">      1.448</t>
  </si>
  <si>
    <t>Jader Filho</t>
  </si>
  <si>
    <t>jaderbfilho</t>
  </si>
  <si>
    <t>🇧🇷Paraense, casado e pai de 5 filhos. Administrador. Presidente do MDB no Pará 🏘️Ministro das Cidades</t>
  </si>
  <si>
    <t xml:space="preserve">      1.434</t>
  </si>
  <si>
    <t>venus</t>
  </si>
  <si>
    <t>liabiliwty</t>
  </si>
  <si>
    <t>envied fallen angel enby oseremagbo from outer space</t>
  </si>
  <si>
    <t xml:space="preserve">      1.489</t>
  </si>
  <si>
    <t>ABES_SOFTWARE</t>
  </si>
  <si>
    <t>abes_software</t>
  </si>
  <si>
    <t>A Associação Brasileira das Empresas de Software reúne cerca de 2 mil empresas, distribuídas em 24 Estados e no Distrito Federal, que geram 232 mil empregos.</t>
  </si>
  <si>
    <t xml:space="preserve">      1.719</t>
  </si>
  <si>
    <t>Marina</t>
  </si>
  <si>
    <t>marinarodri__</t>
  </si>
  <si>
    <t>Bacharel em Cinema. Produtora executiva focada em políticas públicas no audiovisual. Escrevo sobre mercado audiovisual e sou dona do projeto SimplificandoCinema</t>
  </si>
  <si>
    <t xml:space="preserve">     17.074</t>
  </si>
  <si>
    <t>Aline Magalhaes</t>
  </si>
  <si>
    <t>alinefortuna2</t>
  </si>
  <si>
    <t>Medical Doctor, UNICAMP/UNIFESP. Opinions are my own.</t>
  </si>
  <si>
    <t xml:space="preserve">      3.622</t>
  </si>
  <si>
    <t>Cláudio Fontes</t>
  </si>
  <si>
    <t>claudioffontess</t>
  </si>
  <si>
    <t>Jesus está voltando. MARANATA!!!
SDV 🇧🇷 Ative o Sininho.
Gratidão por mais um dia!!!</t>
  </si>
  <si>
    <t xml:space="preserve">     12.687</t>
  </si>
  <si>
    <t>Professor Mira</t>
  </si>
  <si>
    <t>professormira1</t>
  </si>
  <si>
    <t>Analista CNPI, Investidor Profissional, trader e especialista em finanças e Investimentos.</t>
  </si>
  <si>
    <t xml:space="preserve">      3.192</t>
  </si>
  <si>
    <t>Busby Babes Brasil</t>
  </si>
  <si>
    <t>busbybabesbr</t>
  </si>
  <si>
    <t>Seja bem-vindo à Busby Babes Brasil. A página de torcedores do Manchester United, que trará a você tudo sobre o maior campeão da Inglaterra. Divirta-se!</t>
  </si>
  <si>
    <t xml:space="preserve">      9.042</t>
  </si>
  <si>
    <t>SEGUIDORES DA VERDADE</t>
  </si>
  <si>
    <t>euleoallure</t>
  </si>
  <si>
    <t>Seguidores da Verdade</t>
  </si>
  <si>
    <t xml:space="preserve">     10.693</t>
  </si>
  <si>
    <t>Luiz Geovane🇧🇷</t>
  </si>
  <si>
    <t>geomorfismo</t>
  </si>
  <si>
    <t>Trabalhador, contador, editor, estudante, comunista, sindicalista, político e apaixonado.</t>
  </si>
  <si>
    <t xml:space="preserve">      1.082</t>
  </si>
  <si>
    <t>Xornal21</t>
  </si>
  <si>
    <t>xornal21</t>
  </si>
  <si>
    <t>Edición digital del gratuito https://t.co/VUzrjw2Ohc Información | Actualidad de Galicia Pontevedra RíasBaixas + 50.000 NOTICIAS</t>
  </si>
  <si>
    <t xml:space="preserve">      1.754</t>
  </si>
  <si>
    <t>Argon Trading</t>
  </si>
  <si>
    <t>argon_trading</t>
  </si>
  <si>
    <t>• Mercado Financeiro / Trading.
• Me chamo Iuri, vivendo e respirando trading há 7 anos.
https://t.co/gQrNvaCg1s</t>
  </si>
  <si>
    <t xml:space="preserve">      2.454</t>
  </si>
  <si>
    <t>L Space 🇰🇷</t>
  </si>
  <si>
    <t>lll_spacex</t>
  </si>
  <si>
    <t>❤️‍🔥 Cristo salva, siga o Rei | No fear and follow the noise</t>
  </si>
  <si>
    <t xml:space="preserve">      2.156</t>
  </si>
  <si>
    <t>Manofox 🇦🇴</t>
  </si>
  <si>
    <t>gigz_elm</t>
  </si>
  <si>
    <t>Só como funge com feijão, originário da Lisa, clandestino em Nantes....HAKUNA MATATA  snapchat: manofoxptao
Certified Lover Boy</t>
  </si>
  <si>
    <t xml:space="preserve">      1.040</t>
  </si>
  <si>
    <t>la rachel</t>
  </si>
  <si>
    <t>larachel_</t>
  </si>
  <si>
    <t>pretty please, 08 de setembro 💕 | fan account</t>
  </si>
  <si>
    <t xml:space="preserve">      5.356</t>
  </si>
  <si>
    <t>Empório do Futebol Feminino</t>
  </si>
  <si>
    <t>emporiodoff</t>
  </si>
  <si>
    <t>Principais notícias do futebol feminino ⚽️ | Acompanhe todos os esportes no @emporiodoef e futsal no @emporiodofsf</t>
  </si>
  <si>
    <t xml:space="preserve">     11.210</t>
  </si>
  <si>
    <t>cai</t>
  </si>
  <si>
    <t>caizxr</t>
  </si>
  <si>
    <t xml:space="preserve">      1.423</t>
  </si>
  <si>
    <t>Deputación Pontevedra</t>
  </si>
  <si>
    <t>depo_es</t>
  </si>
  <si>
    <t>Canle oficial da Deputación de Pontevedra en Twitter. Traballamos por unha provincia máis igualitaria, xusta e sostible</t>
  </si>
  <si>
    <t xml:space="preserve">     15.173</t>
  </si>
  <si>
    <t>Hoje no Mundo Militar</t>
  </si>
  <si>
    <t>hoje_no</t>
  </si>
  <si>
    <t>Dedicado à discussão de temas militares atuais.
Telegram: https://t.co/rv8mgjPIyz</t>
  </si>
  <si>
    <t xml:space="preserve">    571.167</t>
  </si>
  <si>
    <t>Ministério da Justiça e Segurança Pública</t>
  </si>
  <si>
    <t>mjspgov</t>
  </si>
  <si>
    <t>Seja bem-vindo ao perfil oficial do Ministério da Justiça e Segurança Pública no Twitter.</t>
  </si>
  <si>
    <t xml:space="preserve">    780.747</t>
  </si>
  <si>
    <t>Paulo Filho</t>
  </si>
  <si>
    <t>paulofilho_90</t>
  </si>
  <si>
    <t>Coronel da Reserva do Exército / Lattes - https://t.co/kafafMMoU1 / Linkedin - https://t.co/KrPLxNzSwY / Instagram - https://t.co/ssBI0g8Zhb / Canal do Youtube https://t.co/EzU8amQzKI</t>
  </si>
  <si>
    <t xml:space="preserve">     39.697</t>
  </si>
  <si>
    <t>Opinião Estadão</t>
  </si>
  <si>
    <t>opiniao_estadao</t>
  </si>
  <si>
    <t>Editoria de Opinião do @Estadao. Acompanhe as seções Notas e Informações, Espaço Aberto e Fórum dos Leitores</t>
  </si>
  <si>
    <t xml:space="preserve">      4.026</t>
  </si>
  <si>
    <t>Dep. Alencar Santana</t>
  </si>
  <si>
    <t>alencarbraga13</t>
  </si>
  <si>
    <t>Deputado federal (PT-SP) reeleito, Vice-Líder do Governo Lula na Câmara. Antes: Dep. estadual (2011-2018) e vereador em Guarulhos (2005-2010), Advogado ⚖️</t>
  </si>
  <si>
    <t xml:space="preserve">     39.573</t>
  </si>
  <si>
    <t>Fabiano Horta</t>
  </si>
  <si>
    <t>fabianohorta_</t>
  </si>
  <si>
    <t>Botafoguense, Prefeito de Maricá, no RJ, cidade dos ônibus e bikes Tarifa Zero, da moeda social Mumbuca, do Passaporte Universitário… Cidade das utopias!</t>
  </si>
  <si>
    <t xml:space="preserve">      9.211</t>
  </si>
  <si>
    <t>nala</t>
  </si>
  <si>
    <t>folkcruels</t>
  </si>
  <si>
    <t>it's me, hi! i'm the one obsessed with jude and cardan, that's me!</t>
  </si>
  <si>
    <t xml:space="preserve">     31.405</t>
  </si>
  <si>
    <t>Radar</t>
  </si>
  <si>
    <t>radaronline</t>
  </si>
  <si>
    <t>Notícias em primeira mão, direto dos bastidores de Brasília. Um perfil oficial de @VEJA. Por Robson Bonin. @robsonboninjor</t>
  </si>
  <si>
    <t xml:space="preserve">    460.613</t>
  </si>
  <si>
    <t>VEJA</t>
  </si>
  <si>
    <t>veja</t>
  </si>
  <si>
    <t>O Brasil está mudando. O tempo todo. Fique por dentro! Assine a partir de R$2,00 por semana no link: https://t.co/R2g8xVH8FX
VEJA - Quem lê, sabe.</t>
  </si>
  <si>
    <t xml:space="preserve">  9.106.362</t>
  </si>
  <si>
    <t>Maria Carolina Gontijo</t>
  </si>
  <si>
    <t>duquesadetax</t>
  </si>
  <si>
    <t>Eu explico tributário pra não passar raiva sozinha. Youtube, Instagram, Spotify, tudo duquesadetax.</t>
  </si>
  <si>
    <t xml:space="preserve">     75.323</t>
  </si>
  <si>
    <t>Estadão 🗞️</t>
  </si>
  <si>
    <t>estadao</t>
  </si>
  <si>
    <t>A versão online do jornal O Estado de S. Paulo. Acompanhe também as atualizações pelo Instagram: https://t.co/hGsLKgFw9w</t>
  </si>
  <si>
    <t xml:space="preserve">  7.576.095</t>
  </si>
  <si>
    <t>Felipe Tadewald</t>
  </si>
  <si>
    <t>arthurvneto</t>
  </si>
  <si>
    <t>Sócio do Grupo Suno 
| Investidor desde 2009 |
Quem é você no mundo do investimentos? 👇</t>
  </si>
  <si>
    <t xml:space="preserve">    105.550</t>
  </si>
  <si>
    <t>Arthur Virgílio</t>
  </si>
  <si>
    <t>Diplomata, ex ministro-chefe da Sec-Geral da Presidência da República do Gov FHC, Senador, deputado federal e prefeito de Manaus por três mandatos.</t>
  </si>
  <si>
    <t xml:space="preserve">    133.906</t>
  </si>
  <si>
    <t>Nuno Sousa</t>
  </si>
  <si>
    <t>nsousa76</t>
  </si>
  <si>
    <t>Sportinguista desde que nasci. Sócio desde 1981. #PeloMeuSporting
@PelomeuSCP</t>
  </si>
  <si>
    <t xml:space="preserve">      2.391</t>
  </si>
  <si>
    <t>MEDUSA 👑 stream funk rave Anitta lover</t>
  </si>
  <si>
    <t>medusinhah</t>
  </si>
  <si>
    <t>Anitta e Larissa amores da minha vida 💘</t>
  </si>
  <si>
    <t xml:space="preserve">      6.240</t>
  </si>
  <si>
    <t>Pelo Meu Sporting</t>
  </si>
  <si>
    <t>pelomeuscp</t>
  </si>
  <si>
    <t>Quantas vezes já deste por ti a pensar no que farias pelo teu Sporting? E se tivesses essa oportunidade?</t>
  </si>
  <si>
    <t xml:space="preserve">      2.061</t>
  </si>
  <si>
    <t>aly</t>
  </si>
  <si>
    <t>stranwberryes</t>
  </si>
  <si>
    <t>comento sobre a vida dos outros</t>
  </si>
  <si>
    <t xml:space="preserve">     44.386</t>
  </si>
  <si>
    <t>Lidio Mateus</t>
  </si>
  <si>
    <t>lidiomateus</t>
  </si>
  <si>
    <t>"Show para todes" Novo projeto!</t>
  </si>
  <si>
    <t xml:space="preserve">      2.435</t>
  </si>
  <si>
    <t>Arena MRV</t>
  </si>
  <si>
    <t>arenamrv</t>
  </si>
  <si>
    <t>Perfil oficial da casa do @Atletico.</t>
  </si>
  <si>
    <t xml:space="preserve">    151.587</t>
  </si>
  <si>
    <t>SportingPopular</t>
  </si>
  <si>
    <t>scppopular</t>
  </si>
  <si>
    <t>Por um Sporting de Matriz Popular.
https://t.co/Hi4vCDcVOx
https://t.co/QGNJkGer1w</t>
  </si>
  <si>
    <t xml:space="preserve">      2.636</t>
  </si>
  <si>
    <t>Bonéverson do Terreirão</t>
  </si>
  <si>
    <t>ogalista</t>
  </si>
  <si>
    <t>Perfil pessoal, com opiniões pessoais sobre tudo o que me der na telha. Não é uma página temática sobre o Galo. O problema é que eu penso no Galo o tempo todo.</t>
  </si>
  <si>
    <t xml:space="preserve">      2.304</t>
  </si>
  <si>
    <t>marcia denser</t>
  </si>
  <si>
    <t>mdenser</t>
  </si>
  <si>
    <t>ESCRITORA e JORNALISTA cursos,coach,palestras e bate-papos
mdenser@uol.com.br</t>
  </si>
  <si>
    <t xml:space="preserve">     39.897</t>
  </si>
  <si>
    <t>Leonardo Ribeiro</t>
  </si>
  <si>
    <t>leobudget</t>
  </si>
  <si>
    <t>Secretário Nacional de Ferrovias. Um dos idealizadores do Marco Regulatório das Ferrovias e @ifibrasil. Mestre em Economia c/ Visiting Scholar @victoriauninews</t>
  </si>
  <si>
    <t xml:space="preserve">      5.739</t>
  </si>
  <si>
    <t>Greice Kelly 🦋</t>
  </si>
  <si>
    <t>greicy_kelly21</t>
  </si>
  <si>
    <t>aqui apenas pela diversão 👍🏻😛</t>
  </si>
  <si>
    <t xml:space="preserve">      1.887</t>
  </si>
  <si>
    <t>Rede Marco</t>
  </si>
  <si>
    <t>rede_marco</t>
  </si>
  <si>
    <t>👍 Aqui não se cria notícia, se compartilha</t>
  </si>
  <si>
    <t xml:space="preserve">     66.763</t>
  </si>
  <si>
    <t>adri</t>
  </si>
  <si>
    <t>aotyrevival</t>
  </si>
  <si>
    <t>esse perfil é uma monarquia governada por selena gomez e taylor swift</t>
  </si>
  <si>
    <t xml:space="preserve">      8.854</t>
  </si>
  <si>
    <t>Atlético</t>
  </si>
  <si>
    <t>atletico</t>
  </si>
  <si>
    <t>Twitter Oficial do Clube Atlético Mineiro | https://t.co/ArdRHE0KYJ | https://t.co/rPebkOzQWz | https://t.co/gvlkQS7VFF</t>
  </si>
  <si>
    <t xml:space="preserve">  2.614.600</t>
  </si>
  <si>
    <t>E-Investidor</t>
  </si>
  <si>
    <t>einvestidor</t>
  </si>
  <si>
    <t>Notícias sobre mercado financeiro, economia e finanças pessoais. Este é o E-investidor, novo portal de investimentos do @estadao</t>
  </si>
  <si>
    <t xml:space="preserve">     70.646</t>
  </si>
  <si>
    <t>𝛂riel</t>
  </si>
  <si>
    <t>jblackswxn</t>
  </si>
  <si>
    <t>͏ ͏bizzle is a fucking legend</t>
  </si>
  <si>
    <t xml:space="preserve">      4.185</t>
  </si>
  <si>
    <t>Cristiano R Castro</t>
  </si>
  <si>
    <t>criscastrogalo</t>
  </si>
  <si>
    <t>Atleticano Graças a Deus!!!</t>
  </si>
  <si>
    <t xml:space="preserve">     22.068</t>
  </si>
  <si>
    <t>Geração FM ⚽</t>
  </si>
  <si>
    <t>gerafutebol</t>
  </si>
  <si>
    <t>Futebol, Fútbol, Football</t>
  </si>
  <si>
    <t xml:space="preserve">      5.895</t>
  </si>
  <si>
    <t>Carlos Alberto Ramos</t>
  </si>
  <si>
    <t>carlosalrms</t>
  </si>
  <si>
    <t>Professor - Departamento de Economia - UnB</t>
  </si>
  <si>
    <t xml:space="preserve">      2.145</t>
  </si>
  <si>
    <t>TXT Stream Base</t>
  </si>
  <si>
    <t>txtstreambase</t>
  </si>
  <si>
    <t>Main @TXT_members' streaming fanbase // do not repost our content without credit</t>
  </si>
  <si>
    <t xml:space="preserve">     26.697</t>
  </si>
  <si>
    <t>fernanda schmitt • autora</t>
  </si>
  <si>
    <t>fernandaschmtt</t>
  </si>
  <si>
    <t>compre meu livro Eros com brindes e autógrafo dedicado no link abaixo 🏹🤎</t>
  </si>
  <si>
    <t xml:space="preserve">      1.563</t>
  </si>
  <si>
    <t>Wellington Dias</t>
  </si>
  <si>
    <t>wdiaspi</t>
  </si>
  <si>
    <t>Ministro do Desenvolvimento e Assistência Social, Família e Combate à Fome. Ex-governador do Piauí e escritor. 
Nossa missão é cuidar das pessoas 🇧🇷</t>
  </si>
  <si>
    <t xml:space="preserve">     49.839</t>
  </si>
  <si>
    <t>jeff. FREEFALL</t>
  </si>
  <si>
    <t>lightxtt</t>
  </si>
  <si>
    <t>𓏲 ⭒  ׅ 𝑜𝑛𝑙𝑦𝑚𝑜𝑎  -  𝒉𝑒 𝒉𝑖𝑚  𔘓  𝑡𝑒𝑟𝑟𝑦  -  🥀
⠀                  ⠀⠀                  ⠀⠀                   ⠀⠀                   ⠀⠀</t>
  </si>
  <si>
    <t xml:space="preserve">      1.481</t>
  </si>
  <si>
    <t>Livros com Promo</t>
  </si>
  <si>
    <t>livroscompromo</t>
  </si>
  <si>
    <t>🙋🏻‍♂️ Oi! Somos a LCP! 💌 Divulgamos ofertas, promoções, pré-vendas e cupons de livros. 📘 Links: https://t.co/djeATChZog 🫶🏻 • (he/him) • #BookTwT •</t>
  </si>
  <si>
    <t xml:space="preserve">     98.895</t>
  </si>
  <si>
    <t>leizzy🏹🐯</t>
  </si>
  <si>
    <t>leizzy0</t>
  </si>
  <si>
    <t>Eu sou mais louco que todos vocês</t>
  </si>
  <si>
    <t xml:space="preserve">      1.725</t>
  </si>
  <si>
    <t>Gabriel Sá</t>
  </si>
  <si>
    <t>ogabrielsa</t>
  </si>
  <si>
    <t>🇧🇷🎙️ | Por aqui, informações, opiniões e algumas bobeiras… | Embaixador @KTO_Brasil | #PodeCravar 🤝</t>
  </si>
  <si>
    <t xml:space="preserve">     73.325</t>
  </si>
  <si>
    <t>Revista Oeste</t>
  </si>
  <si>
    <t>revistaoeste</t>
  </si>
  <si>
    <t xml:space="preserve">  1.182.838</t>
  </si>
  <si>
    <t>Claudio Dantas</t>
  </si>
  <si>
    <t>claudioedantas</t>
  </si>
  <si>
    <t>Diretor da Jovem Pan em Brasília e analista político. Palestras e eventos em inteligenciapublica@proton.me</t>
  </si>
  <si>
    <t xml:space="preserve">    324.500</t>
  </si>
  <si>
    <t>UBS</t>
  </si>
  <si>
    <t>ubs</t>
  </si>
  <si>
    <t>Follow us for news about UBS, our events and opinions  from around the world.</t>
  </si>
  <si>
    <t xml:space="preserve">    521.156</t>
  </si>
  <si>
    <t>Central Rony Rústico</t>
  </si>
  <si>
    <t>ronyrustico2m</t>
  </si>
  <si>
    <t>Perfil no Twitter dedicado ao lendário camisa 10, conhecido como Rony Rústico Careca #R10 e fã incondicional do Lakers 🏀⚽</t>
  </si>
  <si>
    <t xml:space="preserve">      6.070</t>
  </si>
  <si>
    <t>Zé Adão Barbosa</t>
  </si>
  <si>
    <t>zeadaobarbosa</t>
  </si>
  <si>
    <t>Ator, diretor e professor de teatro na Casa de Teatro de Porto Alegre</t>
  </si>
  <si>
    <t xml:space="preserve">      4.660</t>
  </si>
  <si>
    <t>Carlos Jordy</t>
  </si>
  <si>
    <t>carlosjordy</t>
  </si>
  <si>
    <t>Deputado Federal reeleito pelo RJ / Líder da oposição na Câmara dos Deputados</t>
  </si>
  <si>
    <t xml:space="preserve">  1.136.892</t>
  </si>
  <si>
    <t>Jones Manoel - YouTube: Jones Manoel</t>
  </si>
  <si>
    <t>jonesmanoel_pe</t>
  </si>
  <si>
    <t>Historiador, professor, educador popular, Youtuber, Podcaster (@revolushow) e militante comunista.</t>
  </si>
  <si>
    <t xml:space="preserve">    230.118</t>
  </si>
  <si>
    <t>Morpheus 66 🚩🚩🚩🕊️</t>
  </si>
  <si>
    <t>morpheus1966_</t>
  </si>
  <si>
    <t>🚩As amizades verdadeiras são como a Fênix. Lembram do DaviGabriel1966? soy yo. Encontrando novamente meus velhos amigos!
A ESQUERDA é bem-vinda! 🚩
⛔DM Pornô⛔</t>
  </si>
  <si>
    <t xml:space="preserve">      3.753</t>
  </si>
  <si>
    <t>liv</t>
  </si>
  <si>
    <t>thesiciliantea</t>
  </si>
  <si>
    <t>it gets progressively gayer as we go on...as life usually does</t>
  </si>
  <si>
    <t xml:space="preserve">      1.230</t>
  </si>
  <si>
    <t>Santos FC</t>
  </si>
  <si>
    <t>santosfc</t>
  </si>
  <si>
    <t>Twitter Oficial do Santos FC • https://t.co/nGILmGi48H • https://t.co/boktFUTdt2 • https://t.co/x3HJLc8QPM • https://t.co/2UhYqA3ykX</t>
  </si>
  <si>
    <t xml:space="preserve">  3.109.070</t>
  </si>
  <si>
    <t>Terra Brasil Notícias</t>
  </si>
  <si>
    <t>terrabrasilnot</t>
  </si>
  <si>
    <t>O Terra Brasil Notícias trabalha com responsabilidade para trazer todos os fatos do Brasil e do mundo para nosso leitor. Deus acima de tudo e de todos.🇧🇷</t>
  </si>
  <si>
    <t xml:space="preserve">    397.842</t>
  </si>
  <si>
    <t>YouTube</t>
  </si>
  <si>
    <t>youtube</t>
  </si>
  <si>
    <t>like and subscribe.</t>
  </si>
  <si>
    <t xml:space="preserve"> 79.269.498</t>
  </si>
  <si>
    <t>Καμαράδα</t>
  </si>
  <si>
    <t>basedpererecas</t>
  </si>
  <si>
    <t>Hasta sucumbir | 4TP🏴‍☠️✵♃ | Violent regime enjoyer☢️</t>
  </si>
  <si>
    <t xml:space="preserve">      1.352</t>
  </si>
  <si>
    <t>Ajax Vrouwen</t>
  </si>
  <si>
    <t>ajaxvrouwen</t>
  </si>
  <si>
    <t>BEST OF 🇳🇱 Het officiële account van de Ajax Vrouwen | Vrouwen Eredivisie |</t>
  </si>
  <si>
    <t xml:space="preserve">     19.318</t>
  </si>
  <si>
    <t>Renato Amoedo 38bitcoinheiro</t>
  </si>
  <si>
    <t>38bitcoinheiro</t>
  </si>
  <si>
    <t>Todos os links ai:
https://t.co/LGIKEAYEiG
HODL or HFSP</t>
  </si>
  <si>
    <t xml:space="preserve">     23.434</t>
  </si>
  <si>
    <t>Fátima Bezerra</t>
  </si>
  <si>
    <t>fatimabezerra</t>
  </si>
  <si>
    <t>👩🏽‍💼 Professora e governadora do Rio Grande do Norte</t>
  </si>
  <si>
    <t xml:space="preserve">    180.089</t>
  </si>
  <si>
    <t>Deputado Professor Cleiton</t>
  </si>
  <si>
    <t>depprofcleiton</t>
  </si>
  <si>
    <t>Dep. Estadual MG (PV). Mestre em História; Pres. Comissão de Cultura na ALMG; Defensor do meio ambiente, da Casa Comum e dos servidores públicos. Cruzeiro! 💙</t>
  </si>
  <si>
    <t xml:space="preserve">      1.592</t>
  </si>
  <si>
    <t>Emerson Kapaz</t>
  </si>
  <si>
    <t>kapazkapaz</t>
  </si>
  <si>
    <t>Empreendedor, consultor e comentarista do Jornal da Cultura</t>
  </si>
  <si>
    <t xml:space="preserve">      1.449</t>
  </si>
  <si>
    <t>Gazeta do Povo</t>
  </si>
  <si>
    <t>gazetadopovo</t>
  </si>
  <si>
    <t>Clareza de convicções. Coragem no posicionamento. Acompanhe também pelo Telegram: https://t.co/yVulxJJqIL</t>
  </si>
  <si>
    <t xml:space="preserve">    740.632</t>
  </si>
  <si>
    <t>Andréia Landim</t>
  </si>
  <si>
    <t>andreialandim</t>
  </si>
  <si>
    <t>From 🇧🇷 Live 🇮🇪</t>
  </si>
  <si>
    <t xml:space="preserve">      1.929</t>
  </si>
  <si>
    <t>Cofen</t>
  </si>
  <si>
    <t>cofen_oficial</t>
  </si>
  <si>
    <t>Conselho Federal de Enfermagem</t>
  </si>
  <si>
    <t xml:space="preserve">     19.935</t>
  </si>
  <si>
    <t>🔥 Moo - Canal KIMOTI 🍓</t>
  </si>
  <si>
    <t>kidzastr</t>
  </si>
  <si>
    <t>Maria Luiza Grantaine【Moo】
Dubladora, Cantora, Cosplayer, KIMOTI com @tati_mafort e BENTÔ, do @omelete {Ela} #ActuallyAutistic
Contato: malu.grantaine@gmail.com</t>
  </si>
  <si>
    <t xml:space="preserve">     37.511</t>
  </si>
  <si>
    <t>Ricardo Amorim</t>
  </si>
  <si>
    <t>ricamconsult</t>
  </si>
  <si>
    <t>Economista sem economês e com bom humor. Ganhador dos Prêmios iBest de Economia e Negócios, Opinião e Cidadania e maior influenciador do LinkedIn.</t>
  </si>
  <si>
    <t xml:space="preserve">  1.512.065</t>
  </si>
  <si>
    <t>D.✨</t>
  </si>
  <si>
    <t>danielladuarte0</t>
  </si>
  <si>
    <t>Heitor 🤴🏻 / @daninailsdesignerr 💅🏼 / Adm 🎓 / Marketing 🎓 / Bombeira civil 🎓/ 23years./ @_LucasBarbos ♥️</t>
  </si>
  <si>
    <t xml:space="preserve">      4.791</t>
  </si>
  <si>
    <t>𝘿𝙤𝙣.</t>
  </si>
  <si>
    <t>doncosta_</t>
  </si>
  <si>
    <t>Cortes fora de contexto, estatísticas não oficiais e análises resultadistas.</t>
  </si>
  <si>
    <t xml:space="preserve">      7.228</t>
  </si>
  <si>
    <t>Tuca (Arthur)</t>
  </si>
  <si>
    <t>tucabr54</t>
  </si>
  <si>
    <t>(14ª conta 😎 )
Quantos anos você tem ?
- Tenho os que me restam.
Os que vivi  não os tenho mais.</t>
  </si>
  <si>
    <t xml:space="preserve">     46.518</t>
  </si>
  <si>
    <t>Alerta Mundo</t>
  </si>
  <si>
    <t>alertamundo_</t>
  </si>
  <si>
    <t>Notícias sobre o cotidiano Mundial de minuto a minuto.</t>
  </si>
  <si>
    <t xml:space="preserve">     12.050</t>
  </si>
  <si>
    <t>Thales, PhD</t>
  </si>
  <si>
    <t>thaleseb</t>
  </si>
  <si>
    <t>PhD in Electrical Engineering.
Aqui falo sobre política. Apaixonado por ideias e não por pessoas. De centro, com orgulho.</t>
  </si>
  <si>
    <t xml:space="preserve">      1.185</t>
  </si>
  <si>
    <t>Notícias Paralelas</t>
  </si>
  <si>
    <t>np__oficial</t>
  </si>
  <si>
    <t>Notícias l Humor l Entretenimento.                                
Contato : noticiasparalelas@yahoo.com</t>
  </si>
  <si>
    <t xml:space="preserve">     51.924</t>
  </si>
  <si>
    <t>CHOQUEI</t>
  </si>
  <si>
    <t>choquei</t>
  </si>
  <si>
    <t>A sua fonte de notícias mais rápida. Tudo sobre os acontecimentos mais recentes do Brasil e do mundo. Contato: assessoriachoquei@gmail.com</t>
  </si>
  <si>
    <t xml:space="preserve">  6.374.937</t>
  </si>
  <si>
    <t>tesoureiros</t>
  </si>
  <si>
    <t>Ativistas que atuaram na CPI da COVID</t>
  </si>
  <si>
    <t xml:space="preserve">    241.598</t>
  </si>
  <si>
    <t>Planeta do Futebol 🌎</t>
  </si>
  <si>
    <t>futebol_info</t>
  </si>
  <si>
    <t>Informando tudo sobre os bastidores do mundo do futebol. Publicidade/parceria: contato.planetadofutebol@gmail.com 🔔 Ative as notificações.</t>
  </si>
  <si>
    <t xml:space="preserve">  2.064.163</t>
  </si>
  <si>
    <t>Governo de S. Paulo</t>
  </si>
  <si>
    <t>governosp</t>
  </si>
  <si>
    <t>Twitter Oficial do Governo do Estado de São Paulo</t>
  </si>
  <si>
    <t xml:space="preserve">    550.630</t>
  </si>
  <si>
    <t>Metrópoles</t>
  </si>
  <si>
    <t>metropoles</t>
  </si>
  <si>
    <t>📱 O seu portal de notícias. Tudo sobre política, saúde, justiça, comportamento, entretenimento. Confira os fatos relevantes do país e do mundo em tempo real.</t>
  </si>
  <si>
    <t xml:space="preserve">  1.039.946</t>
  </si>
  <si>
    <t>Giuliano Cosenza</t>
  </si>
  <si>
    <t>cosenzagiuliano</t>
  </si>
  <si>
    <t>No escucho y sigo l Scout l Jornalismo l @celtics @flamengo</t>
  </si>
  <si>
    <t xml:space="preserve">     32.086</t>
  </si>
  <si>
    <t>Zenaide Maia</t>
  </si>
  <si>
    <t>zenaidern</t>
  </si>
  <si>
    <t>🇧🇷 Senadora do Rio Grande do Norte. Vice-líder do governo Lula no Congresso Nacional. Procuradora da Mulher do Senado. Presidente do PSD-RN. Médica do Seridó.</t>
  </si>
  <si>
    <t xml:space="preserve">     10.627</t>
  </si>
  <si>
    <t>Gonçalo Sousa</t>
  </si>
  <si>
    <t>machotoxico_</t>
  </si>
  <si>
    <t>Analista político, Empresário, Comunicólogo, Embaixador da Masculinidade Tóxica |
Canal de YouTube ⬇️</t>
  </si>
  <si>
    <t xml:space="preserve">     16.701</t>
  </si>
  <si>
    <t>RodrigoGuedesAm</t>
  </si>
  <si>
    <t>rodrigoguedesam</t>
  </si>
  <si>
    <t>Vereador de Manaus e Pai da Antonella. Fui candidato a Deputado Federal e tive 20.305 votos sem fundão eleitoral. Me cobrem!</t>
  </si>
  <si>
    <t xml:space="preserve">      4.312</t>
  </si>
  <si>
    <t>Rui Cavaleiro</t>
  </si>
  <si>
    <t>rui_cavaleiro_</t>
  </si>
  <si>
    <t>Artista Visual.Autor, comunicador,produtor, ilustrador, retratista,sktecher. Explorador de conceitos e técnicas.Contador de histórias. (Já levei porrada).</t>
  </si>
  <si>
    <t xml:space="preserve">      9.766</t>
  </si>
  <si>
    <t>Cleitin</t>
  </si>
  <si>
    <t>leandrocleito</t>
  </si>
  <si>
    <t xml:space="preserve">      1.218</t>
  </si>
  <si>
    <t>Baby *Anitta* 🧸♥️⭐🌈</t>
  </si>
  <si>
    <t>tamarababy2</t>
  </si>
  <si>
    <t>FAVELA LOVE STORY'   👇🏻/ FAN ACCOUNT
@anitta</t>
  </si>
  <si>
    <t xml:space="preserve">      3.966</t>
  </si>
  <si>
    <t>Chefin 23</t>
  </si>
  <si>
    <t>omaisnovo01</t>
  </si>
  <si>
    <t>OUÇAM O MAIS ROMÂNTICO ! 🤍💿👇🏻  https://t.co/MKzc604R3l</t>
  </si>
  <si>
    <t xml:space="preserve">    363.407</t>
  </si>
  <si>
    <t>Flavio Bolsonaro</t>
  </si>
  <si>
    <t>flaviobolsonaro</t>
  </si>
  <si>
    <t>Agradeço a Deus pelas 4.380.418 pessoas que me elegeram Senador pelo RJ. Telegram https://t.co/ZUkOwjucvD</t>
  </si>
  <si>
    <t xml:space="preserve">  3.054.188</t>
  </si>
  <si>
    <t>C6 Bank</t>
  </si>
  <si>
    <t>c6bank</t>
  </si>
  <si>
    <t>#DesenrolaComC6Bank: Aproveite vantagens únicas para quitar suas dívidas 👇</t>
  </si>
  <si>
    <t xml:space="preserve">     78.862</t>
  </si>
  <si>
    <t>Colonnello Kurtz</t>
  </si>
  <si>
    <t>apocalypsevax</t>
  </si>
  <si>
    <t>E’ il voler giudicare che ci sconfigge</t>
  </si>
  <si>
    <t xml:space="preserve">      3.182</t>
  </si>
  <si>
    <t>MUFC BR</t>
  </si>
  <si>
    <t>mufcbr</t>
  </si>
  <si>
    <t>Desde 2010, trazendo informações, curiosidades, história e o máximo de conteúdo sobre o Manchester United. Encontros de torcedores:@RedevilsBrasil</t>
  </si>
  <si>
    <t xml:space="preserve">     43.671</t>
  </si>
  <si>
    <t>InfoAmazonia Brasil</t>
  </si>
  <si>
    <t>infoamazoniabr</t>
  </si>
  <si>
    <t>Jornalismo de dados nos nove países da Amazônia. Follow @InfoAmazonia for updates in English. Para actualizaciones en español sigue @InfoAmazoniaESP</t>
  </si>
  <si>
    <t xml:space="preserve">     22.255</t>
  </si>
  <si>
    <t>E. Cavendish</t>
  </si>
  <si>
    <t>ducavendish</t>
  </si>
  <si>
    <t>Economia | Criptoativos | Política | Esportes | Co-Fundador @Somas_io | Mercados somente: @CavendishTS - 𝕏</t>
  </si>
  <si>
    <t xml:space="preserve">    122.062</t>
  </si>
  <si>
    <t>Goiás Esporte Clube</t>
  </si>
  <si>
    <t>goiasoficial</t>
  </si>
  <si>
    <t>Twitter oficial do Goiás Esporte Clube, o maior clube do Centro-Oeste. 🇳🇬</t>
  </si>
  <si>
    <t xml:space="preserve">    665.745</t>
  </si>
  <si>
    <t>TeAtualizei 🇧🇷👊🏻❤️</t>
  </si>
  <si>
    <t>taoquei1</t>
  </si>
  <si>
    <t>Aqui dou minhas opiniões. Ainda pode ter opinião? Vamos ver...
Contraditório com respeito é bem vindo.
Inscreva-se https://t.co/4ifDb6rz9V</t>
  </si>
  <si>
    <t xml:space="preserve">  2.099.258</t>
  </si>
  <si>
    <t>Rubinho Nunes</t>
  </si>
  <si>
    <t>rubinhonunes</t>
  </si>
  <si>
    <t>🇧🇷 Vereador de São Paulo; Corregedor-Geral da Câmara; Economia de R$ 111,515 BILHÕES; Advogado; Pres. da Comissão Política Urbana; 📱11 91199-5511</t>
  </si>
  <si>
    <t xml:space="preserve">    128.591</t>
  </si>
  <si>
    <t>ƁσƖѕσIcє</t>
  </si>
  <si>
    <t>icesohei</t>
  </si>
  <si>
    <t>Abraçando a vida com ousadia, revelando verdades através da ironia, tornando cada momento uma jornada poderosamente impactante.</t>
  </si>
  <si>
    <t xml:space="preserve">     22.101</t>
  </si>
  <si>
    <t>Doc</t>
  </si>
  <si>
    <t>bfelipe22</t>
  </si>
  <si>
    <t>📝@redecoxa 🎙#Coxacast 🎥#LivedoDoc Parceria com @oficialbrbet 🎰</t>
  </si>
  <si>
    <t xml:space="preserve">      9.072</t>
  </si>
  <si>
    <t>Gennaro Carotenuto</t>
  </si>
  <si>
    <t>gencar5</t>
  </si>
  <si>
    <t>Contemporary historian, cittadino europeo, #fiducianellascienza, woke, #Marathon PB3h36, tante scarpe consumate in #AmericaLatina. Verrà #lafebbre</t>
  </si>
  <si>
    <t xml:space="preserve">     27.835</t>
  </si>
  <si>
    <t>PESQUISAS E ANÁLISES ELEIÇÕES</t>
  </si>
  <si>
    <t>pesquisas_elige</t>
  </si>
  <si>
    <t>O ex-apartidário mais seguido desse site!</t>
  </si>
  <si>
    <t xml:space="preserve">     86.353</t>
  </si>
  <si>
    <t>christian</t>
  </si>
  <si>
    <t>whoischristian</t>
  </si>
  <si>
    <t xml:space="preserve">      1.807</t>
  </si>
  <si>
    <t>Valuation Freestyle</t>
  </si>
  <si>
    <t>valuationfstyle</t>
  </si>
  <si>
    <t>PhD at PSOL Academy of Valuation #FREE3 / Freestyle's, memes e notícias sem compromisso com a realidade / Aberto para parcerias (mande DM)</t>
  </si>
  <si>
    <t xml:space="preserve">     80.008</t>
  </si>
  <si>
    <t>Nilgalo 🏆🏆🏆</t>
  </si>
  <si>
    <t>ferreiragnilso1</t>
  </si>
  <si>
    <t>Atleticano  d corpo e alma</t>
  </si>
  <si>
    <t xml:space="preserve">      2.184</t>
  </si>
  <si>
    <t>GreenZ</t>
  </si>
  <si>
    <t>green7z</t>
  </si>
  <si>
    <t>🎧 𝐈'𝐦 𝐒𝐨𝐫𝐫𝐲, 𝐈 𝐂𝐚𝐧'𝐭 𝐛𝐞 𝐏𝐞𝐫𝐟𝐞𝐜𝐭 🎧
(o/ele/-o)
@Palmeiras 💚</t>
  </si>
  <si>
    <t xml:space="preserve">      1.283</t>
  </si>
  <si>
    <t>Lean Minaj (Big Difference)</t>
  </si>
  <si>
    <t>leanminaj</t>
  </si>
  <si>
    <t>- Fan account
Nicki Minaj</t>
  </si>
  <si>
    <t xml:space="preserve">      1.048</t>
  </si>
  <si>
    <t>Steve</t>
  </si>
  <si>
    <t>michaustenn</t>
  </si>
  <si>
    <t>Doctor.investor.Crypto. $BTC $ETH $MATIC $AAVE $GMX $GNS $MKR $LINK $SNX $ATOM KAS IPOR VRA PUNDIX PENDLE QNT 🚀🚀Do your DCA in each coin during 2023..DYOR</t>
  </si>
  <si>
    <t xml:space="preserve">      1.407</t>
  </si>
  <si>
    <t>Davi Souza, CNPI</t>
  </si>
  <si>
    <t>fatosdabolsa</t>
  </si>
  <si>
    <t>ANALISTA CNPI
Conteúdo educativo somente.
Siga meu instagram no link abaixo.</t>
  </si>
  <si>
    <t xml:space="preserve">     11.532</t>
  </si>
  <si>
    <t>Banco do Nordeste</t>
  </si>
  <si>
    <t>bancodonordeste</t>
  </si>
  <si>
    <t>Desenvolvimento e sustentabilidade. Há 71 anos, sempre em frente para a Região acelerar. Perfil oficial.</t>
  </si>
  <si>
    <t xml:space="preserve">      1.335</t>
  </si>
  <si>
    <t>Ministério dos Transportes</t>
  </si>
  <si>
    <t>mtransportes</t>
  </si>
  <si>
    <t>Perfil oficial do Ministério dos Transportes 🇧🇷</t>
  </si>
  <si>
    <t xml:space="preserve">    375.341</t>
  </si>
  <si>
    <t>Renan Filho</t>
  </si>
  <si>
    <t>renanfilho_</t>
  </si>
  <si>
    <t>Economista, casado com a Renata, pai do Davi e do João. Senador por Alagoas, licenciado para assumir o Ministério dos Transportes.</t>
  </si>
  <si>
    <t xml:space="preserve">     56.978</t>
  </si>
  <si>
    <t>bifeahcasa</t>
  </si>
  <si>
    <t>Product manager de banalidades. e
Empreendedor do ócio.</t>
  </si>
  <si>
    <t xml:space="preserve">     19.972</t>
  </si>
  <si>
    <t>Felipe Quintas</t>
  </si>
  <si>
    <t>felipemquintas</t>
  </si>
  <si>
    <t>Pretendia alcançar o ponto em que nossa vontade se articula com o destino e onde a disciplina secunda a natureza, em lugar de contê-la. - Memórias de Adriano</t>
  </si>
  <si>
    <t xml:space="preserve">     11.042</t>
  </si>
  <si>
    <t>Sindipetro-ES</t>
  </si>
  <si>
    <t>sindipetro_es</t>
  </si>
  <si>
    <t>Sindicato dos Petroleiros do Espirito Santo</t>
  </si>
  <si>
    <t xml:space="preserve">     13.923</t>
  </si>
  <si>
    <t>Lázaro Rosa 🇧🇷</t>
  </si>
  <si>
    <t>lazarorosa25</t>
  </si>
  <si>
    <t>Progressista, irônico e bem humorado. Ativista pela democracia 💪🏾</t>
  </si>
  <si>
    <t xml:space="preserve">    215.825</t>
  </si>
  <si>
    <t>Brendda Índia</t>
  </si>
  <si>
    <t>brenddatrindade</t>
  </si>
  <si>
    <t>Me benze aonde eu for, vó! 🤍</t>
  </si>
  <si>
    <t xml:space="preserve">     64.358</t>
  </si>
  <si>
    <t>Sicoob</t>
  </si>
  <si>
    <t>sicoob</t>
  </si>
  <si>
    <t>Fazer mais que uma escolha financeira é decidir crescer junto, transformando a vida de pessoas por todo o Brasil. Abra a sua conta e venha ser dono. 💚</t>
  </si>
  <si>
    <t xml:space="preserve">     51.862</t>
  </si>
  <si>
    <t>Tiago Prux</t>
  </si>
  <si>
    <t>tprux</t>
  </si>
  <si>
    <t>Minhas opiniões sobre o mercado. Não são recomendações. EVOLUÇÃO, sempre para frente!
Sócio fundador da https://t.co/uuo466luqV
https://t.co/DE1j7Ah5gI</t>
  </si>
  <si>
    <t xml:space="preserve">      4.855</t>
  </si>
  <si>
    <t>Samuel Pancher</t>
  </si>
  <si>
    <t>sampancher</t>
  </si>
  <si>
    <t>Jornalista retratando a realidade distópica no @metropoles Contato: sampancher7@gmail.com</t>
  </si>
  <si>
    <t xml:space="preserve">    116.927</t>
  </si>
  <si>
    <t>Eixo Político</t>
  </si>
  <si>
    <t>eixopolitico</t>
  </si>
  <si>
    <t>Sua fonte diária de informações sobre política. Por @mateusno.
✉️ contato@eixopolitico.com</t>
  </si>
  <si>
    <t xml:space="preserve">    309.353</t>
  </si>
  <si>
    <t>Prof. Claudio Branchieri</t>
  </si>
  <si>
    <t>profclaudiobran</t>
  </si>
  <si>
    <t>🔰 Deputado Estadual - RS
🎯 Mestre em Economia - UFRGS
🇧🇷 Antipetista &amp; Conservador
📢 Coragem e firmeza que te representam!</t>
  </si>
  <si>
    <t xml:space="preserve">      6.782</t>
  </si>
  <si>
    <t>Leonardo Lopes</t>
  </si>
  <si>
    <t>leonardo1opes</t>
  </si>
  <si>
    <t>Faço threads com histórias de lugares que visitei, ou pelo menos deveria. Na maior parte do tempo estou reclamando de políticos e fazendo enquetes inúteis.</t>
  </si>
  <si>
    <t xml:space="preserve">     64.506</t>
  </si>
  <si>
    <t>Bruce Barbosa</t>
  </si>
  <si>
    <t>brucebarbosa88</t>
  </si>
  <si>
    <t>Cético, mas ainda otimista...
Sócio-fundador da @ResearchNord 👉🏻 cadastre-se gratuitamente para receber nossos conteúdo https://t.co/4sf3aRh6zN</t>
  </si>
  <si>
    <t xml:space="preserve">     82.991</t>
  </si>
  <si>
    <t>Eddy Veerus</t>
  </si>
  <si>
    <t>eddyveerus</t>
  </si>
  <si>
    <t>1/2 del @paganteofficial e maledettamente innamorato dell’@inter di Milano</t>
  </si>
  <si>
    <t xml:space="preserve">      7.878</t>
  </si>
  <si>
    <t>Filipe</t>
  </si>
  <si>
    <t>filipeuri</t>
  </si>
  <si>
    <t>tô aqui pelas tour</t>
  </si>
  <si>
    <t xml:space="preserve">      1.661</t>
  </si>
  <si>
    <t>Blog Fórmula 1 🏁</t>
  </si>
  <si>
    <t>blog_formula1</t>
  </si>
  <si>
    <t>FAN PAGE! O seu lugar para falar sobre F1 no Twitter.
Contato/parcerias: contato@blog-formula1.com
Lojinha na Shopee: https://t.co/KfdYTHDkcp</t>
  </si>
  <si>
    <t xml:space="preserve">     70.211</t>
  </si>
  <si>
    <t>Thomas Alencar</t>
  </si>
  <si>
    <t>thomasalencr</t>
  </si>
  <si>
    <t>Jornalista e redator do @Bola_Amarela e @Colunadofla. Aqui falo sobre o 𝗠𝗮𝗻𝗰𝗵𝗲𝘀𝘁𝗲𝗿 𝗨𝗻𝗶𝘁𝗲𝗱 com opiniões e informações.</t>
  </si>
  <si>
    <t xml:space="preserve">     26.492</t>
  </si>
  <si>
    <t>Andrade</t>
  </si>
  <si>
    <t>andradernegro2</t>
  </si>
  <si>
    <t>Fé, Flamengo, Política.</t>
  </si>
  <si>
    <t xml:space="preserve">     49.363</t>
  </si>
  <si>
    <t>Nonô, o Vovô Investidor</t>
  </si>
  <si>
    <t>nonoinvestidor</t>
  </si>
  <si>
    <t>▫️PhD em Loss pela StopLoss University / B3 🇧🇷▫️O melhor perfil de Humor do Mercado Financeiro ▫️Eu ensino como perder dinheiro!!!!!!▫️ CLICA AQUI👇🏼</t>
  </si>
  <si>
    <t xml:space="preserve">    118.867</t>
  </si>
  <si>
    <t>CGTP-IN</t>
  </si>
  <si>
    <t>cgtp_in</t>
  </si>
  <si>
    <t>CGTP-IN, organização sindical de classe, unitária, democrática, independente e de massas</t>
  </si>
  <si>
    <t xml:space="preserve">      4.066</t>
  </si>
  <si>
    <t>Arturo Bandini</t>
  </si>
  <si>
    <t>arturob23022138</t>
  </si>
  <si>
    <t>NOTO CAZZONE, SBALLONE, PESANTISSIMO ROMPICOGLIONI E BULLO DEI PEGGIORI</t>
  </si>
  <si>
    <t xml:space="preserve">      4.966</t>
  </si>
  <si>
    <t>Julio Schneider 🇧🇷🇺🇸</t>
  </si>
  <si>
    <t>juliovschneider</t>
  </si>
  <si>
    <t>Consultor Internacional</t>
  </si>
  <si>
    <t xml:space="preserve">    113.384</t>
  </si>
  <si>
    <t>Genoa CFC</t>
  </si>
  <si>
    <t>genoacfc</t>
  </si>
  <si>
    <t>❤️💙 𝗗𝗮𝗹𝗹'𝗶𝗻𝗶𝘇𝗶𝗼, 𝗽𝗲𝗿 𝘀𝗲𝗺𝗽𝗿𝗲 🏴󠁧󠁢󠁥󠁮󠁧󠁿 Genoa CFC Official Account | The Oldest Football Club in Italy</t>
  </si>
  <si>
    <t xml:space="preserve">    396.779</t>
  </si>
  <si>
    <t>MC Kevin</t>
  </si>
  <si>
    <t>mckevinreels</t>
  </si>
  <si>
    <t xml:space="preserve">     12.116</t>
  </si>
  <si>
    <t>Leonardo Bertozzi</t>
  </si>
  <si>
    <t>lbertozzi</t>
  </si>
  <si>
    <t>🌍 Futebol internacional
▶️ Comentarista ESPN/Star+
🎙️ Podcast Futebol no Mundo
🖥️ Contato profissional https://t.co/UhzBTsfv1N</t>
  </si>
  <si>
    <t xml:space="preserve">    659.595</t>
  </si>
  <si>
    <t>Correios</t>
  </si>
  <si>
    <t>correiosbr</t>
  </si>
  <si>
    <t>#Correios360, Brasil em todos os ângulos. 💛💙</t>
  </si>
  <si>
    <t xml:space="preserve">      4.274</t>
  </si>
  <si>
    <t>Pedro Eneas</t>
  </si>
  <si>
    <t>eneas_pedro</t>
  </si>
  <si>
    <t>Contador/Especialista em Auditoria e Controle Interno/Mestre em Gestão Institucional/Mestrando em Ciências Contábeis</t>
  </si>
  <si>
    <t xml:space="preserve">      5.343</t>
  </si>
  <si>
    <t>Carlos Moedas</t>
  </si>
  <si>
    <t>moedas</t>
  </si>
  <si>
    <t>👤 Presidente da Câmara Municipal de Lisboa | Mayor of Lisbon | Maire de Lisbonne</t>
  </si>
  <si>
    <t xml:space="preserve">     82.383</t>
  </si>
  <si>
    <t>Nação BRB FLA</t>
  </si>
  <si>
    <t>nacaobrbfla</t>
  </si>
  <si>
    <t>🏦 Somos o banco digital oficial da Nação Rubro-Negra. Siga nosso perfil e fique por dentro das novidades!</t>
  </si>
  <si>
    <t xml:space="preserve">     45.937</t>
  </si>
  <si>
    <t>Ajveiga</t>
  </si>
  <si>
    <t>ajveiga2</t>
  </si>
  <si>
    <t>De direita, anticomunista, pai de família, conservador e cozinheiro nas horas vagas.</t>
  </si>
  <si>
    <t xml:space="preserve">     22.986</t>
  </si>
  <si>
    <t>Alessandro Loiola MD</t>
  </si>
  <si>
    <t>alessandroloio2</t>
  </si>
  <si>
    <t>Empresário, escritor, médico. CRMSP 142346. Contato: https://t.co/fT5vCenhCD</t>
  </si>
  <si>
    <t xml:space="preserve">    205.555</t>
  </si>
  <si>
    <t>Z x u T</t>
  </si>
  <si>
    <t>notzxu7</t>
  </si>
  <si>
    <t>felicidade.</t>
  </si>
  <si>
    <t xml:space="preserve">      3.921</t>
  </si>
  <si>
    <t>Honorato</t>
  </si>
  <si>
    <t>philliphonorato</t>
  </si>
  <si>
    <t>Meu hobby é fazer montagem mal feita sobre política e ninguém achar graça. 
💭 Temos de nos tornar a mudança que queremos ver no mundo.</t>
  </si>
  <si>
    <t xml:space="preserve">     30.182</t>
  </si>
  <si>
    <t>Bicycle Capital</t>
  </si>
  <si>
    <t>bicyclevc</t>
  </si>
  <si>
    <t>Partnering with the best growth stage companies in Latin America</t>
  </si>
  <si>
    <t xml:space="preserve">      1.612</t>
  </si>
  <si>
    <t>MARCIO DE FLORIPA!!! Em Deus eu acredito!!!</t>
  </si>
  <si>
    <t>marcio37</t>
  </si>
  <si>
    <t>GOD IS MY LIFE! FLUENT IN ENGLISH, ITALIAN AND PORTUGUESE</t>
  </si>
  <si>
    <t xml:space="preserve">     64.963</t>
  </si>
  <si>
    <t>Leonardo Rossatto</t>
  </si>
  <si>
    <t>nadanovonofront</t>
  </si>
  <si>
    <t>Cientista Social, Esp. Políticas Públicas. Saúde mental estragada pela tese. Não fui indicado ao Oscar https://t.co/IbIGVvg2DO</t>
  </si>
  <si>
    <t xml:space="preserve">    141.178</t>
  </si>
  <si>
    <t>Flávio Augusto</t>
  </si>
  <si>
    <t>geracaodevalor</t>
  </si>
  <si>
    <t>Founder &amp; CEO of Wiser Educação • Co-founder of FRST CLAX • Former owner of Orlando City • Author of 4 Best-sellers • Forbes Columnist • Private equity Investor</t>
  </si>
  <si>
    <t xml:space="preserve">    623.859</t>
  </si>
  <si>
    <t>DR. PAULO FARIA</t>
  </si>
  <si>
    <t>drpaulofaria22</t>
  </si>
  <si>
    <t>Jornalista e advogado. Casado, pai, conservador. Defensor dos valores da Família. Cristão. Anti-petralha. Anti-comunista. Anti-progressista. Pró-BRASIL!</t>
  </si>
  <si>
    <t xml:space="preserve">     75.306</t>
  </si>
  <si>
    <t>Ronaldo</t>
  </si>
  <si>
    <t>ronaldotrindade</t>
  </si>
  <si>
    <t>Historiador e Antropólogo</t>
  </si>
  <si>
    <t xml:space="preserve">      2.736</t>
  </si>
  <si>
    <t>Brotherly Culture</t>
  </si>
  <si>
    <t>brotherlycult</t>
  </si>
  <si>
    <t>Falamos de política através da cultura, arte e basquete. De tudo um pouco, um pouco de tudo.
Contato comercial e pix para donates: brotherlyculture@gmail.com</t>
  </si>
  <si>
    <t xml:space="preserve">     10.964</t>
  </si>
  <si>
    <t>Pedro Accorsi</t>
  </si>
  <si>
    <t>pedroaccorsi_</t>
  </si>
  <si>
    <t>Nada do que posto é recomendação, apenas minhas opiniões pessoais | Equity Analyst at @tickerresearch | Acesse meus conteúdos no Link abaixo👇🏻👇🏻</t>
  </si>
  <si>
    <t xml:space="preserve">     13.282</t>
  </si>
  <si>
    <t>Adalex Góis</t>
  </si>
  <si>
    <t>adalexgois</t>
  </si>
  <si>
    <t>- 🎙️Jornalista/Empresário
- 🏫Lutando contra minha própria ignorância diariamente;
- 💸Modelo para capas de botijão; 
- 🧊Enxugador de gelo.</t>
  </si>
  <si>
    <t xml:space="preserve">     49.540</t>
  </si>
  <si>
    <t>Ado ( アド)</t>
  </si>
  <si>
    <t>adriananakamur5</t>
  </si>
  <si>
    <t>Apoiadora de Sérgio Moro ! #impeachmentLulaJa !!! Lula Ladrao</t>
  </si>
  <si>
    <t xml:space="preserve">      2.643</t>
  </si>
  <si>
    <t>Canal Eu Acredito</t>
  </si>
  <si>
    <t>canaleuacredito</t>
  </si>
  <si>
    <t>Perfil do canaleuacredito no YouTube Tudo sobre o Atlético-MG e sobre o GALO Instagram: @canaleuacredito</t>
  </si>
  <si>
    <t xml:space="preserve">      8.535</t>
  </si>
  <si>
    <t>Gustavo Ferreira</t>
  </si>
  <si>
    <t>sf__gustavo</t>
  </si>
  <si>
    <t>gateiro ✌ repórter de economia e finanças no @valorinveste. live toda seg, 9h; de seg a qui, 19h, e sex, 18h, comentário no @jornaldacbn</t>
  </si>
  <si>
    <t xml:space="preserve">      1.080</t>
  </si>
  <si>
    <t>PT Brasil</t>
  </si>
  <si>
    <t>ptbrasil</t>
  </si>
  <si>
    <t>Twitter oficial do Partido dos Trabalhadores</t>
  </si>
  <si>
    <t xml:space="preserve">  1.543.458</t>
  </si>
  <si>
    <t>Neymoleque | Fan 🇧🇷</t>
  </si>
  <si>
    <t>neymoleque</t>
  </si>
  <si>
    <t>Brazilian football fan account 🇧🇷 | Eterno Rei Pelé 🤴🏿Collabs - molequeneymar@gmail.com | 🔔 Notifs ON</t>
  </si>
  <si>
    <t xml:space="preserve">     57.072</t>
  </si>
  <si>
    <t>Telegraph Football</t>
  </si>
  <si>
    <t>telefootball</t>
  </si>
  <si>
    <t>The Telegraph's official football channel brings you the best insight and exclusive coverage of the world's biggest game. ⚽</t>
  </si>
  <si>
    <t xml:space="preserve">    556.671</t>
  </si>
  <si>
    <t>Robin Brooks</t>
  </si>
  <si>
    <t>robinbrooksiif</t>
  </si>
  <si>
    <t>Chief Economist @IIF, former Chief FX Strategist @GoldmanSachs &amp; Senior Economist @IMFnews. Opinions are my own. Email: rbrooks@iif.com.</t>
  </si>
  <si>
    <t xml:space="preserve">    269.211</t>
  </si>
  <si>
    <t>Raiam Santos McArn</t>
  </si>
  <si>
    <t>raiam700</t>
  </si>
  <si>
    <t>Vendi uma empresa por 100+ milhões, visitei 104 países, escrevi 11 livros, falo 8 idiomas,formei na mesma faculdade que o Elon Musk..e joguei na Seleção🇧🇷</t>
  </si>
  <si>
    <t xml:space="preserve">    108.408</t>
  </si>
  <si>
    <t>Tarcísio Gomes de Freitas</t>
  </si>
  <si>
    <t>tarcisiogdf</t>
  </si>
  <si>
    <t>Governador do Estado de São Paulo e ex-Ministro da Infraestrutura do governo do presidente Jair Bolsonaro.</t>
  </si>
  <si>
    <t xml:space="preserve">  2.538.482</t>
  </si>
  <si>
    <t>Futebol na TV</t>
  </si>
  <si>
    <t>futnatv</t>
  </si>
  <si>
    <t>Siga-nos e saiba onde passam todos os jogos de futebol na TV e na internet / Notícias sobre mídia esportiva.
Contato para publicidade: futnatv@gmail.com</t>
  </si>
  <si>
    <t xml:space="preserve">    196.321</t>
  </si>
  <si>
    <t>Jornalismo TV Cultura</t>
  </si>
  <si>
    <t>jornal_cultura</t>
  </si>
  <si>
    <t>Acompanhe por aqui as principais notícias do #JTCultura e #JornaldaCultura</t>
  </si>
  <si>
    <t xml:space="preserve">    207.232</t>
  </si>
  <si>
    <t>neymar out of context</t>
  </si>
  <si>
    <t>njoutcontext</t>
  </si>
  <si>
    <t>|| neymar out of context, fan account sobre o jogador Neymar e bastante zoeira também || parcerias/publicidade via dm.</t>
  </si>
  <si>
    <t xml:space="preserve">     75.776</t>
  </si>
  <si>
    <t>Economia Estadão</t>
  </si>
  <si>
    <t>estadaoeconomia</t>
  </si>
  <si>
    <t>Twitter do site Economia &amp; Negócios do Estadão</t>
  </si>
  <si>
    <t xml:space="preserve">    448.040</t>
  </si>
  <si>
    <t>Nikolas Ferreira</t>
  </si>
  <si>
    <t>nikolas_dm</t>
  </si>
  <si>
    <t>- Dep. Federal mais votado do Brasil e da história de Minas Gerais. 🔺🇧🇷</t>
  </si>
  <si>
    <t xml:space="preserve">  2.815.766</t>
  </si>
  <si>
    <t>Ossicodone😻 🖤💙🖇️</t>
  </si>
  <si>
    <t>ossicodone1</t>
  </si>
  <si>
    <t>Il tempo per leggere come per amare, dilata il tempo per vivere D.P.
Dum differtur, vita transcurrit!
SOLO INTER 🖤💙 NO 🚫DM  NO🚫 Porno</t>
  </si>
  <si>
    <t xml:space="preserve">      1.331</t>
  </si>
  <si>
    <t>Futebol no Rio</t>
  </si>
  <si>
    <t>futebolnorio</t>
  </si>
  <si>
    <t>🇸🇲Tudo sobre o Futebol Carioca | 🎯 Onde os pequenos tem vez | 📝Análises táticas | 📚 Autor do livro, Os Esquecidos 👉🏻 https://t.co/NyKW48pvI9</t>
  </si>
  <si>
    <t xml:space="preserve">      9.269</t>
  </si>
  <si>
    <t>may</t>
  </si>
  <si>
    <t>maycomentx</t>
  </si>
  <si>
    <t xml:space="preserve">      3.487</t>
  </si>
  <si>
    <t>Gonçalo Aguiar</t>
  </si>
  <si>
    <t>goncaloaguiar</t>
  </si>
  <si>
    <t>Electrical engineer for the Space Industry 🛰 (@clearspacetoday), energy expert ⚡ and science enthusiast 📊, European citizen🇪🇺🇵🇹🇬🇧🇩🇪🇧🇪.</t>
  </si>
  <si>
    <t xml:space="preserve">      5.248</t>
  </si>
  <si>
    <t>poponze</t>
  </si>
  <si>
    <t>Sua parada obrigatória para as últimas notícias de cultura pop, celebridades e entretenimento. 📩 contatopoponze@gmail.com</t>
  </si>
  <si>
    <t xml:space="preserve">     51.261</t>
  </si>
  <si>
    <t>CENTRAL DO FLAMENGO ᶜʳᶠ </t>
  </si>
  <si>
    <t>centralflanacao</t>
  </si>
  <si>
    <t>Brazilian Journalist / @Flamengo
ADM: @OsKoringasDoFla / Adriano
👉https://t.co/vOHpdy2feM
👉https://t.co/bdAutWtbAy
🔔Ative as notificações</t>
  </si>
  <si>
    <t xml:space="preserve">     46.714</t>
  </si>
  <si>
    <t>AEROIN</t>
  </si>
  <si>
    <t>aero_in</t>
  </si>
  <si>
    <t>Maior site de notícias de aviação do Brasil. Falamos o que os outros não querem dizer. Temos opinião e acidez na medida. Fique por dentro de tudo - https://t.co/SEbfxIQQFZ</t>
  </si>
  <si>
    <t xml:space="preserve">     27.290</t>
  </si>
  <si>
    <t>GloboNews</t>
  </si>
  <si>
    <t>globonews</t>
  </si>
  <si>
    <t>Nunca desliga</t>
  </si>
  <si>
    <t xml:space="preserve">  5.727.216</t>
  </si>
  <si>
    <t>Alexandre de Moraes</t>
  </si>
  <si>
    <t>alexandre</t>
  </si>
  <si>
    <t>Ministro do Supremo Tribunal Federal e do TSE. Professor das Faculdades de Direito da USP e do Mackenzie</t>
  </si>
  <si>
    <t xml:space="preserve">  1.091.299</t>
  </si>
  <si>
    <t>Chris Antony</t>
  </si>
  <si>
    <t>chrisfootyscoop</t>
  </si>
  <si>
    <t>⚽Football Insights and Transfer Insider @TheFootyScoop
⚽South America and Saudi Pro League
⚽Chelsea FC fan
⚽Has an opinion on all things football</t>
  </si>
  <si>
    <t xml:space="preserve">      6.932</t>
  </si>
  <si>
    <t>Dr. Pedro Amorim</t>
  </si>
  <si>
    <t>eusouzarolho</t>
  </si>
  <si>
    <t>Estamos todos de parabéns, somos um país do caralho.</t>
  </si>
  <si>
    <t xml:space="preserve">     32.399</t>
  </si>
  <si>
    <t>ANNA</t>
  </si>
  <si>
    <t>annacippiu</t>
  </si>
  <si>
    <t>si può commentare,senza offese alla persona...blokko chiunque lo fa...</t>
  </si>
  <si>
    <t xml:space="preserve">      3.003</t>
  </si>
  <si>
    <t>morgana</t>
  </si>
  <si>
    <t>bailamabel</t>
  </si>
  <si>
    <t xml:space="preserve">      1.679</t>
  </si>
  <si>
    <t>FRENTE AMPLA DE ESQUERDA</t>
  </si>
  <si>
    <t>frenteampla13</t>
  </si>
  <si>
    <t>Perfil oficial da Frente Ampla de Esquerda antiga  FINES - perfil administrado por @Sandroka131</t>
  </si>
  <si>
    <t xml:space="preserve">     12.310</t>
  </si>
  <si>
    <t>MANUEL FVG🇮🇹🇷🇺</t>
  </si>
  <si>
    <t>manuel_fc1969</t>
  </si>
  <si>
    <t>Manager, settore acciaio.
noEuro-noUE.
Calvino, Hesse 📖
Amo gli animali, la loro purezza.
Pratico ciclismo e nuoto.
Blocco immediato per umani senza più anima</t>
  </si>
  <si>
    <t xml:space="preserve">      3.767</t>
  </si>
  <si>
    <t>Matheus Giuberti</t>
  </si>
  <si>
    <t>giuberti10mr</t>
  </si>
  <si>
    <t>@vascodagama @are_cruzmaltina</t>
  </si>
  <si>
    <t xml:space="preserve">      9.499</t>
  </si>
  <si>
    <t>Nino Cartabellotta</t>
  </si>
  <si>
    <t>cartabellotta</t>
  </si>
  <si>
    <t>Medico siculo a Bologna, presidente @GIMBE, padre di 3 figli. Divulgo evidenze scientifiche, difendo sanità pubblica e diritti civili. Amo cucina, verde e mare.</t>
  </si>
  <si>
    <t xml:space="preserve">     88.215</t>
  </si>
  <si>
    <t>Erick Matheus</t>
  </si>
  <si>
    <t>erickmats06</t>
  </si>
  <si>
    <t>Corinthians.</t>
  </si>
  <si>
    <t xml:space="preserve">      2.580</t>
  </si>
  <si>
    <t>RenatoLRomero</t>
  </si>
  <si>
    <t>renatolromero17</t>
  </si>
  <si>
    <t>Analiso ciclos macroeconômicos de bolsa de valores/criptomoedas #bitcoin #ibovespa S&amp;P O QUE POSTO NÃO É RECOMENDAÇÃO DE COMPRA; REFLETE APENAS MINHA OPINIÃO</t>
  </si>
  <si>
    <t xml:space="preserve">      7.402</t>
  </si>
  <si>
    <t>Felipe Neto 🦉</t>
  </si>
  <si>
    <t>felipeneto</t>
  </si>
  <si>
    <t>“Não chores. Viva. Te amo” felipeneto@play9.com.br</t>
  </si>
  <si>
    <t xml:space="preserve"> 16.559.763</t>
  </si>
  <si>
    <t>spider</t>
  </si>
  <si>
    <t>joytfilm</t>
  </si>
  <si>
    <t>time to twice! (fan account) ͏eu e a @natas_notfound assistindo ttt tdoong entertainment!  ͏ ͏ ͏ ͏ ͏ ͏ ͏ ͏ ͏͏ ͏ ͏ ͏ ͏</t>
  </si>
  <si>
    <t xml:space="preserve">      5.659</t>
  </si>
  <si>
    <t>Gustavo Gayer</t>
  </si>
  <si>
    <t>gayergus</t>
  </si>
  <si>
    <t>Marido, pai e deputado federal por Goiás 🇧🇷</t>
  </si>
  <si>
    <t xml:space="preserve">    762.374</t>
  </si>
  <si>
    <t>Carlos J. Pereira</t>
  </si>
  <si>
    <t>carlosp02740287</t>
  </si>
  <si>
    <t>Deputado na Assembleia da República#Vice-Presidente da bancada parlamentar#Economista#Perito independente da Comissão Europeia para 2020</t>
  </si>
  <si>
    <t xml:space="preserve">      2.326</t>
  </si>
  <si>
    <t>Renan Fla</t>
  </si>
  <si>
    <t>renanflamengo</t>
  </si>
  <si>
    <t>Pagina destinada a notícias, opiniões e tudo sobre Flamengo.
As vezes posso exagerar, a paixão pelo Flamengo é maior que a razão.</t>
  </si>
  <si>
    <t xml:space="preserve">     16.721</t>
  </si>
  <si>
    <t>Júlia Zanatta</t>
  </si>
  <si>
    <t>apropriajulia</t>
  </si>
  <si>
    <t>Mãe, advogada e jornalista. Deputada Federal por Santa Catarina (PL), eleita com 111.588 votos para o mandato 2023-2027.</t>
  </si>
  <si>
    <t xml:space="preserve">    176.371</t>
  </si>
  <si>
    <t>XP🌞</t>
  </si>
  <si>
    <t>milgraudrugo</t>
  </si>
  <si>
    <t>⚙️adms: @10__ferreirinha e @jufrandin um santista e uma fã de banda morta falando de automobilismo 🧡🩵</t>
  </si>
  <si>
    <t xml:space="preserve">      3.919</t>
  </si>
  <si>
    <t>Ana Pimentel</t>
  </si>
  <si>
    <t>anapimentel_jf</t>
  </si>
  <si>
    <t>Deputada federal.
Minas! 🔺
PT ⭐</t>
  </si>
  <si>
    <t xml:space="preserve">      7.098</t>
  </si>
  <si>
    <t>Silvinho</t>
  </si>
  <si>
    <t>silvinhotv</t>
  </si>
  <si>
    <t>📌 MAOEEE! Fan account com notícias sobre o mundo da TV, famosos e assuntos aleatórios.</t>
  </si>
  <si>
    <t xml:space="preserve">     14.678</t>
  </si>
  <si>
    <t>Filipe Charters</t>
  </si>
  <si>
    <t>chartersfil</t>
  </si>
  <si>
    <t>Empresário | #LiberalismoBootstrap</t>
  </si>
  <si>
    <t xml:space="preserve">      2.481</t>
  </si>
  <si>
    <t>A TROMBETA</t>
  </si>
  <si>
    <t>atrombeta3</t>
  </si>
  <si>
    <t>Nosso canal prima pela qualidade e credibilidade. Defendemos a liberdade de expressão, a liberdade religiosa e a  economia  de livre mercado.</t>
  </si>
  <si>
    <t xml:space="preserve">    114.850</t>
  </si>
  <si>
    <t>Rudi Bressa</t>
  </si>
  <si>
    <t>rudibressa</t>
  </si>
  <si>
    <t>Giornalista @domanigiornale @HuffPostItalia @le_scienze @LifeGate ✍️ di crisi climatica, biodiversità e rinnovabili. In libreria con Trafficanti di natura</t>
  </si>
  <si>
    <t xml:space="preserve">      4.806</t>
  </si>
  <si>
    <t>Secretaria da Saúde SP</t>
  </si>
  <si>
    <t>spsaude_</t>
  </si>
  <si>
    <t>Perfil da Secretaria de Estado da Saúde de São Paulo para divulgações de campanhas, ações e programas da pasta, além de trazer informações sobre saúde.</t>
  </si>
  <si>
    <t xml:space="preserve">     26.150</t>
  </si>
  <si>
    <t>Ricardo Fronczak</t>
  </si>
  <si>
    <t>ricardofronczak</t>
  </si>
  <si>
    <t>🇧🇷 Direito UFPR 1990
Pós graduado - Direito Civil/Processual Civil (Univ. Castelo Branco)
MBA (LLM – (IBMEC) Dir. Corporativo</t>
  </si>
  <si>
    <t xml:space="preserve">      8.421</t>
  </si>
  <si>
    <t>Galo Forte Vingador!</t>
  </si>
  <si>
    <t>galoforteving15</t>
  </si>
  <si>
    <t>Vencer, vencer, vencer!!!
Atleticano que quer Paz!</t>
  </si>
  <si>
    <t xml:space="preserve">      1.106</t>
  </si>
  <si>
    <t>Luiz Carlos Silva &amp; Silva</t>
  </si>
  <si>
    <t>luizcar81121668</t>
  </si>
  <si>
    <t>LOCUTOR ESPORTIVO/
TRÊS NA REDE NO YOUTUBE e  @radio3328
GALO &amp; BOTAFOGO
Sou da terra do REI 
REINALDO/TUNAI
Instagram @54lcsilva
@radio3328</t>
  </si>
  <si>
    <t xml:space="preserve">      1.665</t>
  </si>
  <si>
    <t>ge Flamengo</t>
  </si>
  <si>
    <t>ge_fla</t>
  </si>
  <si>
    <t>Perfil oficial da editoria do Flamengo ⚫️🔴 no @geglobo | Setoristas: @fredgomes1985, @soyyleticia e @tdellima | Produtor de TV: @Cecel_Silins</t>
  </si>
  <si>
    <t xml:space="preserve">    207.572</t>
  </si>
  <si>
    <t>🫡 Q.G Masculino ♂️ ✝️ 🇧🇷</t>
  </si>
  <si>
    <t>qg_masculino</t>
  </si>
  <si>
    <t>MACHISTA? MIS0GIN0? NÃO! SOU UM HOMEM NORMAL QUE NÃO PROSTITUIU A SUA MASCULINIDADE PRA DESCONSTRUÇÃO MODERNA E QUE TRATA A MULHER COM A REAL IGUALDADE.</t>
  </si>
  <si>
    <t xml:space="preserve">      8.196</t>
  </si>
  <si>
    <t>Brasil Scenes</t>
  </si>
  <si>
    <t>brasilscenes</t>
  </si>
  <si>
    <t>Aqui no Brasil Scenes, você fica por dentro de tudo que acontece na TV e nas Novelas! 💙 Por: @bruno_dames e @someversep - contato: brasilscenes@gmail.com</t>
  </si>
  <si>
    <t xml:space="preserve">      6.540</t>
  </si>
  <si>
    <t>Delegado Ramagem</t>
  </si>
  <si>
    <t>delegadoramagem</t>
  </si>
  <si>
    <t>🟩Delegado de Polícia Federal 🟨Deputado Federal pelo Rio de Janeiro 🟩 https://t.co/lC4OYXXMat</t>
  </si>
  <si>
    <t xml:space="preserve">    428.569</t>
  </si>
  <si>
    <t>Mubarak Mugabo</t>
  </si>
  <si>
    <t>mubarakug</t>
  </si>
  <si>
    <t>TV Host/Journalist @newvisionwire |Law Dongfang Scholar @PKU1898 | Columnist| China-Africa Press Center Fellow ‘19| First Silk Road Global News Award Winner</t>
  </si>
  <si>
    <t xml:space="preserve">     11.281</t>
  </si>
  <si>
    <t>Delegado Paulo Bilynskyj</t>
  </si>
  <si>
    <t>paulobilynskyj1</t>
  </si>
  <si>
    <t>Delegado de Policia, Deputado Federal Eleito por SP.</t>
  </si>
  <si>
    <t xml:space="preserve">    123.149</t>
  </si>
  <si>
    <t>Anitta</t>
  </si>
  <si>
    <t>anitta</t>
  </si>
  <si>
    <t>Brazilian Funk Generation 🇧🇷</t>
  </si>
  <si>
    <t xml:space="preserve"> 19.408.289</t>
  </si>
  <si>
    <t>República Portuguesa</t>
  </si>
  <si>
    <t>govpt</t>
  </si>
  <si>
    <t>Conta Oficial do XXIII Governo Constitucional</t>
  </si>
  <si>
    <t xml:space="preserve">    226.737</t>
  </si>
  <si>
    <t>BNDES</t>
  </si>
  <si>
    <t>bndes</t>
  </si>
  <si>
    <t>O BNDES financia e estrutura projetos que fazem do Brasil um país mais sustentável e melhoram a vida do brasileiro. O Brasil pode contar com o BNDES.</t>
  </si>
  <si>
    <t xml:space="preserve">    291.579</t>
  </si>
  <si>
    <t>victor hugo</t>
  </si>
  <si>
    <t>vhdevictorhugo</t>
  </si>
  <si>
    <t>@vhdevictorhugo</t>
  </si>
  <si>
    <t xml:space="preserve">      3.092</t>
  </si>
  <si>
    <t>João Amoêdo</t>
  </si>
  <si>
    <t>joaodamoedo</t>
  </si>
  <si>
    <t>Administrador, engenheiro, um dos fundadores e ex-presidente do @partidonovo30.</t>
  </si>
  <si>
    <t xml:space="preserve">    515.519</t>
  </si>
  <si>
    <t>Lucas Del’ Amore ⓟ</t>
  </si>
  <si>
    <t>lucas_delamore</t>
  </si>
  <si>
    <t>Advogado; Parmerista de Coração e Polêmico em tudo que gera polêmica!</t>
  </si>
  <si>
    <t xml:space="preserve">      8.458</t>
  </si>
  <si>
    <t>Governo do Brasil</t>
  </si>
  <si>
    <t>govbr</t>
  </si>
  <si>
    <t>Perfil oficial do novo #GovernoDoBrasil. Aqui você participa e fica sabendo sobre ações e serviços para o seu dia a dia.</t>
  </si>
  <si>
    <t xml:space="preserve">    664.956</t>
  </si>
  <si>
    <t>Carlos Mion</t>
  </si>
  <si>
    <t>carlosmion</t>
  </si>
  <si>
    <t>jornalista esportivo, radialista, apresentador de TV, cinófilo</t>
  </si>
  <si>
    <t xml:space="preserve">      1.815</t>
  </si>
  <si>
    <t>Vinicios Betiol</t>
  </si>
  <si>
    <t>vinicios_betiol</t>
  </si>
  <si>
    <t>Pós-graduado e Mestre na área de Geopolítica pela UERJ.
Autor do livro: A arte da guerra online: como enfrentar as redes de extrema direita na internet.</t>
  </si>
  <si>
    <t xml:space="preserve">     57.117</t>
  </si>
  <si>
    <t>Desinvestidor da B3</t>
  </si>
  <si>
    <t>felipeg78785331</t>
  </si>
  <si>
    <t>Emancipate Yourselves From Mental Slavery 🧠</t>
  </si>
  <si>
    <t xml:space="preserve">      2.662</t>
  </si>
  <si>
    <t>Leo Nonato | Trading</t>
  </si>
  <si>
    <t>leononatotrader</t>
  </si>
  <si>
    <t xml:space="preserve">     28.105</t>
  </si>
  <si>
    <t>V1to</t>
  </si>
  <si>
    <t>v1to_yt</t>
  </si>
  <si>
    <t>19 | Desenho umas coisas aí, jogo e faço vídeos pro YouTube</t>
  </si>
  <si>
    <t xml:space="preserve">      2.753</t>
  </si>
  <si>
    <t>Update Swift Brasil</t>
  </si>
  <si>
    <t>updateswiftbr</t>
  </si>
  <si>
    <t>Sua principal fonte de informações sobre a cantora e compositora Taylor Swift no Brasil.  Conta reserva: @updateswiftbra | Apoio: @umusicbrasil | Fan Account</t>
  </si>
  <si>
    <t xml:space="preserve">    155.417</t>
  </si>
  <si>
    <t>Navar 🇧🇷🇷🇺🇦🇲🇸🇾🇮🇷🇵🇸🇧🇾</t>
  </si>
  <si>
    <t>lukasnavar</t>
  </si>
  <si>
    <t>Brasileiro. Católico. Nacionalista.
"Só o Senhor é Deus, em cima no céu e embaixo na terra; não há nenhum outro."
Quis ut Deus.</t>
  </si>
  <si>
    <t xml:space="preserve">      8.612</t>
  </si>
  <si>
    <t>iélosubmarine</t>
  </si>
  <si>
    <t>repimlins</t>
  </si>
  <si>
    <t>sou boa de piada ruim.
canhota de espírito.
e de corpo.</t>
  </si>
  <si>
    <t xml:space="preserve">      5.042</t>
  </si>
  <si>
    <t>Cortes de Alto Valor ✡️</t>
  </si>
  <si>
    <t>cortesaltovalor</t>
  </si>
  <si>
    <t>⚡cortesdealtovalor@getalby.com
🔑 https://t.co/J5SVbdMcbj
🔥 https://t.co/83G4D8c8kT</t>
  </si>
  <si>
    <t xml:space="preserve">     19.531</t>
  </si>
  <si>
    <t>Elon Musk</t>
  </si>
  <si>
    <t>elonmusk</t>
  </si>
  <si>
    <t>156.913.298</t>
  </si>
  <si>
    <t>Julia Duailibi</t>
  </si>
  <si>
    <t>juliaduailibi</t>
  </si>
  <si>
    <t>Comentarista de política e economia da GloboNews</t>
  </si>
  <si>
    <t xml:space="preserve">    257.431</t>
  </si>
  <si>
    <t>jose alaildo</t>
  </si>
  <si>
    <t>alaildo_jose</t>
  </si>
  <si>
    <t>@J.A</t>
  </si>
  <si>
    <t xml:space="preserve">      2.308</t>
  </si>
  <si>
    <t>Simão Pedro</t>
  </si>
  <si>
    <t>simaopedro_sp</t>
  </si>
  <si>
    <t>Deputado estadual (PT-SP) por três vezes, Secretário de Serviços na gestão Haddad. Professor de Sociologia Política. Deputado Estadual  (PT).</t>
  </si>
  <si>
    <t xml:space="preserve">     14.635</t>
  </si>
  <si>
    <t>Paulo Fiorilo</t>
  </si>
  <si>
    <t>paulofiorilo</t>
  </si>
  <si>
    <t>Deputado Estadual pelo PT. Professor licenciado da rede municipal. Pai do Lorenzo.  Acredito que a luta garante a vitória. Quem não luta tá morto!</t>
  </si>
  <si>
    <t xml:space="preserve">      3.459</t>
  </si>
  <si>
    <t>Antonio Donato</t>
  </si>
  <si>
    <t>donato_pt</t>
  </si>
  <si>
    <t>Vereador pelo PT na cidade de São Paulo, e deputado estadual eleito em 2022</t>
  </si>
  <si>
    <t xml:space="preserve">      5.246</t>
  </si>
  <si>
    <t>Wadson Fernandes</t>
  </si>
  <si>
    <t>wadsonaraujo89</t>
  </si>
  <si>
    <t>Produtor e Editor do @CanalEuAcredito | Canal @thdearaujo | Canal Notícias do Galo
Professor de Educação Física |
Pós Graduado em Educação Física Escolar</t>
  </si>
  <si>
    <t>POCAH 🔥</t>
  </si>
  <si>
    <t>pocah</t>
  </si>
  <si>
    <t>cantora, compositora, empresária, tuiteira e mãe da toyah | Ouça agora o meu EP A BRABA É ELA 🔥</t>
  </si>
  <si>
    <t xml:space="preserve">  3.284.712</t>
  </si>
  <si>
    <t>MUBi</t>
  </si>
  <si>
    <t>mubipt</t>
  </si>
  <si>
    <t>Associação pela Mobilidade Urbana em Bicicleta
Promovemos cidades para as pessoas.
#mobilidadeactiva #maisbicicleta #cidadesvivas</t>
  </si>
  <si>
    <t xml:space="preserve">      1.920</t>
  </si>
  <si>
    <t>André 🇳🇬</t>
  </si>
  <si>
    <t>andrecavaleiro7</t>
  </si>
  <si>
    <t>Viva o Sporting CP 💚🦁🍺</t>
  </si>
  <si>
    <t xml:space="preserve">      1.194</t>
  </si>
  <si>
    <t>Mises Capital 🔑</t>
  </si>
  <si>
    <t>misescapital</t>
  </si>
  <si>
    <t>#bitcoin #nostr: #npub174s2x2yzvgme9fgz3najyw694v9h027rupuu0uzw43h9r736re9svgkm3p</t>
  </si>
  <si>
    <t xml:space="preserve">     58.853</t>
  </si>
  <si>
    <t>Valor Investe</t>
  </si>
  <si>
    <t>valorinveste</t>
  </si>
  <si>
    <t>Notícias, educação financeira e tudo o que você precisa saber para lidar melhor com dinheiro e seus investimentos. Um site do @valoreconomico</t>
  </si>
  <si>
    <t xml:space="preserve">     71.558</t>
  </si>
  <si>
    <t>Fernando Haddad</t>
  </si>
  <si>
    <t>haddad_fernando</t>
  </si>
  <si>
    <t>Ministro da Fazenda de Lula,  Ex-Ministro da Educação, Ex-Prefeito de São Paulo,  Professor da USP</t>
  </si>
  <si>
    <t xml:space="preserve">  2.858.031</t>
  </si>
  <si>
    <t>Marcelo Claure</t>
  </si>
  <si>
    <t>marceloclaure</t>
  </si>
  <si>
    <t>Husband, Father of 6, Entrepreneur &amp; Investor. ♥️Latam🇧🇷🇦🇷🇲🇽🇨🇴🇧🇴. ⚽️@GironaFC &amp; @bolivar_oficial. @bicyclevc🚴 @SHEIN_official, Claure Group, @tmobile</t>
  </si>
  <si>
    <t xml:space="preserve">    303.669</t>
  </si>
  <si>
    <t>Frederico Krepe 🇧🇷</t>
  </si>
  <si>
    <t>fredkrepe</t>
  </si>
  <si>
    <t>Um nanico em busca de justiça, democracia e liberdade. 
YouTube: 
https://t.co/NKL0RiIcmz</t>
  </si>
  <si>
    <t xml:space="preserve">     10.018</t>
  </si>
  <si>
    <t>Leonardo Dias</t>
  </si>
  <si>
    <t>leonardodias</t>
  </si>
  <si>
    <t>Entrepreneur, data scientist, professor, investor, journalist and writer. Culture, politics, AI. Founder of Semantix. Go $STIX! ∴⛪️⚔️🥋 🇧🇷 leonardodias.eth</t>
  </si>
  <si>
    <t xml:space="preserve">     29.422</t>
  </si>
  <si>
    <t>Lialí</t>
  </si>
  <si>
    <t>lipafacunda</t>
  </si>
  <si>
    <t>Membro da Seita EK 🇹🇷</t>
  </si>
  <si>
    <t xml:space="preserve">      1.072</t>
  </si>
  <si>
    <t>Luiz Müller</t>
  </si>
  <si>
    <t>luizmuller</t>
  </si>
  <si>
    <t>Orgulho de ser BRASILEIRO
https://t.co/w8mvkwQAMJ</t>
  </si>
  <si>
    <t xml:space="preserve">     30.555</t>
  </si>
  <si>
    <t>Croce Rossa Italiana</t>
  </si>
  <si>
    <t>crocerossa</t>
  </si>
  <si>
    <t>Account ufficiale della #CroceRossa Italiana. Le richieste di aiuto sono ovunque. Piccole o grandi, noi le ascoltiamo tutte. #UnItaliaCheAiuta</t>
  </si>
  <si>
    <t xml:space="preserve">    118.607</t>
  </si>
  <si>
    <t>Sergin</t>
  </si>
  <si>
    <t>serginsfc</t>
  </si>
  <si>
    <t>AMIGO DO DONO DO TWITTER
Não sou o Chulapa, mas sou quase.</t>
  </si>
  <si>
    <t xml:space="preserve">      6.522</t>
  </si>
  <si>
    <t>Everton Extra</t>
  </si>
  <si>
    <t>everton_extra</t>
  </si>
  <si>
    <t>Complete #Everton coverage: Match commentary, transfers, news and updates. A home for all blues. 💙</t>
  </si>
  <si>
    <t xml:space="preserve">     12.688</t>
  </si>
  <si>
    <t>GPRobespierre</t>
  </si>
  <si>
    <t>matoupouco</t>
  </si>
  <si>
    <t>O quê Robespierre fez de errado?
política sem economia é espiritualismo. economia sem política é contabilidade
@RepublicPijamas @shifterpt
header: @artevillar1</t>
  </si>
  <si>
    <t xml:space="preserve">      1.550</t>
  </si>
  <si>
    <t># Igor</t>
  </si>
  <si>
    <t>igormendesx</t>
  </si>
  <si>
    <t>Is there a place where I can hide away?</t>
  </si>
  <si>
    <t xml:space="preserve">      2.715</t>
  </si>
  <si>
    <t>LÚCYA LIMA ↔️🇺🇦🇧🇷🏳️ COM MORO .</t>
  </si>
  <si>
    <t>lcyalima</t>
  </si>
  <si>
    <t>MORO Presidente , LAVAJATISTA .
🇧🇷.
Nascida em 21 de Abril 
Criminalizar comunismo .</t>
  </si>
  <si>
    <t xml:space="preserve">      2.399</t>
  </si>
  <si>
    <t>Jose de Abreu</t>
  </si>
  <si>
    <t>zehdeabreu</t>
  </si>
  <si>
    <t>Ator, iniciou sua carreira em 1967 no TUCA, grupo da PUC-SP. Depois de premiado em Gramado foi contratado pela Globo em 1981, onde está até hoje. Sem DM.</t>
  </si>
  <si>
    <t xml:space="preserve">    553.416</t>
  </si>
  <si>
    <t>Orestes 🇧🇷🇻🇳🇨🇺</t>
  </si>
  <si>
    <t>somenteorestes</t>
  </si>
  <si>
    <t>Política e informação socializada! Thread: @ComunaOrestes Koo: @SomenteOrestes BlueSky: Orestes</t>
  </si>
  <si>
    <t xml:space="preserve">     36.594</t>
  </si>
  <si>
    <t>O Camila lançou O Chamado de Ifá 🏳️‍⚧️</t>
  </si>
  <si>
    <t>camilaangel</t>
  </si>
  <si>
    <t>Pronomes Ele/Dele. Fotografo,escritor e produtor de conteúdo. Cearense. Autor de A Noite Cai e outros títulos. Aos domingos vendo tapioca
camila.natv@gmail.com</t>
  </si>
  <si>
    <t xml:space="preserve">      3.886</t>
  </si>
  <si>
    <t>Fred Caldeira</t>
  </si>
  <si>
    <t>fredcaldeira</t>
  </si>
  <si>
    <t>🎤 correspondente da @tntsportsbr na Inglaterra
🫰🏼 embaixador @pagbet na Europa
🏠 Ouro Preto, Rio de Janeiro, Manchester
Ele/he/him.</t>
  </si>
  <si>
    <t xml:space="preserve">    214.536</t>
  </si>
  <si>
    <t>olhaoquete2igo</t>
  </si>
  <si>
    <t>#delícia ®</t>
  </si>
  <si>
    <t xml:space="preserve">     16.857</t>
  </si>
  <si>
    <t>OPrimoDev</t>
  </si>
  <si>
    <t>lucianodiisouza</t>
  </si>
  <si>
    <t>Sou dev, não mexo com Java, fiz proerd. Speaks English, learning mandarin 你好👋 Gasto meu dinheiro com teclados e afins.</t>
  </si>
  <si>
    <t xml:space="preserve">     13.091</t>
  </si>
  <si>
    <t>Adnkronos</t>
  </si>
  <si>
    <t>adnkronos</t>
  </si>
  <si>
    <t>Vuoi leggere altre notizie? Vieni sul nostro sito https://t.co/jN4nKICZMN</t>
  </si>
  <si>
    <t xml:space="preserve">    617.184</t>
  </si>
  <si>
    <t>Central do Braga</t>
  </si>
  <si>
    <t>centraldobrega</t>
  </si>
  <si>
    <t>Perfil (FAN ACCOUNT) humorístico que cobre o Bragantino. | Parceiro Oficial @KTO_Brasil I Parceria/publicidade: Contato somente via DM. 📨</t>
  </si>
  <si>
    <t xml:space="preserve">    188.736</t>
  </si>
  <si>
    <t>Luisa Nardi</t>
  </si>
  <si>
    <t>nardiluisa</t>
  </si>
  <si>
    <t>avvocato, nativa spritz</t>
  </si>
  <si>
    <t xml:space="preserve">      2.654</t>
  </si>
  <si>
    <t>MerDarte (insanidades)</t>
  </si>
  <si>
    <t>merdarte</t>
  </si>
  <si>
    <t>INTANKAAAAAAAAAAAVEL</t>
  </si>
  <si>
    <t xml:space="preserve">    323.149</t>
  </si>
  <si>
    <t>ACERVO</t>
  </si>
  <si>
    <t>acervocharts</t>
  </si>
  <si>
    <t>Sua fonte de informação do seu artista favorito, entretenimento, política e atualidade. Comercial: contato@portalacervo.com.br</t>
  </si>
  <si>
    <t xml:space="preserve">     97.048</t>
  </si>
  <si>
    <t>Volodymyr Zelenskyy / Володимир Зеленський</t>
  </si>
  <si>
    <t>zelenskyyua</t>
  </si>
  <si>
    <t>President of Ukraine / Президент України</t>
  </si>
  <si>
    <t xml:space="preserve">  7.377.986</t>
  </si>
  <si>
    <t>nathalia</t>
  </si>
  <si>
    <t>nathiica</t>
  </si>
  <si>
    <t>sommelier de rolê</t>
  </si>
  <si>
    <t xml:space="preserve">      1.110</t>
  </si>
  <si>
    <t>O FISCAL do IBAMA 🌎</t>
  </si>
  <si>
    <t>fiscaldoibama</t>
  </si>
  <si>
    <t>FISCALIZANDO O MEIO AMBIENTE E SEUS GESTORES.
PERFIL COLABORATIVO.
(NÃO REPRESENTA O INSTITUTO BRASILEIRO DE MEIO AMBIENTE E DOS RECURSOS NATURAIS RENOVÁVEIS)</t>
  </si>
  <si>
    <t xml:space="preserve">    189.405</t>
  </si>
  <si>
    <t>Henrique Carneiro</t>
  </si>
  <si>
    <t>henricarneiro</t>
  </si>
  <si>
    <t>historiador, pesquisa alimentação, drogas e bebidas.</t>
  </si>
  <si>
    <t xml:space="preserve">     10.936</t>
  </si>
  <si>
    <t>mat</t>
  </si>
  <si>
    <t>mateonitter</t>
  </si>
  <si>
    <t>fan account | Anitta &amp; Veigh 🍏</t>
  </si>
  <si>
    <t xml:space="preserve">      1.023</t>
  </si>
  <si>
    <t>Rakku 水</t>
  </si>
  <si>
    <t>rakku_7k</t>
  </si>
  <si>
    <t>Autista bissexual que só faz post genérico e é fã da Aqua | #Lows Sanity | banner by @vinsmokerival |</t>
  </si>
  <si>
    <t xml:space="preserve">      5.423</t>
  </si>
  <si>
    <t>conselhos de coito 💕</t>
  </si>
  <si>
    <t>conselhodecoito</t>
  </si>
  <si>
    <t>envie suas dúvidas sobre coito ou relacionamento e você será respondido • sigilo total • sim, eu sou o @RelatosDeCoito</t>
  </si>
  <si>
    <t xml:space="preserve">     39.816</t>
  </si>
  <si>
    <t>Fred Ribeiro</t>
  </si>
  <si>
    <t>fredfrm</t>
  </si>
  <si>
    <t>Jornalista esportivo | Setorista do Atlético-MG no https://t.co/D9sGMmzd89
https://t.co/9NjoxMuwh3</t>
  </si>
  <si>
    <t xml:space="preserve">     27.580</t>
  </si>
  <si>
    <t>Carlo Cottarelli</t>
  </si>
  <si>
    <t>cottarellicpi</t>
  </si>
  <si>
    <t>Direttore Peses UniCatt
Ex Senatore della Repubblica Italiana
Ex Commissario per la revisione della spesa
Ex Direttore Dipartimento Finanza Pubblica FMI</t>
  </si>
  <si>
    <t xml:space="preserve">    346.495</t>
  </si>
  <si>
    <t>convenhamos</t>
  </si>
  <si>
    <t>vegetacil</t>
  </si>
  <si>
    <t>https://t.co/vSjF693gRa</t>
  </si>
  <si>
    <t xml:space="preserve">     18.323</t>
  </si>
  <si>
    <t>Dr. Sunita Etwaroo Hines</t>
  </si>
  <si>
    <t>sunitahines</t>
  </si>
  <si>
    <t>I'm all about #Jesus ❤️ #Pray ❤️ #Jesuslovesyou ❤️ #Economics ❤️ #Leadership ❤️ #Writing ❤️
#NoDM ❤️ #NoPorn❤️ Instagram: drsunitaetwaroo</t>
  </si>
  <si>
    <t xml:space="preserve">     36.181</t>
  </si>
  <si>
    <t>Pinguço</t>
  </si>
  <si>
    <t>pingucopinga</t>
  </si>
  <si>
    <t xml:space="preserve">     19.639</t>
  </si>
  <si>
    <t>Thallys Bruno Almeida</t>
  </si>
  <si>
    <t>thallysbalm</t>
  </si>
  <si>
    <t>Fã de televisão, novelas, música, jogos antigos, Fórmula 1, defensor da democracia e do bom senso. Bolsonarismo não é bem-vindo aqui.</t>
  </si>
  <si>
    <t xml:space="preserve">      2.684</t>
  </si>
  <si>
    <t>Andrea Giuricin</t>
  </si>
  <si>
    <t>andreagiuricin</t>
  </si>
  <si>
    <t>CEO TRA consulting, Senior advisor for Investment funds, Senior Consult.  World Bank, Transport economist at CESISP-Unimib, Fellow Ibl, board member GBTA Italy.</t>
  </si>
  <si>
    <t xml:space="preserve">     19.979</t>
  </si>
  <si>
    <t>esquerda.net</t>
  </si>
  <si>
    <t>esquerdanet</t>
  </si>
  <si>
    <t>Portal de informação de todas as lutas.
Contacto: esquerda@esquerda.net</t>
  </si>
  <si>
    <t xml:space="preserve">     44.919</t>
  </si>
  <si>
    <t>Luana Couto</t>
  </si>
  <si>
    <t>luanav_cout0</t>
  </si>
  <si>
    <t>Brazilian Girl 🇧🇷</t>
  </si>
  <si>
    <t xml:space="preserve">     14.151</t>
  </si>
  <si>
    <t>Flavio Biondo</t>
  </si>
  <si>
    <t>biondo4_biondo</t>
  </si>
  <si>
    <t>Pescador. Deus, pátria e família. Anti vacinas. Fora esquerdalhas maltrapilhas.
Get out of Facebook and Instagram. They are communists.</t>
  </si>
  <si>
    <t xml:space="preserve">      3.428</t>
  </si>
  <si>
    <t>Lark 🐦‍⬛</t>
  </si>
  <si>
    <t>larknessart</t>
  </si>
  <si>
    <t>Quadrinista e ilustradora brasileira</t>
  </si>
  <si>
    <t xml:space="preserve">     43.571</t>
  </si>
  <si>
    <t>BT Mais</t>
  </si>
  <si>
    <t>belemtransito</t>
  </si>
  <si>
    <t>Mídia multiplataforma de informação e entretenimento</t>
  </si>
  <si>
    <t xml:space="preserve">    294.252</t>
  </si>
  <si>
    <t>ElisabettaPiccolotti</t>
  </si>
  <si>
    <t>bettapiccolotti</t>
  </si>
  <si>
    <t>Invitatemi a teatro o regalatemi un libro e sarò felice. Coordinatrice Segreteria Nazionale Sinistra Italiana - Deputata Alleanza Verdi e Sinistra</t>
  </si>
  <si>
    <t xml:space="preserve">      9.315</t>
  </si>
  <si>
    <t>Grande Fratello</t>
  </si>
  <si>
    <t>grandefratello</t>
  </si>
  <si>
    <t>Tutti i lunedì e venerdì in prima serata su #Canale5 e Mediaset Infinity 👁️</t>
  </si>
  <si>
    <t xml:space="preserve">    689.747</t>
  </si>
  <si>
    <t>Governo do Amapá</t>
  </si>
  <si>
    <t>governodoamapa</t>
  </si>
  <si>
    <t>Perfil oficial do Governo do Estado do Amapá.</t>
  </si>
  <si>
    <t xml:space="preserve">     35.396</t>
  </si>
  <si>
    <t>O Casca Grossa</t>
  </si>
  <si>
    <t>cascagrossareal</t>
  </si>
  <si>
    <t>Simplesmente um cara muito foda.</t>
  </si>
  <si>
    <t xml:space="preserve">     47.919</t>
  </si>
  <si>
    <t>Corneta Suns 🇧🇷</t>
  </si>
  <si>
    <t>cornetasuns</t>
  </si>
  <si>
    <t>Opiniões e cornetas sobre a NBA em geral vindo de um fã do Suns// #Wearethevalley//
not affiliated with @suns// Falo sobre futebol no @vitoriadabad99</t>
  </si>
  <si>
    <t xml:space="preserve">      2.464</t>
  </si>
  <si>
    <t>Gustavo Pedro</t>
  </si>
  <si>
    <t>gustavopedropcb</t>
  </si>
  <si>
    <t>Cientista político e educador popular no Pré-Vest Popular Lima Barreto - ZO/RJ. 🚩 Marxista-Leninista (@pcb_rr) ✊️</t>
  </si>
  <si>
    <t xml:space="preserve">      4.772</t>
  </si>
  <si>
    <t>FONTANA</t>
  </si>
  <si>
    <t>itsfontana</t>
  </si>
  <si>
    <t>#DragRaceSverige Runner-up / vice-campeã! 🏁✨ BE A STAR OUT NOW ⭐️✨💘</t>
  </si>
  <si>
    <t xml:space="preserve">     13.134</t>
  </si>
  <si>
    <t>Jornal GGN</t>
  </si>
  <si>
    <t>jornalggn</t>
  </si>
  <si>
    <t>10 anos de jornalismo independente.
Criado por @luisnassif
Acesse: https://t.co/McMGfNZs6r
Assista: https://t.co/vGDooVsQpy
Apoie: https://t.co/gtxlYBit1W</t>
  </si>
  <si>
    <t xml:space="preserve">     98.330</t>
  </si>
  <si>
    <t>Rodrigo Baltar</t>
  </si>
  <si>
    <t>locobaltar</t>
  </si>
  <si>
    <t>Youtuber e Streamer de renome.
Dono da https://t.co/qe0TXOZFMH
Minhas Redes - https://t.co/PrO8khPHYL</t>
  </si>
  <si>
    <t xml:space="preserve">     15.090</t>
  </si>
  <si>
    <t>Conexão Planeta</t>
  </si>
  <si>
    <t>conexaoplaneta</t>
  </si>
  <si>
    <t>Site que reúne jornalistas e especialistas com ampla experiência e credibilidade em temas que abordam as questões das sustentabilidades ambiental e social.</t>
  </si>
  <si>
    <t xml:space="preserve">      6.725</t>
  </si>
  <si>
    <t>FBI Bahia City 🇳🇱</t>
  </si>
  <si>
    <t>fbi_bahiacity</t>
  </si>
  <si>
    <t>Não somos uma conta do FBI | Perfil de resenha e Infos sobre o esquadrão de aço! 🕵️‍♂️ Siga nossas redes sociais ⬇️</t>
  </si>
  <si>
    <t xml:space="preserve">      8.751</t>
  </si>
  <si>
    <t>La Stampa</t>
  </si>
  <si>
    <t>lastampa</t>
  </si>
  <si>
    <t>📰 Raccontiamo il senso delle cose. Ogni giorno, dal 1867
🌎 Da Torino al mondo</t>
  </si>
  <si>
    <t xml:space="preserve">  1.373.872</t>
  </si>
  <si>
    <t>CORONEL SIQUEIRA 🇺🇦🇱🇷🇮🇱🐂🐃🐄</t>
  </si>
  <si>
    <t>direitasiqueira</t>
  </si>
  <si>
    <t>CIDADÃO DE BEM, PATRIOTA, VIÚVO, CRISTÃO, CONSERVADOR, HÉTERO CONVICTO, DE ASCENDÊNCIA EUROPEIA, ANTI-CORRUPÇÃO E VIVO.
SR. MUSK, ESTE É UM PERFIL PARÓDIA</t>
  </si>
  <si>
    <t xml:space="preserve">    385.066</t>
  </si>
  <si>
    <t>Teco</t>
  </si>
  <si>
    <t>tecomedina</t>
  </si>
  <si>
    <t>Hora de Expediente, Fim de Expediente e agora também no O assunto é dinheiro, sempre na CBN. Economia é o nosso esporte !</t>
  </si>
  <si>
    <t xml:space="preserve">     51.520</t>
  </si>
  <si>
    <t>たてはま / CGBeginner @趣味独学映像クリエイター</t>
  </si>
  <si>
    <t>cgbeginner</t>
  </si>
  <si>
    <t>#映像制作 #3DCG #VFX #自作PC #ハイテク が好き。趣味で映像制作してます。#映画 好きでSF、アクション、スターウォーズ、MCU、クリストファー・ノーラン作品 が好きです。
映画解説やCG解説、ガジェットレビューのYouTubeをやってます→https://t.co/psXbT7CvG3</t>
  </si>
  <si>
    <t xml:space="preserve">      7.576</t>
  </si>
  <si>
    <t>Rap World</t>
  </si>
  <si>
    <t>rapworldbr</t>
  </si>
  <si>
    <t>Informações e uma viagem cultural pelo Hip Hop de todo o mundo acompanhadas da opinião de um ADM Informal
Parcerias/Publicidades: contato.rapworldbr@gmail.com</t>
  </si>
  <si>
    <t xml:space="preserve">     26.843</t>
  </si>
  <si>
    <t>Eleições em Pauta</t>
  </si>
  <si>
    <t>eleicoesempauta</t>
  </si>
  <si>
    <t>A cobertura das eleições municipais brasileiras e das eleições gerais americanas de 2024. Vem com a gente! A disputa já começou.</t>
  </si>
  <si>
    <t xml:space="preserve">      1.487</t>
  </si>
  <si>
    <t>Little Marcos</t>
  </si>
  <si>
    <t>marcosooliv</t>
  </si>
  <si>
    <t>NÃO USO GRINDR!</t>
  </si>
  <si>
    <t xml:space="preserve">     28.017</t>
  </si>
  <si>
    <t>ceci</t>
  </si>
  <si>
    <t>_cedilia</t>
  </si>
  <si>
    <t>gerador de lero lero</t>
  </si>
  <si>
    <t xml:space="preserve">      1.662</t>
  </si>
  <si>
    <t>Arthur do Val - Mamaefalei</t>
  </si>
  <si>
    <t>arthurmoledoval</t>
  </si>
  <si>
    <t>Empresário, Youtuber;
10% p/ prefeitura de São Paulo;
2⁰ Dep. Estadual mais votado de SP;
Eleito por meio milhão de paulistas, cassado pelo sistema</t>
  </si>
  <si>
    <t xml:space="preserve">    581.958</t>
  </si>
  <si>
    <t>Sidney</t>
  </si>
  <si>
    <t>sihdney</t>
  </si>
  <si>
    <t>Hallelujah</t>
  </si>
  <si>
    <t xml:space="preserve">     52.161</t>
  </si>
  <si>
    <t>CNN Economia</t>
  </si>
  <si>
    <t>cnneconomia</t>
  </si>
  <si>
    <t>Você por dentro de tudo o que move a economia. Agora.
@CNNBrasil</t>
  </si>
  <si>
    <t xml:space="preserve">    199.596</t>
  </si>
  <si>
    <t>Câmara Municipal do Funchal</t>
  </si>
  <si>
    <t>munfunchal</t>
  </si>
  <si>
    <t>Página oficial de Twitter da Câmara Municipal do Funchal</t>
  </si>
  <si>
    <t xml:space="preserve">      3.692</t>
  </si>
  <si>
    <t>maria jurídico leighton murray</t>
  </si>
  <si>
    <t>blystreet</t>
  </si>
  <si>
    <t>- evelyn, who was your great love?                      
      - 𝘤𝘦𝘭𝘪𝘢 𝘴𝘵. 𝘫𝘢𝘮𝘦𝘴.</t>
  </si>
  <si>
    <t xml:space="preserve">     40.930</t>
  </si>
  <si>
    <t>Aline Dias ⭕️✨</t>
  </si>
  <si>
    <t>alinezitadias</t>
  </si>
  <si>
    <t>Investing and Party Campo Grande-MS *cuidado com fakes, nao vendo conteúdos*</t>
  </si>
  <si>
    <t xml:space="preserve">    414.478</t>
  </si>
  <si>
    <t>Análise de Ações</t>
  </si>
  <si>
    <t>analisedeacoes</t>
  </si>
  <si>
    <t>Investimentos com foco no longo prazo e investidor da bolsa desde 2010. ‼️ baixe o app “Análise de Ações”</t>
  </si>
  <si>
    <t xml:space="preserve">      2.663</t>
  </si>
  <si>
    <t>Diário do Transporte</t>
  </si>
  <si>
    <t>d_dotransporte</t>
  </si>
  <si>
    <t>Informações sobre Transportes. Por Adamo Bazani</t>
  </si>
  <si>
    <t xml:space="preserve">      9.111</t>
  </si>
  <si>
    <t>Αntonio Nogueira Leite</t>
  </si>
  <si>
    <t>al_antdp</t>
  </si>
  <si>
    <t>Professor Catedrático @novasbe. Chairman of the Board, https://t.co/REY1BwCqff. I am the sole responsible for my tweets. Sic Transit Gloria Mundi</t>
  </si>
  <si>
    <t xml:space="preserve">     56.445</t>
  </si>
  <si>
    <t>Stefano Bonaccini</t>
  </si>
  <si>
    <t>sbonaccini</t>
  </si>
  <si>
    <t>Presidente della Regione Emilia-Romagna</t>
  </si>
  <si>
    <t xml:space="preserve">    163.119</t>
  </si>
  <si>
    <t>Maria Laura Assis</t>
  </si>
  <si>
    <t>mlauraassis</t>
  </si>
  <si>
    <t>🇧🇷🇦🇷 | Comunicación Social (UBA) | Periodista/Jornalista | IG: mmassisok | Canal de YT 👇</t>
  </si>
  <si>
    <t xml:space="preserve">    145.616</t>
  </si>
  <si>
    <t>Raphaela</t>
  </si>
  <si>
    <t>ops_raphaela</t>
  </si>
  <si>
    <t>Botafogo 🤍🖤🔥    ✨Pode chegar e não encha o saco✨</t>
  </si>
  <si>
    <t xml:space="preserve">      1.404</t>
  </si>
  <si>
    <t>S.S.Lazio</t>
  </si>
  <si>
    <t>officialsslazio</t>
  </si>
  <si>
    <t>Profilo ufficiale della Società Sportiva Lazio | Esplora Lazio Fan Token ➡️ https://t.co/XaeVocsHP5</t>
  </si>
  <si>
    <t xml:space="preserve">    686.487</t>
  </si>
  <si>
    <t>lari | sccp | jb | potterhead |</t>
  </si>
  <si>
    <t>laresenhajb</t>
  </si>
  <si>
    <t>nesse perfil servimos ao @corinthians e ao @justinbieber e ao meu lindo e gostoso namorado</t>
  </si>
  <si>
    <t xml:space="preserve">      1.122</t>
  </si>
  <si>
    <t>Roger Rocha Moreira</t>
  </si>
  <si>
    <t>roxmo</t>
  </si>
  <si>
    <t>Rock and roller</t>
  </si>
  <si>
    <t xml:space="preserve">  1.478.455</t>
  </si>
  <si>
    <t>Jornal O Globo</t>
  </si>
  <si>
    <t>jornaloglobo</t>
  </si>
  <si>
    <t>Assine nossas newsletters: https://t.co/mbfuWOnkaW
Instagram: https://t.co/7A96TSSm5K
TikTok:  https://t.co/rSYWwvU5jf
Facebook: https://t.co/5N9PnRl0am</t>
  </si>
  <si>
    <t xml:space="preserve">  7.372.952</t>
  </si>
  <si>
    <t>Bia Kunze 📱</t>
  </si>
  <si>
    <t>garotasemfio</t>
  </si>
  <si>
    <t>Falo sobre tecnologia móvel desde 2002, hoje na @cbnoficial. Telecom, bioinformática e biotecnologia. Amo café, gatos e sequenciamento de nucleotídeos.</t>
  </si>
  <si>
    <t xml:space="preserve">    313.282</t>
  </si>
  <si>
    <t>ABC Futebol Clube</t>
  </si>
  <si>
    <t>abcfc</t>
  </si>
  <si>
    <t>Twitter oficial do ABC Futebol Clube - #OMaiorCampeãoDoMundo 🌍 | Campeão Brasileiro da Série C 2010 - Desde 1915 https://t.co/Y1vEYeShBj</t>
  </si>
  <si>
    <t xml:space="preserve">    139.774</t>
  </si>
  <si>
    <t>Janaina Paschoal</t>
  </si>
  <si>
    <t>janainadobrasil</t>
  </si>
  <si>
    <t>Prof. Livre Docente de D. Penal na USP e Advogada; ex-Deputada Estadual por São Paulo.</t>
  </si>
  <si>
    <t xml:space="preserve">  1.180.499</t>
  </si>
  <si>
    <t>Mateus Fazeno Rock</t>
  </si>
  <si>
    <t>fazenorock</t>
  </si>
  <si>
    <t>#ROCKDEFAVELA | Ouça Jesus Ñ Voltará https://t.co/KmfU6QOgjw</t>
  </si>
  <si>
    <t xml:space="preserve">      3.639</t>
  </si>
  <si>
    <t>Jim Ferguson</t>
  </si>
  <si>
    <t>jimfergusonuk</t>
  </si>
  <si>
    <t>Former Parliamentary candidate with The Brexit Party Barnsley. Businessman entrepreneur. Standing up for the people and our communities. 🇺🇸🇨🇦🇦🇺🇳🇿</t>
  </si>
  <si>
    <t xml:space="preserve">     96.581</t>
  </si>
  <si>
    <t>Marlon Noronha</t>
  </si>
  <si>
    <t>marlonnoronha9</t>
  </si>
  <si>
    <t>Santista, sonhador, feliz e criador da SantosPlay!</t>
  </si>
  <si>
    <t xml:space="preserve">      4.241</t>
  </si>
  <si>
    <t>Gustav 🚩</t>
  </si>
  <si>
    <t>gustavramski</t>
  </si>
  <si>
    <t>Xô fascistas, bolsonaristas, racistas, moristas, fdp's e afins.</t>
  </si>
  <si>
    <t xml:space="preserve">     38.864</t>
  </si>
  <si>
    <t>TeleLigados Na Tv</t>
  </si>
  <si>
    <t>teleligadosnatv</t>
  </si>
  <si>
    <t>🚨Página informativa sobre tudo que acontece na Televisão brasileira| Contato: teleligadosnatv@gmail.com</t>
  </si>
  <si>
    <t xml:space="preserve">      9.544</t>
  </si>
  <si>
    <t>Kátia Abreu</t>
  </si>
  <si>
    <t>katiaabreu</t>
  </si>
  <si>
    <t>Uma vida dedicada as pessoas .https://t.co/ck4Tg0mVsg…</t>
  </si>
  <si>
    <t xml:space="preserve">    181.228</t>
  </si>
  <si>
    <t>Matteo Salvini</t>
  </si>
  <si>
    <t>matteosalvinimi</t>
  </si>
  <si>
    <t>Vicepremier e ministro delle Infrastrutture e dei Trasporti. Leader della Lega 🇮🇹</t>
  </si>
  <si>
    <t xml:space="preserve">  1.514.525</t>
  </si>
  <si>
    <t>buck ☯</t>
  </si>
  <si>
    <t>buuckz</t>
  </si>
  <si>
    <t>eles sempre tao falando meu nome mas eu digo #fuck eu nao ligo pra isso</t>
  </si>
  <si>
    <t xml:space="preserve">      3.126</t>
  </si>
  <si>
    <t>Ramiro Rosário</t>
  </si>
  <si>
    <t>curtaramiro</t>
  </si>
  <si>
    <t>Vereador reeleito e autor do Pacote Contra Corrupção de Porto Alegre. Luto por mais liberdade e menos Estado. Marido da Aline e orgulhoso pai da Lavínia.</t>
  </si>
  <si>
    <t xml:space="preserve">     28.185</t>
  </si>
  <si>
    <t>Não é o vitao</t>
  </si>
  <si>
    <t>gorilacore</t>
  </si>
  <si>
    <t>Modo Gorila //
MandiCore (≧◡≦) ♡ //
Real delinquents live fast and die young</t>
  </si>
  <si>
    <t xml:space="preserve">      2.376</t>
  </si>
  <si>
    <t>SEJA SÁBIO 🧠</t>
  </si>
  <si>
    <t>sejasabiio</t>
  </si>
  <si>
    <t>MELHORES FOTOS E FRASES VOCÊS SÓ ENCONTRAM AQUI 🔥, PARCERIA SÓ CHAMAR NA DM!!</t>
  </si>
  <si>
    <t xml:space="preserve">     35.750</t>
  </si>
  <si>
    <t>Fernando Campos</t>
  </si>
  <si>
    <t>donancampos</t>
  </si>
  <si>
    <t>O Donan. Jornalista e Comentarista nos canais Disney. @ESPNBrasil e @STARPLUSBR.</t>
  </si>
  <si>
    <t xml:space="preserve">    162.005</t>
  </si>
  <si>
    <t>gio</t>
  </si>
  <si>
    <t>giova1nna</t>
  </si>
  <si>
    <t>odeio canecas com frase</t>
  </si>
  <si>
    <t xml:space="preserve">      1.137</t>
  </si>
  <si>
    <t>paiN Gaming</t>
  </si>
  <si>
    <t>paingamingbr</t>
  </si>
  <si>
    <t>🌍 Biggest Esports Organization in Latin America | 🏆 LoL; Free Fire; CS:GO | 🛒 Store 👇</t>
  </si>
  <si>
    <t xml:space="preserve">    690.440</t>
  </si>
  <si>
    <t>LOUD RIQUE</t>
  </si>
  <si>
    <t>tnoise</t>
  </si>
  <si>
    <t>Rique da Noise</t>
  </si>
  <si>
    <t xml:space="preserve">      4.423</t>
  </si>
  <si>
    <t>Il Fatto Quotidiano</t>
  </si>
  <si>
    <t>fattoquotidiano</t>
  </si>
  <si>
    <t>https://t.co/5lWcvi4IJR</t>
  </si>
  <si>
    <t xml:space="preserve">  2.218.786</t>
  </si>
  <si>
    <t>𝕸 𝖆 𝖙 𝖙 🪬</t>
  </si>
  <si>
    <t>mattheusmarque7</t>
  </si>
  <si>
    <t>Drogas ✦ Alcoolismo ✦ sexo ✦ depressão ✦ Música ✦ Anitta ✦ Lil Peep ✦ e outras coisas mais...</t>
  </si>
  <si>
    <t xml:space="preserve">      1.165</t>
  </si>
  <si>
    <t>Romeu Zema</t>
  </si>
  <si>
    <t>romeuzema</t>
  </si>
  <si>
    <t>Governador de Minas Gerais pelo Partido Novo e administrador com mais de 30 anos de experiência.</t>
  </si>
  <si>
    <t xml:space="preserve">    543.113</t>
  </si>
  <si>
    <t>Luís Santana</t>
  </si>
  <si>
    <t>luisshowtana</t>
  </si>
  <si>
    <t>Jornalista | Esports no @maisesportsbr | contato: luissantanastz10@gmail.com | tweets são meus | @norxiana 🩷</t>
  </si>
  <si>
    <t xml:space="preserve">     67.550</t>
  </si>
  <si>
    <t>Raphaël Lima</t>
  </si>
  <si>
    <t>ideias_radicais</t>
  </si>
  <si>
    <t>Libertário. Bardo do capitalismo.
Fundador do Ideias Radicais, Co-Fundador da @setteeio. Sim, tem trema no e.</t>
  </si>
  <si>
    <t xml:space="preserve">    161.786</t>
  </si>
  <si>
    <t>Paulinha Casada Hotwife</t>
  </si>
  <si>
    <t>paulinhacasada1</t>
  </si>
  <si>
    <t>NFSW🔞|Casal Cuckold |Hotwife que adora transar na frente do seu corno|Exibição |Menage Masc |Top 0.14% Privacy🔥|Filmes completos no meu Privacy⬇️</t>
  </si>
  <si>
    <t xml:space="preserve">     66.672</t>
  </si>
  <si>
    <t>Pepe Vargas</t>
  </si>
  <si>
    <t>sigapepevargas</t>
  </si>
  <si>
    <t>Médico, Deputado Estadual, foi Ministro do Desenvolv. Agrário e Deputado Federal, foi Prefeito de Caxias do Sul
https://t.co/5aNqxStb1O</t>
  </si>
  <si>
    <t xml:space="preserve">     19.314</t>
  </si>
  <si>
    <t>Portal R7.com</t>
  </si>
  <si>
    <t>portalr7</t>
  </si>
  <si>
    <t>Fique bem informado sobre as principais notícias do Brasil e do mundo no #PortalR7!</t>
  </si>
  <si>
    <t xml:space="preserve">  5.147.197</t>
  </si>
  <si>
    <t>ABB Italia</t>
  </si>
  <si>
    <t>abbitalia</t>
  </si>
  <si>
    <t>Leader tecnologico globale che dà energia alla trasformazione della società e delle industrie per un futuro più sostenibile e più produttivo.</t>
  </si>
  <si>
    <t xml:space="preserve">      5.566</t>
  </si>
  <si>
    <t>Polvo das Antas - Em Defesa do SL Benfica</t>
  </si>
  <si>
    <t>moluscodasantas</t>
  </si>
  <si>
    <t>Molusco, Cephalopoda e Octopoda. Espécime encontrado a norte de Portugal, juntamente com os restantes cefalópodes.</t>
  </si>
  <si>
    <t xml:space="preserve">     13.227</t>
  </si>
  <si>
    <t>Rafael Fonteles</t>
  </si>
  <si>
    <t>rafaelfonteles_</t>
  </si>
  <si>
    <t>Governador do Piauí. 38 anos. Professor, empreendedor, ex-presidente do Comsefaz (2019/2021). Esposo de Isabel. Pai de Teresa, Thomaz e Elisa.</t>
  </si>
  <si>
    <t xml:space="preserve">     15.454</t>
  </si>
  <si>
    <t>Amom Mandel</t>
  </si>
  <si>
    <t>eusouamom</t>
  </si>
  <si>
    <t>Ativismo e parlamento, tudo junto e misturado | Dep. Fed. mais votado do Brasil proporcionalmente | Manaus, AM 📍</t>
  </si>
  <si>
    <t xml:space="preserve">     28.219</t>
  </si>
  <si>
    <t>Upload Ludmilla</t>
  </si>
  <si>
    <t>uploadludmilla</t>
  </si>
  <si>
    <t>Sua fonte de notícias, charts e atualizações sobre a cantora, compositora, atriz e Grammy Winner @Ludmilla</t>
  </si>
  <si>
    <t xml:space="preserve">      2.317</t>
  </si>
  <si>
    <t>Antes de dar merda games</t>
  </si>
  <si>
    <t>antesmerdagame</t>
  </si>
  <si>
    <t>Pagina dedicada a momentos de antes da desgraça acontecer no mundo dos games | Sugestões na DM | ADM: @Senhor_Destino_</t>
  </si>
  <si>
    <t xml:space="preserve">     46.502</t>
  </si>
  <si>
    <t>Lolo Belato</t>
  </si>
  <si>
    <t>lorranebelato</t>
  </si>
  <si>
    <t>Talvez até confusa, mas real e intensa.</t>
  </si>
  <si>
    <t xml:space="preserve">      2.235</t>
  </si>
  <si>
    <t>Simon Lédo</t>
  </si>
  <si>
    <t>ledosimon</t>
  </si>
  <si>
    <t>Jornalista esportivo e CEO do @ColunadoFla, o maior site de futebol do Brasil https://t.co/VAG9BKvDwv</t>
  </si>
  <si>
    <t xml:space="preserve">      8.877</t>
  </si>
  <si>
    <t>André Ventura</t>
  </si>
  <si>
    <t>andrecventura</t>
  </si>
  <si>
    <t>Incansável no propósito de mudar Portugal.</t>
  </si>
  <si>
    <t xml:space="preserve">    133.196</t>
  </si>
  <si>
    <t>Esquerda Diário</t>
  </si>
  <si>
    <t>esquerdadiario</t>
  </si>
  <si>
    <t>Parte da rede internacional de diários digitais de esquerda, anticapitalistas, socialistas e revolucionários, que no Brasil é impulsionado pelo MRT.</t>
  </si>
  <si>
    <t xml:space="preserve">     16.099</t>
  </si>
  <si>
    <t>Alex Silva</t>
  </si>
  <si>
    <t>alexsilva_prof</t>
  </si>
  <si>
    <t>Professor e Palestrante; Doutorando em Teologia; Ciência Política e Gestão Pública; Inovar, em busca do novo!</t>
  </si>
  <si>
    <t xml:space="preserve">     61.803</t>
  </si>
  <si>
    <t>Online SIM</t>
  </si>
  <si>
    <t>onlinesim</t>
  </si>
  <si>
    <t>Online Sim è dal 2000 la piattaforma italiana per i tuoi investimenti. Online Sim è una società del Gruppo Bancario Ersel.</t>
  </si>
  <si>
    <t xml:space="preserve">     12.350</t>
  </si>
  <si>
    <t>Van Patriota // Van Liberdade</t>
  </si>
  <si>
    <t>vanpatriota</t>
  </si>
  <si>
    <t>101% PATRIOTA || PERFIL DE SÁTIRA || HUMOR || Trago verdades cabeludas igual sovaco de Militante.👀🌪️</t>
  </si>
  <si>
    <t xml:space="preserve">     32.049</t>
  </si>
  <si>
    <t>Elon Musk (Parody)</t>
  </si>
  <si>
    <t>elonmuskaoc</t>
  </si>
  <si>
    <t>I’m on a quest to bang AOC on Mars. (Parody Account)</t>
  </si>
  <si>
    <t xml:space="preserve">    956.363</t>
  </si>
  <si>
    <t>𝒞𝒶𝓇𝓁𝒶 𝑀𝒶𝓁𝓀𝓋 𝓁𝒾🇨🇳❤️‍🔥🇷🇺</t>
  </si>
  <si>
    <t>camalkov</t>
  </si>
  <si>
    <t>♀️💪🏻𝐌𝐮𝐥𝐡𝐞𝐫 é 𝐟𝐢𝐛𝐫𝐚,é 𝐫𝐚ç𝐚 é 𝐚ç𝐨!Cirurgiã ⚕ Dentista🦷Empresária 💻 𝙂𝙈𝙆
   @Flamengo  @pfc_cska</t>
  </si>
  <si>
    <t xml:space="preserve">     34.645</t>
  </si>
  <si>
    <t>BAILARINA 🇧🇷🇺🇦</t>
  </si>
  <si>
    <t>meaballerina</t>
  </si>
  <si>
    <t>Elegância é empatia. Coragem, cães e ballet, sempre.</t>
  </si>
  <si>
    <t xml:space="preserve">      1.201</t>
  </si>
  <si>
    <t>salto cunty da beyoncé 🪩🐝</t>
  </si>
  <si>
    <t>byungerking</t>
  </si>
  <si>
    <t>apenas uma fã de livros, Beyoncé e coisas engraçadas / 📖: o príncipe corvo • A Razão do Amor</t>
  </si>
  <si>
    <t xml:space="preserve">     15.821</t>
  </si>
  <si>
    <t>Stella Hott | +18 Contents</t>
  </si>
  <si>
    <t>stellaxhott</t>
  </si>
  <si>
    <t>20y • Casada | Hotwife • Squirt • Cuckold • Exibicionismo • FTM • Hotfitness • Fetiches • 😈 - 🚨50% OFF PRIVACY, PACKS E MAIS👇🏻🚨</t>
  </si>
  <si>
    <t xml:space="preserve">      1.353</t>
  </si>
  <si>
    <t>Felipe Hartmann</t>
  </si>
  <si>
    <t>felipewhartmann</t>
  </si>
  <si>
    <t>⚖ Advogado ⠀⠀⠀⠀⠀⠀⠀⠀⠀⠀⠀⠀⠀⠀⠀⠀
⠀⠀⠀⠀⠀💚 Coritiba Foot Ball Club⠀⠀⠀⠀⠀⠀⠀⠀⠀
⠀⠀⠀⠀🤍 FC Bayern München</t>
  </si>
  <si>
    <t xml:space="preserve">      2.050</t>
  </si>
  <si>
    <t>Dan</t>
  </si>
  <si>
    <t>danielsmarconn</t>
  </si>
  <si>
    <t>https://t.co/LsdHPuE0Zl Riot Partner              Jogando @hok_br</t>
  </si>
  <si>
    <t xml:space="preserve">    184.462</t>
  </si>
  <si>
    <t>Antonio Vitiello</t>
  </si>
  <si>
    <t>antovitiello</t>
  </si>
  <si>
    <t>Direttore Responsabile @MilanNewsit, collaboro con il @corsport, @Tuttomercatoweb, @7goldsport. Canale YouTube https://t.co/dcEPppzhFT</t>
  </si>
  <si>
    <t xml:space="preserve">    135.349</t>
  </si>
  <si>
    <t>Pedro Cerize</t>
  </si>
  <si>
    <t>pedrocerize</t>
  </si>
  <si>
    <t>O Antagonista   Inv Streaming Skopos &amp; outras coisas por aí</t>
  </si>
  <si>
    <t xml:space="preserve">     23.877</t>
  </si>
  <si>
    <t>Integrity Council for the Voluntary Carbon Market</t>
  </si>
  <si>
    <t>ic_vcm</t>
  </si>
  <si>
    <t>An independent governance body responsible for the voluntary carbon market. Our purpose is to ensure the VCM accelerates a just transition to 1.5° C</t>
  </si>
  <si>
    <t xml:space="preserve">      1.943</t>
  </si>
  <si>
    <t>José Norberto Flesch</t>
  </si>
  <si>
    <t>jnflesch</t>
  </si>
  <si>
    <t>Jornalista, mas tem gente que identifica como “o cara que anuncia shows”. 
Instagram: jnflesch 
https://t.co/BGS9OjAtlS   
Para contato: jnflesch@gmail</t>
  </si>
  <si>
    <t xml:space="preserve">    470.211</t>
  </si>
  <si>
    <t>Ouriço de cartola</t>
  </si>
  <si>
    <t>cegadede</t>
  </si>
  <si>
    <t>Aqui se fala de atracação de navio a zurro de mula. 
links Amazon são afiliados e geram comissão para mim.
links para outras redes: https://t.co/jyBnNN3VNH</t>
  </si>
  <si>
    <t xml:space="preserve">     51.975</t>
  </si>
  <si>
    <t>CNN Brasil</t>
  </si>
  <si>
    <t>cnnbrasil</t>
  </si>
  <si>
    <t>CNN Brasil. Você por dentro de tudo.
Acompanhe também pelo canal 577, app ou site. 
⚽ @esportescnn
⚡️ @cnnpop
💰 @cnneconomia
💵 @nolucrocnn</t>
  </si>
  <si>
    <t xml:space="preserve">  2.664.120</t>
  </si>
  <si>
    <t>nikola 3</t>
  </si>
  <si>
    <t>ronin19217435</t>
  </si>
  <si>
    <t>Svasta</t>
  </si>
  <si>
    <t xml:space="preserve">    277.205</t>
  </si>
  <si>
    <t>Lenio Luiz Streck</t>
  </si>
  <si>
    <t>leniostreck</t>
  </si>
  <si>
    <t>Professor titular da Unisinos/RS e da UNESA/RJ. Catedrático da ABDConst. Procurador de Justiça aposentado (RS). Advogado e parecerista.</t>
  </si>
  <si>
    <t xml:space="preserve">    105.020</t>
  </si>
  <si>
    <t>aimee</t>
  </si>
  <si>
    <t>aimeewaughan</t>
  </si>
  <si>
    <t>THE PINKPRINT - track 1. | barbz. 💍 @its_gugaun</t>
  </si>
  <si>
    <t xml:space="preserve">      2.034</t>
  </si>
  <si>
    <t>Rosane de Oliveira</t>
  </si>
  <si>
    <t>rosaneoliveira</t>
  </si>
  <si>
    <t>Jornalista em @gzhdigital</t>
  </si>
  <si>
    <t xml:space="preserve">    215.726</t>
  </si>
  <si>
    <t>Choquei Do Trap🎗️</t>
  </si>
  <si>
    <t>choquei_trap</t>
  </si>
  <si>
    <t>Todas as notícias do Trap/Rap e qualquer outra coisa em 1° mão, é só na CHOQUEI DO TRAP. divulgação:monacoassesoria@gmail.com perfil de humor</t>
  </si>
  <si>
    <t xml:space="preserve">     65.272</t>
  </si>
  <si>
    <t>Daniel Salomão - Rational Investor</t>
  </si>
  <si>
    <t>danielsalomaob</t>
  </si>
  <si>
    <t>Investments can become really risky when we get emotionally involved.
Focus on what's important. Time is a scarce asset with incomparable value.</t>
  </si>
  <si>
    <t xml:space="preserve">      1.229</t>
  </si>
  <si>
    <t>Central do Galo</t>
  </si>
  <si>
    <t>centraldocam</t>
  </si>
  <si>
    <t>Notícias e opiniões atualizadas sobre o Clube Atlético Mineiro. De torcedor para torcedor. Publicidades/Parcerias: via DM 📩</t>
  </si>
  <si>
    <t xml:space="preserve">     67.403</t>
  </si>
  <si>
    <t>Omar</t>
  </si>
  <si>
    <t>omardeideais</t>
  </si>
  <si>
    <t>Do Morro, do Samba e do Bar.</t>
  </si>
  <si>
    <t xml:space="preserve">    111.370</t>
  </si>
  <si>
    <t>Teles</t>
  </si>
  <si>
    <t>mteles91</t>
  </si>
  <si>
    <t>LOUD, Lakers, Athletico Paranaense e Milan</t>
  </si>
  <si>
    <t xml:space="preserve">     23.022</t>
  </si>
  <si>
    <t>European Commission</t>
  </si>
  <si>
    <t>eu_commission</t>
  </si>
  <si>
    <t>News and information from the European Commission. Social media and data protection policy: https://t.co/Gz53Net1PO</t>
  </si>
  <si>
    <t xml:space="preserve">  1.828.206</t>
  </si>
  <si>
    <t>Tio Wilson</t>
  </si>
  <si>
    <t>tiowilson_coxa</t>
  </si>
  <si>
    <t>Sou eu, o Tio Wilson, não sou o ex-goleiro Wilson!
Piadas de tiozão e notícias nem tão verídicas do @Coritiba
//Fakes Originais //Conta humorística</t>
  </si>
  <si>
    <t>psocialista</t>
  </si>
  <si>
    <t>Lado a Lado com os Portugueses desde 1973. #GovernarAPensarNasPessoas #PartidoSocialista</t>
  </si>
  <si>
    <t xml:space="preserve">     60.533</t>
  </si>
  <si>
    <t>Márcia Silveira</t>
  </si>
  <si>
    <t>marciasalmeida</t>
  </si>
  <si>
    <t>Brasil 🇧🇷 , o melhor país do mundo. Dou BLOCK em quem defende Lulaladrao e outros ditadores, ceifadores de sonhos e vidas.</t>
  </si>
  <si>
    <t xml:space="preserve">     14.343</t>
  </si>
  <si>
    <t>Adry.W.2 Россия-Твиттер</t>
  </si>
  <si>
    <t>liliaragnar</t>
  </si>
  <si>
    <t>GLI ITALIANI NON VOGLIONO ZELENS'KYJ</t>
  </si>
  <si>
    <t xml:space="preserve">     11.194</t>
  </si>
  <si>
    <t>GK InfoStore</t>
  </si>
  <si>
    <t>gkinfostore</t>
  </si>
  <si>
    <t>https://t.co/NOZXkGwvoG</t>
  </si>
  <si>
    <t xml:space="preserve">     19.316</t>
  </si>
  <si>
    <t>Komutan A. Katsura (14/50) 🇹🇷🇻🇦</t>
  </si>
  <si>
    <t>tncleft1776</t>
  </si>
  <si>
    <t>Inimigo não se bajula, se combate
🏹 @Coritiba / 🐍 @Inter / 🦁 @SportingCP / 👑 @RealSociedad / 🦁🦁🦁  @England // 🏎️ @McLarenF1
Secundária : @tncleft1984</t>
  </si>
  <si>
    <t xml:space="preserve">      2.010</t>
  </si>
  <si>
    <t>Fernando Gogóddad 💰</t>
  </si>
  <si>
    <t>gla_diado</t>
  </si>
  <si>
    <t>Fintwit my ass</t>
  </si>
  <si>
    <t xml:space="preserve">      1.977</t>
  </si>
  <si>
    <t>We Are Liverpool</t>
  </si>
  <si>
    <t>wearelivpool</t>
  </si>
  <si>
    <t>Equipe masculina, feminina, cobertura de jogos, notícias, história e tudo sobre Liverpool FC! | We Are Liverpool • This Means More.</t>
  </si>
  <si>
    <t xml:space="preserve">     10.057</t>
  </si>
  <si>
    <t>Cleomilson Lima 🇧🇷</t>
  </si>
  <si>
    <t>cleomilsonn</t>
  </si>
  <si>
    <t>Conservador e Patriota</t>
  </si>
  <si>
    <t xml:space="preserve">      4.964</t>
  </si>
  <si>
    <t>Camilla</t>
  </si>
  <si>
    <t>camillamariani4</t>
  </si>
  <si>
    <t xml:space="preserve">      9.160</t>
  </si>
  <si>
    <t>Miguel Fortunato</t>
  </si>
  <si>
    <t>miguelfortunato</t>
  </si>
  <si>
    <t>Jornalista, apresentador do Arquibancada SP na Rádio Arquibancada e do podcast The Playoffs. Aqui dou minhas opiniões sobre carnaval e esportes em geral.</t>
  </si>
  <si>
    <t xml:space="preserve">      1.047</t>
  </si>
  <si>
    <t>BByong 🎡 EL7Z UP</t>
  </si>
  <si>
    <t>byebyedumb</t>
  </si>
  <si>
    <t>plorystay •ela/dela• 
Han Seobin Supporter</t>
  </si>
  <si>
    <t xml:space="preserve">      1.506</t>
  </si>
  <si>
    <t>Marcelo Marques 🚩 13🚩</t>
  </si>
  <si>
    <t>marcelombob28</t>
  </si>
  <si>
    <t>Historia⏳️ UEMA/ 🚩Aqui membros da seita Bolsonazist4s não se criam ✊️
conta nova 1️⃣3️⃣ conta antiga derrubada pelos Bolsonazist4s</t>
  </si>
  <si>
    <t xml:space="preserve">      1.794</t>
  </si>
  <si>
    <t>Hoje tem em João Pessoa</t>
  </si>
  <si>
    <t>hojetemjp</t>
  </si>
  <si>
    <t>Informações de João Pessoa</t>
  </si>
  <si>
    <t xml:space="preserve">      5.422</t>
  </si>
  <si>
    <t>InvestSP</t>
  </si>
  <si>
    <t>investsp</t>
  </si>
  <si>
    <t>InvestSP é a Agência Paulista de Promoção de Investimentos e Competitividade do Estado de São Paulo.  Investment Promotion Agency of the State of São Paulo.</t>
  </si>
  <si>
    <t xml:space="preserve">      8.392</t>
  </si>
  <si>
    <t>Bru mas não a Marquezine</t>
  </si>
  <si>
    <t>meraaprendiz</t>
  </si>
  <si>
    <t>Acho que se for honesto na maior parte do tempo com você mesmo sobre o que quer da sua vida, a vida te dá.</t>
  </si>
  <si>
    <t xml:space="preserve">      2.679</t>
  </si>
  <si>
    <t>escriba do umbral</t>
  </si>
  <si>
    <t>gobackto505</t>
  </si>
  <si>
    <t>Uma Ilze Scamparini só que direto dos telhados do inferno. Descreva imagens | ela/dela</t>
  </si>
  <si>
    <t xml:space="preserve">     68.293</t>
  </si>
  <si>
    <t>General Hamilton Mourão</t>
  </si>
  <si>
    <t>generalmourao</t>
  </si>
  <si>
    <t>Gaúcho | Militar | Marido da Paula | Pai do Antônio e da Renata | Avô de cinco netos | Senador pelo Republicanos/RS</t>
  </si>
  <si>
    <t xml:space="preserve">  2.760.226</t>
  </si>
  <si>
    <t>NewsColina</t>
  </si>
  <si>
    <t>newscolina</t>
  </si>
  <si>
    <t>O maior portal do Twitter sobre o Vasco da Gama | Contato e publicidade: newscolina@gmail.com 📨 | Parceiro @KTO_Brasil 🤝</t>
  </si>
  <si>
    <t xml:space="preserve">    202.017</t>
  </si>
  <si>
    <t>Byanu</t>
  </si>
  <si>
    <t>byanu</t>
  </si>
  <si>
    <t>Primeiramente eu não Baiano, baiano é o Koo da sua mãe
💻 Programador | 📊 Investidor | 🎮 Gamer
GT: byanu #Xbox</t>
  </si>
  <si>
    <t xml:space="preserve">      7.092</t>
  </si>
  <si>
    <t>Município de Setúbal</t>
  </si>
  <si>
    <t>munsetubal</t>
  </si>
  <si>
    <t>Acompanhe todas as notícias essenciais sobre Setúbal.</t>
  </si>
  <si>
    <t xml:space="preserve">      1.729</t>
  </si>
  <si>
    <t>Sr. Pedro</t>
  </si>
  <si>
    <t>peuzfn</t>
  </si>
  <si>
    <t xml:space="preserve">     11.955</t>
  </si>
  <si>
    <t>Luca Ansevini</t>
  </si>
  <si>
    <t>anse1987</t>
  </si>
  <si>
    <t>🌈 Podcaster per @iPhone_Italia e @9e41podcast, Tech Content Creator, Gamer &amp; Nerd,</t>
  </si>
  <si>
    <t xml:space="preserve">      1.990</t>
  </si>
  <si>
    <t>Willian Justen</t>
  </si>
  <si>
    <t>willian_justen</t>
  </si>
  <si>
    <t>Staff Engineer at Appcues 💻 | GitHub Star 🌟 | Udemy Instructor 🎓
https://t.co/jb6LcOSlsh</t>
  </si>
  <si>
    <t xml:space="preserve">     24.196</t>
  </si>
  <si>
    <t>Pignottone - E.Racalbuti 🐝🧱</t>
  </si>
  <si>
    <t>pignottone</t>
  </si>
  <si>
    <t>Il mattone è d'obbligo visto che faccio la mezza cucchiaia x hobby.</t>
  </si>
  <si>
    <t xml:space="preserve">      1.835</t>
  </si>
  <si>
    <t>Ministério do Meio Ambiente e Mudança do Clima</t>
  </si>
  <si>
    <t>mmeioambiente</t>
  </si>
  <si>
    <t xml:space="preserve">    276.793</t>
  </si>
  <si>
    <t>Jornal Correio</t>
  </si>
  <si>
    <t>correio24horas</t>
  </si>
  <si>
    <t>Portal baiano de maior audiência digital no Nordeste</t>
  </si>
  <si>
    <t xml:space="preserve">    563.685</t>
  </si>
  <si>
    <t>Pb_WakeBrasil</t>
  </si>
  <si>
    <t>costa__oi</t>
  </si>
  <si>
    <t>Uma Nação adormecida morre ou acordará escravizada.</t>
  </si>
  <si>
    <t xml:space="preserve">      1.458</t>
  </si>
  <si>
    <t>Luís Evangelista</t>
  </si>
  <si>
    <t>drzodiacus_v2</t>
  </si>
  <si>
    <t>Prof numa Faculdade, ex-Prof noutra (estrangeira), noutra já falida, investigador ainda noutra. Eng. Civil por formação, sátiro por vocação</t>
  </si>
  <si>
    <t xml:space="preserve">      2.213</t>
  </si>
  <si>
    <t>Renato Breia, CFP®</t>
  </si>
  <si>
    <t>rbreia</t>
  </si>
  <si>
    <t>Sócio Fundador da Nord Research e Nord Wealth / 18 anos de mercado financeiro /Insta https://t.co/kDDRwAaECN</t>
  </si>
  <si>
    <t xml:space="preserve">    112.578</t>
  </si>
  <si>
    <t>Leandro Demori</t>
  </si>
  <si>
    <t>demori</t>
  </si>
  <si>
    <t>Vem comigo! ➡️https://t.co/DOLRqJCSu3⬅️ newsletter GRÁTIS. Contato: assessoria@leandrodemori.com.br</t>
  </si>
  <si>
    <t xml:space="preserve">    412.075</t>
  </si>
  <si>
    <t>Tracklist</t>
  </si>
  <si>
    <t>tracklist</t>
  </si>
  <si>
    <t>O melhor do entretenimento está aqui! | Comercial 📩 contato@tracklist.com.br</t>
  </si>
  <si>
    <t xml:space="preserve">  1.279.699</t>
  </si>
  <si>
    <t>Ramiro Gomes Ferreira, CFP®</t>
  </si>
  <si>
    <t>ramirogferreira</t>
  </si>
  <si>
    <t>Aprendendo a viver uma vida rica, tranquila e feliz, enquanto compartilho um pouco do que descobri sobre como fazer bons investimentos nessa jornada</t>
  </si>
  <si>
    <t xml:space="preserve">      4.685</t>
  </si>
  <si>
    <t>Tiago Guitián Reis</t>
  </si>
  <si>
    <t>tiagogreis</t>
  </si>
  <si>
    <t>📈@SunoResearch
⚙️@StatusInvestBR
🏢 Recomendações de FIIs com 30% OFF 👇</t>
  </si>
  <si>
    <t xml:space="preserve">    224.184</t>
  </si>
  <si>
    <t>🖖🏼 Dimitra Vulcana, a Doutora Drag</t>
  </si>
  <si>
    <t>dimitravulcana</t>
  </si>
  <si>
    <t>Produtora de conteúdo, Drag Queen, Marxista, prof e palestrante, Doutora em ciências da saúde Contato: doutoradrag@gmail.com : talents@nmadigital.com</t>
  </si>
  <si>
    <t xml:space="preserve">     70.726</t>
  </si>
  <si>
    <t>Rodrigo De Morais</t>
  </si>
  <si>
    <t>rodrigomoraisof</t>
  </si>
  <si>
    <t>Militante nas causas sociais e trabalhistas. 
Educador Físico e Bacharel em Ciência do Trabalho
Dirigente Sindical no sindicato dos Metalúrgicos de SP e Mogi</t>
  </si>
  <si>
    <t xml:space="preserve">      1.022</t>
  </si>
  <si>
    <t>Marcelo Semer</t>
  </si>
  <si>
    <t>marcelo_semer</t>
  </si>
  <si>
    <t>Escritor. Membro e ex-presidente da Associação Juízes para a Democracia. Entre Salas e Celas, Sentenciando Tráfico e Os Paradoxos da Justiça (novo).</t>
  </si>
  <si>
    <t xml:space="preserve">     79.630</t>
  </si>
  <si>
    <t>Raquel Gamer</t>
  </si>
  <si>
    <t>raquelgamer_rj</t>
  </si>
  <si>
    <t>Gamer | Nerd | Tech | Crossfiteira e Yogi nas horas vagas
Vídeo Novo Toda Semana: https://t.co/4TC46npO14</t>
  </si>
  <si>
    <t xml:space="preserve">     21.110</t>
  </si>
  <si>
    <t>Gus</t>
  </si>
  <si>
    <t>goulartastudio</t>
  </si>
  <si>
    <t>Monstros bem alimentados nunca vão embora. 🍃
Psicólogo, cantor em hiato, compositor, produtor musical, e estudante de Filosofia.</t>
  </si>
  <si>
    <t xml:space="preserve">      1.422</t>
  </si>
  <si>
    <t>The Crypto Gateway</t>
  </si>
  <si>
    <t>crypto_gateway</t>
  </si>
  <si>
    <t>$ETH fanboy | Laurea in clickbait, master in shitposting e License to Shill | 🚫🐰🏦: qui non troverai nulla di serio | https://t.co/1UWDW84KLx</t>
  </si>
  <si>
    <t xml:space="preserve">    120.501</t>
  </si>
  <si>
    <t>Robert O'Kersevan</t>
  </si>
  <si>
    <t>kersevanroberto</t>
  </si>
  <si>
    <t>NON PARLO A NOME DEL MIO DATORE DI LAVORO! CHIARO??</t>
  </si>
  <si>
    <t xml:space="preserve">      2.576</t>
  </si>
  <si>
    <t>Scout Vasco</t>
  </si>
  <si>
    <t>scoutvasco</t>
  </si>
  <si>
    <t>Aqui você encontra análises táticas, individuais e coletivas sobre nosso clube de coração.</t>
  </si>
  <si>
    <t xml:space="preserve">     10.703</t>
  </si>
  <si>
    <t>𝕴𝖌𝖔𝖗 𝕸𝖔𝖚𝖗𝖆</t>
  </si>
  <si>
    <t>i_mouraa</t>
  </si>
  <si>
    <t>Livrai-me de todo mal, Amém!</t>
  </si>
  <si>
    <t xml:space="preserve">      2.282</t>
  </si>
  <si>
    <t>Medo e Delírio em Brasília</t>
  </si>
  <si>
    <t>medoedeliriobr</t>
  </si>
  <si>
    <t>Um podcast sobre essa quadra miserável da história, essa bad trip escrota do caralho. https://t.co/Y7lByyLGlE</t>
  </si>
  <si>
    <t xml:space="preserve">    203.981</t>
  </si>
  <si>
    <t>Kenon ☣︎</t>
  </si>
  <si>
    <t>kenon_wang</t>
  </si>
  <si>
    <t>𝖥𝖼 | 𝖩𝗐 . 𝖧𝗐 . 𝖳𝗇</t>
  </si>
  <si>
    <t xml:space="preserve">      2.070</t>
  </si>
  <si>
    <t>Felipe Ruiz</t>
  </si>
  <si>
    <t>felipe__ruiz</t>
  </si>
  <si>
    <t>Investidor e fundador AGF | Conselheiro | Engenheiro, MIT MBA | VP MIT Alumni Club | IBGC</t>
  </si>
  <si>
    <t xml:space="preserve">     13.654</t>
  </si>
  <si>
    <t>Plantão Baixada RJ</t>
  </si>
  <si>
    <t>plantaobaixadaa</t>
  </si>
  <si>
    <t>Jornal do Povo !!</t>
  </si>
  <si>
    <t xml:space="preserve">    275.390</t>
  </si>
  <si>
    <t>Gabriel Luiz</t>
  </si>
  <si>
    <t>pseudogabs</t>
  </si>
  <si>
    <t>Jornalista e usuário apenas recreativo deste saite</t>
  </si>
  <si>
    <t xml:space="preserve">     44.122</t>
  </si>
  <si>
    <t>Estrela Serrano</t>
  </si>
  <si>
    <t>estrelaserrano</t>
  </si>
  <si>
    <t>professora,investigadora de média, jornalismo,  comunicação institucional, comunicação política</t>
  </si>
  <si>
    <t xml:space="preserve">      7.396</t>
  </si>
  <si>
    <t>Ana ♥️🚩📕🦑♥️♥️🇧🇷🦑</t>
  </si>
  <si>
    <t>anapaul41531863</t>
  </si>
  <si>
    <t>Mãe, esposa, avó e acima de tudo mulher. Sem religião, mas com muita fé. PETISTA! A bandeira do Brasil é do povo!#ForaBolsonaro #LulaPresidente13</t>
  </si>
  <si>
    <t xml:space="preserve">     13.155</t>
  </si>
  <si>
    <t>Mônica Bergamo</t>
  </si>
  <si>
    <t>monicabergamo</t>
  </si>
  <si>
    <t>jornalista</t>
  </si>
  <si>
    <t xml:space="preserve">  1.890.066</t>
  </si>
  <si>
    <t>Guel Maraj</t>
  </si>
  <si>
    <t>guelmaraj</t>
  </si>
  <si>
    <t>🪐RIDE WITH MINAJ👑</t>
  </si>
  <si>
    <t xml:space="preserve">      1.087</t>
  </si>
  <si>
    <t>País do Futebol ( de 🏡)</t>
  </si>
  <si>
    <t>futebol_pais</t>
  </si>
  <si>
    <t>⚽️: O seu melhor Portal de Notícias 
🚩: Bem Vindos / Bienvenidos
📸: Instagram: paisdofutebollf2
🐦: Twitter : futebol_pais</t>
  </si>
  <si>
    <t xml:space="preserve">     14.909</t>
  </si>
  <si>
    <t>kazekage vacanja winits</t>
  </si>
  <si>
    <t>kiiierbea</t>
  </si>
  <si>
    <t>pop e otakice | 📺: jujutsu kaisen</t>
  </si>
  <si>
    <t xml:space="preserve">     15.797</t>
  </si>
  <si>
    <t>psicanalista da classe trabalhadora</t>
  </si>
  <si>
    <t>psicanalistarj</t>
  </si>
  <si>
    <t>Psicóloga, psicanalista, supervisora, atriz e mestranda pesquisadora de teatro e psicanálise. 🚩 Como me disse uma grande amiga, meu Twitter é meu caderno.</t>
  </si>
  <si>
    <t xml:space="preserve">      4.813</t>
  </si>
  <si>
    <t>HUNOR 🔱</t>
  </si>
  <si>
    <t>vaevictis</t>
  </si>
  <si>
    <t>Qui solo scienza. Conservatore, identitario, tradizionalista. Allergico al pensiero acritico, semplicistico e fuori contesto. NO liberalismo e disumanizzazione.</t>
  </si>
  <si>
    <t xml:space="preserve">      9.716</t>
  </si>
  <si>
    <t>Amazon Sat</t>
  </si>
  <si>
    <t>amazonsat</t>
  </si>
  <si>
    <t>🎥📺 O canal que é a cara e a voz da Amazônia!</t>
  </si>
  <si>
    <t xml:space="preserve">     27.715</t>
  </si>
  <si>
    <t>Casalhotwifecuckoldd</t>
  </si>
  <si>
    <t>casalgostosoro2</t>
  </si>
  <si>
    <t>Casal. Relacionamento aberto. Buscamos muito sexo, amizade, cumplicidade, safadeza, voyeurismo, exibição.
https://t.co/duvc07ItpS…</t>
  </si>
  <si>
    <t xml:space="preserve">      6.620</t>
  </si>
  <si>
    <t>diogomainardi</t>
  </si>
  <si>
    <t>A Arte de Ressuscitar</t>
  </si>
  <si>
    <t xml:space="preserve">  1.114.668</t>
  </si>
  <si>
    <t>pardo branco™</t>
  </si>
  <si>
    <t>juarez__42</t>
  </si>
  <si>
    <t>ele / dele
não mono
de esquerda-anti liberal.</t>
  </si>
  <si>
    <t xml:space="preserve">      2.404</t>
  </si>
  <si>
    <t>Cambiacasacca</t>
  </si>
  <si>
    <t>cambiacasacca</t>
  </si>
  <si>
    <t>In politica sono ambidestro, almeno finché non pubblicano i risultati. Tutti in fondo hanno una parte di ragione, quindi son le mie ragioni a far la differenza.</t>
  </si>
  <si>
    <t xml:space="preserve">     34.737</t>
  </si>
  <si>
    <t>Vanessa 🇧🇷</t>
  </si>
  <si>
    <t>van_mto</t>
  </si>
  <si>
    <t>Feminina. Economia, administração e negócios. Família, natureza e fé.</t>
  </si>
  <si>
    <t xml:space="preserve">     10.009</t>
  </si>
  <si>
    <t>NÍCOLAS LIMA</t>
  </si>
  <si>
    <t>nicolaslima_ofi</t>
  </si>
  <si>
    <t>Canal: Acesse⤵️</t>
  </si>
  <si>
    <t xml:space="preserve">      2.494</t>
  </si>
  <si>
    <t>AC Milan Brasil</t>
  </si>
  <si>
    <t>acmilan_brasil</t>
  </si>
  <si>
    <t>Perfil da primeira e única torcida oficial do #ACMilan no Brasil | Milan Club desde 2017 | Informação, opinião e cobertura de jogos em português 🔴⚫️🇧🇷</t>
  </si>
  <si>
    <t xml:space="preserve">     50.167</t>
  </si>
  <si>
    <t>Felipe Leme 🇯🇴</t>
  </si>
  <si>
    <t>leme12</t>
  </si>
  <si>
    <t>Jornalista independente premiado 3 vezes pela fundação Ford. Assessoria: @cabaladecabalo / Parody page.</t>
  </si>
  <si>
    <t xml:space="preserve">     15.491</t>
  </si>
  <si>
    <t>Mano X</t>
  </si>
  <si>
    <t>manox_png</t>
  </si>
  <si>
    <t>🇧🇷 faço desenhos, torço pro Corinthians, sou apaixonado por tenis. 20 anos 👍</t>
  </si>
  <si>
    <t xml:space="preserve">      2.747</t>
  </si>
  <si>
    <t>luisera</t>
  </si>
  <si>
    <t>itsluisaalmeida</t>
  </si>
  <si>
    <t>amo el fútbol pero me está consumiendo | in my pesquisadora acadêmica era</t>
  </si>
  <si>
    <t xml:space="preserve">      1.523</t>
  </si>
  <si>
    <t>Cissa Bailey 🇺🇸🇧🇷</t>
  </si>
  <si>
    <t>cissabailey</t>
  </si>
  <si>
    <t>Political Commentator, Wine Enthusiast, Shadow Banned</t>
  </si>
  <si>
    <t xml:space="preserve">     34.217</t>
  </si>
  <si>
    <t>GZH</t>
  </si>
  <si>
    <t>gzhdigital</t>
  </si>
  <si>
    <t>Somos um jornal digital, que reúne o melhor de Rádio Gaúcha e Zero Hora em um só lugar. Notícias, análises, opinião e muito mais! 📲https://t.co/wINWTuRZGY</t>
  </si>
  <si>
    <t xml:space="preserve">  1.166.862</t>
  </si>
  <si>
    <t>Autoracing</t>
  </si>
  <si>
    <t>adautoracing</t>
  </si>
  <si>
    <t>Autoracing, tudo sobre Formula 1, Indy, Stock, MotoGP. E o maior Podcast sobre automobilismo do Brasil, o Loucos por Automobilismo</t>
  </si>
  <si>
    <t xml:space="preserve">      7.495</t>
  </si>
  <si>
    <t>Italo Marsinho</t>
  </si>
  <si>
    <t>italomarsinho</t>
  </si>
  <si>
    <t>Jornalista
Político
Perfil Paródia
Trabalhe, sirva, seja forte e não encha o saco
IG: https://t.co/2pz4nDuL6W</t>
  </si>
  <si>
    <t xml:space="preserve">     25.943</t>
  </si>
  <si>
    <t>Lupo</t>
  </si>
  <si>
    <t>lupooficial</t>
  </si>
  <si>
    <t>Dê seu melhor.</t>
  </si>
  <si>
    <t xml:space="preserve">     16.669</t>
  </si>
  <si>
    <t>Chainz of the Dead.</t>
  </si>
  <si>
    <t>thezerochainz</t>
  </si>
  <si>
    <t>Caçador de mãe gostosa, nós rapa panela velha. Compra carro importado no cartão do marido dela. Corno liga e reclama, nós manda logo a real. Comedor de casada.</t>
  </si>
  <si>
    <t xml:space="preserve">      2.650</t>
  </si>
  <si>
    <t>PerolasdoXbox🦠</t>
  </si>
  <si>
    <t>perolasdoxbox</t>
  </si>
  <si>
    <t>🤡Esse será o ANO DO XBOX https://t.co/GV1CdOCCWp</t>
  </si>
  <si>
    <t xml:space="preserve">      1.585</t>
  </si>
  <si>
    <t>𝐋𝐚𝐮𝐫𝐚ᶜʳᶠ 🦁🦉🚩</t>
  </si>
  <si>
    <t>lauraxs15</t>
  </si>
  <si>
    <t>𝘼𝙢𝙤 𝙖 𝙢𝙪𝙡𝙝𝙚𝙧 𝙦𝙪𝙚 𝙢𝙚 𝙩𝙤𝙧𝙣𝙚𝙞,𝙥𝙤𝙧𝙦𝙪𝙚 𝙚𝙪 𝙡𝙪𝙩𝙚𝙞 𝙥𝗮𝗿𝗮 𝙨𝙚𝙧 𝙚𝙡𝙖.𝗦𝗲𝗷𝗮𝗺 𝘁𝗼𝗱𝗼𝘀 𝗯𝗲𝗺 𝘃𝗶𝗻𝗱𝗼𝘀. Não respondo DM🚫</t>
  </si>
  <si>
    <t xml:space="preserve">     15.197</t>
  </si>
  <si>
    <t>bad lucas</t>
  </si>
  <si>
    <t>badlucas_</t>
  </si>
  <si>
    <t>Fan Account | @anitta</t>
  </si>
  <si>
    <t xml:space="preserve">      1.611</t>
  </si>
  <si>
    <t>𝗙𝗟𝗨𝗖𝗢𝗡𝗢M𝗶𝗖𝗦</t>
  </si>
  <si>
    <t>fluconomics</t>
  </si>
  <si>
    <t>Financial analysis of the Football Industry. And a lot of everything else. Only on 𝕏!</t>
  </si>
  <si>
    <t xml:space="preserve">      1.958</t>
  </si>
  <si>
    <t>AllDomains</t>
  </si>
  <si>
    <t>alldomains_</t>
  </si>
  <si>
    <t>AllDomains: domains for the community
Built by @onsol_labs
Home of $ALL and .everything
https://t.co/EKHZvz94nk
https://t.co/RAP675K6hx</t>
  </si>
  <si>
    <t xml:space="preserve">      3.545</t>
  </si>
  <si>
    <t>mm's</t>
  </si>
  <si>
    <t>marciomiabreu</t>
  </si>
  <si>
    <t>a arte é de viver da fé, só não se sabe fé em quê</t>
  </si>
  <si>
    <t xml:space="preserve">      2.938</t>
  </si>
  <si>
    <t>Bruno Francisco | Benfica em Análise 🔴⚪🦅</t>
  </si>
  <si>
    <t>brunofrancisc89</t>
  </si>
  <si>
    <t>🎙️ Comentador Visão Vermelha 🦅 | 🚨 Visão Explica Host |🎙️ Comentador Bola na Rede ⚽ | @MetricaSports Partner | Parcerias DM</t>
  </si>
  <si>
    <t xml:space="preserve">      7.456</t>
  </si>
  <si>
    <t>Laura Sabino</t>
  </si>
  <si>
    <t>mylaura_m</t>
  </si>
  <si>
    <t>Meu trabalho é tirar o jovem do seio do liberalismo e jogar nas tetas de Marx . Sigam no youtube</t>
  </si>
  <si>
    <t xml:space="preserve">    243.263</t>
  </si>
  <si>
    <t>Roda Viva</t>
  </si>
  <si>
    <t>rodaviva</t>
  </si>
  <si>
    <t>Um espaço plural para apresentação de ideias.
- Mais de 200 milhões de visualizações no Youtube.
- Toda segunda-feira, às 22h.
- Apresentado por @veramagalhaes</t>
  </si>
  <si>
    <t xml:space="preserve">    928.629</t>
  </si>
  <si>
    <t>Juve a Tre Stelle</t>
  </si>
  <si>
    <t>juveatrestelle</t>
  </si>
  <si>
    <t>C'era una volta la Juventus - ci trovate nei nostri gruppi e sui social network 👋🖤🤍</t>
  </si>
  <si>
    <t xml:space="preserve">      8.339</t>
  </si>
  <si>
    <t>João Duarte - Dinheiro Investimento e Lazer</t>
  </si>
  <si>
    <t>dinheiroinv</t>
  </si>
  <si>
    <t>Português, Investidor, Educador Financeiro, Youtuber e blogueiro, Asset Allocation, Global Investing, Backtests.</t>
  </si>
  <si>
    <t xml:space="preserve">      5.033</t>
  </si>
  <si>
    <t>Henrique Farinha 🇧🇷🇦🇴🇵🇹</t>
  </si>
  <si>
    <t>henriquefarinha</t>
  </si>
  <si>
    <t>Economista que se descobriu editor, ou editor que se achou economista em algum momento da vida... Geek por impulso, empreendedor por convicção.</t>
  </si>
  <si>
    <t xml:space="preserve">      6.666</t>
  </si>
  <si>
    <t>Movement</t>
  </si>
  <si>
    <t>movementlabsxyz</t>
  </si>
  <si>
    <t>A Network of Modular Move-Based Blockchains
https://t.co/dZppySsjNT</t>
  </si>
  <si>
    <t xml:space="preserve">      4.923</t>
  </si>
  <si>
    <t>Blizzard Fund</t>
  </si>
  <si>
    <t>blizzardfund</t>
  </si>
  <si>
    <t>A $200M+ fund dedicated to accelerating development, growth, and innovation across the ecosystem of Avalanche and beyond</t>
  </si>
  <si>
    <t xml:space="preserve">      2.660</t>
  </si>
  <si>
    <t>Claudio Gagliardini</t>
  </si>
  <si>
    <t>cla_gagliardini</t>
  </si>
  <si>
    <t>Socio @seidigitale Cremona e https://t.co/Y6eous07LF live streaming video. Marketing specialist, formatore e consulente in comunicazione online.  @gagliardini@masto</t>
  </si>
  <si>
    <t xml:space="preserve">     29.652</t>
  </si>
  <si>
    <t>Eneva</t>
  </si>
  <si>
    <t>enevabrasil</t>
  </si>
  <si>
    <t>⚡ Somos uma das maiores operadoras integradas de energia do Brasil e também atuamos no fornecimento de soluções de #energia. (B3: #ENEV3). #EnevaUmaNovaEnergia</t>
  </si>
  <si>
    <t xml:space="preserve">      2.009</t>
  </si>
  <si>
    <t>Governo do Maranhão</t>
  </si>
  <si>
    <t>governoma</t>
  </si>
  <si>
    <t>Twitter oficial do Governo do Estado do Maranhão. Link do canal no telegram: https://t.co/K8pMPHU0tt</t>
  </si>
  <si>
    <t xml:space="preserve">    219.310</t>
  </si>
  <si>
    <t>Jairme</t>
  </si>
  <si>
    <t>jairmearrependi</t>
  </si>
  <si>
    <t>Castigat ridendo mores. |  oijairme@proton.me</t>
  </si>
  <si>
    <t xml:space="preserve">    406.973</t>
  </si>
  <si>
    <t>DIRETO DO MIOLO</t>
  </si>
  <si>
    <t>diretodomiolo</t>
  </si>
  <si>
    <t>A sua fonte de notícias mais rápida sobre o que ocorre no Rio de Janeiro, Brasil e Mundo. Contato: comercial.diretodomiolo@gmail.com</t>
  </si>
  <si>
    <t xml:space="preserve">    349.533</t>
  </si>
  <si>
    <t>Edison News</t>
  </si>
  <si>
    <t>edisonnews</t>
  </si>
  <si>
    <t>Diventiamo l’#energiachecambiatutto. Anche con i nostri e vostri Tweet.</t>
  </si>
  <si>
    <t xml:space="preserve">      9.843</t>
  </si>
  <si>
    <t>Tiago</t>
  </si>
  <si>
    <t>tigas68</t>
  </si>
  <si>
    <t>Fã de gelados e desporto. Sporting sempre.</t>
  </si>
  <si>
    <t xml:space="preserve">      4.017</t>
  </si>
  <si>
    <t>Mítico FC Porto</t>
  </si>
  <si>
    <t>miticofcporto</t>
  </si>
  <si>
    <t>De portistas, para portistas 🤝 Junta-te ao ᴍɪ́ᴛɪᴄᴏ 💙 #MíticoFCPorto</t>
  </si>
  <si>
    <t xml:space="preserve">      2.529</t>
  </si>
  <si>
    <t>QED Investors</t>
  </si>
  <si>
    <t>qedinvestors</t>
  </si>
  <si>
    <t>Global fintech venture capital firm providing the best advice in financial technology. 200+ investments and 28 unicorns, including @creditkarma @nubank @kavakmx</t>
  </si>
  <si>
    <t xml:space="preserve">      6.593</t>
  </si>
  <si>
    <t>Edu</t>
  </si>
  <si>
    <t>consultor_void</t>
  </si>
  <si>
    <t>Sei lá, gosto de joguinhos. Ainda estou tentando descobrir quem sou para além do meu trabalho mas sou da área de tecnologia.</t>
  </si>
  <si>
    <t xml:space="preserve">      3.296</t>
  </si>
  <si>
    <t>Leo Bastos</t>
  </si>
  <si>
    <t>leosbastos</t>
  </si>
  <si>
    <t>Pesquisador Titular do PROCC/@Fiocruz na área de modelagem estatística de doenças infecciosas | bolsa de produtividade do CNPQ e JCNE da Faperj | pai de 3.</t>
  </si>
  <si>
    <t xml:space="preserve">     14.211</t>
  </si>
  <si>
    <t>VÍTOR</t>
  </si>
  <si>
    <t>vitortingz</t>
  </si>
  <si>
    <t>Nicki Minaj, Anitta, DC e outras coisas do mundo pop. https://t.co/my6Qk78Txg insta: Vitor_queiroz3</t>
  </si>
  <si>
    <t xml:space="preserve">      4.695</t>
  </si>
  <si>
    <t>Brasil 247</t>
  </si>
  <si>
    <t>brasil247</t>
  </si>
  <si>
    <t>Jornalismo independente, progressista, 24 horas por dia, 7 dias por semana. Assine: (https://t.co/9osqP6SbjD) Telegram: https://t.co/Hld10tstNN 📢</t>
  </si>
  <si>
    <t xml:space="preserve">    683.414</t>
  </si>
  <si>
    <t>érica</t>
  </si>
  <si>
    <t>027erica_</t>
  </si>
  <si>
    <t>027Capixaba  | Arrasta pra baixo e entenda como quiser</t>
  </si>
  <si>
    <t xml:space="preserve">      1.720</t>
  </si>
  <si>
    <t>Everton</t>
  </si>
  <si>
    <t>everton</t>
  </si>
  <si>
    <t>1878 NSNO @EvertonWomen ⚽️ | @EFC_fanservices 💬 | @EvertonStadium 🏟 | @EITC 💙 | @EvertonAcademy 🎓 | @EvertonInUSA 🇺🇸 | @EvertonESP 🇪🇸 | @Everton_PT 🇵🇹</t>
  </si>
  <si>
    <t xml:space="preserve">  3.038.494</t>
  </si>
  <si>
    <t>Rodrigo Ianhez</t>
  </si>
  <si>
    <t>rianhez</t>
  </si>
  <si>
    <t>Historiador brasileiro que trata do período soviético.
Instagram: @guiarussia</t>
  </si>
  <si>
    <t xml:space="preserve">     64.679</t>
  </si>
  <si>
    <t>Yago Martins (Dois Dedos de Teologia)</t>
  </si>
  <si>
    <t>doisdedosdeteo</t>
  </si>
  <si>
    <t>Teólogo e pastor batista, mestre em teologia (Aubrey Clark), especialista nas áreas de economia política (Uniítalo) e neurociência (Mackenzie).</t>
  </si>
  <si>
    <t xml:space="preserve">    103.863</t>
  </si>
  <si>
    <t>Nísia Trindade Lima</t>
  </si>
  <si>
    <t>nisia_trindade</t>
  </si>
  <si>
    <t>Ministra da Saúde, ex-presidente da Fundação Oswaldo Cruz (Fiocruz), socióloga e professora</t>
  </si>
  <si>
    <t xml:space="preserve">    110.935</t>
  </si>
  <si>
    <t>𝔑𝔢𝔴𝔳𝔶𝔫𝔦</t>
  </si>
  <si>
    <t>newvyni</t>
  </si>
  <si>
    <t>Last Time I Saw You out 01.07</t>
  </si>
  <si>
    <t xml:space="preserve">      1.189</t>
  </si>
  <si>
    <t>Fanpage.it</t>
  </si>
  <si>
    <t>fanpage</t>
  </si>
  <si>
    <t>Connettiti a fanpage. Segui i nostri live, reportage, inchieste, storie e video. Partecipa con noi all'informazione. https://t.co/2Z0xz9hfuG</t>
  </si>
  <si>
    <t xml:space="preserve">    787.036</t>
  </si>
  <si>
    <t>vanessa gray</t>
  </si>
  <si>
    <t>vanessagray5</t>
  </si>
  <si>
    <t>Solo coloro che tentano l’assurdo raggiungeranno l’impossibile.
(M. E.)</t>
  </si>
  <si>
    <t xml:space="preserve">      1.260</t>
  </si>
  <si>
    <t>Ania🃏♠️</t>
  </si>
  <si>
    <t>cannelladark</t>
  </si>
  <si>
    <t>sulla pelle e nel cuore per sempre ...piccola strega nel corpo di donna...attenti il mio Lupo vi sbrana,un solo cuore nero e appartiene a lui🖤♠️</t>
  </si>
  <si>
    <t xml:space="preserve">     25.536</t>
  </si>
  <si>
    <t>Orton BFR United⚽</t>
  </si>
  <si>
    <t>gabriel_bfr7</t>
  </si>
  <si>
    <t>Deus ❤️🙏 , @Botafogo ⚫⚪⚽, @ManUtd 🔴⚪⚽, Futebol ⚽,SDV follow back.</t>
  </si>
  <si>
    <t xml:space="preserve">      2.035</t>
  </si>
  <si>
    <t>Lucas Musetti Perazolli</t>
  </si>
  <si>
    <t>lucas_musetti</t>
  </si>
  <si>
    <t>Jornalista formado em 2016 e atualmente repórter do UOL. Antes, Gazeta Esportiva, GE e Jornal A Tribuna 🇧🇷🇺🇾</t>
  </si>
  <si>
    <t xml:space="preserve">    129.954</t>
  </si>
  <si>
    <t>GOAT Br ™ 🏀🐐</t>
  </si>
  <si>
    <t>goat_br</t>
  </si>
  <si>
    <t>Apaixonados por basquete!</t>
  </si>
  <si>
    <t xml:space="preserve">      6.360</t>
  </si>
  <si>
    <t>Truecaller</t>
  </si>
  <si>
    <t>samuelsworld</t>
  </si>
  <si>
    <t>“Great minds discuss ideas. Average minds discuss events. Small minds discuss people.“
- Eleanor Roosevelt
Absolutamente nenhum post é recomendação!!!</t>
  </si>
  <si>
    <t xml:space="preserve">     13.377</t>
  </si>
  <si>
    <t>Leandro de Castro 🇧🇷🇺🇸🇬🇧</t>
  </si>
  <si>
    <t>leandro2castro</t>
  </si>
  <si>
    <t>🇧🇷Cristão Conservador de Direita, Pró Bolsonaro, Trump e Armas para defender Pátria e Família, R2_FAB. 🇧🇷🇧🇷
🇧🇷Meus heróis não morreram de overdose🇧🇷</t>
  </si>
  <si>
    <t xml:space="preserve">     25.797</t>
  </si>
  <si>
    <t>Luigi Marattin</t>
  </si>
  <si>
    <t>marattin</t>
  </si>
  <si>
    <t>Deputato e Professore di Economia (ora in aspettativa obbligatoria) all’Universita’ di Bologna. Qui (https://t.co/E2qUAOMjxC) trovate tutto su di me.</t>
  </si>
  <si>
    <t xml:space="preserve">    112.121</t>
  </si>
  <si>
    <t>OpBNB Gems</t>
  </si>
  <si>
    <t>opbnbgem</t>
  </si>
  <si>
    <t>Find the gems on #opBNB  TG : https://t.co/53cyGW8uiW</t>
  </si>
  <si>
    <t xml:space="preserve">     62.076</t>
  </si>
  <si>
    <t>Fabio Dragoni</t>
  </si>
  <si>
    <t>fdragoni</t>
  </si>
  <si>
    <t>A man is not free unless government is limited. As government expands liberty contracts (RONALD REAGAN) - LA VERITÀ - IL TIMONE - #CULTURAIDENTITA'</t>
  </si>
  <si>
    <t xml:space="preserve">     66.571</t>
  </si>
  <si>
    <t>Elisa Brom</t>
  </si>
  <si>
    <t>brom_elisa</t>
  </si>
  <si>
    <t>Não sou responsável pelos seus filmes mentais,suas suposições nem suas conclusões equivocadas.Sou responsável pelo que eu Falo,não pelo que você Entende.</t>
  </si>
  <si>
    <t xml:space="preserve">    469.522</t>
  </si>
  <si>
    <t>Caóli | FUNK GENERATION</t>
  </si>
  <si>
    <t>pactuei</t>
  </si>
  <si>
    <t>99'ss</t>
  </si>
  <si>
    <t xml:space="preserve">      3.748</t>
  </si>
  <si>
    <t>Café do Setorista - Inscreva-se | Samir Carvalho</t>
  </si>
  <si>
    <t>samircarvalho</t>
  </si>
  <si>
    <t>Repórter do Café do Setorista, canal do YouTube que prioriza informações exclusivas de Corinthians e mais clubes! Colunista no UOL Esporte! Ex-iG e Terra!</t>
  </si>
  <si>
    <t xml:space="preserve">     50.777</t>
  </si>
  <si>
    <t>MDS</t>
  </si>
  <si>
    <t>mdsgovbr</t>
  </si>
  <si>
    <t>Perfil oficial do Ministério do Desenvolvimento e Assistência Social, Família e Combate à Fome</t>
  </si>
  <si>
    <t xml:space="preserve">      6.464</t>
  </si>
  <si>
    <t>PT Paulista</t>
  </si>
  <si>
    <t>ptpaulista13</t>
  </si>
  <si>
    <t>Twitter oficial do Partido dos Trabalhadores do estado de São Paulo.</t>
  </si>
  <si>
    <t xml:space="preserve">     18.855</t>
  </si>
  <si>
    <t>Pedro Certezas</t>
  </si>
  <si>
    <t>pedrocertezas</t>
  </si>
  <si>
    <t>Humorista, comentarista esportivo, botafoguense pra caralho e idiota do bem! @tntsportsbr, Youtube e Twitch! VIDAAAAA! FOGOOOO!</t>
  </si>
  <si>
    <t xml:space="preserve">    642.691</t>
  </si>
  <si>
    <t>Cisl TarantoBrindisi</t>
  </si>
  <si>
    <t>cisltabr</t>
  </si>
  <si>
    <t>via Regina Elena, n. 126</t>
  </si>
  <si>
    <t xml:space="preserve">      2.228</t>
  </si>
  <si>
    <t>Futmais | Menino Fut</t>
  </si>
  <si>
    <t>futtmais</t>
  </si>
  <si>
    <t>E-mail para contato: Futmais@virallabs.com.br</t>
  </si>
  <si>
    <t xml:space="preserve">    349.208</t>
  </si>
  <si>
    <t>David Kirzner</t>
  </si>
  <si>
    <t>davidkirzner</t>
  </si>
  <si>
    <t>Salesforce Administrator</t>
  </si>
  <si>
    <t xml:space="preserve">      1.992</t>
  </si>
  <si>
    <t>Sergio Moro</t>
  </si>
  <si>
    <t>sf_moro</t>
  </si>
  <si>
    <t>Casado com Rosângela (@rosangelamorosp), pai orgulhoso de dois filhos e professor. Senador da República eleito pelo estado do Paraná.</t>
  </si>
  <si>
    <t xml:space="preserve">  4.285.862</t>
  </si>
  <si>
    <t>Sig. Donoso Cortes 4.1 🫃 🧀⚡🥜🍦🇳🇪</t>
  </si>
  <si>
    <t>cazzaccimiei1</t>
  </si>
  <si>
    <t>Ho decriptato la Gioconda.
Franco Sala mi ruba i tweet.
Odio Joe Forte.
Aboubakar stan account.
Non vero impreditore/usuraio.
Analyst Alberello.</t>
  </si>
  <si>
    <t xml:space="preserve">      5.335</t>
  </si>
  <si>
    <t>birboluddinx</t>
  </si>
  <si>
    <t>luddynski</t>
  </si>
  <si>
    <t>Presidente della Società Italiana Demografia Culturale. Redpill? tutte cazzate. Discendente dei Galli</t>
  </si>
  <si>
    <t xml:space="preserve">      3.424</t>
  </si>
  <si>
    <t>il Presidente ™ 🧱🐭🎣🇮🇹🇵🇸</t>
  </si>
  <si>
    <t>ilpresidenteh</t>
  </si>
  <si>
    <t>Negazionista di professione. #FreeAssangeNOW</t>
  </si>
  <si>
    <t xml:space="preserve">      9.154</t>
  </si>
  <si>
    <t>Tribunal de Justiça</t>
  </si>
  <si>
    <t>tjspoficial</t>
  </si>
  <si>
    <t>Notícias e informações oficiais do Tribunal de Justiça do Estado de São Paulo.</t>
  </si>
  <si>
    <t xml:space="preserve">     48.597</t>
  </si>
  <si>
    <t>Blog do Noblat</t>
  </si>
  <si>
    <t>blogdonoblat</t>
  </si>
  <si>
    <t>Acompanhe as atualizações do blog do jornalista Ricardo Noblat, há 19 anos no ar.</t>
  </si>
  <si>
    <t xml:space="preserve">  1.229.312</t>
  </si>
  <si>
    <t>Frankito, o Curioso</t>
  </si>
  <si>
    <t>weisefranklin</t>
  </si>
  <si>
    <t>Inspirado por Frankito Lopes, o índio apaixonado. 
Penso, logo desisto.  TL civilizada é vida.</t>
  </si>
  <si>
    <t xml:space="preserve">     11.606</t>
  </si>
  <si>
    <t>carolina fernandes</t>
  </si>
  <si>
    <t>carolaf88</t>
  </si>
  <si>
    <t>Espiã da CIA concursada, nerd-geek assumida, skincare junkie, hedonist in remission, apaixonada por arte e estatística. Versão 3.0 em melhoramentos.</t>
  </si>
  <si>
    <t xml:space="preserve">     13.765</t>
  </si>
  <si>
    <t>Felipe Santos</t>
  </si>
  <si>
    <t>feliphesant6s</t>
  </si>
  <si>
    <t>BOTAFOGO DE FUTEBOL E REGATAS 🔥</t>
  </si>
  <si>
    <t xml:space="preserve">      1.069</t>
  </si>
  <si>
    <t>pedro</t>
  </si>
  <si>
    <t>safetypedro</t>
  </si>
  <si>
    <t>@botafogo 💍</t>
  </si>
  <si>
    <t xml:space="preserve">      4.149</t>
  </si>
  <si>
    <t>ցɑbi͏៹⁷ 𔘓 ִֶ ☭ TIME O'HARA 🕸</t>
  </si>
  <si>
    <t>sun_gojou</t>
  </si>
  <si>
    <t>𔓕 ː #BTS my only love that i will take for a lifetime . . . the first and only girlfriend of satoru gojo and yuji itadori ! 🩵</t>
  </si>
  <si>
    <t xml:space="preserve">      1.190</t>
  </si>
  <si>
    <t>Duda Salabert</t>
  </si>
  <si>
    <t>dudasalabert</t>
  </si>
  <si>
    <t>✊🏽Deputada Federal mais votada da história de M.G  🏳️‍⚧️Vereadora mais votada da história de BH 🌱Vegana</t>
  </si>
  <si>
    <t xml:space="preserve">    109.596</t>
  </si>
  <si>
    <t>Zeza Golovov (Régis Paiva) - 3ª conta. S/DM. 🧣</t>
  </si>
  <si>
    <t>zeza_golovov</t>
  </si>
  <si>
    <t>Casado com a Cléia. Agrônomo com MS. Lula Sempre. Colorado🇲🇨.
Recomeçando das cinzas, 
eu faço versos tão claros...</t>
  </si>
  <si>
    <t xml:space="preserve">      2.241</t>
  </si>
  <si>
    <t>Eduardo Maganha VASCO 💢</t>
  </si>
  <si>
    <t>maganhavasco</t>
  </si>
  <si>
    <t>💢 Sócio-Proprietário do @crvasco_br 
💢 Cofundador do @SiteCasaca
💢 Produtor de conteúdo sobre o @VascodaGama desde o ano 2000.</t>
  </si>
  <si>
    <t xml:space="preserve">      1.501</t>
  </si>
  <si>
    <t>Gabriela Arantes Brino</t>
  </si>
  <si>
    <t>gabbsbrino</t>
  </si>
  <si>
    <t>Jornalista. Setorista do Santos pelo @UOLEsporte com passagem pelo @lancenet</t>
  </si>
  <si>
    <t xml:space="preserve">     35.631</t>
  </si>
  <si>
    <t>GYNOID DOLLS</t>
  </si>
  <si>
    <t>gynoiddolls</t>
  </si>
  <si>
    <t>From Gynoid&amp;Gynoid-doll owners...
Email: gynoiddolls@hotmail.com
#models,#portrait,#collectibles,#NSFW,#sexdoll,#cosplaydoll,#lovedoll,#modelkit,#mannequin</t>
  </si>
  <si>
    <t xml:space="preserve">     10.044</t>
  </si>
  <si>
    <t>Alessandro Nogueira 💚🇧🇷🇮🇱🇺🇦</t>
  </si>
  <si>
    <t>alessandro113</t>
  </si>
  <si>
    <t>Photographer</t>
  </si>
  <si>
    <t xml:space="preserve">      1.774</t>
  </si>
  <si>
    <t>Cruzeiro 🦊</t>
  </si>
  <si>
    <t>cruzeiro</t>
  </si>
  <si>
    <t>Perfil oficial do Cruzeiro • 🏆 Tetracampeão Brasileiro • 👑 Hexacampeão da Copa do Brasil • ⭐️ Bicampeão da Libertadores</t>
  </si>
  <si>
    <t xml:space="preserve">  2.590.222</t>
  </si>
  <si>
    <t>Guto Zacarias</t>
  </si>
  <si>
    <t>gutozacariasmbl</t>
  </si>
  <si>
    <t>Membro do @mblivre. Inimigo n° 1 de quem tenta te enganar | Deputado estadual eleito em São Paulo.</t>
  </si>
  <si>
    <t xml:space="preserve">     66.743</t>
  </si>
  <si>
    <t>chicco testa</t>
  </si>
  <si>
    <t>chiccotesta</t>
  </si>
  <si>
    <t>Un po' di tutto. Benvenute tutte le persone cortesi e ironiche . Gli altri a casa loro. Grazie</t>
  </si>
  <si>
    <t xml:space="preserve">     38.851</t>
  </si>
  <si>
    <t>Deputado Maurici</t>
  </si>
  <si>
    <t>deputadomaurici</t>
  </si>
  <si>
    <t>Jornalista, ex-vereador e prefeito de Franco de Rocha. Deputado estadual reeleito (PT-SP) na luta por um país menos desigual e com mais justiça social 🫱🏻‍🫲🏾</t>
  </si>
  <si>
    <t xml:space="preserve">      2.884</t>
  </si>
  <si>
    <t>Flanálises</t>
  </si>
  <si>
    <t>flanalises12</t>
  </si>
  <si>
    <t>SRN
Sou flamenguista desde a infância, apaixonado por futebol. Nesta página irei conversar sobre minha maior paixão, o Flamengo.</t>
  </si>
  <si>
    <t xml:space="preserve">      3.801</t>
  </si>
  <si>
    <t>Gmcw</t>
  </si>
  <si>
    <t>gmcw73</t>
  </si>
  <si>
    <t>de passagem</t>
  </si>
  <si>
    <t xml:space="preserve">      1.017</t>
  </si>
  <si>
    <t>Winx Fandom</t>
  </si>
  <si>
    <t>fandomwinx</t>
  </si>
  <si>
    <t xml:space="preserve">      1.723</t>
  </si>
  <si>
    <t>INFOtime</t>
  </si>
  <si>
    <t>infotime100</t>
  </si>
  <si>
    <t>The most relevant and best news about projects in the World of CRYPTO INDUSTRY!
 Contact me for MARKETING : mail -  infotime@ro.ru
telegram - https://t.co/wlUzMIDFwU</t>
  </si>
  <si>
    <t xml:space="preserve">     13.714</t>
  </si>
  <si>
    <t>AnistiaNuncaMais🚩🇧🇷🇨🇺🇯🇴🇻🇳🇲🇿</t>
  </si>
  <si>
    <t>terezandrade</t>
  </si>
  <si>
    <t>Paranapanema é o mais belo dos rios porque passa na minha aldeia. Filha de Josefa e Benedito, caipira, editora e mãe de Fernando e Cândida.</t>
  </si>
  <si>
    <t xml:space="preserve">      4.035</t>
  </si>
  <si>
    <t>Noticias e etc</t>
  </si>
  <si>
    <t>noticiaseetc</t>
  </si>
  <si>
    <t>Informações de entretenimento</t>
  </si>
  <si>
    <t xml:space="preserve">      1.599</t>
  </si>
  <si>
    <t>Carla Zambelli</t>
  </si>
  <si>
    <t>zambelli2210</t>
  </si>
  <si>
    <t>Dep. Federal (SP),eleita melhor Dep 2019 e 2022 voto popular, gerente de projetos, conservadora, mãe de João e esposa do Coronel Aginaldo, leal ao PR Bolsonaro!</t>
  </si>
  <si>
    <t xml:space="preserve">  2.297.886</t>
  </si>
  <si>
    <t>Meu Professor de História</t>
  </si>
  <si>
    <t>mphistoria</t>
  </si>
  <si>
    <t>Versão da lendária página do Facebook agora no Twitter. A falecida MPH I chegou a ter mais de um milhão de seguidores no Face.</t>
  </si>
  <si>
    <t xml:space="preserve">     39.569</t>
  </si>
  <si>
    <t>Rodrigo Rocha</t>
  </si>
  <si>
    <t>rodrigoro</t>
  </si>
  <si>
    <t>Gremista acima de tudo!
Nesse perfil falamos de Futebol e
Política... Vídeomaker e Editor.</t>
  </si>
  <si>
    <t xml:space="preserve">      1.714</t>
  </si>
  <si>
    <t>flablack</t>
  </si>
  <si>
    <t>everything that kills me, makes me feel alive</t>
  </si>
  <si>
    <t xml:space="preserve">      1.962</t>
  </si>
  <si>
    <t>Sergio Dourado - BR Potência ✝🇧🇷💪🏼🇦🇲✌🏼🕊🦅</t>
  </si>
  <si>
    <t>sergiusdourado</t>
  </si>
  <si>
    <t>"Brasil é feito por nós. Está na hora de desatar esses nós."
Barão de Itararé</t>
  </si>
  <si>
    <t xml:space="preserve">      2.356</t>
  </si>
  <si>
    <t>V de Victor</t>
  </si>
  <si>
    <t>victorpedretti</t>
  </si>
  <si>
    <t>Professor, Geopolítica, Nacional Desenvolvimento Bem vindo(a)! 
Toda Revolução parece Impossível até que ela é Inevitável ✊🏾</t>
  </si>
  <si>
    <t>Maria P</t>
  </si>
  <si>
    <t>damadanoite14</t>
  </si>
  <si>
    <t>Diante da vastidão do tempo e da imensidão do universo, para mim, é um imenso prazer dividir um planeta e uma época com voce ❤️ Carl Sagan</t>
  </si>
  <si>
    <t xml:space="preserve">     30.501</t>
  </si>
  <si>
    <t>Wanderson - Numa galáxia não muito distante</t>
  </si>
  <si>
    <t>wandesigner13</t>
  </si>
  <si>
    <t>Funcionário Público em MG.
Amante de rock, culturas, jogos e risadas.
Filiado ao PT. Antifascista. Meio nerd.
Demissexual.
Em eterna busca.</t>
  </si>
  <si>
    <t xml:space="preserve">      1.555</t>
  </si>
  <si>
    <t>Ana MPR 📖 Protegida Pelo Lenhador</t>
  </si>
  <si>
    <t>porromances</t>
  </si>
  <si>
    <t>Blog destinado a todo os amantes de livros e tudo relacionado a eles. No blog você encontra resenhas, lançamentos e dicas de leitura.</t>
  </si>
  <si>
    <t xml:space="preserve">      3.131</t>
  </si>
  <si>
    <t>🇧🇷 VLOGDOLISBOA</t>
  </si>
  <si>
    <t>vlogdolisboa</t>
  </si>
  <si>
    <t>Desistir não é um Opção João 8:32 📱 https://t.co/d3pC1hULNX 💻  minha cidade #Guarulhos</t>
  </si>
  <si>
    <t xml:space="preserve">    430.126</t>
  </si>
  <si>
    <t>Teresinha Vale Lima</t>
  </si>
  <si>
    <t>teresinhavalle_</t>
  </si>
  <si>
    <t>👮🏻‍♀️🐶🦑💐❤️</t>
  </si>
  <si>
    <t xml:space="preserve">      2.874</t>
  </si>
  <si>
    <t>Cristiano Ronaldo</t>
  </si>
  <si>
    <t>cristiano</t>
  </si>
  <si>
    <t>This Privacy Policy addresses the collection and use of personal information - https://t.co/N9W2J34YdA</t>
  </si>
  <si>
    <t>109.615.237</t>
  </si>
  <si>
    <t>Bloomberg</t>
  </si>
  <si>
    <t>business</t>
  </si>
  <si>
    <t>The first word in business news. 
Newsletters: https://t.co/nWaCxHTiks 
Podcasts: https://t.co/096e9xMJF7 
India Edition Newsletter: https://t.co/jNHJbY6vqN</t>
  </si>
  <si>
    <t xml:space="preserve">  9.326.676</t>
  </si>
  <si>
    <t>Fátima Gonçalves</t>
  </si>
  <si>
    <t>ftima_gonalves</t>
  </si>
  <si>
    <t>Jornalista, Mãe, Mestra em Comunicação e Cultura, e viciada em açaí.</t>
  </si>
  <si>
    <t xml:space="preserve">      4.013</t>
  </si>
  <si>
    <t>CHINA</t>
  </si>
  <si>
    <t>china</t>
  </si>
  <si>
    <t>1.4 billion people, 700 million internet users, 600 million smartphone users, $500 billion in e-commerce transactions. Shouldn't you be paying attention?</t>
  </si>
  <si>
    <t xml:space="preserve">    150.644</t>
  </si>
  <si>
    <t>Embaixada da China no Brasil</t>
  </si>
  <si>
    <t>embaixadachina</t>
  </si>
  <si>
    <t>Trazendo a China para perto de você! Conta oficial da Embaixada da República Popular da China na República Federativa do Brasil. 🇨🇳🇧🇷</t>
  </si>
  <si>
    <t xml:space="preserve">    120.097</t>
  </si>
  <si>
    <t>🇧🇷🇷🇺🇮🇳🇨🇳🇿🇦🇸🇦🇪🇬🇦🇪🇦🇷🇮🇷🇪🇹</t>
  </si>
  <si>
    <t>saipralavendil1</t>
  </si>
  <si>
    <t>Um -ista qualquer, exceto entreguista
B🇧🇷 R🇷🇺 I🇮🇳 C🇨🇳 S🇿🇦 🇸🇦 🇪🇬 🇦🇪 🇦🇷 🇮🇷 🇪🇹</t>
  </si>
  <si>
    <t xml:space="preserve">      1.148</t>
  </si>
  <si>
    <t>José Ruiz</t>
  </si>
  <si>
    <t>joseruiztjunior</t>
  </si>
  <si>
    <t>dublê de ativista de sofá, espírita, pescetariano e socialista, sem paciência para minions, sejam de que cor forem..</t>
  </si>
  <si>
    <t xml:space="preserve">      5.383</t>
  </si>
  <si>
    <t>Doctor Wood</t>
  </si>
  <si>
    <t>madeiradez</t>
  </si>
  <si>
    <t>Mestre e Doutor 
Professor de Processo Penal
Maratonista amador 4 vezes
Escritor.
Cantor e ator não praticante para sorte de vocês</t>
  </si>
  <si>
    <t xml:space="preserve">    168.623</t>
  </si>
  <si>
    <t>theus</t>
  </si>
  <si>
    <t>anitteryosoy</t>
  </si>
  <si>
    <t>comentarista, tagarela e anitter • fan account</t>
  </si>
  <si>
    <t>Anitta Crave | Fan Account</t>
  </si>
  <si>
    <t>anittacrave</t>
  </si>
  <si>
    <t>Your biggest and best source of news in english about the Brazilian singer, songwriter, actress and businesswoman @Anitta. | Fan account/parody/fan club</t>
  </si>
  <si>
    <t xml:space="preserve">    200.206</t>
  </si>
  <si>
    <t>Daniela Beyruti</t>
  </si>
  <si>
    <t>danibey</t>
  </si>
  <si>
    <t xml:space="preserve">    108.245</t>
  </si>
  <si>
    <t>Paramount+ Italia</t>
  </si>
  <si>
    <t>paramountplusit</t>
  </si>
  <si>
    <t>Daje co' 'sta seconda stagione. #VitaDaCarlo Seconda Stagione disponibile ora solo su Paramount+.</t>
  </si>
  <si>
    <t xml:space="preserve">     13.924</t>
  </si>
  <si>
    <t>Inter</t>
  </si>
  <si>
    <t>inter</t>
  </si>
  <si>
    <t>#IMInter
I M FC Internazionale Milano.
Brothers and sisters of the world
@Inter_en; @Inter_id; @Inter_jp; @Inter_ar; @Inter_br; @Inter_es; @Inter_Women</t>
  </si>
  <si>
    <t xml:space="preserve">  3.040.890</t>
  </si>
  <si>
    <t>Pedro Ronchi</t>
  </si>
  <si>
    <t>pedroronchi2</t>
  </si>
  <si>
    <t>Geógrafo, professor, analista ambiental                                                                     
Reflexões políticas e sociais</t>
  </si>
  <si>
    <t xml:space="preserve">    112.846</t>
  </si>
  <si>
    <t>cori</t>
  </si>
  <si>
    <t>99tecchou</t>
  </si>
  <si>
    <t xml:space="preserve">      2.002</t>
  </si>
  <si>
    <t>🇱🇺 Retweets do Bahêa 🇱🇺</t>
  </si>
  <si>
    <t>bahearetweets</t>
  </si>
  <si>
    <t>Perfil criado para compartilhar notícias do Bahia e opiniões dos tricolores. 
⭐⭐ #BBMP</t>
  </si>
  <si>
    <t xml:space="preserve">      2.896</t>
  </si>
  <si>
    <t>sosti</t>
  </si>
  <si>
    <t>ele/dele (he/him) #supololo l @masterplano_ l @mientrasdura l  doutorando em comunicação/UFMG l bh_LATINOAMERIK 🔥</t>
  </si>
  <si>
    <t xml:space="preserve">      1.694</t>
  </si>
  <si>
    <t>Colina Informa</t>
  </si>
  <si>
    <t>colina_informa</t>
  </si>
  <si>
    <t>Portal de notícias sobre o @vascodagama. Aqui você fica por dentro de tudo sobre os bastidores do nosso gigante. 💢🖤🤍
Contato: colinainforma2008@gmail.com</t>
  </si>
  <si>
    <t xml:space="preserve">     67.421</t>
  </si>
  <si>
    <t>analiticamente</t>
  </si>
  <si>
    <t>analiticamente1</t>
  </si>
  <si>
    <t>La storia si divide in mostri, vittime o testimoni (Chuck Palahniuk)</t>
  </si>
  <si>
    <t xml:space="preserve">      5.223</t>
  </si>
  <si>
    <t>Giovanni Martinelli</t>
  </si>
  <si>
    <t>giovamartinelli</t>
  </si>
  <si>
    <t>Appassionato di Difesa e (forse...) anche esperto in materia</t>
  </si>
  <si>
    <t xml:space="preserve">      3.224</t>
  </si>
  <si>
    <t>felipe</t>
  </si>
  <si>
    <t>felipedsrosa</t>
  </si>
  <si>
    <t>building cool things - software engineer - solutions architect 🧑‍💻</t>
  </si>
  <si>
    <t xml:space="preserve">      1.199</t>
  </si>
  <si>
    <t>Copa Além da Copa</t>
  </si>
  <si>
    <t>copaalemdacopa</t>
  </si>
  <si>
    <t>Podcast sobre esporte, política, cultura, história e sociedade / Estamos em todos os tocadores e redes sociais / Contato: copaalemdacopa@gmail.com</t>
  </si>
  <si>
    <t xml:space="preserve">    155.876</t>
  </si>
  <si>
    <t>Tércio Sonic</t>
  </si>
  <si>
    <t>bequebomdebola</t>
  </si>
  <si>
    <t>Estudante de Jornalismo. O Sonic Cearense.
Atualmente no @_futCearense e @armariodabola
Gosto de Futebol, Praia e Sossego.</t>
  </si>
  <si>
    <t xml:space="preserve">      4.409</t>
  </si>
  <si>
    <t>PEACE LOVE MUSIC &amp; FLOWER POWER ☮️</t>
  </si>
  <si>
    <t>settimo771</t>
  </si>
  <si>
    <t>Un mondo senza sfruttati,senza ingiustizie...in continua navigazione verso l'isola di Utopia.Anarchico,Pacifista,Vegetariano,Antifascista,contro ogni violenza☮️</t>
  </si>
  <si>
    <t xml:space="preserve">      1.580</t>
  </si>
  <si>
    <t>BTC Doom Guy</t>
  </si>
  <si>
    <t>bitcoiod00mmano</t>
  </si>
  <si>
    <t>CORINGA MODE ON // mulher trans lésbica // supremacista bitcoin tóxico since 377861 // live free or die // free speech absolutist // incancelável // #bitcoin</t>
  </si>
  <si>
    <t xml:space="preserve">      8.728</t>
  </si>
  <si>
    <t>Raquel Krähenbühl</t>
  </si>
  <si>
    <t>rkrahenbuhl</t>
  </si>
  <si>
    <t>Washington Bureau Chief @TvGlobo @GloboNews. White House Foreign Press Group Secretary General. Troféu Imprensa Mulher- Melhor Repórter TV 🇧🇷🇺🇸</t>
  </si>
  <si>
    <t xml:space="preserve">    168.539</t>
  </si>
  <si>
    <t>Jovem Pan News</t>
  </si>
  <si>
    <t>jovempannews</t>
  </si>
  <si>
    <t>Facebook: https://t.co/117tqHc3sU
Instagram: @jovempannews 
Telegram: https://t.co/qKvdBLVYUT
Newsletter: https://t.co/yzW9nEWqXu</t>
  </si>
  <si>
    <t xml:space="preserve">  2.128.300</t>
  </si>
  <si>
    <t>Luciano Carvalho</t>
  </si>
  <si>
    <t>lucianocarvaiho</t>
  </si>
  <si>
    <t xml:space="preserve">    184.392</t>
  </si>
  <si>
    <t>Poder360</t>
  </si>
  <si>
    <t>poder360</t>
  </si>
  <si>
    <t>Jornal digital: síntese inteligente, sem abreviação. Jornalismo profissional, política e poder, a partir de Brasília.
➡️ Acompanhe no WhatsApp: https://t.co/bkQhbFYgoX</t>
  </si>
  <si>
    <t xml:space="preserve">    140.878</t>
  </si>
  <si>
    <t>RoziSNews</t>
  </si>
  <si>
    <t>rozisnews</t>
  </si>
  <si>
    <t>Fé é confiar em Deus de olhos Fechados #SpaceNews 💚🇧🇷 Entrei no Twitter com a 1ª conta em 2014 (2ªCONTA)</t>
  </si>
  <si>
    <t xml:space="preserve">      5.032</t>
  </si>
  <si>
    <t>Caio Blinder</t>
  </si>
  <si>
    <t>caioblinder</t>
  </si>
  <si>
    <t>Jornalista (CEO e único funcionário do Instituto Blinder &amp; Blainder)</t>
  </si>
  <si>
    <t xml:space="preserve">    253.409</t>
  </si>
  <si>
    <t>Il Post</t>
  </si>
  <si>
    <t>ilpost</t>
  </si>
  <si>
    <t>Articoli, rassegne, foto, tutto quello che arriva dal mondo, spiegato bene dal @ilpost o solo rimesso in circolo. Telegram: https://t.co/XETrHLVm9r
https://t.co/rvR8pF74EQ</t>
  </si>
  <si>
    <t xml:space="preserve">    738.568</t>
  </si>
  <si>
    <t>Gianmarco</t>
  </si>
  <si>
    <t>gianmarcoprete</t>
  </si>
  <si>
    <t>Un biondo un po' bizantino | He/Him</t>
  </si>
  <si>
    <t xml:space="preserve">      2.117</t>
  </si>
  <si>
    <t>Pedro Henrique</t>
  </si>
  <si>
    <t>ph_caixeiro</t>
  </si>
  <si>
    <t xml:space="preserve">     15.614</t>
  </si>
  <si>
    <t>Astronauta Marcos Pontes</t>
  </si>
  <si>
    <t>astropontes</t>
  </si>
  <si>
    <t>🇧🇷 SENADOR por SP 
🏅 Líder Bloco Vanguarda 
🇧🇷 Ministro do MCTI (19-22) 
🚀👩‍🚀 Astronauta NASA Classe 1998 
✈️ Piloto de Testes 
📈 Eng. Aeronáutico ITA</t>
  </si>
  <si>
    <t xml:space="preserve">    914.325</t>
  </si>
  <si>
    <t>Jão</t>
  </si>
  <si>
    <t>jaoromania</t>
  </si>
  <si>
    <t>SUPERTURNÊ</t>
  </si>
  <si>
    <t xml:space="preserve">    976.509</t>
  </si>
  <si>
    <t>Bemti</t>
  </si>
  <si>
    <t>bemti</t>
  </si>
  <si>
    <t>violeiro e cantautor mineiro 🏵 MPB / Indie Pop / Folk 🌈 esse perfil só tem memes, música, revolta e biscoitos 🎼 https://t.co/vbmZKDUApE</t>
  </si>
  <si>
    <t xml:space="preserve">     16.889</t>
  </si>
  <si>
    <t>Empiricus</t>
  </si>
  <si>
    <t>empiricus</t>
  </si>
  <si>
    <t>▪️ Inteligência financeira ao seu alcance ▫️ +420 mil assinantes ▪️ Ações com maior potencial de valorização 👉 https://t.co/s3efW0g3Hl</t>
  </si>
  <si>
    <t xml:space="preserve">    250.680</t>
  </si>
  <si>
    <t>NuInvest</t>
  </si>
  <si>
    <t>nu_invest</t>
  </si>
  <si>
    <t>NuInvest: a plataforma do Nubank 100% focada em investimentos. O futuro dos investimentos é roxo! ⬇️ 💜
https://t.co/onaKW1K25n</t>
  </si>
  <si>
    <t xml:space="preserve">     75.096</t>
  </si>
  <si>
    <t>Ekrem KONUR</t>
  </si>
  <si>
    <t>ekremkonur</t>
  </si>
  <si>
    <t>Global Transfer Expert
@calciodangolo_  @plbrasil1 @trivela  @TopMercato @DailyMercato  @FB_WHISPERS  @afrikfoot @BalonLatino erdemkonur7@gmail.com</t>
  </si>
  <si>
    <t xml:space="preserve">    239.490</t>
  </si>
  <si>
    <t>O Almirante</t>
  </si>
  <si>
    <t>oalmirante_</t>
  </si>
  <si>
    <t>Para nós, a coragem e a informação são a lei. | 📩 oalmirantecrvg@gmail.com</t>
  </si>
  <si>
    <t xml:space="preserve">     32.408</t>
  </si>
  <si>
    <t>Kinho 🏴‍☠️</t>
  </si>
  <si>
    <t>kinhomugiwara</t>
  </si>
  <si>
    <t>Em busca do One Piece (emprego) @Gremio</t>
  </si>
  <si>
    <t xml:space="preserve">     17.919</t>
  </si>
  <si>
    <t>Corrupção Brasileira Memes - CBM</t>
  </si>
  <si>
    <t>corrupcaomemes</t>
  </si>
  <si>
    <t>Maior página de humor político da América 🇧🇷 segue a gt no insta e no telegramhttps://t.me/corrupcaobrmeme8s</t>
  </si>
  <si>
    <t xml:space="preserve">    225.185</t>
  </si>
  <si>
    <t>Katrina 🌪️</t>
  </si>
  <si>
    <t>katrinamoba</t>
  </si>
  <si>
    <t>🎮120k+ no YouTube de Wild Rift ⠀⠀⠀ㅤㅤㅤㅤㅤㅤ⠀⠀💌contatokatrina1@gmail.comㅤㅤㅤㅤㅤㅤㅤㅤㅤㅤㅤ💍@jojotshy</t>
  </si>
  <si>
    <t xml:space="preserve">     10.289</t>
  </si>
  <si>
    <t>Conjuntura Política</t>
  </si>
  <si>
    <t>conj_politica23</t>
  </si>
  <si>
    <t>Análise e notícias do mundo político, econômico e sociais do 🇧🇷.
PIX: conjuntura_politica@outlook.com</t>
  </si>
  <si>
    <t xml:space="preserve">      2.277</t>
  </si>
  <si>
    <t>Wallim</t>
  </si>
  <si>
    <t>wallimfla</t>
  </si>
  <si>
    <t>Sócio Benemérito, Membro dos Conselhos Deliberativo e de Administração, VP de Futebol Campeão da Copa do Brasil 2013 e Carioca 2014, VP de Finanças em 2019</t>
  </si>
  <si>
    <t xml:space="preserve">     68.870</t>
  </si>
  <si>
    <t>TEDESCO - #AvantiPalestra</t>
  </si>
  <si>
    <t>palestratedesco</t>
  </si>
  <si>
    <t>SOCIEDADE ESPORTIVA PALMEIRAS, Cascais, Portugal #MaiorCampeãodoBrasil #ConsuladoCascais</t>
  </si>
  <si>
    <t xml:space="preserve">     12.862</t>
  </si>
  <si>
    <t>Goleada Info</t>
  </si>
  <si>
    <t>goleada_info</t>
  </si>
  <si>
    <t>A casa de futebol do @EsportudoBR 
Siga: @goleada_euro, @goleada_base e @goleadadazoeira
Deixe seu jogo mais emocionante com a @playgreenbr!</t>
  </si>
  <si>
    <t xml:space="preserve">    297.634</t>
  </si>
  <si>
    <t>JOTA ☕️</t>
  </si>
  <si>
    <t>sigaonegro</t>
  </si>
  <si>
    <t>Ativista Político do Movimento Brasil Livre. Colorado. Sarcástico e sambista. Ajudei a minha mãe a lavar a louça, agora quero salvar o mundo.</t>
  </si>
  <si>
    <t xml:space="preserve">      6.826</t>
  </si>
  <si>
    <t>edu santista</t>
  </si>
  <si>
    <t>edujbatista</t>
  </si>
  <si>
    <t>a revelia</t>
  </si>
  <si>
    <t>José Félix Díaz</t>
  </si>
  <si>
    <t>jfelixdiaz</t>
  </si>
  <si>
    <t>Noozhoh y JFD. Rodaballo y Magic. MARCA, ElChiringuito, Vamos y https://t.co/fW3Hlanu0n. Caballos, futbol, ciclismo y atletismo Instagram @jfelixdiaz</t>
  </si>
  <si>
    <t xml:space="preserve">    193.421</t>
  </si>
  <si>
    <t>Real Madrid Brasil</t>
  </si>
  <si>
    <t>realbrasil_br</t>
  </si>
  <si>
    <t>Notícias, estatísticas, curiosidades, opiniões e dados históricos e atuais do @RealMadrid.
(Fan Account)</t>
  </si>
  <si>
    <t xml:space="preserve">    197.913</t>
  </si>
  <si>
    <t> Diario do Doutor</t>
  </si>
  <si>
    <t>doutornews</t>
  </si>
  <si>
    <t>Siga o Doutor Coringão também no Instagram!</t>
  </si>
  <si>
    <t xml:space="preserve">     13.871</t>
  </si>
  <si>
    <t>𝓌𝒾𝓁𝓁𝒾𝒶𝓂</t>
  </si>
  <si>
    <t>369william</t>
  </si>
  <si>
    <t>criador de conteúdo q não cria conteúdo</t>
  </si>
  <si>
    <t xml:space="preserve">     23.174</t>
  </si>
  <si>
    <t>AllPop</t>
  </si>
  <si>
    <t>allpop_br</t>
  </si>
  <si>
    <t>Música em Geral, Cultura Pop, Charts, TV, Notícias, Esportes, Cinema &amp; Entretenimento.</t>
  </si>
  <si>
    <t xml:space="preserve">     13.054</t>
  </si>
  <si>
    <t>Bruno</t>
  </si>
  <si>
    <t>bruno_1898</t>
  </si>
  <si>
    <t xml:space="preserve">      2.597</t>
  </si>
  <si>
    <t>Igor Araujo</t>
  </si>
  <si>
    <t>igor_araujo_bc</t>
  </si>
  <si>
    <t>Procuradoria Regional Federal - Suplente de Deputado Estadual por Santa Catarina.
Florianópolis - 2024</t>
  </si>
  <si>
    <t xml:space="preserve">      6.007</t>
  </si>
  <si>
    <t>Malvado Favorito..Edson Chaves SP</t>
  </si>
  <si>
    <t>insistente6</t>
  </si>
  <si>
    <t>Se você fosse meu marido, eu envenenaria o seu chá. E se eu fosse o seu marido, eu tomaria esse chá. De Churchill para Nancy Astor</t>
  </si>
  <si>
    <t xml:space="preserve">      8.366</t>
  </si>
  <si>
    <t>lisiane bessa</t>
  </si>
  <si>
    <t>lisianebessa1</t>
  </si>
  <si>
    <t>Se engana quem acha que a riqueza e o status atraem inveja, as pessoas invejam mesmo é o Sorriso fácil, a Luz própria, a Felicidade simples e a Paz interior.</t>
  </si>
  <si>
    <t xml:space="preserve">      4.491</t>
  </si>
  <si>
    <t>Chico Pinheiro</t>
  </si>
  <si>
    <t>chico_pinheiro</t>
  </si>
  <si>
    <t>Jornalista / Abolicionista</t>
  </si>
  <si>
    <t xml:space="preserve">    641.413</t>
  </si>
  <si>
    <t>Rodrigo Pacheco</t>
  </si>
  <si>
    <t>gelinskirodrigo</t>
  </si>
  <si>
    <t>Brazilian, anti-fascist, non-practicing left-wing atheist in favor of freedom and mutual respect</t>
  </si>
  <si>
    <t xml:space="preserve">      1.379</t>
  </si>
  <si>
    <t>XRP whale</t>
  </si>
  <si>
    <t>realxrpwhale</t>
  </si>
  <si>
    <t>$XRP Whale; #XRP Enthusiast; Tweets are NFA | Purchase my keys 🔑</t>
  </si>
  <si>
    <t xml:space="preserve">    106.441</t>
  </si>
  <si>
    <t>drb</t>
  </si>
  <si>
    <t>dottorbarbieri</t>
  </si>
  <si>
    <t>Il conto, per favore. [RT≠Endorsement]</t>
  </si>
  <si>
    <t xml:space="preserve">     46.985</t>
  </si>
  <si>
    <t>Patrick Moraes</t>
  </si>
  <si>
    <t>moraespc_</t>
  </si>
  <si>
    <t>Sócio-Proprietário do @Flamengo | founder of C4S Holding | 🇧🇷🇺🇸🇮🇹(🇪🇸racistas)🇫🇷🇩🇪🇳🇱🇦🇷🇨🇱</t>
  </si>
  <si>
    <t xml:space="preserve">      1.942</t>
  </si>
  <si>
    <t>Submundo Criminal</t>
  </si>
  <si>
    <t>submundodocrime</t>
  </si>
  <si>
    <t>Fins de conhecimento do crime organizado em geral. Não há apologia e nem incitação à prática de violência. Qualquer reclamação, entre em contato com a página.</t>
  </si>
  <si>
    <t xml:space="preserve">    107.205</t>
  </si>
  <si>
    <t>Uber Brasil</t>
  </si>
  <si>
    <t>uber_brasil</t>
  </si>
  <si>
    <t>Para ir ➡️ vir ⬅️ e pedir ⬇️
Para suporte, visite: https://t.co/BRsSgpyiHZ</t>
  </si>
  <si>
    <t xml:space="preserve">    211.217</t>
  </si>
  <si>
    <t>Fondo Riparazione | Ultima Generazione</t>
  </si>
  <si>
    <t>ultimagenerazi1</t>
  </si>
  <si>
    <t>Serve un #FondoRiparazione ai danni delle catastrofi climatiche, usiamo la resistenza civile per ottenerlo!
Sostienici: https://t.co/bjwK0fCYXz</t>
  </si>
  <si>
    <t xml:space="preserve">     13.890</t>
  </si>
  <si>
    <t>POPTime</t>
  </si>
  <si>
    <t>siteptbr</t>
  </si>
  <si>
    <t>⚡ Curiosidades, cinema, tv, músicas, séries e celebridades acompanhado de muito humor. 🔔 Segue pra acompanhar! 📨 poptime@mynd8.com.br</t>
  </si>
  <si>
    <t xml:space="preserve">    526.068</t>
  </si>
  <si>
    <t>geovana</t>
  </si>
  <si>
    <t>cldways</t>
  </si>
  <si>
    <t>FREAK, from holy fvck</t>
  </si>
  <si>
    <t xml:space="preserve">      1.628</t>
  </si>
  <si>
    <t>Tiago Medeiros</t>
  </si>
  <si>
    <t>tiagoomedeiros</t>
  </si>
  <si>
    <t>Jornalista e sommelier de caldinhos.</t>
  </si>
  <si>
    <t xml:space="preserve">    178.767</t>
  </si>
  <si>
    <t>Bieldobein</t>
  </si>
  <si>
    <t>bieldomaul</t>
  </si>
  <si>
    <t>🎮 Streamer e ex-proplayer de LOL 📕 Focado em ajudar pessoas com apostas esportivas 💰 Contato: gabrielguiaf@hotmail.com</t>
  </si>
  <si>
    <t xml:space="preserve">     40.068</t>
  </si>
  <si>
    <t>Guia das Apostas</t>
  </si>
  <si>
    <t>guiadasapostas</t>
  </si>
  <si>
    <t>Maior perfil sobre apostas esportivas do Brasil no Twitter. Conheça nosso VIP pelo link abaixo ou no tweet fixado! DM aberta.</t>
  </si>
  <si>
    <t xml:space="preserve">    163.964</t>
  </si>
  <si>
    <t>Marcus Arboés</t>
  </si>
  <si>
    <t>marcusarboes</t>
  </si>
  <si>
    <t>🎙 Narrador.
🎙️ Falo de tática e cultura de futebol.
🎙 – Você é do tamanho do seu sonho.</t>
  </si>
  <si>
    <t xml:space="preserve">      4.500</t>
  </si>
  <si>
    <t>Surto Olímpico</t>
  </si>
  <si>
    <t>surtoolimpico</t>
  </si>
  <si>
    <t>Curte Jogos Olímpicos e Paralímpicos? Vem surtar com a gente!
https://t.co/YP1WThJoB0</t>
  </si>
  <si>
    <t xml:space="preserve">     34.617</t>
  </si>
  <si>
    <t>Mônica Alves</t>
  </si>
  <si>
    <t>monicaalvesf</t>
  </si>
  <si>
    <t>Pós-graduada em Jornalismo Esportivo | Repórter e redatora do @colunadofla | “A vida é como um jogo de futebol, cada lance pode definir sua trajetória.”</t>
  </si>
  <si>
    <t xml:space="preserve">     12.067</t>
  </si>
  <si>
    <t>((o))eco | Jornalismo Ambiental</t>
  </si>
  <si>
    <t>o_eco</t>
  </si>
  <si>
    <t>Jornalismo ambiental e independente. Damos voz a bichos e plantas, às pessoas que os protegem e aos bons debates sobre conservação.</t>
  </si>
  <si>
    <t xml:space="preserve">     64.278</t>
  </si>
  <si>
    <t>.</t>
  </si>
  <si>
    <t>fabrici70242229</t>
  </si>
  <si>
    <t>Opinando sobre Ceará, Política, Religião, Música e Ceará.</t>
  </si>
  <si>
    <t xml:space="preserve">      1.398</t>
  </si>
  <si>
    <t>Paglia Giovanni</t>
  </si>
  <si>
    <t>giovannipaglia</t>
  </si>
  <si>
    <t>Deputato della XVII Legislatura, sposato con Sarah e papà di Leone.</t>
  </si>
  <si>
    <t xml:space="preserve">      8.895</t>
  </si>
  <si>
    <t>Alessandra Libutti 🇪🇺</t>
  </si>
  <si>
    <t>a_libutti</t>
  </si>
  <si>
    <t>Populism is the sunset of democracy. Author of ‘Thomas Jay’, shortlisted at the Italo Calvino Prize. @ilfoglio_it @LaRagione_eu Mastodon: @alibutti@mastodon.uno</t>
  </si>
  <si>
    <t xml:space="preserve">      1.735</t>
  </si>
  <si>
    <t>C MenesesOliveira.pt</t>
  </si>
  <si>
    <t>cmotwitting_pt</t>
  </si>
  <si>
    <t>Médico</t>
  </si>
  <si>
    <t xml:space="preserve">      3.056</t>
  </si>
  <si>
    <t>𝐆𝐀𝐁𝐑𝟏 𝐃𝟑 𝐅𝐀𝐓𝐎</t>
  </si>
  <si>
    <t>gabridefato</t>
  </si>
  <si>
    <t>@Atletico Uma Vez Até Morrer 🐓 Insta @Gabridefato</t>
  </si>
  <si>
    <t xml:space="preserve">      7.050</t>
  </si>
  <si>
    <t>DENNIS</t>
  </si>
  <si>
    <t>dennisdj</t>
  </si>
  <si>
    <t>Produtor | Dj | Compositor | Leonino | Contato: dennis@vnewbrasil.com.br</t>
  </si>
  <si>
    <t xml:space="preserve">    607.712</t>
  </si>
  <si>
    <t>b</t>
  </si>
  <si>
    <t>iamblackbow</t>
  </si>
  <si>
    <t>mañana será bonito 🌸 | Fan Account</t>
  </si>
  <si>
    <t xml:space="preserve">      2.440</t>
  </si>
  <si>
    <t>Capirotinho 🔥</t>
  </si>
  <si>
    <t>o_capirotinho</t>
  </si>
  <si>
    <t>O Capirotinho é apenas um personagem irônico, ácido e humorístico, criado por Guilherme Infante. Aqui assumimos que somos contraditórios.</t>
  </si>
  <si>
    <t xml:space="preserve">     57.283</t>
  </si>
  <si>
    <t>Fred Gomes</t>
  </si>
  <si>
    <t>fredgomes1985</t>
  </si>
  <si>
    <t>Setorista do #MENGO desde 30/11/2021 no https://t.co/DmuR02fMMK (@ge_fla) - Clica aí!
GE FLAMENGO - https://t.co/B01MwSr6F9</t>
  </si>
  <si>
    <t xml:space="preserve">     76.151</t>
  </si>
  <si>
    <t>Sakuga ONE 「作画1️⃣」</t>
  </si>
  <si>
    <t>sakugaone</t>
  </si>
  <si>
    <t>Sua página número 1️⃣ de conteúdo sakuga! Faço análises técnicas de produção de animes!
🇧🇷/🇺🇸 OK!
CEO: @YGP__
Nosso Discord: https://t.co/INdi4zm55B</t>
  </si>
  <si>
    <t xml:space="preserve">     57.203</t>
  </si>
  <si>
    <t>Elyel ˢᶜᶜᵖ</t>
  </si>
  <si>
    <t>elyelsccp</t>
  </si>
  <si>
    <t>• 𝐚 𝐯𝐢𝐝𝐚 𝐦𝐞 𝐟𝐞𝐳 𝐂𝐨𝐫𝐢𝐧𝐭𝐡𝐢𝐚𝐧𝐬 𝐞 𝐞𝐮 𝐟𝐢𝐳 𝐝𝐨 𝐂𝐨𝐫𝐢𝐧𝐭𝐡𝐢𝐚𝐧𝐬 𝐚 𝐦𝐢𝐧𝐡𝐚 𝐯𝐢𝐝𝐚 🦅🖤🤍•</t>
  </si>
  <si>
    <t xml:space="preserve">     30.083</t>
  </si>
  <si>
    <t>CanalGov</t>
  </si>
  <si>
    <t>canalgov</t>
  </si>
  <si>
    <t>Notícias e ações do Governo Federal e da Presidência da República 🇧🇷 Um veículo da EBC</t>
  </si>
  <si>
    <t xml:space="preserve">    347.706</t>
  </si>
  <si>
    <t>Alexandre Gramiliki</t>
  </si>
  <si>
    <t>gramiliki_</t>
  </si>
  <si>
    <t>Falo de video games e tecnologia, especialmente sobre Nintendo e Rockstar Games. Not for sale.</t>
  </si>
  <si>
    <t xml:space="preserve">      1.561</t>
  </si>
  <si>
    <t>Lívio Adelson</t>
  </si>
  <si>
    <t>livioadelson</t>
  </si>
  <si>
    <t>“O dinheiro faz homens ricos, o conhecimento faz homens sábios, a humildade faz grandes homens.” Mahatma Gandhi</t>
  </si>
  <si>
    <t xml:space="preserve">      2.281</t>
  </si>
  <si>
    <t>luan vinicius lovato</t>
  </si>
  <si>
    <t>luanlovato</t>
  </si>
  <si>
    <t>Comunicador intuitivo animal e twitteiro nas horas vagas.      Nascido e criado no twitter. contato: lovatoluan@gmail.com https://t.co/z9fDVzywfh</t>
  </si>
  <si>
    <t xml:space="preserve">  1.073.614</t>
  </si>
  <si>
    <t>Barbara Collevecchio</t>
  </si>
  <si>
    <t>colvieux</t>
  </si>
  <si>
    <t>Psicologa clinica,  analista in training #Aipa. Master-Diagnosi e Trattamento Disturbi Personalità con Mucci, Gabbard, Kernberg . Autrice “ il male che cura”</t>
  </si>
  <si>
    <t xml:space="preserve">     42.680</t>
  </si>
  <si>
    <t>RégLi 🇭🇺</t>
  </si>
  <si>
    <t>jregliffc</t>
  </si>
  <si>
    <t>perfil dedicado exclusivamente à defesa institucional do Fluminense Football Club</t>
  </si>
  <si>
    <t xml:space="preserve">      1.294</t>
  </si>
  <si>
    <t>Flamengo</t>
  </si>
  <si>
    <t>flamengo</t>
  </si>
  <si>
    <t>Twitter Oficial do Clube de Regatas do Flamengo •Espanhol: @flamengo_es •Inglês: @flamengo_en •Esportes Olímpicos: @TimeFlamengo. Seja ST: https://t.co/X8JzrSImBZ</t>
  </si>
  <si>
    <t xml:space="preserve"> 10.422.306</t>
  </si>
  <si>
    <t>FFMS | PORDATA</t>
  </si>
  <si>
    <t>ffms_pordata</t>
  </si>
  <si>
    <t>Conheça o retrato da sociedade portuguesa, com base nos estudos da #FFMS_PT e nos dados estatísticos da #Pordata, recolhidos junto de +60 entidades oficiais.</t>
  </si>
  <si>
    <t xml:space="preserve">     45.977</t>
  </si>
  <si>
    <t>¡HOLA! TV</t>
  </si>
  <si>
    <t>holatv</t>
  </si>
  <si>
    <t>Tu revista ¡HOLA! llega a la TV para traerte información exclusiva del mundo de la moda, la realeza y tus celebridades favoritas.</t>
  </si>
  <si>
    <t xml:space="preserve">     71.926</t>
  </si>
  <si>
    <t>Yahoo Finance</t>
  </si>
  <si>
    <t>yahoofinance</t>
  </si>
  <si>
    <t>The world’s biggest business news platform: https://t.co/EhQ75nXob3 Get the free Yahoo Finance app &amp; subscribe to our morning newsletter, the Morning Brief ⬇️</t>
  </si>
  <si>
    <t xml:space="preserve">  1.675.414</t>
  </si>
  <si>
    <t>Dário Berger</t>
  </si>
  <si>
    <t>darioberger</t>
  </si>
  <si>
    <t>Formado em administração pela UFSC, empresário, fui vereador, prefeito eleito e reeleito de São José e Floripa. Atual Senador da República por SC. 🇧🇷</t>
  </si>
  <si>
    <t xml:space="preserve">     11.232</t>
  </si>
  <si>
    <t>Quem é Satoshi</t>
  </si>
  <si>
    <t>quem_e_satoshi</t>
  </si>
  <si>
    <t>Economia, Bitcoin e memes! + de 3 milhões de pessoas impactadas por mês 🚀 / Apoie o canal 💪: https://t.co/84T5vC35VU</t>
  </si>
  <si>
    <t xml:space="preserve">     10.884</t>
  </si>
  <si>
    <t>Thiago Monteiro</t>
  </si>
  <si>
    <t>dthiagomonteiro</t>
  </si>
  <si>
    <t>Tennis player.</t>
  </si>
  <si>
    <t xml:space="preserve">      7.259</t>
  </si>
  <si>
    <t>Papo de Tênis</t>
  </si>
  <si>
    <t>papodeteniscast</t>
  </si>
  <si>
    <t>Podcast que fala sobre esportes mas em especial sobre tênis e toda quinta tem episódio novo nas plataformas . Feito por: Rai, Fred, Pelezista e Pedro.</t>
  </si>
  <si>
    <t xml:space="preserve">      2.506</t>
  </si>
  <si>
    <t>RAP MAIS</t>
  </si>
  <si>
    <t>rapmais</t>
  </si>
  <si>
    <t>A principal fonte de informação sobre a cultura hip-hop no Brasil! Com notícias sobre rap, funk, lifestyle, esportes e muito MAIS! contato@rapmais.com</t>
  </si>
  <si>
    <t xml:space="preserve">    763.551</t>
  </si>
  <si>
    <t>Moisés Barcia</t>
  </si>
  <si>
    <t>moises_barcia</t>
  </si>
  <si>
    <t>Editor e tradutor galego</t>
  </si>
  <si>
    <t xml:space="preserve">      2.180</t>
  </si>
  <si>
    <t>rocio castro</t>
  </si>
  <si>
    <t>rociocastrot</t>
  </si>
  <si>
    <t>nada do humano me é alleo</t>
  </si>
  <si>
    <t xml:space="preserve">      1.948</t>
  </si>
  <si>
    <t>FC Porto</t>
  </si>
  <si>
    <t>fcporto</t>
  </si>
  <si>
    <t>𝗔 𝗩𝗲𝗻𝗰𝗲𝗿 𝗱𝗲𝘀𝗱𝗲 𝟭𝟴𝟵𝟯 💙</t>
  </si>
  <si>
    <t xml:space="preserve">  1.567.748</t>
  </si>
  <si>
    <t>Mário André Macedo</t>
  </si>
  <si>
    <t>mmacedo_tweets</t>
  </si>
  <si>
    <t>Candidato a Bastonário da Ordem dos Enfermeiros | SU Ped | Unidade de Saúde Pública Hospitalar |
Pai de dois 👶👶| no @healthnews_pt @publico e @novosemanario</t>
  </si>
  <si>
    <t xml:space="preserve">     25.864</t>
  </si>
  <si>
    <t>Horóscopo Capricórnio</t>
  </si>
  <si>
    <t>capricorniohv</t>
  </si>
  <si>
    <t>Signo de Capricórnio | Procurando por previsões, informações sobre seu signo e tudo sobre Astrologia? Acesse o Horóscopo Virtual e encontre tudo isso!</t>
  </si>
  <si>
    <t xml:space="preserve">      7.145</t>
  </si>
  <si>
    <t>Horóscopo Peixes</t>
  </si>
  <si>
    <t>peixeshv</t>
  </si>
  <si>
    <t>Signo de Peixes | Procurando por previsões, informações sobre o seu signo e tudo sobre Astrologia? Acesse o Horóscopo Virtual e encontre tudo isso e muito mais!</t>
  </si>
  <si>
    <t xml:space="preserve">      2.696</t>
  </si>
  <si>
    <t>José Gusmão</t>
  </si>
  <si>
    <t>joseggusmao</t>
  </si>
  <si>
    <t>Economista | MEP, Deputado do Parlamento Europeu | Dirigente do @blocodeesquerda</t>
  </si>
  <si>
    <t xml:space="preserve">     17.309</t>
  </si>
  <si>
    <t>Sincerão</t>
  </si>
  <si>
    <t>oficialsincerao</t>
  </si>
  <si>
    <t>❌ Não sou o Ibra ❌ 📧 Contato: sinceraocontato@gmail.com . insta novo: @ iamsincerao</t>
  </si>
  <si>
    <t xml:space="preserve">    339.643</t>
  </si>
  <si>
    <t>🔺️Rodrigo Raynner 🏆🏆🏆</t>
  </si>
  <si>
    <t>rodrigoraynner</t>
  </si>
  <si>
    <t>Se você é opositor do próprio time e baba ovo de político, você vai passar raiva aqui. E não tenta se explicar. Você tá todo errado!</t>
  </si>
  <si>
    <t xml:space="preserve">     12.412</t>
  </si>
  <si>
    <t>Danilo Gentili</t>
  </si>
  <si>
    <t>danilogentili</t>
  </si>
  <si>
    <t>Desde 1979 estragando tudo e decepcionando pessoas.</t>
  </si>
  <si>
    <t xml:space="preserve"> 17.207.073</t>
  </si>
  <si>
    <t>Aston Martin Aramco Cognizant F1 Team</t>
  </si>
  <si>
    <t>astonmartinf1</t>
  </si>
  <si>
    <t>The official Aston Martin Aramco Cognizant Formula One Team Twitter account. #IAM</t>
  </si>
  <si>
    <t xml:space="preserve">  2.151.675</t>
  </si>
  <si>
    <t>Cannabis Brasil</t>
  </si>
  <si>
    <t>canabisbrasil</t>
  </si>
  <si>
    <t>📥 Parcerias via DM 📝 Paciente medicinal autorizado pela Anvisa 🎥 +420K Views Youtube 🟣@chapei_4i20 🟢@papelito_brasil</t>
  </si>
  <si>
    <t xml:space="preserve">    109.874</t>
  </si>
  <si>
    <t>Uelton Costa🇧🇷</t>
  </si>
  <si>
    <t>ueltoncosta_</t>
  </si>
  <si>
    <t>Jurista, conservador, cristão, empreendedor e fundador do @CentroDoPoder. Conheça minha LIVRARIA👇🏻 https://t.co/8aGK2cKn7y</t>
  </si>
  <si>
    <t xml:space="preserve">     96.405</t>
  </si>
  <si>
    <t>Paulo Guedes🇧🇷</t>
  </si>
  <si>
    <t>guedesapoio</t>
  </si>
  <si>
    <t>Perfil de apoio ao Paulo Guedes. Ex-Ministro da Economia, mestre pela Universidade de Chicago, PH.S pela PUC-Rio/FGV</t>
  </si>
  <si>
    <t xml:space="preserve">    151.595</t>
  </si>
  <si>
    <t>Bruno Cardoso Reis</t>
  </si>
  <si>
    <t>bcreis37</t>
  </si>
  <si>
    <t>Historian/security scholar based at https://t.co/HtWLIMhVrb trying to live up to the prejudice that Southern Europeans do not work hard. Tweeting on my own.</t>
  </si>
  <si>
    <t xml:space="preserve">      3.031</t>
  </si>
  <si>
    <t>emputecido</t>
  </si>
  <si>
    <t>oemputecido</t>
  </si>
  <si>
    <t>o mais puto do site!</t>
  </si>
  <si>
    <t xml:space="preserve">  2.811.983</t>
  </si>
  <si>
    <t>Fabio Fazio</t>
  </si>
  <si>
    <t>fabfazio</t>
  </si>
  <si>
    <t xml:space="preserve">    814.106</t>
  </si>
  <si>
    <t>Che Tempo Che Fa</t>
  </si>
  <si>
    <t>chetempochefa</t>
  </si>
  <si>
    <t>Account ufficiale... appena riaperto (quindi seguiteci). Da domenica 15 ottobre #CTCF torna sul @nove.</t>
  </si>
  <si>
    <t xml:space="preserve">     34.652</t>
  </si>
  <si>
    <t>K-DAN OFICIAL</t>
  </si>
  <si>
    <t>canalkdan</t>
  </si>
  <si>
    <t>Atualizações de lives e vídeos do K-DAN ☆ FANWAR: SOFT BLOCK ☆ Conta oficial usada pelos adms do Dan e ele!
Conta fechada // só solicitar que aceitamos</t>
  </si>
  <si>
    <t xml:space="preserve">      6.704</t>
  </si>
  <si>
    <t>jlo</t>
  </si>
  <si>
    <t>This Is Me…Now 💚</t>
  </si>
  <si>
    <t xml:space="preserve"> 44.887.750</t>
  </si>
  <si>
    <t>Jennifer Lopez BR</t>
  </si>
  <si>
    <t>jlobrasil</t>
  </si>
  <si>
    <t>The Biggest Source about Jennifer Lopez in the World. A Maior fonte sobre Jennifer Lopez, no mundo reconhecidos pela própria e sua equipe.</t>
  </si>
  <si>
    <t xml:space="preserve">     16.185</t>
  </si>
  <si>
    <t>solodax - (seguace di marione)</t>
  </si>
  <si>
    <t>solodax</t>
  </si>
  <si>
    <t>residente in Alta Terronia, juventino sanguigno e rancoroso (la verità su calciopoli verrà a galla, prima o poi), appassionato di finanza derivata.</t>
  </si>
  <si>
    <t xml:space="preserve">      1.360</t>
  </si>
  <si>
    <t>Angelo Mellone</t>
  </si>
  <si>
    <t>angelomellone</t>
  </si>
  <si>
    <t>💼  DayTime Director Rai
📖 Writer 
🖥 Tv Teacher @UniSalerno 
⚽️ @Official_SSLazio lover 
👦🧒👦 happy daddy 
Proudly italian 🇮🇹
Rt no endorsement</t>
  </si>
  <si>
    <t xml:space="preserve">      6.557</t>
  </si>
  <si>
    <t>Cinguetterai </t>
  </si>
  <si>
    <t>cinguetterai</t>
  </si>
  <si>
    <t>Un figlio e un fan di mamma Rai allattato dall’antenna | Notizie, commenti e live tweeting sul mondo Rai | Su Instagram: https://t.co/50bdVEhsP9</t>
  </si>
  <si>
    <t xml:space="preserve">     28.447</t>
  </si>
  <si>
    <t>Bruno Meister</t>
  </si>
  <si>
    <t>bruno_meister</t>
  </si>
  <si>
    <t>Natural 🌱 conta reserva @Bruno_meister2</t>
  </si>
  <si>
    <t xml:space="preserve">      6.689</t>
  </si>
  <si>
    <t>Helem</t>
  </si>
  <si>
    <t>helemazevedo</t>
  </si>
  <si>
    <t>Turismo, hotelaria e café. ✈️ Eu vou, mas meu café vai junto ! Siga o @cafeviajante e participe da nossa comunidade!☕️  tthelem@gmail.com</t>
  </si>
  <si>
    <t xml:space="preserve">     38.453</t>
  </si>
  <si>
    <t>Fê em estado de Poesia💜</t>
  </si>
  <si>
    <t>fe_notavel</t>
  </si>
  <si>
    <t>📚 A Intermitência das Coisas e Rasgos Dentro da Minha Própria Pele 
💻 Algumas Observações
💙 @criativoescrito
✉️ contato@algumasobservacoes.com
 😉 ela/dela</t>
  </si>
  <si>
    <t xml:space="preserve">      1.355</t>
  </si>
  <si>
    <t>Tênis Para Além do Óbvio 🎾 (Alemzão)</t>
  </si>
  <si>
    <t>alemtenis</t>
  </si>
  <si>
    <t>Aqui contamos histórias, analisamos o jogo dentro e fora da quadra e sempre miramos o tênis que vai para além do óbvio! tenisparaalemdoobvio@gmail.com</t>
  </si>
  <si>
    <t xml:space="preserve">     23.885</t>
  </si>
  <si>
    <t>Leila Tornado</t>
  </si>
  <si>
    <t>leitatornado</t>
  </si>
  <si>
    <t>“Quando o instrumento do medo não funciona, a gente adquire um poder inimaginável” PH</t>
  </si>
  <si>
    <t xml:space="preserve">      4.883</t>
  </si>
  <si>
    <t>Iris Figueiredo</t>
  </si>
  <si>
    <t>irisfigueiredo</t>
  </si>
  <si>
    <t>Escritora de “Céu sem estrelas” e “Um passo de cada vez” | Rep @trespontosag_ | 📬 Cx. Postal 108680 – CEP: 24710971 🩷💜💙</t>
  </si>
  <si>
    <t xml:space="preserve">     24.928</t>
  </si>
  <si>
    <t>A IMPROVÁVEL HISTÓRIA DE NÓS DOIS EM PRÉ-VENDA</t>
  </si>
  <si>
    <t>woeisrobs</t>
  </si>
  <si>
    <t>Yawo omo Ologunedé, escritor de romances Young Adult focados em jovens LGBTQ*, viciado em cultura pop e quase jornalista. Contato: rgabriel.autor@gmail.com</t>
  </si>
  <si>
    <t xml:space="preserve">      3.211</t>
  </si>
  <si>
    <t>Allan dos Panos</t>
  </si>
  <si>
    <t>allandospanos</t>
  </si>
  <si>
    <t>Produtor audiovisual no canal Allan dos Panos e no @o_antagonista 
https://t.co/hMvBUpqTUG</t>
  </si>
  <si>
    <t xml:space="preserve">     75.561</t>
  </si>
  <si>
    <t>Priscilla</t>
  </si>
  <si>
    <t>priscilllando</t>
  </si>
  <si>
    <t>Político é pra ser cobrado, não idolatrado.</t>
  </si>
  <si>
    <t xml:space="preserve">     53.376</t>
  </si>
  <si>
    <t>Insomniac Games</t>
  </si>
  <si>
    <t>insomniacgames</t>
  </si>
  <si>
    <t>Developer of #SpiderMan2PS5, #WolverinePS5, #RatchetPS5, #MilesMoralesPS5 &amp; #SpiderManPS4. @PlayStation Studios.
Join our community: https://t.co/ADgLz5zaOH</t>
  </si>
  <si>
    <t xml:space="preserve">  1.492.061</t>
  </si>
  <si>
    <t>Mauricio Stycer</t>
  </si>
  <si>
    <t>mauriciostycer</t>
  </si>
  <si>
    <t>Colunista da Folha, autor de "O Homem do Sapato Branco", “Topa Tudo por Dinheiro” e “Adeus, Controle Remoto”.</t>
  </si>
  <si>
    <t xml:space="preserve">    352.744</t>
  </si>
  <si>
    <t>Jornal de Negócios</t>
  </si>
  <si>
    <t>jnegocios</t>
  </si>
  <si>
    <t>As #notícias mais relevantes nas áreas da #Economia, #Empresas e #Mercados. O Negócios tem as respostas: On time. On line. Nas bancas. Em qualquer lugar.</t>
  </si>
  <si>
    <t xml:space="preserve">    206.364</t>
  </si>
  <si>
    <t>Republic Records</t>
  </si>
  <si>
    <t>republicrecords</t>
  </si>
  <si>
    <t xml:space="preserve">    265.389</t>
  </si>
  <si>
    <t>Universal Music Brasil</t>
  </si>
  <si>
    <t>umusicbrasil</t>
  </si>
  <si>
    <t>"𝓘 𝔀𝓪𝓷𝓷𝓪 𝓽𝓱𝓪𝓷𝓴 𝓶𝔂𝓼𝓮𝓵𝓯 𝓬𝓪𝓾𝓼𝓮 𝓘 𝔀𝓸𝓻𝓴 𝓼𝓸 𝓱𝓪𝓻𝓭"</t>
  </si>
  <si>
    <t xml:space="preserve">    195.003</t>
  </si>
  <si>
    <t>Danilo Ardenghi</t>
  </si>
  <si>
    <t>daniloardenghi</t>
  </si>
  <si>
    <t>Trabalho com dados. Fundei a Mais Retorno em 2017, falo sobre investimentos, tecnologia, mercado financeiro, saúde, vida, corrida e outros esportes no geral.</t>
  </si>
  <si>
    <t xml:space="preserve">      2.446</t>
  </si>
  <si>
    <t>Dinheiro Vivo</t>
  </si>
  <si>
    <t>dinheiro_vivo</t>
  </si>
  <si>
    <t>Há economia em tudo o que há.</t>
  </si>
  <si>
    <t xml:space="preserve">     56.506</t>
  </si>
  <si>
    <t>Duarte Cordeiro</t>
  </si>
  <si>
    <t>duartecordeiro</t>
  </si>
  <si>
    <t>Ministro do Ambiente e da Ação Climática -XXIII Governo Constitucional; Presidente PS FAUL</t>
  </si>
  <si>
    <t xml:space="preserve">      6.471</t>
  </si>
  <si>
    <t>Ambiente e Ação Climática PT</t>
  </si>
  <si>
    <t>ambiente_pt</t>
  </si>
  <si>
    <t>Conta Oficial do Gabinete do Ministro do Ambiente e da Ação Climática - XXIII Governo</t>
  </si>
  <si>
    <t xml:space="preserve">     16.382</t>
  </si>
  <si>
    <t>EU_Eurostat</t>
  </si>
  <si>
    <t>eu_eurostat</t>
  </si>
  <si>
    <t>Eurostat is the statistical office of the European Union. We provide high quality statistics and data on Europe.
Lawful good.
#AskEurostat</t>
  </si>
  <si>
    <t xml:space="preserve">    247.894</t>
  </si>
  <si>
    <t>Ministério da Educação | MEC</t>
  </si>
  <si>
    <t>min_educacao</t>
  </si>
  <si>
    <t>Perfil oficial do Ministério da Educação para divulgação de serviços e esclarecimentos.</t>
  </si>
  <si>
    <t xml:space="preserve">     19.567</t>
  </si>
  <si>
    <t>mg1984</t>
  </si>
  <si>
    <t>mg_brasil1984</t>
  </si>
  <si>
    <t>Um por todos, e todos por um.</t>
  </si>
  <si>
    <t xml:space="preserve">      2.021</t>
  </si>
  <si>
    <t>Avalanche Portugues 🔺 🇧🇷 🇵🇹</t>
  </si>
  <si>
    <t>avalanche_pt</t>
  </si>
  <si>
    <t>@AvaLabsofficial criou o protocolo de consenso #Avalanche que reúne o que há de melhor nos protocolos Clássico e de Nakamoto. | $AVAX | Visite https://t.co/caVslJTLCw</t>
  </si>
  <si>
    <t xml:space="preserve">      1.521</t>
  </si>
  <si>
    <t>Mariagrazia Midulla </t>
  </si>
  <si>
    <t>mgmidu</t>
  </si>
  <si>
    <t>Head of Climate and Energy, WWF Italy. 
Opinioni e interessi personali. 
Nata a 319 ppm di CO2 (oggi siamo a oltre 415ppm).</t>
  </si>
  <si>
    <t xml:space="preserve">      3.378</t>
  </si>
  <si>
    <t>Erwin</t>
  </si>
  <si>
    <t>erwinfox52352</t>
  </si>
  <si>
    <t xml:space="preserve">      1.953</t>
  </si>
  <si>
    <t>Carlos Brandão 🇧🇷</t>
  </si>
  <si>
    <t>carlosbrandaoma</t>
  </si>
  <si>
    <t>https://t.co/Bq6qssRTNl</t>
  </si>
  <si>
    <t xml:space="preserve">     32.501</t>
  </si>
  <si>
    <t>DARK NEWS</t>
  </si>
  <si>
    <t>fluxo_dark</t>
  </si>
  <si>
    <t>Seguindo o @fluxogg</t>
  </si>
  <si>
    <t xml:space="preserve">      5.959</t>
  </si>
  <si>
    <t>debate y debate</t>
  </si>
  <si>
    <t>debateydebate</t>
  </si>
  <si>
    <t>Três estudantes de jornalismo falando besteiras futebolísticas</t>
  </si>
  <si>
    <t xml:space="preserve">     27.506</t>
  </si>
  <si>
    <t>▪️🏴‍☠️tchuck 🦇🔊 🇾🇪</t>
  </si>
  <si>
    <t>thetchuck</t>
  </si>
  <si>
    <t>Board game designer, AI programmer, aspiring football manager. Also loves spicy food. My opinions are my own. Tricolor desde nascença. Fechado com o Ceni!</t>
  </si>
  <si>
    <t xml:space="preserve">      1.061</t>
  </si>
  <si>
    <t>Centeio</t>
  </si>
  <si>
    <t>paofatiado</t>
  </si>
  <si>
    <t>Anti-fascista, Marxista-leninista, com gluten.</t>
  </si>
  <si>
    <t xml:space="preserve">      1.830</t>
  </si>
  <si>
    <t>cleyto</t>
  </si>
  <si>
    <t>cleytxnn</t>
  </si>
  <si>
    <t>não consigo ser nada além de eu mesmo</t>
  </si>
  <si>
    <t xml:space="preserve">     69.125</t>
  </si>
  <si>
    <t>Ruyter</t>
  </si>
  <si>
    <t>poubelruyter</t>
  </si>
  <si>
    <t>Bilionário, filantropo, gênio e humilde. Seja bem vindo.</t>
  </si>
  <si>
    <t xml:space="preserve">     62.943</t>
  </si>
  <si>
    <t>WESLEY RODRI CAM¹³ 🥋</t>
  </si>
  <si>
    <t>weslleyxrs</t>
  </si>
  <si>
    <t>@atletico
não leve a sério.</t>
  </si>
  <si>
    <t xml:space="preserve">      1.530</t>
  </si>
  <si>
    <t>Roberto França</t>
  </si>
  <si>
    <t>_robertofranca</t>
  </si>
  <si>
    <t>Professor e Militante do PCO</t>
  </si>
  <si>
    <t xml:space="preserve">      2.006</t>
  </si>
  <si>
    <t>Nane de Brito</t>
  </si>
  <si>
    <t>nanedebrito48</t>
  </si>
  <si>
    <t>Psicóloga ψ - Universidade Federal Fluminense 
Eleitora do Lula
Progressista/Humanista
Justiça e Igualdade social
Espiritualista independente de religião</t>
  </si>
  <si>
    <t xml:space="preserve">      5.357</t>
  </si>
  <si>
    <t>Cino Ducci</t>
  </si>
  <si>
    <t>candidoporzus</t>
  </si>
  <si>
    <t>Fratello di Ascanio. Il coraggio è la prima delle qualità umane, perché è quella che garantisce tutte le altre (W. Churchill) (Il comandante è di Elda)</t>
  </si>
  <si>
    <t xml:space="preserve">      3.594</t>
  </si>
  <si>
    <t>Matheus Pé</t>
  </si>
  <si>
    <t>matheuss_pe</t>
  </si>
  <si>
    <t>Fotógrafo e repórter fotográfico, canhoto da cabeça aos pés e intolerante aos intolerantes. Meu twitter, minhas opiniões.</t>
  </si>
  <si>
    <t xml:space="preserve">      4.039</t>
  </si>
  <si>
    <t>JAY-Z AIRLINES - CAPINANDO O NADA COM ANITTA</t>
  </si>
  <si>
    <t>raphaelalves</t>
  </si>
  <si>
    <t>exausto.</t>
  </si>
  <si>
    <t xml:space="preserve">      4.027</t>
  </si>
  <si>
    <t>oQuarterback</t>
  </si>
  <si>
    <t>oquarterback</t>
  </si>
  <si>
    <t>As principais notícias do futebol americano mundial em um só lugar. Contato via DM.</t>
  </si>
  <si>
    <t xml:space="preserve">     74.587</t>
  </si>
  <si>
    <t>Coast to Coast Brasil | NBA</t>
  </si>
  <si>
    <t>brasilcoast2</t>
  </si>
  <si>
    <t>• Diariamente cobrindo o grande mundo da NBA! 🏀 • Notícias, análises e (muito bom) humor!!! CONTATO ➡️coast2coastbrasil@gmail.com</t>
  </si>
  <si>
    <t xml:space="preserve">    147.158</t>
  </si>
  <si>
    <t>LucianoPrado</t>
  </si>
  <si>
    <t>lucalberto5</t>
  </si>
  <si>
    <t>Cidadão</t>
  </si>
  <si>
    <t xml:space="preserve">      1.903</t>
  </si>
  <si>
    <t>Edvan de Oliveira</t>
  </si>
  <si>
    <t>edvanolivera_</t>
  </si>
  <si>
    <t>Se alguém precisa de religião para ser bom, a pessoa não é boa — é um cão adestrado.</t>
  </si>
  <si>
    <t xml:space="preserve">      1.846</t>
  </si>
  <si>
    <t>Leinha</t>
  </si>
  <si>
    <t>cristoluz1000</t>
  </si>
  <si>
    <t>Cristã, casada, mãe e avó, conservadora, de direita, com muito orgulho!!! 🇧🇷🇧🇷🇧🇷🇧🇷🇧🇷🇧🇷</t>
  </si>
  <si>
    <t xml:space="preserve">      4.282</t>
  </si>
  <si>
    <t>Cooper</t>
  </si>
  <si>
    <t>cooperfsss</t>
  </si>
  <si>
    <t xml:space="preserve">      1.488</t>
  </si>
  <si>
    <t>STF</t>
  </si>
  <si>
    <t>stf_oficial</t>
  </si>
  <si>
    <t>O STF é o órgão de cúpula do Poder Judiciário, responsável pela guarda da Constituição Federal, conforme previsto no art. 102. Veja mais em https://t.co/YTBKgCDFb8</t>
  </si>
  <si>
    <t xml:space="preserve">  2.726.646</t>
  </si>
  <si>
    <t>🔰Ana LuízaⓂ️🐕</t>
  </si>
  <si>
    <t>analuizaholan10</t>
  </si>
  <si>
    <t>Brasileira indignada com à corrupção e impunidade. LAVAJATISTA, ativista, antipetista, ambientalista e desarmamentista.
#QuemMandouMatarMoro</t>
  </si>
  <si>
    <t xml:space="preserve">      8.133</t>
  </si>
  <si>
    <t>Billy the Kid</t>
  </si>
  <si>
    <t>billydedireita</t>
  </si>
  <si>
    <t xml:space="preserve">      1.988</t>
  </si>
  <si>
    <t>Fernanda</t>
  </si>
  <si>
    <t>nan_bicalho</t>
  </si>
  <si>
    <t>@Cruzeiro</t>
  </si>
  <si>
    <t xml:space="preserve">      6.349</t>
  </si>
  <si>
    <t>Paula Schmitt</t>
  </si>
  <si>
    <t>schmittpaula</t>
  </si>
  <si>
    <t>Mideast correspondent; PolSci AUB, RollingStone, GQ, Folha, Estado, @972mag; karate fighter, aspiring hitman. Author of Eudemonia &amp; Spies. Thursdays on Poder360</t>
  </si>
  <si>
    <t xml:space="preserve">    135.192</t>
  </si>
  <si>
    <t>SecomVc</t>
  </si>
  <si>
    <t>secomvc</t>
  </si>
  <si>
    <t>Bem-vindos ao SecomVc, canal da Secretaria de Comunicação Social da Presidência. 🇧🇷 Saiba tudo sobre as principais ações do Governo do Brasil:</t>
  </si>
  <si>
    <t xml:space="preserve">    284.799</t>
  </si>
  <si>
    <t>Polícia Militar do Estado de São Paulo</t>
  </si>
  <si>
    <t>pmesp</t>
  </si>
  <si>
    <t>https://t.co/Qzj8KiAVVB - Bem-vindo à página oficial da Polícia Militar do Estado de São Paulo! Em caso de crime, ligue 190 ou Disque-Denúncia 181.</t>
  </si>
  <si>
    <t xml:space="preserve">    718.213</t>
  </si>
  <si>
    <t>ROSSATTI♨</t>
  </si>
  <si>
    <t>chaserossatti</t>
  </si>
  <si>
    <t xml:space="preserve">      1.479</t>
  </si>
  <si>
    <t>Ivanildo Terceiro</t>
  </si>
  <si>
    <t>ivanildoiii</t>
  </si>
  <si>
    <t>Assistant Director of Marketing no @SFLiberty. 
Alumnus @FNFreiheit
Ama e defende a liberdade alheia. Todas as opiniões aqui são minhas e apenas minhas.</t>
  </si>
  <si>
    <t xml:space="preserve">     21.675</t>
  </si>
  <si>
    <t>Sistema Eminem</t>
  </si>
  <si>
    <t>emimotopapi</t>
  </si>
  <si>
    <t>Prazer, nós somos o Sistema Eminem. Somos 18 identidades. Paz, Amor e Empatia 🕊️ ❤️✌️ TDI</t>
  </si>
  <si>
    <t xml:space="preserve">      3.235</t>
  </si>
  <si>
    <t>ERIKA HILTON</t>
  </si>
  <si>
    <t>erikakhilton</t>
  </si>
  <si>
    <t>Ativista e Deputada Federal (23-27) - PSOL/SP
Vice presidenta da CDHMIR da Câmara dos Deputados.
Vereadora mais votada do Brasil em 2020.</t>
  </si>
  <si>
    <t xml:space="preserve">    408.207</t>
  </si>
  <si>
    <t>Ana Lucia Nobica Marques</t>
  </si>
  <si>
    <t>ananobica</t>
  </si>
  <si>
    <t>Aposentada, Boa de Briga Verbal e Gramatical;
Paciência Zero as injustiça;
Esquerda  por Natureza.
Só sigo quem me Segue 😉
1️⃣3️⃣🇧🇷</t>
  </si>
  <si>
    <t xml:space="preserve">      1.154</t>
  </si>
  <si>
    <t>Catnyanbinary</t>
  </si>
  <si>
    <t>3_catboy</t>
  </si>
  <si>
    <t>Nyanbinary - anypronouns  - femboy tático do Kim Jong Un - Comunista - Amante de Leviathan e Demiurgo - 🚫 Não sou conta NSFW 🚫 -</t>
  </si>
  <si>
    <t xml:space="preserve">      2.071</t>
  </si>
  <si>
    <t>Rhaenyro Targaryen</t>
  </si>
  <si>
    <t>danfmbis</t>
  </si>
  <si>
    <t>Há alguns anos minha mãe surpreendeu a medicina, trazendo ao mundo um ser lindo, safado,inteligente, gostoso e com mente brilhante...e cá estou eu
♐sagitarianjo</t>
  </si>
  <si>
    <t xml:space="preserve">      1.055</t>
  </si>
  <si>
    <t>Kim D. Paim</t>
  </si>
  <si>
    <t>kimpaim</t>
  </si>
  <si>
    <t>Jornalista. 
https://t.co/RkKUcrHo8Y
O homem que se tornará o Rei dos Piratas 🏴‍☠️
Telegram: https://t.co/pxAM8dIjay</t>
  </si>
  <si>
    <t xml:space="preserve">  1.335.768</t>
  </si>
  <si>
    <t>Mr. Miyagi The Dragon</t>
  </si>
  <si>
    <t>miyagithedragon</t>
  </si>
  <si>
    <t xml:space="preserve">      1.704</t>
  </si>
  <si>
    <t>Dama de Ferro</t>
  </si>
  <si>
    <t>damadeferroofic</t>
  </si>
  <si>
    <t>Página dedicada a Margaret Thatcher conhecida como Dama de Ferro. Falamos sobre cotidiano, direito, economia, entretenimento e política. Sempre com humor.</t>
  </si>
  <si>
    <t xml:space="preserve">  1.024.730</t>
  </si>
  <si>
    <t>José Correia Guedes</t>
  </si>
  <si>
    <t>cpt340</t>
  </si>
  <si>
    <t>Comandante da TAP na reforma, agora avô no activo. Muito mais difícil. Autor dos livros O Aviador, Carlos Bleck e Na Rota do Yankee Clipper.</t>
  </si>
  <si>
    <t xml:space="preserve">     23.432</t>
  </si>
  <si>
    <t>GugaNoblat</t>
  </si>
  <si>
    <t>guganoblat</t>
  </si>
  <si>
    <t>Fiz O Globo, Combate, CQC, A Liga , Pânico e Morning Show. Comentarista do ICL notícias. Apelidado carinhosamente pelo Bolsonaro de Cérebro Mofado.</t>
  </si>
  <si>
    <t xml:space="preserve">    440.351</t>
  </si>
  <si>
    <t>fried</t>
  </si>
  <si>
    <t>friedhardt</t>
  </si>
  <si>
    <t>atenção eu não quero debater</t>
  </si>
  <si>
    <t xml:space="preserve">     41.245</t>
  </si>
  <si>
    <t>SEJ Johnsson</t>
  </si>
  <si>
    <t>sej_johnsson</t>
  </si>
  <si>
    <t>The best is yet to come.. “Com sorte vc atravessa o mundo, sem sorte vc não atravessa a rua.” NRodrigues ... on my way to nowhere</t>
  </si>
  <si>
    <t xml:space="preserve">      1.141</t>
  </si>
  <si>
    <t>Willzera Legacy ®</t>
  </si>
  <si>
    <t>wiiillzeratv</t>
  </si>
  <si>
    <t>falando sobre jogos que eu gosto e fazendo sorteio</t>
  </si>
  <si>
    <t xml:space="preserve">      2.238</t>
  </si>
  <si>
    <t>Canal GOAT</t>
  </si>
  <si>
    <t>canalgoatbr</t>
  </si>
  <si>
    <t>Liga da Arábia Saudita, Brasileirão Série C, NWSL, Copa Argentina, Brasileirão de Futebol Americano e muito mais. GRÁTIS! Inscreva-se @canalgoatbr 🐐</t>
  </si>
  <si>
    <t xml:space="preserve">     34.151</t>
  </si>
  <si>
    <t>دوري روشن السعودي</t>
  </si>
  <si>
    <t>spl</t>
  </si>
  <si>
    <t>الحساب الرسمي لـ #دوري_روشن_السعودي | The official twitter account for Roshn Saudi League | English account @SPL_EN</t>
  </si>
  <si>
    <t xml:space="preserve">  2.065.390</t>
  </si>
  <si>
    <t>𝐌𝐚𝐫𝐜𝐨𝐬 𝐌𝐨𝐭𝐭𝐚</t>
  </si>
  <si>
    <t>mottamarcos</t>
  </si>
  <si>
    <t>𝐄𝐬𝐩𝐨𝐫𝐭𝐞 𝐞 𝐄𝐧𝐭𝐫𝐞𝐭𝐞𝐧𝐢𝐦𝐞𝐧𝐭𝐨 @bicharaemotta @hubstage @canalGOATBR▪️Lecturer at @laliga @realmadridue @isdemasters @esade &amp; @FIFAcom</t>
  </si>
  <si>
    <t xml:space="preserve">     71.243</t>
  </si>
  <si>
    <t>Mattos</t>
  </si>
  <si>
    <t>mattos_tips</t>
  </si>
  <si>
    <t>Gravo e posto todas minhas apostas desde Março 2023 no Youtube.
Estudante de Estatística UFMG.
Grupo free 👇🏻</t>
  </si>
  <si>
    <t xml:space="preserve">      3.415</t>
  </si>
  <si>
    <t>Ada Lovelace 1️⃣3️⃣</t>
  </si>
  <si>
    <t>andre_info</t>
  </si>
  <si>
    <t>Space to information flow</t>
  </si>
  <si>
    <t xml:space="preserve">      2.900</t>
  </si>
  <si>
    <t>Guilherme Rennó</t>
  </si>
  <si>
    <t>rennoguil</t>
  </si>
  <si>
    <t>Fundador &amp; CEO da Criptomaníacos</t>
  </si>
  <si>
    <t xml:space="preserve">     80.114</t>
  </si>
  <si>
    <t>Enzo Landon🕰️ ✈️</t>
  </si>
  <si>
    <t>folkrobin_828</t>
  </si>
  <si>
    <t>Stranger Things 4X06 (31:19)</t>
  </si>
  <si>
    <t xml:space="preserve">      2.881</t>
  </si>
  <si>
    <t>Lola Aronovich</t>
  </si>
  <si>
    <t>lolaescreva</t>
  </si>
  <si>
    <t>Professora da UFC, feminista, logicamente de esquerda, blogueira há 15 anos. Tenho tb um canal no YT https://t.co/HoJVP1J6Y5 Ingrata com o patriarcado desde criancinha.</t>
  </si>
  <si>
    <t xml:space="preserve">    209.016</t>
  </si>
  <si>
    <t>Améliaconta1</t>
  </si>
  <si>
    <t>ameliaconta1</t>
  </si>
  <si>
    <t>LULA PRESIDENTE ELEITO 🇧🇷🇧🇷🇧🇷🇧🇷</t>
  </si>
  <si>
    <t xml:space="preserve">      5.797</t>
  </si>
  <si>
    <t>Elza</t>
  </si>
  <si>
    <t>elza_ge</t>
  </si>
  <si>
    <t>Renda-se,como eu me rendi.Mergulhe no q vc ñ conhece como eu mergulhei. Não se preocupe em entender, viver ultrapassa qualquer entendimento.
(Clarice Lispector)</t>
  </si>
  <si>
    <t xml:space="preserve">      3.850</t>
  </si>
  <si>
    <t>Shitpost só que de verdade</t>
  </si>
  <si>
    <t>shitpostverdade</t>
  </si>
  <si>
    <t>MEMES estranhos e de origem extremamente duvidosa contato: shitpostsoquedeverdade@gmail.com
 adm: @leinad_nadiel</t>
  </si>
  <si>
    <t xml:space="preserve">  1.925.426</t>
  </si>
  <si>
    <t>Più Europa</t>
  </si>
  <si>
    <t>piu_europa</t>
  </si>
  <si>
    <t>Fai #UnPassoPiùAvanti. 
Iscriviti a Più Europa: https://t.co/LZOAbeEgcv</t>
  </si>
  <si>
    <t xml:space="preserve">     57.746</t>
  </si>
  <si>
    <t>Piercamillo Falasca 🇮🇹🇪🇺</t>
  </si>
  <si>
    <t>pier_falasca</t>
  </si>
  <si>
    <t>Vice segretario di @Piu_Europa. Terrone 2.0. Europa, Nato, Vaccini. Con Carolina nella vita.</t>
  </si>
  <si>
    <t xml:space="preserve">     12.368</t>
  </si>
  <si>
    <t>Tucker Carlson</t>
  </si>
  <si>
    <t>tuckercarlson</t>
  </si>
  <si>
    <t xml:space="preserve"> 10.253.861</t>
  </si>
  <si>
    <t>Piro</t>
  </si>
  <si>
    <t>piroinsano</t>
  </si>
  <si>
    <t>What we do in life, echoes in eternity. Republicano. Libertad, Rock y Pesca.</t>
  </si>
  <si>
    <t xml:space="preserve">     25.703</t>
  </si>
  <si>
    <t>🇨🇦Chantal Dugdale❤️💙💛</t>
  </si>
  <si>
    <t>cldonline</t>
  </si>
  <si>
    <t>(BBA) #NAFO Humanitarian: Freedom, Justice, Human Rights, Democracy. Reading, research, watching, listening, learning, = building dreams</t>
  </si>
  <si>
    <t xml:space="preserve">      2.845</t>
  </si>
  <si>
    <t>AloizioMercadante TV</t>
  </si>
  <si>
    <t>mercadantetv</t>
  </si>
  <si>
    <t>Acompanhe aqui as principais notícias, agenda e vídeos de Aloizio Mercadante, candidato do PT ao governo do estado de São Paulo</t>
  </si>
  <si>
    <t xml:space="preserve">      1.308</t>
  </si>
  <si>
    <t>RONALDO SILVA</t>
  </si>
  <si>
    <t>sronaldo</t>
  </si>
  <si>
    <t>Safety Engineer 12y in O&amp;G. I have the Certification as Supervisor of Radio Protection by CNEN, Nuclear Agency  #oilandgasmooc</t>
  </si>
  <si>
    <t xml:space="preserve">      2.298</t>
  </si>
  <si>
    <t>Giampiero #facciamorete #TorinoFC #libdem</t>
  </si>
  <si>
    <t>giampierobiglia</t>
  </si>
  <si>
    <t>#facciamorete #libdem #FBPE #TorinoFC #antifa</t>
  </si>
  <si>
    <t xml:space="preserve">      4.629</t>
  </si>
  <si>
    <t>QGui • FUNK RAVE 👽</t>
  </si>
  <si>
    <t>nittergui</t>
  </si>
  <si>
    <t>- Made in Honório 📺 - 
 - Versions of Me! 👥  i love
Anitter 🇧🇷 + pra CUP - 🏆 Sigam- Nos</t>
  </si>
  <si>
    <t xml:space="preserve">      1.013</t>
  </si>
  <si>
    <t>𝐂𝐚𝐮𝐞𝐳𝐢𝐧</t>
  </si>
  <si>
    <t>cacanitto</t>
  </si>
  <si>
    <t>Anitta is the largest exporter of brazilian culture to the world | Fan account</t>
  </si>
  <si>
    <t xml:space="preserve">      1.288</t>
  </si>
  <si>
    <t>Luís Roberto Barroso</t>
  </si>
  <si>
    <t>lrobertobarroso</t>
  </si>
  <si>
    <t>Ministro do Supremo Tribunal Federal, professor na UERJ e colaborador acadêmico na Harvard Kennedy School.</t>
  </si>
  <si>
    <t xml:space="preserve">    418.282</t>
  </si>
  <si>
    <t>Gilmar Mendes</t>
  </si>
  <si>
    <t>gilmarmendes</t>
  </si>
  <si>
    <t>Ministro do Supremo Tribunal Federal</t>
  </si>
  <si>
    <t xml:space="preserve">    519.251</t>
  </si>
  <si>
    <t>🦂Eliani Carvalho🦂 ❤️</t>
  </si>
  <si>
    <t>elianic4rvalhoo</t>
  </si>
  <si>
    <t>🍒Vermelho é a cor mais quente ❤️Antifa,Humanista, contra o racismo e racistas, homofobia,transfobia,misoginia/mãe Bichológica- LULA Presidente</t>
  </si>
  <si>
    <t xml:space="preserve">      6.864</t>
  </si>
  <si>
    <t>Torino Football Club</t>
  </si>
  <si>
    <t>torinofc_1906</t>
  </si>
  <si>
    <t>Pagina ufficiale Torino Football Club 🐂   @torinofc1906_en 🇬🇧🇺🇸</t>
  </si>
  <si>
    <t xml:space="preserve">    448.364</t>
  </si>
  <si>
    <t>Io uguale io (la ragazza del pesto)</t>
  </si>
  <si>
    <t>frabrunaaaaaa</t>
  </si>
  <si>
    <t>Genovese tifosa del Toro, nata sotto il segno dello scorpione ma nell’epoca sbagliata 🦂🥱</t>
  </si>
  <si>
    <t xml:space="preserve">      1.677</t>
  </si>
  <si>
    <t>João Nemer</t>
  </si>
  <si>
    <t>nemerpiro</t>
  </si>
  <si>
    <t>Cidadão da República das Bananas
° Torne-se parte da matilha!
"Canecai-lhes os incompetentes, ignorantes e os despirocados."
           -Nemer, Piroca</t>
  </si>
  <si>
    <t xml:space="preserve">      1.588</t>
  </si>
  <si>
    <t>Renato B£ck</t>
  </si>
  <si>
    <t>renato83beck</t>
  </si>
  <si>
    <t>Mestre em história, Petista desde criancinha e filiado ao PT desde 1999, Colorado da cabeça aos pés hehehehe Gado vaza... aqui é @lulaoficial</t>
  </si>
  <si>
    <t xml:space="preserve">      3.084</t>
  </si>
  <si>
    <t>Geraldo Burigo, CEA</t>
  </si>
  <si>
    <t>geraldoburigo</t>
  </si>
  <si>
    <t>Engenheiro pós graduado em Finanças | Consultor CVM |
Investidor Qualificado |
ETFs |   O simples que funciona | Factor investing</t>
  </si>
  <si>
    <t xml:space="preserve">      2.151</t>
  </si>
  <si>
    <t>Lula PT nos Trends</t>
  </si>
  <si>
    <t>lulaptnostrends</t>
  </si>
  <si>
    <t>Comitê Virtual Lula e o PT - A Luta Não Para Nunca</t>
  </si>
  <si>
    <t xml:space="preserve">      2.843</t>
  </si>
  <si>
    <t>Alexandre PT</t>
  </si>
  <si>
    <t>alexandrept13cv</t>
  </si>
  <si>
    <t>Adm de Empresas, MBA Executivo em Finanças #PetistaSeguePetista</t>
  </si>
  <si>
    <t xml:space="preserve">     19.201</t>
  </si>
  <si>
    <t>Alexandre</t>
  </si>
  <si>
    <t>alexand92840726</t>
  </si>
  <si>
    <t>Lider/Membro do projeto "Lula e PT nos trends do Twitter"
#Vote13</t>
  </si>
  <si>
    <t xml:space="preserve">     37.018</t>
  </si>
  <si>
    <t>Vinicius Paiva</t>
  </si>
  <si>
    <t>vpaiva_btj</t>
  </si>
  <si>
    <t>Ex-autor do Blog Teoria dos Jogos. Flamengo e mkt.
Você já leu muito de minha autoria por aí sem saber.
Mas agora saberá! Parcerias divulgação de conteúdo: DM</t>
  </si>
  <si>
    <t xml:space="preserve">     13.413</t>
  </si>
  <si>
    <t>Quotidiano di Puglia</t>
  </si>
  <si>
    <t>quoti_puglia</t>
  </si>
  <si>
    <t>Nuovo Quotidiano di Puglia - Brindisi, Lecce, Taranto</t>
  </si>
  <si>
    <t xml:space="preserve">     21.821</t>
  </si>
  <si>
    <t>Cisl Puglia</t>
  </si>
  <si>
    <t>cislpuglia</t>
  </si>
  <si>
    <t>🇮🇹 Unione Sindacale Regionale - Segretario generale @CastellucciAnto</t>
  </si>
  <si>
    <t xml:space="preserve">      4.078</t>
  </si>
  <si>
    <t>CISL Nazionale</t>
  </si>
  <si>
    <t>cislnazionale</t>
  </si>
  <si>
    <t>La Cisl è un sindacato libero, pluralista, autonomo da schieramenti politici che conta oggi 4 milioni e mezzo di iscritti</t>
  </si>
  <si>
    <t xml:space="preserve">     32.618</t>
  </si>
  <si>
    <t>LyondellBasell</t>
  </si>
  <si>
    <t>lyondellbasell</t>
  </si>
  <si>
    <t>We are LyondellBasell – a leader in the global chemical industry creating solutions for everyday sustainable living.</t>
  </si>
  <si>
    <t xml:space="preserve">     11.601</t>
  </si>
  <si>
    <t>Faz o L e Sorria - O Futuro Voltou</t>
  </si>
  <si>
    <t>fazolesorria</t>
  </si>
  <si>
    <t>Nova Primavera - Conta do Comitê Projeto Lula e o PT nos Trends</t>
  </si>
  <si>
    <t xml:space="preserve">      1.483</t>
  </si>
  <si>
    <t>Jurandir Filho</t>
  </si>
  <si>
    <t>jurandirfilho</t>
  </si>
  <si>
    <t>Cientista e provocador da cultura pop. 🔍 || Criador do @rapadura e host do #RapaduraCast 🍿 || Criador e host do @99Vidas 🕹 || A vida voa, aproveita!! 🤙🦁</t>
  </si>
  <si>
    <t xml:space="preserve">    175.186</t>
  </si>
  <si>
    <t>Paulo Cappelli</t>
  </si>
  <si>
    <t>paulocappelli_</t>
  </si>
  <si>
    <t>Jornalista. Colunista no @metropoles. Contato: paulo.cappelli@metropoles.com / (61) 99923-7789</t>
  </si>
  <si>
    <t xml:space="preserve">     10.809</t>
  </si>
  <si>
    <t>André Rizek</t>
  </si>
  <si>
    <t>andrizek</t>
  </si>
  <si>
    <t>Em atualização...</t>
  </si>
  <si>
    <t xml:space="preserve">  2.106.248</t>
  </si>
  <si>
    <t>marcelo silva</t>
  </si>
  <si>
    <t>marcelosilva_to</t>
  </si>
  <si>
    <t>Jornalista e Publicitário, diretor da Agência Public,  MBA em marketing político, Especialista em Gestão Pública e Sociedade, advogado e documentarista.  
..</t>
  </si>
  <si>
    <t xml:space="preserve">      8.584</t>
  </si>
  <si>
    <t>HIX Capital</t>
  </si>
  <si>
    <t>capitalhix</t>
  </si>
  <si>
    <t>A HIX Capital é uma gestora brasileira independente dedicada a investimentos em ações.</t>
  </si>
  <si>
    <t xml:space="preserve">      1.373</t>
  </si>
  <si>
    <t>Real Investor Asset Management</t>
  </si>
  <si>
    <t>realinvestor_am</t>
  </si>
  <si>
    <t>▫️ For investors, not speculators .</t>
  </si>
  <si>
    <t xml:space="preserve">      7.958</t>
  </si>
  <si>
    <t>Trígono Capital</t>
  </si>
  <si>
    <t>trigonocapital</t>
  </si>
  <si>
    <t>Gestora de ações com forte viés para small caps e crédito privado.                         
Trígono Capital, além do óbvio.
Day: https://t.co/n9YMwrFwhz</t>
  </si>
  <si>
    <t xml:space="preserve">     13.519</t>
  </si>
  <si>
    <t>Jansen Costa</t>
  </si>
  <si>
    <t>costa_jansen</t>
  </si>
  <si>
    <t>🏆 + R$ 2,7 bilhões de clientes 🏊🚴🏃Ironman 🇧🇷 2013|2014 💰Invista com a @fatorialinvest</t>
  </si>
  <si>
    <t xml:space="preserve">      6.487</t>
  </si>
  <si>
    <t>Partito Democratico 🇮🇹 🇪🇺</t>
  </si>
  <si>
    <t>pdnetwork</t>
  </si>
  <si>
    <t>Account ufficiale del Partito Democratico. 
Segretaria nazionale: Elly Schlein @ellyesse</t>
  </si>
  <si>
    <t xml:space="preserve">    422.719</t>
  </si>
  <si>
    <t>Daniela Santanchè</t>
  </si>
  <si>
    <t>dsantanche</t>
  </si>
  <si>
    <t>Ministro del Turismo della Repubblica Italiana 🇮🇹</t>
  </si>
  <si>
    <t xml:space="preserve">    207.096</t>
  </si>
  <si>
    <t>Giorgio Spaziani Testa</t>
  </si>
  <si>
    <t>gspazianitesta</t>
  </si>
  <si>
    <t xml:space="preserve">      7.347</t>
  </si>
  <si>
    <t>Marco A. Ferraz</t>
  </si>
  <si>
    <t>marcoferraz85</t>
  </si>
  <si>
    <t>Instagram: @marcoferraz85
Jornalista Multimídia
MBA em Comunicação e marketing em mídias digitais</t>
  </si>
  <si>
    <t xml:space="preserve">      2.917</t>
  </si>
  <si>
    <t>davi rodrigues</t>
  </si>
  <si>
    <t>davirdesouza</t>
  </si>
  <si>
    <t xml:space="preserve">      1.070</t>
  </si>
  <si>
    <t>opMoon</t>
  </si>
  <si>
    <t>opmoonapp</t>
  </si>
  <si>
    <t>opMoon is a cutting-edge crypto project leveraging the emerging #opBNB blockchain to introduce a novel reflection token.
#opMoon
TG: https://t.co/DJTBSMvCVG</t>
  </si>
  <si>
    <t xml:space="preserve">      4.550</t>
  </si>
  <si>
    <t>Lucas Tanaka</t>
  </si>
  <si>
    <t>lucastanaka</t>
  </si>
  <si>
    <t>Uma das loucuras que já fiz pra ver o Galão jogar! 👇
https://t.co/fk6Oa9TYRU</t>
  </si>
  <si>
    <t xml:space="preserve">     47.722</t>
  </si>
  <si>
    <t>douglas</t>
  </si>
  <si>
    <t>eusouaquelequee</t>
  </si>
  <si>
    <t xml:space="preserve">      1.405</t>
  </si>
  <si>
    <t>todo dia anitters passando vergonha</t>
  </si>
  <si>
    <t>tododiaanitters</t>
  </si>
  <si>
    <t>Coletânea de prints vergonhosos e criminosos de um dos fandoms mais micosos da Internet. | Parody Account/Fan Account.</t>
  </si>
  <si>
    <t xml:space="preserve">     33.883</t>
  </si>
  <si>
    <t>gui</t>
  </si>
  <si>
    <t>doperotic</t>
  </si>
  <si>
    <t xml:space="preserve">      7.415</t>
  </si>
  <si>
    <t>Moments of Brazilian Politics</t>
  </si>
  <si>
    <t>momentsofbrazi1</t>
  </si>
  <si>
    <t>Moments of Brazilian Politics. Send DM with images of brazil politics.</t>
  </si>
  <si>
    <t xml:space="preserve">     30.188</t>
  </si>
  <si>
    <t>Fábio</t>
  </si>
  <si>
    <t>_fabinhu_r_</t>
  </si>
  <si>
    <t>Escritor independente</t>
  </si>
  <si>
    <t xml:space="preserve">      1.338</t>
  </si>
  <si>
    <t>Renovato</t>
  </si>
  <si>
    <t>arturenovato</t>
  </si>
  <si>
    <t>Designer 
portifólio: https://t.co/MTe7AxUN3s</t>
  </si>
  <si>
    <t xml:space="preserve">      8.407</t>
  </si>
  <si>
    <t>Major rd 🧸✨</t>
  </si>
  <si>
    <t>eumajorrd</t>
  </si>
  <si>
    <t>Ascensão do Cisne Negro 🦢 @bcgamebrasil</t>
  </si>
  <si>
    <t xml:space="preserve">    251.561</t>
  </si>
  <si>
    <t>G!Gi</t>
  </si>
  <si>
    <t>ogguki</t>
  </si>
  <si>
    <t>͏͏ ͏͏ ͏͏ ͏͏ ͏ #JIMIN #꾹 🐾</t>
  </si>
  <si>
    <t xml:space="preserve">     36.136</t>
  </si>
  <si>
    <t>Neymar Jr</t>
  </si>
  <si>
    <t>neymarjr</t>
  </si>
  <si>
    <t>Filho de Deus, Pai, Feliz e Ousado !</t>
  </si>
  <si>
    <t xml:space="preserve"> 62.847.611</t>
  </si>
  <si>
    <t>Giorgia Meloni</t>
  </si>
  <si>
    <t>giorgiameloni</t>
  </si>
  <si>
    <t>Presidente del Consiglio dei Ministri della Repubblica Italiana</t>
  </si>
  <si>
    <t xml:space="preserve">  2.017.122</t>
  </si>
  <si>
    <t>UOL</t>
  </si>
  <si>
    <t>uol</t>
  </si>
  <si>
    <t>📸 Instagram https://t.co/EJrdF7w0qP
📺 Canal UOL https://t.co/OjClfS9rlt
🤳 TikTok https://t.co/JcU2Db5LmP
✨ UOL Prime https://t.co/KSUWI9xQCv</t>
  </si>
  <si>
    <t xml:space="preserve">  2.841.953</t>
  </si>
  <si>
    <t>UOL Esporte</t>
  </si>
  <si>
    <t>uolesporte</t>
  </si>
  <si>
    <t>Resultados, notícias, entrevistas, fotos, vídeos e os bastidores do esporte. Acompanhe ao vivo os principais eventos esportivos no Brasil e do mundo.</t>
  </si>
  <si>
    <t xml:space="preserve">  1.571.627</t>
  </si>
  <si>
    <t>Júnior Masters</t>
  </si>
  <si>
    <t>juniorex</t>
  </si>
  <si>
    <t>Católico, Esposo Amoroso, Produtor de conteúdo, Host do Redcast e projeto de maromba.</t>
  </si>
  <si>
    <t xml:space="preserve">      4.256</t>
  </si>
  <si>
    <t>Rosbifes Falantes 🥩</t>
  </si>
  <si>
    <t>rosbifestalk</t>
  </si>
  <si>
    <t>Health • Gym • Investments • libertarian •  Cosmology • Technology • Gynocentrism • Travels • Talk • Ontlogy • Switzerland • Brazil • #Bitcoin •  Redpill 💊</t>
  </si>
  <si>
    <t xml:space="preserve">     19.716</t>
  </si>
  <si>
    <t>Guilherme Boulos</t>
  </si>
  <si>
    <t>guilhermeboulos</t>
  </si>
  <si>
    <t>Professor e Deputado Federal eleito por SP com mais de 1 milhão de votos.</t>
  </si>
  <si>
    <t xml:space="preserve">  2.247.243</t>
  </si>
  <si>
    <t>Roberto Requião</t>
  </si>
  <si>
    <t>requiaooficial</t>
  </si>
  <si>
    <t xml:space="preserve">    320.595</t>
  </si>
  <si>
    <t>Miguel Jr Gyn🚩🚩🚩💯🦂</t>
  </si>
  <si>
    <t>gynmiguel</t>
  </si>
  <si>
    <t>Nenhuma quantidade de evidencia irá persuadir um idiota!
Argumento de burro é coice!</t>
  </si>
  <si>
    <t xml:space="preserve">     34.427</t>
  </si>
  <si>
    <t>Thiago dos Reis 🇧🇷</t>
  </si>
  <si>
    <t>thiagoresiste</t>
  </si>
  <si>
    <t>Estou com Lula, quem também está, segue aí!</t>
  </si>
  <si>
    <t xml:space="preserve">    390.111</t>
  </si>
  <si>
    <t>Canchero.</t>
  </si>
  <si>
    <t>gs3_lu</t>
  </si>
  <si>
    <t>Club de Regatas Vasco da Gama y nada más. ✠ ¹⁸⁹⁸</t>
  </si>
  <si>
    <t xml:space="preserve">      4.560</t>
  </si>
  <si>
    <t>DataFut</t>
  </si>
  <si>
    <t>datafutebol</t>
  </si>
  <si>
    <t>Dados e Opiniões sobre Futebol  📊🗣️
Contact : iolncant@gmail.com / football data analysis / Ciências de Dados e IA na PUCRS</t>
  </si>
  <si>
    <t xml:space="preserve">     32.898</t>
  </si>
  <si>
    <t>O Lobo da B3</t>
  </si>
  <si>
    <t>wolfofb3</t>
  </si>
  <si>
    <t>Estude, trabalhe e invista.</t>
  </si>
  <si>
    <t>Renato Souza</t>
  </si>
  <si>
    <t>reporterenato</t>
  </si>
  <si>
    <t>Repórter de política do Correio Braziliense, em Brasília. Setorista de Judiciário. Pós-graduando em perícia cibernética.
Parcerias: renatoradioacao@gmail.com</t>
  </si>
  <si>
    <t xml:space="preserve">    126.018</t>
  </si>
  <si>
    <t>Kika</t>
  </si>
  <si>
    <t>tudinovo</t>
  </si>
  <si>
    <t>Minha versão da história 🪭</t>
  </si>
  <si>
    <t xml:space="preserve">      6.188</t>
  </si>
  <si>
    <t>jack d.</t>
  </si>
  <si>
    <t>azzevedown</t>
  </si>
  <si>
    <t>it isn't hell if everybody knows my name tonight // #dbdmobile: mamifera</t>
  </si>
  <si>
    <t xml:space="preserve">      1.916</t>
  </si>
  <si>
    <t>Rodrigo Rangel</t>
  </si>
  <si>
    <t>rodrigo_rangel</t>
  </si>
  <si>
    <t>Sempre repórter. Colunista no @Metropoles. Três vezes Prêmio Esso. Prêmio Latino-americano de Jornalismo Investigativo de 2022</t>
  </si>
  <si>
    <t xml:space="preserve">     71.619</t>
  </si>
  <si>
    <t>Brasil, País Digital</t>
  </si>
  <si>
    <t>brpaisdigital</t>
  </si>
  <si>
    <t>Brasil, País Digital é uma iniciativa que torna mais acessível a compreensão e o debate de temas ligados às tecnologias, gestão de dados e seus benefícios.</t>
  </si>
  <si>
    <t xml:space="preserve">      2.447</t>
  </si>
  <si>
    <t>Afonso Borges</t>
  </si>
  <si>
    <t>afonsoborges</t>
  </si>
  <si>
    <t>Jornalista, escritor e gestor cultural. Antirracista. Criador do @sempreumpapo @fliaraxa @flitabira @fliparacatu  // Podcast @mondolivro na @radioalvorada</t>
  </si>
  <si>
    <t xml:space="preserve">     17.809</t>
  </si>
  <si>
    <t>Newman 🌾</t>
  </si>
  <si>
    <t>liberdadenumen</t>
  </si>
  <si>
    <t>🌚🏆🌞 @segurocaos @liberdademidia 🍄🌲</t>
  </si>
  <si>
    <t xml:space="preserve">     37.383</t>
  </si>
  <si>
    <t>Ministério de Portos e Aeroportos</t>
  </si>
  <si>
    <t>mporoficial</t>
  </si>
  <si>
    <t>Perfil oficial do Ministério de Portos e Aeroportos 🚢✈️</t>
  </si>
  <si>
    <t xml:space="preserve">     56.789</t>
  </si>
  <si>
    <t>Ministério do Turismo</t>
  </si>
  <si>
    <t>mturismo</t>
  </si>
  <si>
    <t>Perfil oficial do Ministério do Turismo do Brasil</t>
  </si>
  <si>
    <t xml:space="preserve">    582.468</t>
  </si>
  <si>
    <t>goldoneves</t>
  </si>
  <si>
    <t>jurídico gabriel neves • fan account</t>
  </si>
  <si>
    <t xml:space="preserve">     32.245</t>
  </si>
  <si>
    <t>RTP</t>
  </si>
  <si>
    <t>rtppt</t>
  </si>
  <si>
    <t>Rádio e Televisão de Portugal. Sempre Ligados. @RTP1 @RTP2 @playrtp @rtppalco @antena1rtp @antena2rtp @antena3rtp @rtpmadeira @acoresrtp @rtparena @rtpnoticias</t>
  </si>
  <si>
    <t xml:space="preserve">    589.236</t>
  </si>
  <si>
    <t>SIC Notícias</t>
  </si>
  <si>
    <t>sicnoticias</t>
  </si>
  <si>
    <t>O como e o porquê das notícias de #ultimahora, a análise e a #opiniao que interessa. Siga #portugal e o mundo com a #sicnoticias</t>
  </si>
  <si>
    <t xml:space="preserve">  1.043.885</t>
  </si>
  <si>
    <t>Tesla Charging</t>
  </si>
  <si>
    <t>teslacharging</t>
  </si>
  <si>
    <t>New Supercharger sites, announcements and all things charging.</t>
  </si>
  <si>
    <t xml:space="preserve">    154.180</t>
  </si>
  <si>
    <t>Tesla</t>
  </si>
  <si>
    <t>tesla</t>
  </si>
  <si>
    <t>Electric vehicles, giant batteries &amp; solar</t>
  </si>
  <si>
    <t xml:space="preserve"> 20.931.065</t>
  </si>
  <si>
    <t>Gleisi Hoffmann</t>
  </si>
  <si>
    <t>gleisi</t>
  </si>
  <si>
    <t>Deputada federal pelo Paraná e Presidenta Nacional do Partido dos Trabalhadores ⭐</t>
  </si>
  <si>
    <t xml:space="preserve">  1.229.897</t>
  </si>
  <si>
    <t>giancarlo loquenzi</t>
  </si>
  <si>
    <t>gloquenzi</t>
  </si>
  <si>
    <t>Fermi! Tanto non farete mai centro. La Bestia che cercate voi, voi ci siete dentro (g.c.)</t>
  </si>
  <si>
    <t xml:space="preserve">     40.848</t>
  </si>
  <si>
    <t>annarita digiorgio</t>
  </si>
  <si>
    <t>ardigiorgio</t>
  </si>
  <si>
    <t>tu insulti, io monetizzo.</t>
  </si>
  <si>
    <t xml:space="preserve">     30.559</t>
  </si>
  <si>
    <t>Patrizia Feletig</t>
  </si>
  <si>
    <t>citypat1</t>
  </si>
  <si>
    <t>Curiosa by design Operaia della tastiera
Scritto di energia, natura, 007 e fiaba per bambini
Copernicana
https://t.co/FyomfNKi9s
https://t.co/2Fk9IFhuRM
http://am</t>
  </si>
  <si>
    <t xml:space="preserve">      4.104</t>
  </si>
  <si>
    <t>Amici della Terra</t>
  </si>
  <si>
    <t>amicidellaterra</t>
  </si>
  <si>
    <t>Dal 1978 promuoviamo politiche e comportamenti orientati alla protezione dell'ambiente e allo sviluppo sostenibile.</t>
  </si>
  <si>
    <t>jacopo giliberto</t>
  </si>
  <si>
    <t>jacopogiliberto</t>
  </si>
  <si>
    <t>(venezia 1961-vivente). trend-setter, iconico, resiliente, olistico, di tendenza, ridefinisce il concetto di giornalista. 
telegram https://t.co/3VYYkJBqN5</t>
  </si>
  <si>
    <t xml:space="preserve">     13.508</t>
  </si>
  <si>
    <t>Claudio Borghi A.</t>
  </si>
  <si>
    <t>borghi_claudio</t>
  </si>
  <si>
    <t>Senatore della Repubblica Italiana eletto in Toscana per la Lega.</t>
  </si>
  <si>
    <t xml:space="preserve">    170.818</t>
  </si>
  <si>
    <t>Reinaldo Azevedo</t>
  </si>
  <si>
    <t>reinaldoazevedo</t>
  </si>
  <si>
    <t>Reinaldo Azevedo, jornalista, é âncora de “O É da Coisa”, na BandNews FM e BandaNews Tv. É colunista do UOL.  e Folha. Está também no Reconversa, no Youtube</t>
  </si>
  <si>
    <t xml:space="preserve">  1.605.687</t>
  </si>
  <si>
    <t>Deltan Dallagnol</t>
  </si>
  <si>
    <t>deltanmd</t>
  </si>
  <si>
    <t>🇧🇷 Deputado federal mais votado do Paraná, eleito com o voto de 344.917 paranaenses</t>
  </si>
  <si>
    <t xml:space="preserve">  1.752.560</t>
  </si>
  <si>
    <t>Dayanne Reinhold</t>
  </si>
  <si>
    <t>reinholddayanne</t>
  </si>
  <si>
    <t>Instagram @dayreinhold</t>
  </si>
  <si>
    <t xml:space="preserve">      7.558</t>
  </si>
  <si>
    <t>Universal Music Group</t>
  </si>
  <si>
    <t>umg</t>
  </si>
  <si>
    <t>The world's leading music company.</t>
  </si>
  <si>
    <t xml:space="preserve">    697.819</t>
  </si>
  <si>
    <t>QG da Anitta</t>
  </si>
  <si>
    <t>qgdaanitta</t>
  </si>
  <si>
    <t>Perfil Oficial Central de fãs da Cantora Anitta, atualizado pela equipe da cantora | Instagram: qgdaanitta</t>
  </si>
  <si>
    <t xml:space="preserve">    153.058</t>
  </si>
  <si>
    <t>Acesso Anitta | Fan Account</t>
  </si>
  <si>
    <t>acessoanittar</t>
  </si>
  <si>
    <t>Principal portal de informações sobre a cantora Anitta | Source about the brazilian singer Anitta. (Fan Account) Certified by: @RepublicRecords</t>
  </si>
  <si>
    <t xml:space="preserve">     96.617</t>
  </si>
  <si>
    <t>Samsung Brasil</t>
  </si>
  <si>
    <t>samsungbrasil</t>
  </si>
  <si>
    <t>#IssoÉFlip</t>
  </si>
  <si>
    <t xml:space="preserve">    814.687</t>
  </si>
  <si>
    <t>pai soltaram</t>
  </si>
  <si>
    <t>paisoltaram</t>
  </si>
  <si>
    <t>⚽️ 😳 Ganhe 130% de bônus no primeiro depósito na minha patrocinadora 1xbet usando o cupom: bonus130porcento link https://t.co/zJeHLmRDkD meu Telegram👇🏼</t>
  </si>
  <si>
    <t xml:space="preserve">    121.742</t>
  </si>
  <si>
    <t>🚩🍀Karla ⭐🚩 Lula13</t>
  </si>
  <si>
    <t>sequeira_kg</t>
  </si>
  <si>
    <t>Estou aqui para aprender e lutar pelo que acredito: amor, democracia, direitos humanos, meio ambiente. O caminho é a esquerda. #PelaUnidadeAmericaLatina</t>
  </si>
  <si>
    <t xml:space="preserve">      9.969</t>
  </si>
  <si>
    <t>Flo Lula da Silva</t>
  </si>
  <si>
    <t>rosangelajaspe4</t>
  </si>
  <si>
    <t>VOU VOTAR NO LULA E NO PT DE PONTA À PONTA🚩🚩🚩🚩</t>
  </si>
  <si>
    <t xml:space="preserve">      1.650</t>
  </si>
  <si>
    <t>Samuel Felix🚩</t>
  </si>
  <si>
    <t>parasamuel</t>
  </si>
  <si>
    <t>Filiado ao PT 
Líder e Integrante Comitê Lula e o PT nos Trends Agora é só o Amor Petista segue Petista #LulaBrasilDeTodos</t>
  </si>
  <si>
    <t xml:space="preserve">     22.774</t>
  </si>
  <si>
    <t>Corriere della Sera</t>
  </si>
  <si>
    <t>corriere</t>
  </si>
  <si>
    <t>L'informazione in 280 caratteri, 24 ore su 24. Siamo anche su Instagram e su Tik Tok  @corriere</t>
  </si>
  <si>
    <t xml:space="preserve">  2.761.798</t>
  </si>
  <si>
    <t>Lorenzo Castellini Pulici</t>
  </si>
  <si>
    <t>lorenzo32843904</t>
  </si>
  <si>
    <t>Appassionato di storia, politica, scienza, economia. Ingegnere di formazione ma ammiratore di chi ha cultura umanistica. Antifa.
Liberale e liberista.</t>
  </si>
  <si>
    <t xml:space="preserve">      3.360</t>
  </si>
  <si>
    <t>Sandro Brusco</t>
  </si>
  <si>
    <t>brusco_sandro</t>
  </si>
  <si>
    <t>Professor of economics, Stony Brook University.</t>
  </si>
  <si>
    <t xml:space="preserve">     27.174</t>
  </si>
  <si>
    <t>Carlo Piana (Kappa)</t>
  </si>
  <si>
    <t>carlopiana</t>
  </si>
  <si>
    <t>Lawyer, IT &amp; TLC Law. Free Software and digital liberties advocate from Italy, Europe. I see you @carlopiana@mastodon.uno when this ship wrecks</t>
  </si>
  <si>
    <t xml:space="preserve">      6.633</t>
  </si>
  <si>
    <t>Claudio 🇮🇹🇪🇺🇬🇧 #LibDem #ItaliaViva #FBPE</t>
  </si>
  <si>
    <t>cciavaroli</t>
  </si>
  <si>
    <t>54 y.o, Christian. Lib Dem in England,  Italia Viva in Italy . Working on health . #StandupwithUkraine</t>
  </si>
  <si>
    <t xml:space="preserve">      4.890</t>
  </si>
  <si>
    <t>LUDMILLA</t>
  </si>
  <si>
    <t>ludmilla</t>
  </si>
  <si>
    <t>Grammy Winner 
"Vilã Live" out now!</t>
  </si>
  <si>
    <t xml:space="preserve"> 11.017.512</t>
  </si>
  <si>
    <t>Hugo Gloss</t>
  </si>
  <si>
    <t>hugogloss</t>
  </si>
  <si>
    <t>Brazilian Entertainment Website. In Beyoncé we trust!</t>
  </si>
  <si>
    <t xml:space="preserve">  5.405.291</t>
  </si>
  <si>
    <t>Maria A. Arruda</t>
  </si>
  <si>
    <t>mariaar63229425</t>
  </si>
  <si>
    <t>o povo quer Lula presidente 13. sem medo de ser feliz.</t>
  </si>
  <si>
    <t xml:space="preserve">      1.066</t>
  </si>
  <si>
    <t>Maria</t>
  </si>
  <si>
    <t>mardefeli</t>
  </si>
  <si>
    <t>Vivendo e aprendendo a viver.“Amigos a gente encontra”.</t>
  </si>
  <si>
    <t xml:space="preserve">      3.374</t>
  </si>
  <si>
    <t>JURIDICANTIFA UAI SÔ</t>
  </si>
  <si>
    <t>marcliomoraisa1</t>
  </si>
  <si>
    <t>A GENTE QUER TER VOZ ATIVA, NO NOSSO DESTINO MANDAR🚩♻️🏳️‍🌈🏳☮</t>
  </si>
  <si>
    <t xml:space="preserve">      1.301</t>
  </si>
  <si>
    <t>lu13</t>
  </si>
  <si>
    <t>lu13luiza</t>
  </si>
  <si>
    <t>" A vida é uma prova difícil.
E não adianta querer copiar as respostas da vida de outros...
As perguntas são diferentes ."</t>
  </si>
  <si>
    <t xml:space="preserve">      6.422</t>
  </si>
  <si>
    <t>Macris Moraes</t>
  </si>
  <si>
    <t>macmoraes1</t>
  </si>
  <si>
    <t>Mulher, mãe, enfermeira,sagitariana, espírita,casada.Amo a vida, os meus pets,o Fluminense🇭🇺.Sou grata por tudo que sou 🌻❤️✌️🏳️‍🌈☮️🚩🚩</t>
  </si>
  <si>
    <t>FC Barcelona</t>
  </si>
  <si>
    <t>fcbarcelona_es</t>
  </si>
  <si>
    <t>Cuenta oficial del FC Barcelona</t>
  </si>
  <si>
    <t xml:space="preserve"> 21.589.317</t>
  </si>
  <si>
    <t>ELEVEN Portugal</t>
  </si>
  <si>
    <t>elevensports_pt</t>
  </si>
  <si>
    <t>ELEVEN é agora na DAZN 💪 Canal Oficial da Champions League, Premier League, LaLiga, Ligue 1, Bundesliga, NFL, WTA, Formula E, e muito mais.</t>
  </si>
  <si>
    <t xml:space="preserve">    194.794</t>
  </si>
  <si>
    <t>UnicajaCB</t>
  </si>
  <si>
    <t>unicajacb</t>
  </si>
  <si>
    <t>Twitter OFICIAL del Unicaja Baloncesto de Málaga. @ACBCOM @BasketballCL Liga Challenge</t>
  </si>
  <si>
    <t xml:space="preserve">     90.489</t>
  </si>
  <si>
    <t>UCAM Murcia</t>
  </si>
  <si>
    <t>ucammurcia</t>
  </si>
  <si>
    <t>¡Bienvenidos al Twitter Oficial del UCAM Murcia Club de Baloncesto. Representando a la Región de Murcia en la @ACBCOM y @BasketballCL. #TheLegacy</t>
  </si>
  <si>
    <t xml:space="preserve">     69.856</t>
  </si>
  <si>
    <t>Real Madrid Basket</t>
  </si>
  <si>
    <t>rmbaloncesto</t>
  </si>
  <si>
    <t>🏀 Cuenta oficial del Real Madrid Baloncesto. Official account of Real Madrid Basketball.</t>
  </si>
  <si>
    <t xml:space="preserve">    791.167</t>
  </si>
  <si>
    <t>Barça Basket</t>
  </si>
  <si>
    <t>fcbbasket</t>
  </si>
  <si>
    <t>🏀💙❤Official Barça Basketball account.         
🏆2x Euroleague
🏆20x ACB
🏆27x Copa</t>
  </si>
  <si>
    <t xml:space="preserve">    654.128</t>
  </si>
  <si>
    <t>Liga Endesa</t>
  </si>
  <si>
    <t>acbcom</t>
  </si>
  <si>
    <t>Twitter oficial de la #LigaEndesa y la ACB. ¡Disfruta del baloncesto con nosotros!</t>
  </si>
  <si>
    <t xml:space="preserve">    429.890</t>
  </si>
  <si>
    <t>Giuseppe Zollino</t>
  </si>
  <si>
    <t>gizollino</t>
  </si>
  <si>
    <t>Tecnica ed Economia dell'Energia e Impianti Nucleari a @UniPadova; qui solo opinioni personali. Responsabile Energia&amp;Ambiente Segreteria Nazionale @Azione_it</t>
  </si>
  <si>
    <t xml:space="preserve">      5.302</t>
  </si>
  <si>
    <t>Daniel 💙</t>
  </si>
  <si>
    <t>piauidaniel</t>
  </si>
  <si>
    <t>"Uma longa jornada começa com um simples passo."
Confúcio</t>
  </si>
  <si>
    <t xml:space="preserve">      1.325</t>
  </si>
  <si>
    <t>Marcelo Fayh - FIIs</t>
  </si>
  <si>
    <t>marcelofayh</t>
  </si>
  <si>
    <t>Especialista em FIIs
Analista CNPI
Investidor desde 2007
Autor do livro Método Fayh: Descubra Como Escolher os Melhores Fundos Imobiliários</t>
  </si>
  <si>
    <t xml:space="preserve">      3.514</t>
  </si>
  <si>
    <t>Pierluigi Battista</t>
  </si>
  <si>
    <t>pierluigibattis</t>
  </si>
  <si>
    <t>Uscita di sicurezza , Saul Bellow, Rione Monti tradito, Huffington Post #grandefirma</t>
  </si>
  <si>
    <t xml:space="preserve">    124.362</t>
  </si>
  <si>
    <t>Carlo Stagnaro 🏴󠁧󠁢󠁥󠁮󠁧󠁿🇺🇦</t>
  </si>
  <si>
    <t>carlostagnaro</t>
  </si>
  <si>
    <t>join the dark side: we have neoliberal conspiracies / @istbrunoleoni / @theoryanddata / con @asaravalle ho scritto *Molte riforme per nulla* (@marsilioeditori)</t>
  </si>
  <si>
    <t xml:space="preserve">     43.164</t>
  </si>
  <si>
    <t>Carmelo Palma 🇮🇹🇪🇺</t>
  </si>
  <si>
    <t>carmelopalma</t>
  </si>
  <si>
    <t>Torinese, 54 anni, giornalista, direttore di https://t.co/HZYJbDzoHI. Scrive anche su https://t.co/1RjX1R5SkL e https://t.co/Fzpsd8zdlp</t>
  </si>
  <si>
    <t xml:space="preserve">      6.925</t>
  </si>
  <si>
    <t>laura cesaretti 🇺🇦🇪🇺</t>
  </si>
  <si>
    <t>lauracesaretti1</t>
  </si>
  <si>
    <t>giornalista, Il Giornale (ex Radio Radicale, Il Foglio) - Le opinioni qui espresse sono di qualcun altro</t>
  </si>
  <si>
    <t xml:space="preserve">     23.626</t>
  </si>
  <si>
    <t>Mineirinho de BH</t>
  </si>
  <si>
    <t>tallumsanto</t>
  </si>
  <si>
    <t>Comentarista político, com viés de Esquerda! E se a religião se imiscuir, trato de Religião também.</t>
  </si>
  <si>
    <t xml:space="preserve">      2.234</t>
  </si>
  <si>
    <t>矮大紧的我</t>
  </si>
  <si>
    <t>aidajin_002</t>
  </si>
  <si>
    <t>Doll player, focus on portrait shooting. GYNOID Doll #13R 170cm, Style: INS, modern, minimalist, light luxury, sports, leisure</t>
  </si>
  <si>
    <t xml:space="preserve">      2.417</t>
  </si>
  <si>
    <t>松永紅葉</t>
  </si>
  <si>
    <t>kouyouwp</t>
  </si>
  <si>
    <t>1日1枚イラストを公開し続けて、現在10年目になりました。様々な要素を取り入れつつ、より良いと感じて頂けるイラストを作成していきたいと思います。https://t.co/gSBvUnDOLp</t>
  </si>
  <si>
    <t xml:space="preserve">     23.513</t>
  </si>
  <si>
    <t>ねでぃあ®</t>
  </si>
  <si>
    <t>nediarrrr</t>
  </si>
  <si>
    <t>◆イラスト描いてます　　　　
【yjmt2015toro@gmail.com】
【https://t.co/9TqQS7lG1d】
【 https://t.co/XNjM9pj5dO 】
【 https://t.co/vnYnkUtXQg】</t>
  </si>
  <si>
    <t xml:space="preserve">    234.256</t>
  </si>
  <si>
    <t>Na-Ga🎳</t>
  </si>
  <si>
    <t>iktd13_</t>
  </si>
  <si>
    <t>PCゲーム作ったりしてます。</t>
  </si>
  <si>
    <t xml:space="preserve">    132.734</t>
  </si>
  <si>
    <t>chomo</t>
  </si>
  <si>
    <t>tkaz2009</t>
  </si>
  <si>
    <t>最近はほぼAI絵になりつつあります。
地味目で少しラフなタッチの絵が好みなので、好きなものをちまちま紹介していこうと思います。
AI絵は下記で公開してます↓
pixiv：https://t.co/B0xqKlcCNX
patreon：https://t.co/bsftjDCqEQ</t>
  </si>
  <si>
    <t xml:space="preserve">     22.322</t>
  </si>
  <si>
    <t>逆流茶会</t>
  </si>
  <si>
    <t>niliuchahui</t>
  </si>
  <si>
    <t>Original illustrator group
creat cute&amp;ecchi waifus
patreon→https://t.co/cB85PtQvn4 
fanbox→https://t.co/pb3BQ6iYdQ
Pixiv→https://t.co/SoN6NKY6w8</t>
  </si>
  <si>
    <t xml:space="preserve">    258.855</t>
  </si>
  <si>
    <t>Bezlya</t>
  </si>
  <si>
    <t>bezlya1</t>
  </si>
  <si>
    <t>私達は人形に魂を注ぎ込むクリエイター集団であり。ラブドールの生産と研究に全力で取り組み、一体一体心を込めて作り上げています。当社は世界有数のシリコン&amp;TPE製のラブドールメーカーで、実用性、リアリティ、芸術創作性の先駆者として未来へ歩みだします。
公式サイト：https://t.co/r3UJVcclFJ</t>
  </si>
  <si>
    <t xml:space="preserve">     11.163</t>
  </si>
  <si>
    <t>ターキー415。💕</t>
  </si>
  <si>
    <t>imucolo415</t>
  </si>
  <si>
    <t>猫🐈‍⬛、昭和アニメ、銃(ハンドガン)、🥃ウイスキー。（浅く適当に☺）
ドル歴は2020年2月〜。
2021年８月〜 イムちゃん。
カメラ：SONY α-5100 レンズ：E16-50ズーム 56mm単焦点。</t>
  </si>
  <si>
    <t xml:space="preserve">      2.339</t>
  </si>
  <si>
    <t>ECO</t>
  </si>
  <si>
    <t>eco_pt</t>
  </si>
  <si>
    <t>O ECO é um jornal digital que junta uma plataforma tecnológica inovadora a um jornalismo independente e próximo dos leitores.</t>
  </si>
  <si>
    <t xml:space="preserve">     51.519</t>
  </si>
  <si>
    <t>Gonçalo Levy Cordeiro</t>
  </si>
  <si>
    <t>glevycordeiro</t>
  </si>
  <si>
    <t>Liberal convicto.</t>
  </si>
  <si>
    <t xml:space="preserve">      6.610</t>
  </si>
  <si>
    <t>Expresso</t>
  </si>
  <si>
    <t>expresso</t>
  </si>
  <si>
    <t>As notícias que lhe dão liberdade para pensar.</t>
  </si>
  <si>
    <t xml:space="preserve">    619.414</t>
  </si>
  <si>
    <t>Cláudio 🚩</t>
  </si>
  <si>
    <t>claudiolula13</t>
  </si>
  <si>
    <t>Conta pessoal transformada em instrumento de defesa de LULA e de mais alguns.
Por uma sociedade com valores humanos!</t>
  </si>
  <si>
    <t xml:space="preserve">      7.789</t>
  </si>
  <si>
    <t>Manosp</t>
  </si>
  <si>
    <t>manosp17</t>
  </si>
  <si>
    <t>homem</t>
  </si>
  <si>
    <t xml:space="preserve">      1.671</t>
  </si>
  <si>
    <t>Warley Lopes</t>
  </si>
  <si>
    <t>warley_lopes</t>
  </si>
  <si>
    <t>Ativista social, membro Federação Brasil da Esperança e vacinado 🔬💉Goianidade 
Ele diz que se dane o que vão pensar de mim, ele diz eles vão falar de mim ❤🎼</t>
  </si>
  <si>
    <t xml:space="preserve">      4.699</t>
  </si>
  <si>
    <t>Pedro Ruas</t>
  </si>
  <si>
    <t>pedroruaspsol</t>
  </si>
  <si>
    <t>ADVOGADO de trabalhadores e militante SOCIALISTA! Canais: https://t.co/bgjaUJ7u2H  https://t.co/rQRIbNfyVJ?…
https://t.co/k6OzJ3g2Jy</t>
  </si>
  <si>
    <t xml:space="preserve">     52.599</t>
  </si>
  <si>
    <t>almore🚩🚩🚩</t>
  </si>
  <si>
    <t>portolejos</t>
  </si>
  <si>
    <t xml:space="preserve">      2.233</t>
  </si>
  <si>
    <t>Neides Abreu</t>
  </si>
  <si>
    <t>neidesabreu</t>
  </si>
  <si>
    <t>Autenticidade, Verdadeira, Crítica, Solicita, Perseverante e de Esquerda🚩🚩por Natureza.</t>
  </si>
  <si>
    <t xml:space="preserve">      2.265</t>
  </si>
  <si>
    <t>Maria Silveira Silva🚩🚩🚩</t>
  </si>
  <si>
    <t>mariasilveirasi</t>
  </si>
  <si>
    <t>Sou um ser em construção, sou muitas! as vezes doce, as vezes amarga, em dúvida, mas sempre em busca de ser a cada dia uma pessoa melhor.</t>
  </si>
  <si>
    <t>Jorjor</t>
  </si>
  <si>
    <t>jorjorff</t>
  </si>
  <si>
    <t>Feminista, antifascista, antirracista, esquerdista, e gremista. Filha de Iansã. Publicitária. Louca por plantas, música e animais. Lula Presidente! 🚩</t>
  </si>
  <si>
    <t xml:space="preserve">      8.777</t>
  </si>
  <si>
    <t>Hugo Cardoso Dos Santos Ptista 13</t>
  </si>
  <si>
    <t>hugocardo</t>
  </si>
  <si>
    <t>Tenho robe trabalho com madeira PTista doente</t>
  </si>
  <si>
    <t>Daniel</t>
  </si>
  <si>
    <t>danielr_2607</t>
  </si>
  <si>
    <t>Historiador martiano de alma. Fidelista de corazón.</t>
  </si>
  <si>
    <t xml:space="preserve">      5.838</t>
  </si>
  <si>
    <t>ESTOU COM LULA, PRESIDENTE DE TODOS OS BRASILEIROS</t>
  </si>
  <si>
    <t>carlosrafer</t>
  </si>
  <si>
    <t>VOTEI NO LULA13 PELA VOLTA DA DEMOCRACIA E DA CIVILIDADE EM NOSSO PAÍS , RESPEITA MEU VOTO E OS OUTROS 60.345.998 EM LULA, AGORA UM PRESIDENTE DE TODOS.</t>
  </si>
  <si>
    <t xml:space="preserve">     12.645</t>
  </si>
  <si>
    <t>antonio pereira🇧🇷🚩 #blogantoniopereira</t>
  </si>
  <si>
    <t>antoniotoinho07</t>
  </si>
  <si>
    <t>Especialista em jornalismo sindical. Fundador da Cooperativa dos Jornalistas e Gráficos do estado de Alagoas - https://t.co/AM2NDZOksB…</t>
  </si>
  <si>
    <t xml:space="preserve">     11.065</t>
  </si>
  <si>
    <t>Pedro A.F.M.Menezes</t>
  </si>
  <si>
    <t>vaipassarmais</t>
  </si>
  <si>
    <t>Conta 2. Sempre à esquerda 1️⃣3️⃣🚩🤜🤛
Botafoguense 🔥 Imp.Serrano 🥁. Economista por opção. Prof. de piano 🎹 e violão 🎸por paixão❤️.
Casado e muito feliz!</t>
  </si>
  <si>
    <t xml:space="preserve">     14.047</t>
  </si>
  <si>
    <t>Ricardo Souza</t>
  </si>
  <si>
    <t>ricardotambia</t>
  </si>
  <si>
    <t>SEM MEDO DE SER FELIZ E ORGULHOSO POR ESTA DO LADO CERTO DA HISTORIA.
#EsquerdistassegueEsquerdistas</t>
  </si>
  <si>
    <t xml:space="preserve">     14.347</t>
  </si>
  <si>
    <t>Paulo Sérgio 1️⃣3️⃣♥️ 🇧🇷🙏🏿💉🌍💉🚩 💯</t>
  </si>
  <si>
    <t>pauloconfianca</t>
  </si>
  <si>
    <t>Autônomo:TÉC EM ALIMENTOS,opinando na área política e afins.Sou apenas um alguém na multidão,amante da justiça social Pix: paulozulum@gmail.com
agradecido</t>
  </si>
  <si>
    <t xml:space="preserve">      6.881</t>
  </si>
  <si>
    <t>Militancia PT13</t>
  </si>
  <si>
    <t>militanciapt13</t>
  </si>
  <si>
    <t>Coletivo de Petistas para defender as hashtags do Lula e do PT</t>
  </si>
  <si>
    <t xml:space="preserve">      3.476</t>
  </si>
  <si>
    <t>Moacir Haverroth</t>
  </si>
  <si>
    <t>kotanh</t>
  </si>
  <si>
    <t>🚩Biólogo, M Sc Antropologia Social, D Sc Saúde Pública,  Fisioterapeuta. 🚩</t>
  </si>
  <si>
    <t xml:space="preserve">      2.606</t>
  </si>
  <si>
    <t>Jayson Keyby</t>
  </si>
  <si>
    <t>jaysonkeyby</t>
  </si>
  <si>
    <t>Advogado. Sudestino. Atleticano.Pai de Menina. Antifascista. @jaysonkeyby</t>
  </si>
  <si>
    <t xml:space="preserve">      2.099</t>
  </si>
  <si>
    <t>Gregori Rasputin</t>
  </si>
  <si>
    <t>gregorirasputi5</t>
  </si>
  <si>
    <t>La utopía</t>
  </si>
  <si>
    <t xml:space="preserve">      1.702</t>
  </si>
  <si>
    <t>Silva Santana</t>
  </si>
  <si>
    <t>everson68bh</t>
  </si>
  <si>
    <t>Trabalhador</t>
  </si>
  <si>
    <t xml:space="preserve">      4.636</t>
  </si>
  <si>
    <t>Trabalhadores, unívos.🚩🚩🚩</t>
  </si>
  <si>
    <t>dosbetta</t>
  </si>
  <si>
    <t>Estudante de serviço social e militante...
#Forabolsonaro
Casado e pai. Estudando Serviço social.</t>
  </si>
  <si>
    <t xml:space="preserve">      4.168</t>
  </si>
  <si>
    <t>Fenix20</t>
  </si>
  <si>
    <t>anandacajueiro</t>
  </si>
  <si>
    <t>A vida é uma arte!🚩🚩   
🌼💖🌵
A arte de viver em harmonia♥️
fora do curral... À ESQUERDA🚩</t>
  </si>
  <si>
    <t xml:space="preserve">      4.283</t>
  </si>
  <si>
    <t>Lulista🚩✨</t>
  </si>
  <si>
    <t>clulista</t>
  </si>
  <si>
    <t>Filiada ao PT 🌟Vamos em frente, mas sempre à Esquerda! 💯Lula🚩 
#LulaEsperançaDoBrasil 🚩⭐ 2° conta🤜🤛</t>
  </si>
  <si>
    <t xml:space="preserve">      4.460</t>
  </si>
  <si>
    <t>CleuzaC (conta reserva)</t>
  </si>
  <si>
    <t>cleuzaturc</t>
  </si>
  <si>
    <t>Sou Turismóloga, adoro viajar e conhecer novas culturas! O sucesso profissional é sonho, turismo a realização desse sonho!</t>
  </si>
  <si>
    <t>Celia de Moura</t>
  </si>
  <si>
    <t>borgescm</t>
  </si>
  <si>
    <t>🚩arquiteta,Petista e Lulista desde 1989!Esquerda sempre!🇻🇳🇻🇳🇻🇳Fluminense de coração!</t>
  </si>
  <si>
    <t xml:space="preserve">     27.399</t>
  </si>
  <si>
    <t>lizete maciel 🌻❤🌻🌻</t>
  </si>
  <si>
    <t>liz6macielgmai1</t>
  </si>
  <si>
    <t>casada</t>
  </si>
  <si>
    <t xml:space="preserve">      5.922</t>
  </si>
  <si>
    <t>Suzete</t>
  </si>
  <si>
    <t>suzetemendes12</t>
  </si>
  <si>
    <t xml:space="preserve">     11.275</t>
  </si>
  <si>
    <t>Capitã Lulista 🔺️ ForaZema</t>
  </si>
  <si>
    <t>lacerdaeh</t>
  </si>
  <si>
    <t>Ex-coxinha 🚫
Lutemos por eleições sem fake news
Salve a Amazônia 🌳
Jogadora de gamão.</t>
  </si>
  <si>
    <t xml:space="preserve">     13.941</t>
  </si>
  <si>
    <t>ANTONIO AUGUSTO</t>
  </si>
  <si>
    <t>aaleono1aaleono</t>
  </si>
  <si>
    <t>2023🇧🇷 LULA 13🚩 Não Bato Tambor pra Golpista Dançar.</t>
  </si>
  <si>
    <t xml:space="preserve">      8.325</t>
  </si>
  <si>
    <t>Luiza 🇧🇷🇻🇳</t>
  </si>
  <si>
    <t>luzasilveira</t>
  </si>
  <si>
    <t>Na tentativa de seguir o Senhor Jesus, descobri q sou esquerdista. Os golpistas me jogaram nos braços do PT. Sem mensagem direta, p favor.</t>
  </si>
  <si>
    <t xml:space="preserve">      6.539</t>
  </si>
  <si>
    <t>Maria Cleunice🇧🇷🥘🍖🚘🏡🏥🧑‍🎓🙏♥️♥️</t>
  </si>
  <si>
    <t>mariacleunice3</t>
  </si>
  <si>
    <t>Professora, de esquerda até o último fio de cabelo. Justiça social sim, sempre.</t>
  </si>
  <si>
    <t xml:space="preserve">      4.569</t>
  </si>
  <si>
    <t>CECILIA MEIRE PESCARA GOMES</t>
  </si>
  <si>
    <t>meirepescara</t>
  </si>
  <si>
    <t>“Democracia para sempre❣️”                                                      
     Presidente Luiz Inácio Lula da Silva</t>
  </si>
  <si>
    <t xml:space="preserve">      5.626</t>
  </si>
  <si>
    <t>MLucia</t>
  </si>
  <si>
    <t>mlucia97596573</t>
  </si>
  <si>
    <t xml:space="preserve">      2.039</t>
  </si>
  <si>
    <t>🚩🚩Nalu-Lula lá.🚩🚩</t>
  </si>
  <si>
    <t>nalu_nas</t>
  </si>
  <si>
    <t>Esquerda! Petista, professora. Não gosto de Bolsominion,.</t>
  </si>
  <si>
    <t xml:space="preserve">     16.100</t>
  </si>
  <si>
    <t>Nadia Prado Gomes</t>
  </si>
  <si>
    <t>nadiaprado7</t>
  </si>
  <si>
    <t xml:space="preserve">      9.074</t>
  </si>
  <si>
    <t>Solange Mondaini🚩🚩</t>
  </si>
  <si>
    <t>mondainisolange</t>
  </si>
  <si>
    <t>Professora aposentada com mais de 40 anos de sala de aula no Munícipio do Rio de Janeiro.
Por um estado amplo e igualitário. Petista. Lulista. Dilmista.🚩🚩🚩🚩</t>
  </si>
  <si>
    <t xml:space="preserve">      6.272</t>
  </si>
  <si>
    <t>W@gner 1️⃣3️⃣ LULA PRESIDENTE ELEITO !!!</t>
  </si>
  <si>
    <t>wagneramrj</t>
  </si>
  <si>
    <t>Funcionário Público Federal /  Rubro-negro ⚫🔴 - Casado - ESQUERDISTA.🚩</t>
  </si>
  <si>
    <t xml:space="preserve">      8.243</t>
  </si>
  <si>
    <t>Democracia Já 🚩🚩🚩</t>
  </si>
  <si>
    <t>quizpipoca</t>
  </si>
  <si>
    <t>Precisamos vencer a fome, a miséria e a exclusão social. Nossa guerra não é para matar ninguém - é para salvar vidas. Luiz Inácio Lula da Silva</t>
  </si>
  <si>
    <t xml:space="preserve">      9.681</t>
  </si>
  <si>
    <t>PROF DJALMA GONÇALVES FERREIRA</t>
  </si>
  <si>
    <t>profdjferreira</t>
  </si>
  <si>
    <t>PROFISSIONAL DA EDUCAÇÃO, PETISTA RADICAL, CORINTHIANO, AVÔ, CASADO, PARANAENSE, EVANGÉLICO. NÃO NECESSARIAMENTE NESSA ORDEM.</t>
  </si>
  <si>
    <t xml:space="preserve">      9.529</t>
  </si>
  <si>
    <t>🚩Praticamente Quase🚩</t>
  </si>
  <si>
    <t>praticamenteq</t>
  </si>
  <si>
    <t>Aspectamente quase bonito, cérebramente quase esperto, homéricamente quase perfeito, palhaçamente quase sério.</t>
  </si>
  <si>
    <t>🚩Jimena Pinheiro🚩</t>
  </si>
  <si>
    <t>pinheirojimena</t>
  </si>
  <si>
    <t>Pai e Mãe com muito orgulho. 
Espírita Kardecista, Poetisa, Compositora,  Filiada ao  PT, de Alma e  Coração.  
AMOR, ESPERANÇA E UNIÃO. 🚩</t>
  </si>
  <si>
    <t xml:space="preserve">     27.246</t>
  </si>
  <si>
    <t>Ildeu Pereira</t>
  </si>
  <si>
    <t>pereira_ildeu</t>
  </si>
  <si>
    <t>Se não puder se destacar pelo Talento vença pelo esforço...Gestor esportivo... Presidente da OSC Liespe...Esporte Especializado... Projetos Sociais é aqui</t>
  </si>
  <si>
    <t xml:space="preserve">     15.093</t>
  </si>
  <si>
    <t>Paulo Lima🚩🚩🚩</t>
  </si>
  <si>
    <t>paulolimapro</t>
  </si>
  <si>
    <t>#Esquerdista, e com uma mania de ter fé na vida @RedeLula🚩1️⃣3️⃣</t>
  </si>
  <si>
    <t xml:space="preserve">     11.891</t>
  </si>
  <si>
    <t>❤❤Elly Pace❤️❤️</t>
  </si>
  <si>
    <t>pace_ely</t>
  </si>
  <si>
    <t>A DEMOCRACIA VENCEU O ÓDIO. A VERDADE VENCEU A MENTIRA E JAIR JÁ ERA. 
LULA MELHOR PRESIDENTE🇧🇷🇧🇷🇧🇷🇧🇷🇧🇷🇧🇷🇧🇷🇧🇷🇧🇷🇧🇷🇧🇷🇧🇷</t>
  </si>
  <si>
    <t xml:space="preserve">      2.142</t>
  </si>
  <si>
    <t>Fabio Olivare</t>
  </si>
  <si>
    <t>olivarefabi</t>
  </si>
  <si>
    <t>Cristo foi oferta por mim. Hoje, 'a oferta sou eu'. 
      Signo de peixes,LGBTQIA, 😜👍Design de interiores e, livre pra vida... 💞😜👍😁</t>
  </si>
  <si>
    <t xml:space="preserve">      4.517</t>
  </si>
  <si>
    <t>O Observador</t>
  </si>
  <si>
    <t>observ1972</t>
  </si>
  <si>
    <t>BOLSONARO INELEGÍVEL 
GRANDE DIA! 👍🏻</t>
  </si>
  <si>
    <t xml:space="preserve">      2.538</t>
  </si>
  <si>
    <t>Nilson Sanders ⚫🔴</t>
  </si>
  <si>
    <t>nsanders10</t>
  </si>
  <si>
    <t>Sou Cirurgião Dentista, insistente e Flamenguista # fora Bolsonaro # Lula 13</t>
  </si>
  <si>
    <t xml:space="preserve">      4.938</t>
  </si>
  <si>
    <t>@Ni🌻🦋💫</t>
  </si>
  <si>
    <t>nicarineni</t>
  </si>
  <si>
    <t>Ninguém é igual a ninguém, todo ser humano é um estranho ímpar. 
Drummond 
#VaiCorinthians🦅🏴🏳️🖤🤍
#Taurina ♉
#Lula13🚩</t>
  </si>
  <si>
    <t xml:space="preserve">      2.582</t>
  </si>
  <si>
    <t>Marcos 🚩🦑🚩</t>
  </si>
  <si>
    <t>marcosolufon</t>
  </si>
  <si>
    <t>Bacharel em Biomedicina
Licenciado em Ciências Biológicas 
Filho de Oxalufan (Babakekere)
Esquerda segue esquerda
Lula Presidente
         ❤️1️⃣3️⃣❤️</t>
  </si>
  <si>
    <t xml:space="preserve">     20.144</t>
  </si>
  <si>
    <t>marcelus M Braga</t>
  </si>
  <si>
    <t>marcelusbraga7</t>
  </si>
  <si>
    <t>sempre a esquerda! comunista!</t>
  </si>
  <si>
    <t xml:space="preserve">      1.883</t>
  </si>
  <si>
    <t>Marcelle - Gata de Pantufas</t>
  </si>
  <si>
    <t>marcellerenata2</t>
  </si>
  <si>
    <t>Sou portadora de TDI. Dá um Google para tentar entender melhor o meu Transtorno. Marcelle (EU) sou uma das Identidades.
Sem DM.</t>
  </si>
  <si>
    <t xml:space="preserve">     10.557</t>
  </si>
  <si>
    <t>MagnoCarlos🚩🚩🚩</t>
  </si>
  <si>
    <t>magnocarlos_bfr</t>
  </si>
  <si>
    <t>Meu sangue é VERMELHO! Bombeado pelo lado ESQUERDO do peito! Sou guiado pelas estrelas!!!</t>
  </si>
  <si>
    <t xml:space="preserve">      3.994</t>
  </si>
  <si>
    <t>@lula1313</t>
  </si>
  <si>
    <t>lula13133</t>
  </si>
  <si>
    <t>#LulaLivre</t>
  </si>
  <si>
    <t xml:space="preserve">     12.280</t>
  </si>
  <si>
    <t>Luiz Lemos</t>
  </si>
  <si>
    <t>luizlem34195627</t>
  </si>
  <si>
    <t>Botafoguense dia e noite. PT na cabeça.</t>
  </si>
  <si>
    <t xml:space="preserve">      4.951</t>
  </si>
  <si>
    <t>Luiz Cunha</t>
  </si>
  <si>
    <t>luizcunhao</t>
  </si>
  <si>
    <t>Pernambucano torcedor do NÁUTICO de coração. Sou filho de DEUS irmão de JESUS. Será que sou fraco?</t>
  </si>
  <si>
    <t xml:space="preserve">      2.970</t>
  </si>
  <si>
    <t>Luis Carlos Santos 🚩🚩🚩</t>
  </si>
  <si>
    <t>luiscar02706435</t>
  </si>
  <si>
    <t>Socialista e revoltado.
Bolsonarismo  Mata</t>
  </si>
  <si>
    <t xml:space="preserve">      6.457</t>
  </si>
  <si>
    <t>Lora🇧🇷⭐️🚩</t>
  </si>
  <si>
    <t>lora94353574</t>
  </si>
  <si>
    <t>A humildade trás sentido a vida !
Sou lulista , sou petista e esquerdista roxa de vermelho !</t>
  </si>
  <si>
    <t xml:space="preserve">     10.923</t>
  </si>
  <si>
    <t>Marcos🚩1️⃣3️⃣ #vamosjuntospelobrasil</t>
  </si>
  <si>
    <t>maxxterramaxx</t>
  </si>
  <si>
    <t>1.85 Moreno, Químico🌟-Engenheiro e Construtor civil🏛  -agricultor 🍓Catolico 🏠 Umbandista🕍🗽
#LulaPresidente1️⃣3️⃣
PT desde 19881️⃣3️⃣🚩🚩🚩
Cut -Sindicato</t>
  </si>
  <si>
    <t xml:space="preserve">      7.335</t>
  </si>
  <si>
    <t>Luciana de Matos Rudi🚩</t>
  </si>
  <si>
    <t>matosrudi</t>
  </si>
  <si>
    <t>Antropóloga, feminista, dona de casa, corinthiana, mãe, filha, esposa, petista e inventora...invento cada uma! Agora inventei de ser dotôra !</t>
  </si>
  <si>
    <t xml:space="preserve">      2.782</t>
  </si>
  <si>
    <t>MariLULA - Chavista - Socialista Bolivariana</t>
  </si>
  <si>
    <t>marivonelula</t>
  </si>
  <si>
    <t>SOCIALISMO BOLIVARIANO 😍 POLITICAMENTE CORRETA * #LulistaSegueLulista  😎#EntreChavistasNosSeguimos 👩‍🏫  A UNIÃO É A NOSSA FORÇA 🌹🧘‍♀️🎼📚💅🚩 🦉👼💃🌻🐕🌴</t>
  </si>
  <si>
    <t xml:space="preserve">     29.233</t>
  </si>
  <si>
    <t>Instagram @NinaMoyses Marina Moyses</t>
  </si>
  <si>
    <t>marinamoyses3</t>
  </si>
  <si>
    <t>Primeira conta @NinaMoyses suspensa por denúncias de bolsominions!! 
AQUI É #Lula2022 ⭐🚩</t>
  </si>
  <si>
    <t xml:space="preserve">      2.283</t>
  </si>
  <si>
    <t>Marinalda Silva</t>
  </si>
  <si>
    <t>marinalda62</t>
  </si>
  <si>
    <t>Mulher ,negra,petista,mãe,
vó de 3,petista c/
 paixão p/vida.
política,atuação econ.solidária/ed.popular e comitê de luta.
 ❤ poesia e 
🎶.</t>
  </si>
  <si>
    <t xml:space="preserve">      2.436</t>
  </si>
  <si>
    <t>Maria Eudalia Saldanha</t>
  </si>
  <si>
    <t>mariaeudaliasa2</t>
  </si>
  <si>
    <t>Conhecer o ser humano na sua essência,buscando o que vai verdadeiramente no coração.PTista desde a fundação do partido.</t>
  </si>
  <si>
    <t xml:space="preserve">      4.360</t>
  </si>
  <si>
    <t>Maria do Carmo Ativista em Direitos Humanos</t>
  </si>
  <si>
    <t>mariado97734767</t>
  </si>
  <si>
    <t>Ativista, Psicóloga, Historiadora e Doutora em Educação</t>
  </si>
  <si>
    <t xml:space="preserve">     34.561</t>
  </si>
  <si>
    <t>Brasil Livre</t>
  </si>
  <si>
    <t>brasillivre20</t>
  </si>
  <si>
    <t>“O que me preocupa não é o grito dos maus. É o silêncio dos bons”</t>
  </si>
  <si>
    <t xml:space="preserve">     29.056</t>
  </si>
  <si>
    <t>Leila 🇧🇷🚩⭐</t>
  </si>
  <si>
    <t>leila_durja</t>
  </si>
  <si>
    <t>🚨 ATENÇÃO!! Não olho DM. 😉
Petrifies goni!
Bostanaristas não tem vez aqui! Passe reto!</t>
  </si>
  <si>
    <t xml:space="preserve">      4.061</t>
  </si>
  <si>
    <t>Lucas Valdes</t>
  </si>
  <si>
    <t>lucasva1976</t>
  </si>
  <si>
    <t>Soy revolucionario hasta el fin de mis días.</t>
  </si>
  <si>
    <t xml:space="preserve">      5.885</t>
  </si>
  <si>
    <t>💯 % PATRIOTA🇧🇷 ⚖ BRASIL////🇧🇷</t>
  </si>
  <si>
    <t>sergio15631724</t>
  </si>
  <si>
    <t>BRASIL ACIMA DE TUDO
DEUS ACIMA DE TODOS</t>
  </si>
  <si>
    <t xml:space="preserve">      3.369</t>
  </si>
  <si>
    <t>Maria de Lourdes Alves da Silva</t>
  </si>
  <si>
    <t>mariade22366064</t>
  </si>
  <si>
    <t>frase nunca jamais diga que você não é nada nesse mundo e sim o mundo é muito pequenininho para você fica a dica sempre</t>
  </si>
  <si>
    <t xml:space="preserve">      9.903</t>
  </si>
  <si>
    <t>Thiago Fernandes</t>
  </si>
  <si>
    <t>iothiagoo</t>
  </si>
  <si>
    <t>Nordestino, formado em Comunicação &amp; Ed. Física; Treinador de FUT7 &amp; Aux. Técnico de Futsal. Amo futebol (italiano 🇮🇹⚽️) Vasco e Juventus. 🖤🤍</t>
  </si>
  <si>
    <t xml:space="preserve">      3.547</t>
  </si>
  <si>
    <t>POVO UNIDO PELA RECONSTRUÇÃO DO BRASIL. #Vote13</t>
  </si>
  <si>
    <t>lula_cris</t>
  </si>
  <si>
    <t>Sou uma formiguinha lutando pela volta da democracia e o fim do Golpe q destruiu o 🇧🇷!! #LulaPresidente13 #HaddadGovernadorSP13</t>
  </si>
  <si>
    <t xml:space="preserve">      5.161</t>
  </si>
  <si>
    <t>Maria Rebelo🇧🇷🇧🇷</t>
  </si>
  <si>
    <t>rebelobranco</t>
  </si>
  <si>
    <t>prof de Ed.Fís. amante de esportes, tem o Handebol como amor eterno e o Futebol como uma paixão.</t>
  </si>
  <si>
    <t xml:space="preserve">      2.375</t>
  </si>
  <si>
    <t>eduardo := Human{Dev: true}</t>
  </si>
  <si>
    <t>true_eduardo</t>
  </si>
  <si>
    <t>Backend Developer (alergic to CSS) 👨‍💻 Ex-químico ⚗️ Baixista nas horas vagas 🎸 Escorpiano ♏️ Comentarista de inutilidades 🗣️@trueeduardo.bsky.social ☁️</t>
  </si>
  <si>
    <t xml:space="preserve">      1.269</t>
  </si>
  <si>
    <t>Nilson sx 🚩🤝</t>
  </si>
  <si>
    <t>nilsonnoslinho1</t>
  </si>
  <si>
    <t>Esquerda sempre. Eu não sou pobre, eu sou sóbrio, de bagagem leve. Vivo com apenas o suficiente para que as coisas não roubem a minha liberdade.🚩🤝🏻</t>
  </si>
  <si>
    <t xml:space="preserve">      1.240</t>
  </si>
  <si>
    <t>EDIMO PEREIRA</t>
  </si>
  <si>
    <t>edimosip</t>
  </si>
  <si>
    <t xml:space="preserve">      1.105</t>
  </si>
  <si>
    <t>Magno José</t>
  </si>
  <si>
    <t>magnojos133</t>
  </si>
  <si>
    <t>Pernambucano e Sergipano, casado, pai, graduado em Letras, servidor público...</t>
  </si>
  <si>
    <t xml:space="preserve">      1.584</t>
  </si>
  <si>
    <t>Alexandre Correia</t>
  </si>
  <si>
    <t>alexand34398946</t>
  </si>
  <si>
    <t>Rio de Janeiro</t>
  </si>
  <si>
    <t xml:space="preserve">      1.097</t>
  </si>
  <si>
    <t>Marcelo Sales</t>
  </si>
  <si>
    <t>msales</t>
  </si>
  <si>
    <t>Professor de acessibilidade (PUC, FIAP, ESPM) e aprendiz. Criador do https://t.co/RRcJKYmh0o, do curso https://t.co/ol5lMjl66t e fundador da https://t.co/hFwySz19aH</t>
  </si>
  <si>
    <t xml:space="preserve">      1.909</t>
  </si>
  <si>
    <t>Antonio Mario Tropic</t>
  </si>
  <si>
    <t>toninhotropico</t>
  </si>
  <si>
    <t>Um missionário do Senhor, a serviço da obra social, sdv assim que puder</t>
  </si>
  <si>
    <t xml:space="preserve">     12.292</t>
  </si>
  <si>
    <t>Arthur Tayt-Sohn</t>
  </si>
  <si>
    <t>arthurtaytsohn</t>
  </si>
  <si>
    <t>Redator em @GameLodgeBR 
🎮 PS5 🖥️ PC PT-BR / EN 
Tweets mostly in brazilian portuguese 
Contato: arthurtaytsohn@outlook.com 
Backloggd: /u/arthurtaytsohn</t>
  </si>
  <si>
    <t xml:space="preserve">      1.564</t>
  </si>
  <si>
    <t>J Guedes 🇧🇷</t>
  </si>
  <si>
    <t>jguedes_s</t>
  </si>
  <si>
    <t>☘️ Casada, evangélica e uma filha @lixpalletts amor da minha vida.
Jesus é Deus, é o Senhor.</t>
  </si>
  <si>
    <t xml:space="preserve">      2.631</t>
  </si>
  <si>
    <t>Cleide Dario De Oliveira</t>
  </si>
  <si>
    <t>dariocleide</t>
  </si>
  <si>
    <t xml:space="preserve">      2.964</t>
  </si>
  <si>
    <t>Fábio Silva</t>
  </si>
  <si>
    <t>fabiocasil0402</t>
  </si>
  <si>
    <t>Gauche na vida. Formado em direito, Esp. Direito Público e Esp. em Filosofia.</t>
  </si>
  <si>
    <t>MESTRE JONES III - DEPUTADO FEDERAL</t>
  </si>
  <si>
    <t>mestrejonesiii</t>
  </si>
  <si>
    <t>CRISTÃO
PAI E AVÔ
MESTRE DE ARTES MARCIAIS
CAPOEIRA
DIREITO
DEPUTADO FEDERAL
SÃO PAULO
DEUS
FAMÍLIA
PÁTRIA
ESPORTE 
SAÚDE E
LIBERDADE</t>
  </si>
  <si>
    <t xml:space="preserve">      1.683</t>
  </si>
  <si>
    <t>Márcia Perita🚩🏳️‍🌈🇧🇼</t>
  </si>
  <si>
    <t>turramarcia</t>
  </si>
  <si>
    <t>Bolsonaro na cadeia</t>
  </si>
  <si>
    <t xml:space="preserve">      3.286</t>
  </si>
  <si>
    <t>Zezé Weiss da Silva Lula</t>
  </si>
  <si>
    <t>zezevbweiss</t>
  </si>
  <si>
    <t>a típica suspeita: ambientalista, feminista, jornalista, lulista, marxista, petista, terracurvista.</t>
  </si>
  <si>
    <t xml:space="preserve">     11.761</t>
  </si>
  <si>
    <t>Ricardo Cappelli</t>
  </si>
  <si>
    <t>ricardocappelli</t>
  </si>
  <si>
    <t>Secretário Executivo do Ministério da Justiça e Segurança Pública. 
Jornalista, Pós Graduado em Administração Pública pela FGV.</t>
  </si>
  <si>
    <t xml:space="preserve">    108.198</t>
  </si>
  <si>
    <t>lucas</t>
  </si>
  <si>
    <t>jlucasbern</t>
  </si>
  <si>
    <t>conta reserva: @jlucasbern2</t>
  </si>
  <si>
    <t xml:space="preserve">      1.102</t>
  </si>
  <si>
    <t>Yurizin'</t>
  </si>
  <si>
    <t>yugiflu</t>
  </si>
  <si>
    <t>Fechado com o Danielzinho! 🇭🇺</t>
  </si>
  <si>
    <t>Sirlene Lazzarotto</t>
  </si>
  <si>
    <t>sirlene_lazz</t>
  </si>
  <si>
    <t xml:space="preserve">      8.741</t>
  </si>
  <si>
    <t>Jonatas Amorim 🍥</t>
  </si>
  <si>
    <t>jonatasamorimsp</t>
  </si>
  <si>
    <t>Movimento Progressista. Viva o SUS ! 
Comentários SEMI-QUALIFICADOS sobre Política.</t>
  </si>
  <si>
    <t xml:space="preserve">      3.788</t>
  </si>
  <si>
    <t>Júlio Bonesso2️⃣2️⃣🇧🇷🧉</t>
  </si>
  <si>
    <t>juliobonesso</t>
  </si>
  <si>
    <t>Casado, católico, avô, conservador, anti-petista, anti-comunista, pró vida e Bolsonaro em 2026.🇧🇷 Maga Trump 2024 https://t.co/zR1IW76pFe</t>
  </si>
  <si>
    <t xml:space="preserve">      3.774</t>
  </si>
  <si>
    <t>🌹 Paula 🌹PND 🌹</t>
  </si>
  <si>
    <t>apaguiga</t>
  </si>
  <si>
    <t>Concentra-te em saber (conhecer sobre tudo) e não em acreditar (fanatiza e escraviza). Albert Einstein</t>
  </si>
  <si>
    <t xml:space="preserve">      1.143</t>
  </si>
  <si>
    <t>cerbero</t>
  </si>
  <si>
    <t>cerberoyz</t>
  </si>
  <si>
    <t>😉 AO VENCEDOR, AS BATATAS😜-⭐ SOU PT ⭐ - NÃO GOSTOU NÃO SEGUE !</t>
  </si>
  <si>
    <t xml:space="preserve">      1.362</t>
  </si>
  <si>
    <t>clara</t>
  </si>
  <si>
    <t>itsclarat91</t>
  </si>
  <si>
    <t>𓆟 meet me in the hallway 
⠀⠀
⠀⠀⠀ ⠀ ⠀                                                                                                            -she/her</t>
  </si>
  <si>
    <t xml:space="preserve">      1.042</t>
  </si>
  <si>
    <t>🌻Diva Santos🇧🇷</t>
  </si>
  <si>
    <t>diva78457343</t>
  </si>
  <si>
    <t>Não posso mudar o antes fui, mas posso modificar o que serei. 
Conta reserva 
SIGA PERFIL OFICIAL 
@isasan53</t>
  </si>
  <si>
    <t xml:space="preserve">      2.821</t>
  </si>
  <si>
    <t>🇧🇷Stela Girassol🌻</t>
  </si>
  <si>
    <t>belinistela</t>
  </si>
  <si>
    <t>🇧🇷🇧🇷🇧🇷
Conservadora, Otimista e Sonhadora.
🇧🇷🇧🇷🇧🇷 #JesusVive
Se O Sonho Acabar, Mude De Padaria!🤣</t>
  </si>
  <si>
    <t xml:space="preserve">      7.394</t>
  </si>
  <si>
    <t>Marcella BOLSONARO 2️⃣2️⃣ 🇧🇷🇧🇷🇧🇷</t>
  </si>
  <si>
    <t>marizmarcella</t>
  </si>
  <si>
    <t>Love Dogs and Cats</t>
  </si>
  <si>
    <t xml:space="preserve">     27.676</t>
  </si>
  <si>
    <t>JoseCarlosRguez</t>
  </si>
  <si>
    <t>josecarlosrguez</t>
  </si>
  <si>
    <t>Subdirector General para América Latina y el Caribe en la Cancillería de #Cuba @CubaMINREX</t>
  </si>
  <si>
    <t xml:space="preserve">     16.935</t>
  </si>
  <si>
    <t>Sandra Bullockn</t>
  </si>
  <si>
    <t>sandrabullockyn</t>
  </si>
  <si>
    <t>É isso aí..Há quem acredite em milagres..
Há quem cometa maldades..
Há quem não sabe dizer a verdade</t>
  </si>
  <si>
    <t xml:space="preserve">      3.251</t>
  </si>
  <si>
    <t>JR do Vigor 🎓❌</t>
  </si>
  <si>
    <t>pitacors</t>
  </si>
  <si>
    <t>Comento sobre BBB, Política e Novelas 
(Meteorologia não, pois detesto polêmicas) 🇧🇷</t>
  </si>
  <si>
    <t xml:space="preserve">     70.058</t>
  </si>
  <si>
    <t>🎗Nélia Lula</t>
  </si>
  <si>
    <t>souguereira</t>
  </si>
  <si>
    <t>Mulher guerreira. Apaixonada pela história de Lula e por tudo o que ela representa. 
Meu nome é LUTA!
Meu nome é LULA!</t>
  </si>
  <si>
    <t xml:space="preserve">     32.693</t>
  </si>
  <si>
    <t>Adriana com esperança 🪷</t>
  </si>
  <si>
    <t>adrianaeleuter6</t>
  </si>
  <si>
    <t>Educação pública e de qualidade,qualquer forma de amor,direitos humanos e muita esperança num país melhor!🌻</t>
  </si>
  <si>
    <t xml:space="preserve">      3.158</t>
  </si>
  <si>
    <t>Louise</t>
  </si>
  <si>
    <t>louise84432303</t>
  </si>
  <si>
    <t>"Tudo aquilo que o homem ignora, não existe para ele. Por isso o universo de cada um, se resume no tamanho de seu saber." 
(Albert Einstein)</t>
  </si>
  <si>
    <t xml:space="preserve">      1.356</t>
  </si>
  <si>
    <t>RLCP Rose - 2a conta</t>
  </si>
  <si>
    <t>reserva_rose</t>
  </si>
  <si>
    <t>reserva 
conta nova - red bird suspendeu a principal SEM FUNDAMENTAÇÃO</t>
  </si>
  <si>
    <t xml:space="preserve">      1.175</t>
  </si>
  <si>
    <t>Luiz Souza 🇧🇷 🇨🇳 🇨🇺 🇷🇺 ★彡</t>
  </si>
  <si>
    <t>luizccsouza</t>
  </si>
  <si>
    <t>Conhecedor de mim  ⚛  ☯</t>
  </si>
  <si>
    <t xml:space="preserve">      8.376</t>
  </si>
  <si>
    <t>Flavio #FRete 💙🖤💙🖤</t>
  </si>
  <si>
    <t>fioriflavio</t>
  </si>
  <si>
    <t>“concedimi il caffè per cambiare le cose che posso cambiare e il vino per accettare quelle che non posso cambiare” e la saggezza per saper quando usarle</t>
  </si>
  <si>
    <t xml:space="preserve">      7.020</t>
  </si>
  <si>
    <t>portomh</t>
  </si>
  <si>
    <t>Só uma política alternativa de esquerda pode dar resposta aos problemas de todos os povos do MUNDO.</t>
  </si>
  <si>
    <t xml:space="preserve">      2.789</t>
  </si>
  <si>
    <t>Marcelo</t>
  </si>
  <si>
    <t>marcelovelacb</t>
  </si>
  <si>
    <t>gau</t>
  </si>
  <si>
    <t>gaubeats</t>
  </si>
  <si>
    <t>DJ | Beatmaker | Artista da @_guetoanonimato | @grimestationBR | Porto Alegre - RS, Brasil | IG: _gaubeats</t>
  </si>
  <si>
    <t xml:space="preserve">      3.979</t>
  </si>
  <si>
    <t>Cleide Martins (Uma Socialista).</t>
  </si>
  <si>
    <t>cleidemartins2</t>
  </si>
  <si>
    <t>Profª. de história, esquerdista tucujú. Amante de café, da boa música, em constante aprendizado. Mãe de três dádivas♥️💙💚 (um deles é down♥️)  #foragenocida</t>
  </si>
  <si>
    <t xml:space="preserve">      1.638</t>
  </si>
  <si>
    <t>Victor</t>
  </si>
  <si>
    <t>victora70286753</t>
  </si>
  <si>
    <t>Servo do DEUS vivo, trabalhador, conservador.</t>
  </si>
  <si>
    <t xml:space="preserve">      3.763</t>
  </si>
  <si>
    <t>Gisele 🕊️🚩🇧🇷🚩🇧🇷</t>
  </si>
  <si>
    <t>giselesantos05</t>
  </si>
  <si>
    <t>Mãe, Esposa, Feminista, Esquerdista, Candomblecista, Administradora e 
Acadêmica de Direito.
#PiralhaSim
#EnergumenoSim</t>
  </si>
  <si>
    <t xml:space="preserve">      2.458</t>
  </si>
  <si>
    <t>𝖒𝖆𝖗𝖈𝖊𝖑𝖑𝖚𝖘</t>
  </si>
  <si>
    <t>eaemarcellus</t>
  </si>
  <si>
    <t>narcisista e superficial</t>
  </si>
  <si>
    <t xml:space="preserve">     15.715</t>
  </si>
  <si>
    <t>Eline🐬🦉✠</t>
  </si>
  <si>
    <t>elin3t4ty</t>
  </si>
  <si>
    <t>As vezes eu falo de coisas amenas.
Nem tudo é sobre política. ✌
#DeusNoComando</t>
  </si>
  <si>
    <t xml:space="preserve">      3.588</t>
  </si>
  <si>
    <t>maristela🚩</t>
  </si>
  <si>
    <t>mariste73771659</t>
  </si>
  <si>
    <t>#LulaSucessoInternacional #LulaEstadistaDoPlaneta #LulaPresidente2022🚩🚩🚩🚩</t>
  </si>
  <si>
    <t xml:space="preserve">     17.276</t>
  </si>
  <si>
    <t>Miguel Baia Bargas 🇨🇺🇨🇴🇦🇷🇭🇰</t>
  </si>
  <si>
    <t>miguelbbargas</t>
  </si>
  <si>
    <t>Paulistano, humanista, santista e ex-editor do Blog Limpinho &amp; Cheiroso.</t>
  </si>
  <si>
    <t xml:space="preserve">      4.927</t>
  </si>
  <si>
    <t>Juçara M Teixeira</t>
  </si>
  <si>
    <t>jucaramteixeira</t>
  </si>
  <si>
    <t>Professora de Artes Visuais. Socialista. Lulista. PeTista. Neta de Maragato. Tia de 2 rapazes lindos e maravilhosos. Família esquerdista</t>
  </si>
  <si>
    <t xml:space="preserve">      1.111</t>
  </si>
  <si>
    <t>Sandra Helena Araújo dos Santos</t>
  </si>
  <si>
    <t>sandrahelenahas</t>
  </si>
  <si>
    <t xml:space="preserve">      2.635</t>
  </si>
  <si>
    <t>DemetrioFilho</t>
  </si>
  <si>
    <t>demetriofnx</t>
  </si>
  <si>
    <t>Especulador no Mercado Financeiro, Grêmio 💙, Living in 🇨🇦 Quer investir no exterior? Me mande uma msg que te apresentarei bons projetos.</t>
  </si>
  <si>
    <t xml:space="preserve">      8.615</t>
  </si>
  <si>
    <t>giu</t>
  </si>
  <si>
    <t>icrsbzzie</t>
  </si>
  <si>
    <t>conta de fã justin hailey, bella e zayn</t>
  </si>
  <si>
    <t>Jonathan Braga 12 🌹💚🇧🇷🇺🇦</t>
  </si>
  <si>
    <t>bragajonathan</t>
  </si>
  <si>
    <t>Atualmente usando OpenSuse e de vez em quando o Windows</t>
  </si>
  <si>
    <t xml:space="preserve">      1.814</t>
  </si>
  <si>
    <t>Leandro Sousa</t>
  </si>
  <si>
    <t>leandrodsousa12</t>
  </si>
  <si>
    <t>SOBRALENSE -  @CiroGomes</t>
  </si>
  <si>
    <t xml:space="preserve">      2.495</t>
  </si>
  <si>
    <t>Uzupis - Lacan'as Bar! 🚩🇧🇷</t>
  </si>
  <si>
    <t>j_souza_fonte</t>
  </si>
  <si>
    <t>O 1° Ser Linguagem. Deus é a Linguagem! Ateu.
Enquanto n encontrarmos a síntese da dialética, será só isso aí mesmo!!! Aproveitem...rs... A vida é linda!</t>
  </si>
  <si>
    <t>Reconstrução</t>
  </si>
  <si>
    <t>odio_nao</t>
  </si>
  <si>
    <t>LULA⭐Presidente🇧🇷 ❤️</t>
  </si>
  <si>
    <t xml:space="preserve">      1.402</t>
  </si>
  <si>
    <t>Sussuarana</t>
  </si>
  <si>
    <t>malumar71683932</t>
  </si>
  <si>
    <t>Que a justiça social chegue antes da caridade neste Brasil!</t>
  </si>
  <si>
    <t xml:space="preserve">      6.509</t>
  </si>
  <si>
    <t>sillie's vicious 🗽1989 (taylor's version)</t>
  </si>
  <si>
    <t>enolastranger</t>
  </si>
  <si>
    <t>🍁 sadie 𝒔𝒊𝒏𝒌 &amp; millie 𝒃𝒓𝒐𝒘𝒏💍</t>
  </si>
  <si>
    <t xml:space="preserve">      1.299</t>
  </si>
  <si>
    <t>Marilda Azzi 🇧🇷👊🏼</t>
  </si>
  <si>
    <t>azzimarilda</t>
  </si>
  <si>
    <t>🇧🇷🇧🇷🇧🇷🇧🇷🇧🇷🇧🇷🇧🇷🇧🇷🇧🇷🇧🇷🇧🇷</t>
  </si>
  <si>
    <t xml:space="preserve">      3.355</t>
  </si>
  <si>
    <t>Kleber Caribé</t>
  </si>
  <si>
    <t>klebercaribe2</t>
  </si>
  <si>
    <t>@flamengo</t>
  </si>
  <si>
    <t xml:space="preserve">      1.285</t>
  </si>
  <si>
    <t>Davi ™️</t>
  </si>
  <si>
    <t>davifdsousa</t>
  </si>
  <si>
    <t>dê a volta ✨</t>
  </si>
  <si>
    <t xml:space="preserve">      1.034</t>
  </si>
  <si>
    <t>João 🇧🇷 de Souza🇧🇷</t>
  </si>
  <si>
    <t>joobati77182539</t>
  </si>
  <si>
    <t xml:space="preserve">      1.026</t>
  </si>
  <si>
    <t>Antonia #Lula/Alckmin 13</t>
  </si>
  <si>
    <t>antonia_lula</t>
  </si>
  <si>
    <t>minha opinião pode não lhe agradar, veja antes de me seguir. Favor não me adicionar em lista.</t>
  </si>
  <si>
    <t xml:space="preserve">      7.309</t>
  </si>
  <si>
    <t>regis braga</t>
  </si>
  <si>
    <t>regisbraga1</t>
  </si>
  <si>
    <t xml:space="preserve">      1.716</t>
  </si>
  <si>
    <t>veinha, veinha.🚩🚩🚩🇧🇷🚩🚩🚩</t>
  </si>
  <si>
    <t>veiaveiaveia</t>
  </si>
  <si>
    <t>veia veia veia🚩🚩🚩🇧🇷🚩🚩🚩</t>
  </si>
  <si>
    <t xml:space="preserve">      1.676</t>
  </si>
  <si>
    <t>princess</t>
  </si>
  <si>
    <t>mockingdrewz</t>
  </si>
  <si>
    <t>Se eu to aqui desde 2009 não é agora que eu vou embora</t>
  </si>
  <si>
    <t xml:space="preserve">     10.430</t>
  </si>
  <si>
    <t>an</t>
  </si>
  <si>
    <t>anichellaaa</t>
  </si>
  <si>
    <t>listen to</t>
  </si>
  <si>
    <t xml:space="preserve">      1.610</t>
  </si>
  <si>
    <t>cicero ricardo</t>
  </si>
  <si>
    <t>exitxr</t>
  </si>
  <si>
    <t xml:space="preserve">      1.619</t>
  </si>
  <si>
    <t>Rosângela Dorneles🚩💓</t>
  </si>
  <si>
    <t>rosngeladornel6</t>
  </si>
  <si>
    <t xml:space="preserve">      2.778</t>
  </si>
  <si>
    <t>Leti 🧣</t>
  </si>
  <si>
    <t>leti_rdc</t>
  </si>
  <si>
    <t>Libriana, ♎ 
27 anos 
 Técnico em Administração 📝
@scinternacional ❤
 @roupanova ❤
Garantido ❤️🐮</t>
  </si>
  <si>
    <t>🐶Claudia Soares1️⃣3️⃣🚩🐙</t>
  </si>
  <si>
    <t>claudiaelysoar2</t>
  </si>
  <si>
    <t>“ Pode-se enganar a todos por algum tempo; pode-se enganar alguns por todo o tempo; mas não se pode enganar a todos todo o tempo”.</t>
  </si>
  <si>
    <t xml:space="preserve">      3.382</t>
  </si>
  <si>
    <t>Denilson</t>
  </si>
  <si>
    <t>denilsonsecoll</t>
  </si>
  <si>
    <t>Quem controla o passado controla o futuro; Quem controla o presente controla o passado. George Orwell. Bostil, 2023.</t>
  </si>
  <si>
    <t xml:space="preserve">      1.359</t>
  </si>
  <si>
    <t>Esquines Cangiani ⛳</t>
  </si>
  <si>
    <t>esquinescangia1</t>
  </si>
  <si>
    <t>PT sempre filiado ao PT</t>
  </si>
  <si>
    <t xml:space="preserve">      4.205</t>
  </si>
  <si>
    <t>Drika Olivier 🚩📚♥️🏳️‍🌈</t>
  </si>
  <si>
    <t>drika_olivier22</t>
  </si>
  <si>
    <t>Teacher of English Language , fighting for the human rights , for a good education and better sallary for Teachers in MG! Leftist since was bor n I ❤LULA 😘🌹</t>
  </si>
  <si>
    <t xml:space="preserve">      1.750</t>
  </si>
  <si>
    <t>🚩Mister Eme 1️⃣3️⃣</t>
  </si>
  <si>
    <t>marciod57968098</t>
  </si>
  <si>
    <t>Que culpa tenho eu se meu sangue é vermelho e meu coração fica no lado esquerdo?</t>
  </si>
  <si>
    <t>mel</t>
  </si>
  <si>
    <t>wearealifetime</t>
  </si>
  <si>
    <t>se viu menina q babado • fan account ～♡</t>
  </si>
  <si>
    <t xml:space="preserve">     23.247</t>
  </si>
  <si>
    <t>JP🇧🇷🚩</t>
  </si>
  <si>
    <t>jp_br__</t>
  </si>
  <si>
    <t>Brasília-DF</t>
  </si>
  <si>
    <t xml:space="preserve">     10.559</t>
  </si>
  <si>
    <t>Aílton Gomes</t>
  </si>
  <si>
    <t>agpmengao</t>
  </si>
  <si>
    <t xml:space="preserve">      1.252</t>
  </si>
  <si>
    <t>Francisco Tinoco 🇧🇷🤝🔰♓</t>
  </si>
  <si>
    <t>tinocofra</t>
  </si>
  <si>
    <t>Natural do Rio, cientista político. Liberal na economia e no social. Fraternidade como certeza, liberdade como ideal e igualdade como evolução.</t>
  </si>
  <si>
    <t xml:space="preserve">      4.059</t>
  </si>
  <si>
    <t>lu</t>
  </si>
  <si>
    <t>onedzstan</t>
  </si>
  <si>
    <t xml:space="preserve">      2.590</t>
  </si>
  <si>
    <t>Vencemos</t>
  </si>
  <si>
    <t>rangel_lucia</t>
  </si>
  <si>
    <t>Os militantes não vem ao mundo em busca do seu, vem entregar a alma por um punhado de sonhos. Mujica</t>
  </si>
  <si>
    <t xml:space="preserve">      4.663</t>
  </si>
  <si>
    <t>Luciano de Souza</t>
  </si>
  <si>
    <t>geologoluciano</t>
  </si>
  <si>
    <t>Consultor em Geologia Mineração Meio Ambiente e Legislação Mineral.
Prospecção e Pesquisa Mineral.
Pai Família Brasil e Deus acima de todos e à frente de tudo.</t>
  </si>
  <si>
    <t xml:space="preserve">      2.216</t>
  </si>
  <si>
    <t>Cristiane Reinaldo</t>
  </si>
  <si>
    <t>critianefreita</t>
  </si>
  <si>
    <t xml:space="preserve">      2.082</t>
  </si>
  <si>
    <t>Ludmylla Morais 🇧🇷</t>
  </si>
  <si>
    <t>ludy_mo</t>
  </si>
  <si>
    <t>Professora, conservadora e politicamente incorreta. Loucamente apaixonada pelo Flamengo e apoiadora do Bolsonaro.</t>
  </si>
  <si>
    <t xml:space="preserve">      1.400</t>
  </si>
  <si>
    <t>Helena Corrêa</t>
  </si>
  <si>
    <t>helcorrea</t>
  </si>
  <si>
    <t>Encontro Marcado/2023</t>
  </si>
  <si>
    <t xml:space="preserve">      3.754</t>
  </si>
  <si>
    <t>Ana</t>
  </si>
  <si>
    <t>g_garc2</t>
  </si>
  <si>
    <t xml:space="preserve">     70.978</t>
  </si>
  <si>
    <t>henry vai voltar para mais</t>
  </si>
  <si>
    <t>funkravesoty</t>
  </si>
  <si>
    <t>• fan account mas nem tanto •</t>
  </si>
  <si>
    <t>lenhagui💋</t>
  </si>
  <si>
    <t>lenhagui</t>
  </si>
  <si>
    <t>Gaúcha e Gremista.....🖤</t>
  </si>
  <si>
    <t xml:space="preserve">      3.261</t>
  </si>
  <si>
    <t>Adriano Lima 🇧🇷 🇺🇸 🇮🇱</t>
  </si>
  <si>
    <t>adrianslima_adv</t>
  </si>
  <si>
    <t>A conduta é um espelho no qual todos exibem sua imagem.
                     - Johann Wolfgang von Goethe -</t>
  </si>
  <si>
    <t xml:space="preserve">      6.268</t>
  </si>
  <si>
    <t>Glauco Fonteles O e Silva</t>
  </si>
  <si>
    <t>glaucofonteles</t>
  </si>
  <si>
    <t>Economista. Doutorando em Direito Constitucional - IDP (@SejaIDP). Mestre em Economia (IDP). Graduado em Economia e  em Direito.</t>
  </si>
  <si>
    <t>MAURICIO SILVEIRA</t>
  </si>
  <si>
    <t>clebermauricio4</t>
  </si>
  <si>
    <t>#PauloFreire
#LulaPresidente2022  #EsquerdaSegueEsquerda
#VidasNegrasImportam
#ForaBolsonaro</t>
  </si>
  <si>
    <t xml:space="preserve">      7.276</t>
  </si>
  <si>
    <t>Guilherme</t>
  </si>
  <si>
    <t>guilesn_br</t>
  </si>
  <si>
    <t>My dogs would give their lives to protect me. I will use my life to protect them.
Please use the link below for protests:</t>
  </si>
  <si>
    <t xml:space="preserve">      2.127</t>
  </si>
  <si>
    <t>Léo Aleatório - SRN🏆🏆🏆</t>
  </si>
  <si>
    <t>leopaifeliz</t>
  </si>
  <si>
    <t>Aqui é Mengão! Rock, Blues e Jazz. Sincero e desagradável. 
Fora da caridade, não há salvação.
Reencarnação, uma questão de Justiça.
Allan Kardec
 #Flamengo</t>
  </si>
  <si>
    <t>EDIA</t>
  </si>
  <si>
    <t>ediiaa</t>
  </si>
  <si>
    <t>#LulaOficial.Fora golpistas. Por um Brasil com justiça social.</t>
  </si>
  <si>
    <t xml:space="preserve">      3.311</t>
  </si>
  <si>
    <t>vivicღ by back for more</t>
  </si>
  <si>
    <t>chimmysilvers</t>
  </si>
  <si>
    <t>e como isso afeta o jjk1 e o jb7?</t>
  </si>
  <si>
    <t xml:space="preserve">      3.964</t>
  </si>
  <si>
    <t>Lugano do chimarrão</t>
  </si>
  <si>
    <t>luganodochimas</t>
  </si>
  <si>
    <t>Perfil que mais dá retweet sobre assuntos São Paulinos. Anota ai, Diego Lugano 🇾🇪</t>
  </si>
  <si>
    <t xml:space="preserve">      1.812</t>
  </si>
  <si>
    <t>Rosita</t>
  </si>
  <si>
    <t>rosarod44257690</t>
  </si>
  <si>
    <t>🇨🇺💟Amante de lo bello. Revolucionaria, amo a mi Cuba que linda es #Cuba.🇨🇺</t>
  </si>
  <si>
    <t xml:space="preserve">      7.599</t>
  </si>
  <si>
    <t>Rio2016PTEducador 🇧🇷🚩🇦🇲</t>
  </si>
  <si>
    <t>maribh2</t>
  </si>
  <si>
    <t>Export Import Services as Custom Clearance &amp; Transport. Sales around Americas: Calzados y Eyeframes/Armazones, Lenses. Raw Material Optico. Brazil. India.China.</t>
  </si>
  <si>
    <t xml:space="preserve">      2.137</t>
  </si>
  <si>
    <t>fer ⚽️</t>
  </si>
  <si>
    <t>fhcfer</t>
  </si>
  <si>
    <t>⚽️ @Cruzeiro @as_monaco_br ✨ 💙 insta: @fhcfer 👩🏽‍💻 “A Voz da Torcida” no @ge_cruzeiro 💙🏆💙🥰💙 me acompanhe no Youtube! ⬇️ @kto_brasil</t>
  </si>
  <si>
    <t xml:space="preserve">     33.068</t>
  </si>
  <si>
    <t>Klinger Ericeira 🇧🇷</t>
  </si>
  <si>
    <t>klingerericeira</t>
  </si>
  <si>
    <t>Perfil de ativismo político.
Filósofo; cientista social; gestor público.
Professor; servidor público.
Visão monocular; TDAH.
Ateu.
SDV progressistas.
Evite DMs.</t>
  </si>
  <si>
    <t xml:space="preserve">     18.892</t>
  </si>
  <si>
    <t>nalu★</t>
  </si>
  <si>
    <t>hesloewe</t>
  </si>
  <si>
    <t>i know you ain't use to a female alpha</t>
  </si>
  <si>
    <t xml:space="preserve">      2.365</t>
  </si>
  <si>
    <t>Marcos</t>
  </si>
  <si>
    <t>marcosvoteciro</t>
  </si>
  <si>
    <t>Mineiro</t>
  </si>
  <si>
    <t xml:space="preserve">      1.919</t>
  </si>
  <si>
    <t>Jais</t>
  </si>
  <si>
    <t>seessshh</t>
  </si>
  <si>
    <t>main - @/belieberauhl got s worded :(</t>
  </si>
  <si>
    <t xml:space="preserve">      1.346</t>
  </si>
  <si>
    <t>versionsofcardi</t>
  </si>
  <si>
    <t>fan acccount</t>
  </si>
  <si>
    <t xml:space="preserve">      2.338</t>
  </si>
  <si>
    <t>Eliseu Alves</t>
  </si>
  <si>
    <t>eliseualvs1</t>
  </si>
  <si>
    <t>97% Internacionalista;
Fotógrafo nas horas vagas;
Pai do Bernardo;
Amapá em primeiro lugar!</t>
  </si>
  <si>
    <t xml:space="preserve">      1.474</t>
  </si>
  <si>
    <t>João Carlos Nóbrega</t>
  </si>
  <si>
    <t>jcna1998</t>
  </si>
  <si>
    <t xml:space="preserve">      1.164</t>
  </si>
  <si>
    <t>comunista=nazista</t>
  </si>
  <si>
    <t>stefano618</t>
  </si>
  <si>
    <t>HORIZONTALMENTE CONTRA QUALQUER COLETIVISMO -
🐍📈</t>
  </si>
  <si>
    <t xml:space="preserve">      2.441</t>
  </si>
  <si>
    <t>𝓔𝓵 𝓟𝓻𝓸𝓯𝓮𝓼𝓸𝓻</t>
  </si>
  <si>
    <t>elprofe2890</t>
  </si>
  <si>
    <t>D Izquierda, Antimperialista, Amo mi Patria y mi bandera 🇨🇺. No tolero la mentira. No permito q hablen mal d mi país. #PasiónXCuba 🇨🇺</t>
  </si>
  <si>
    <t xml:space="preserve">      6.751</t>
  </si>
  <si>
    <t>De Camargo</t>
  </si>
  <si>
    <t>de_camago</t>
  </si>
  <si>
    <t>Notícias de Cuba 🇨🇺</t>
  </si>
  <si>
    <t>noticiasdcuba</t>
  </si>
  <si>
    <t>Notícias sobre Cuba, em português .(En la lucha contra el terrorismo mediático contra Cuba)!</t>
  </si>
  <si>
    <t xml:space="preserve">      4.150</t>
  </si>
  <si>
    <t>Jacqueline T. 22🇧🇷</t>
  </si>
  <si>
    <t>jacquelinetapi8</t>
  </si>
  <si>
    <t xml:space="preserve">      3.101</t>
  </si>
  <si>
    <t>Deise Barreiro</t>
  </si>
  <si>
    <t>deisebarreiros</t>
  </si>
  <si>
    <t>Vou seguir todos de volta sempre que o Twitter deixar. Eles me restringiram.
13 é número da sorte, vermelho é a cor mais quente</t>
  </si>
  <si>
    <t xml:space="preserve">      8.553</t>
  </si>
  <si>
    <t>DOROTHY RAFAELLI</t>
  </si>
  <si>
    <t>dorarafa</t>
  </si>
  <si>
    <t xml:space="preserve">      1.552</t>
  </si>
  <si>
    <t>Moema LULA 13🚩🚩🚩</t>
  </si>
  <si>
    <t>moema4</t>
  </si>
  <si>
    <t>MEU PAÍS é o NORDESTE!</t>
  </si>
  <si>
    <t xml:space="preserve">     11.334</t>
  </si>
  <si>
    <t>✩ BAH / ANITTA ✩</t>
  </si>
  <si>
    <t>superstarevans</t>
  </si>
  <si>
    <t xml:space="preserve">      2.724</t>
  </si>
  <si>
    <t>Vεηη𝕏</t>
  </si>
  <si>
    <t>vennx___</t>
  </si>
  <si>
    <t>| Bacharelando em SI | Libertário | #XMR | #BTC</t>
  </si>
  <si>
    <t xml:space="preserve">      2.336</t>
  </si>
  <si>
    <t>🇧🇷🇮🇹JConsult - Despachante Imobiliário🇧🇷🇮🇹</t>
  </si>
  <si>
    <t>jelderconsultsp</t>
  </si>
  <si>
    <t xml:space="preserve">      1.253</t>
  </si>
  <si>
    <t>︎couto</t>
  </si>
  <si>
    <t>coutocrf</t>
  </si>
  <si>
    <t>papai da marina 💜</t>
  </si>
  <si>
    <t xml:space="preserve">      3.910</t>
  </si>
  <si>
    <t>Jota Silva</t>
  </si>
  <si>
    <t>jonatha22539924</t>
  </si>
  <si>
    <t>@Flamengo 🔴⚫ Até Morrer 
Fã Do @leongoretzka_ e @JordiAlba
 Insta: Jonathann_Sillvaa   Adidas</t>
  </si>
  <si>
    <t xml:space="preserve">      2.004</t>
  </si>
  <si>
    <t>Rapadura Nordestina</t>
  </si>
  <si>
    <t>rapaduranordes3</t>
  </si>
  <si>
    <t>Rapadura é doce mas não é mole não!</t>
  </si>
  <si>
    <t>🏆 Mundial interclubes - 🏆🏆🏆 Libertadores</t>
  </si>
  <si>
    <t>robsoncontador</t>
  </si>
  <si>
    <t>🏆37 Cariocas
🏆Mundial
🏆 Recopa
🏆 Copa Ouro Sulamericana
🏆 Mercosul
🏆🏆 Supercopa
🏆🏆🏆 Libertadores
🏆🏆🏆🏆 Copa do Brasil
🏆🏆🏆🏆🏆🏆🏆🏆 Brasileiros</t>
  </si>
  <si>
    <t xml:space="preserve">      5.054</t>
  </si>
  <si>
    <t>☭ Sarabirina ❤️🖤</t>
  </si>
  <si>
    <t>sarausz</t>
  </si>
  <si>
    <t>🎶Todos juntos somos fortes🎶Somos flecha e somos arco🎶 Petista com carteirinha e sem paciência. O Conselho Editorial abusa de perguntas retóricas e ironias.</t>
  </si>
  <si>
    <t xml:space="preserve">      3.876</t>
  </si>
  <si>
    <t>PINHEIRO B CONHECER DEMOCRÁTICO</t>
  </si>
  <si>
    <t>bspinh51</t>
  </si>
  <si>
    <t>PTista desde a fundação do Partido dos Trabalhadores no ABC
Também sou nordestino vindo da Bahia num pau de arara em 1967. Dirigente do PT por mais de 10 anos.</t>
  </si>
  <si>
    <t xml:space="preserve">      1.711</t>
  </si>
  <si>
    <t>Silvia Renata Garcia</t>
  </si>
  <si>
    <t>silviarenataga1</t>
  </si>
  <si>
    <t>eu amo literatura. Quanto mais gente feliz no mundo melhor pro mundo❤️❤️🚩🚩🚩</t>
  </si>
  <si>
    <t>Luciana</t>
  </si>
  <si>
    <t>lu_salvucci</t>
  </si>
  <si>
    <t>Amo a liberdade e a justiça, ideais que me movem, jamais desistirei! Brasil acima de tudo, Deus acima de todos! 💚💛💙 🇧🇷🇧🇷🇧🇷 😎🙌🙏</t>
  </si>
  <si>
    <t xml:space="preserve">      3.330</t>
  </si>
  <si>
    <t>Cubacoopera Jamaica</t>
  </si>
  <si>
    <t>cubacooperaja</t>
  </si>
  <si>
    <t>Cuenta Oficial de la Brigada Médica Cubana en Jamaica</t>
  </si>
  <si>
    <t xml:space="preserve">      4.763</t>
  </si>
  <si>
    <t>EFertmane</t>
  </si>
  <si>
    <t>efertmane</t>
  </si>
  <si>
    <t>aposentada, espirita,  patriota.  Amo demais meu Brasil. Deus abençoe Bolsonaro.</t>
  </si>
  <si>
    <t xml:space="preserve">      1.482</t>
  </si>
  <si>
    <t>Emivaldo Aguiar</t>
  </si>
  <si>
    <t>emiaguiar</t>
  </si>
  <si>
    <t>Belém-Pa, Porto Franco-Ma. Petista de corpo, alma... desde a década de 80!</t>
  </si>
  <si>
    <t xml:space="preserve">     11.902</t>
  </si>
  <si>
    <t>Gaspa Fella🗽</t>
  </si>
  <si>
    <t>gaspa</t>
  </si>
  <si>
    <t>🇯🇵ガスパ 🇺🇦 #NAFO fella. 
🇮🇱 המוסד 🇹🇼 OneChina
🇺🇸 CIA agent 🇪🇺 European Unionist</t>
  </si>
  <si>
    <t xml:space="preserve">      1.231</t>
  </si>
  <si>
    <t>Maria Assunção Sene</t>
  </si>
  <si>
    <t>seneassuncao</t>
  </si>
  <si>
    <t>Nacionalista</t>
  </si>
  <si>
    <t xml:space="preserve">      2.478</t>
  </si>
  <si>
    <t>Cantarillado 💦🚱🇧🇷🌹1️⃣2️⃣🔰🧭☘️🌵🚜🌾🥖💸</t>
  </si>
  <si>
    <t>alca32558504</t>
  </si>
  <si>
    <t>🇧🇷🇵🇹🇦🇴🇸🇾🇪🇦🏴🧘🕉️🧫🧪🔬🧬⚗️👨‍👩‍👧‍👦👩‍🏫</t>
  </si>
  <si>
    <t xml:space="preserve">      1.254</t>
  </si>
  <si>
    <t>Lucinea Brasil Livre 🇧🇷🇧🇷</t>
  </si>
  <si>
    <t>lucineacastro</t>
  </si>
  <si>
    <t>Administradora - Porto Alegre - RS</t>
  </si>
  <si>
    <t xml:space="preserve">      1.464</t>
  </si>
  <si>
    <t>Augusto Cesar Costa</t>
  </si>
  <si>
    <t>accosta_49</t>
  </si>
  <si>
    <t>Jornalista independente, política, ecologia, fotografia, literatura, poesia, artes plásticas,cinema</t>
  </si>
  <si>
    <t xml:space="preserve">      1.522</t>
  </si>
  <si>
    <t>B R U N O 👨‍👧‍👦 🚩</t>
  </si>
  <si>
    <t>brunno_bs</t>
  </si>
  <si>
    <t>Espalhe o bem , pois a gente merece e o mundo precisa 💪🏼.</t>
  </si>
  <si>
    <t xml:space="preserve">      1.054</t>
  </si>
  <si>
    <t>Digo</t>
  </si>
  <si>
    <t>d_rms</t>
  </si>
  <si>
    <t>FLANEUR - OLHOS LIVRES - BIXO SOLTO
Ec Bahia
#Mulheresdeaço
"Quem anda em trilho é trem de ferro
Sou água q corre entre pedras. Liberdade caça jeito"</t>
  </si>
  <si>
    <t xml:space="preserve">      2.289</t>
  </si>
  <si>
    <t>Artur Rocha</t>
  </si>
  <si>
    <t>arturdarocha</t>
  </si>
  <si>
    <t>Apaixonado pela literatura. Filho da UFF. Professor de Direito</t>
  </si>
  <si>
    <t xml:space="preserve">      2.624</t>
  </si>
  <si>
    <t>leticia lopez</t>
  </si>
  <si>
    <t>leticia94428071</t>
  </si>
  <si>
    <t xml:space="preserve">      1.618</t>
  </si>
  <si>
    <t>Rádio CBN</t>
  </si>
  <si>
    <t>cbnoficial</t>
  </si>
  <si>
    <t>A rádio que toca notícia também no Twitter. Acompanhe os programas, comentaristas e boletins da CBN</t>
  </si>
  <si>
    <t xml:space="preserve">    435.425</t>
  </si>
  <si>
    <t>xeque mat</t>
  </si>
  <si>
    <t>matnascimenttoo</t>
  </si>
  <si>
    <t>https://t.co/AY2XORDWhr</t>
  </si>
  <si>
    <t xml:space="preserve">      2.172</t>
  </si>
  <si>
    <t>Allanitto FUNK RAVE 🧸❤️⭐️🌈</t>
  </si>
  <si>
    <t>_allanitto</t>
  </si>
  <si>
    <t>FUNK GENERATION / BACK FOR MORE IS COMING</t>
  </si>
  <si>
    <t>Irlan Simões 🏴</t>
  </si>
  <si>
    <t>irlansimoes</t>
  </si>
  <si>
    <t>📚A Produção do Clube: poder, negócio e comunidade no futebol (2023) | 🎙️@NaBancada_ | 📺#RedacaoSporTV | 🎓 D.r. em Comunicação (Uerj)</t>
  </si>
  <si>
    <t xml:space="preserve">     22.009</t>
  </si>
  <si>
    <t>Shin 🏴‍☠️</t>
  </si>
  <si>
    <t>straysamurai</t>
  </si>
  <si>
    <t>26 infj || Pronouns: none, I don't wanna be precived || Here: men's tits, random breakdowns and multifandom chaos</t>
  </si>
  <si>
    <t>Leonardo Oviedo.2💯🇨🇺🇨🇺</t>
  </si>
  <si>
    <t>gelaciooviedo</t>
  </si>
  <si>
    <t>Orgulloso de ser cubano,seguidor de la historia, el deporte y la cultura. Comunicador social.</t>
  </si>
  <si>
    <t xml:space="preserve">      5.244</t>
  </si>
  <si>
    <t>roaraz 🚩🚩🚩🚩🚩</t>
  </si>
  <si>
    <t>roaraz</t>
  </si>
  <si>
    <t>Nós temos um sonho. Somos movidos a esperança. E não há força maior que a esperança de um povo que sabe que pode voltar a ser feliz. #LulaPresidente13</t>
  </si>
  <si>
    <t xml:space="preserve">      4.410</t>
  </si>
  <si>
    <t>Wilka Oliveira 🚩🏳️‍🌈</t>
  </si>
  <si>
    <t>wilkaoliveira3</t>
  </si>
  <si>
    <t>Recifense visse!!!🌵🏖️.                                  
Casada com @paulorobertog33</t>
  </si>
  <si>
    <t>Abelinha baby</t>
  </si>
  <si>
    <t>alfabebada</t>
  </si>
  <si>
    <t>And I'm just an arrogant son of a bitch                  
@flamengo   @fcbarcelona
 fan account</t>
  </si>
  <si>
    <t xml:space="preserve">      4.673</t>
  </si>
  <si>
    <t>ᴅᴀɴ</t>
  </si>
  <si>
    <t>euodaan</t>
  </si>
  <si>
    <t xml:space="preserve">      1.648</t>
  </si>
  <si>
    <t>🚩🕺🏿Enayle💃🏿🚩</t>
  </si>
  <si>
    <t>enayle6691</t>
  </si>
  <si>
    <t>RECADO:
A gadolândia é sempre bloqueada (sem conversa) porque não sei tocar berrante!</t>
  </si>
  <si>
    <t>eulituliaselaLilia</t>
  </si>
  <si>
    <t>eulituliasela</t>
  </si>
  <si>
    <t>🇧🇷🔰💐Brasileira e não robô.💐🔰🇧🇷</t>
  </si>
  <si>
    <t xml:space="preserve">      1.279</t>
  </si>
  <si>
    <t>Emir Sader</t>
  </si>
  <si>
    <t>emirsader</t>
  </si>
  <si>
    <t>man, from brazil, researcher</t>
  </si>
  <si>
    <t xml:space="preserve">    245.024</t>
  </si>
  <si>
    <t>Niko</t>
  </si>
  <si>
    <t>nicodirenzo1</t>
  </si>
  <si>
    <t>Un servo odia sempre un uomo libero .</t>
  </si>
  <si>
    <t xml:space="preserve">      1.220</t>
  </si>
  <si>
    <t>Zé da Paz 🇧🇷</t>
  </si>
  <si>
    <t>josedapaz</t>
  </si>
  <si>
    <t>https://t.co/oaBhYCPbMN</t>
  </si>
  <si>
    <t xml:space="preserve">      2.559</t>
  </si>
  <si>
    <t>🧸♥️⭐🌈</t>
  </si>
  <si>
    <t>lainenitter</t>
  </si>
  <si>
    <t>| fan account | anitter dela ❤️</t>
  </si>
  <si>
    <t xml:space="preserve">      1.417</t>
  </si>
  <si>
    <t>Daniela Lula</t>
  </si>
  <si>
    <t>danibentancor2</t>
  </si>
  <si>
    <t>Assistente Social</t>
  </si>
  <si>
    <t xml:space="preserve">      2.966</t>
  </si>
  <si>
    <t>Camila Júlia</t>
  </si>
  <si>
    <t>cj_cabo</t>
  </si>
  <si>
    <t>♓Publicitária|Social Media💡🎬
Traductora Español 🇪🇦
Colunista✍
I love languages, cultures, food, music and coffee ☕</t>
  </si>
  <si>
    <t xml:space="preserve">      5.174</t>
  </si>
  <si>
    <t>SandraSaray</t>
  </si>
  <si>
    <t>sarauyahu</t>
  </si>
  <si>
    <t>🌹Terapia de Regressão multidimensional 🌹
41 989034576
Carioca 
 #Lightworker
Amor
Família 
Brasil 🇧🇷🇧🇷🇧🇷</t>
  </si>
  <si>
    <t xml:space="preserve">      1.461</t>
  </si>
  <si>
    <t>Eu &amp; o André 😍</t>
  </si>
  <si>
    <t>bgsneury</t>
  </si>
  <si>
    <t>Viva o Brasil</t>
  </si>
  <si>
    <t xml:space="preserve">      1.243</t>
  </si>
  <si>
    <t>fabio paiva fagundes</t>
  </si>
  <si>
    <t>fabiopf08fabio</t>
  </si>
  <si>
    <t>Um feliz ano novo a todos!</t>
  </si>
  <si>
    <t xml:space="preserve">     42.534</t>
  </si>
  <si>
    <t>JosefaalmeidaA🚩😘🙏❤🌵🇧🇷</t>
  </si>
  <si>
    <t>josefaa80903415</t>
  </si>
  <si>
    <t>orgulho de ser nordestina 
comida no prato vacina no braço</t>
  </si>
  <si>
    <t xml:space="preserve">      3.408</t>
  </si>
  <si>
    <t>Carlos Cesar Santos</t>
  </si>
  <si>
    <t>carlosc01290403</t>
  </si>
  <si>
    <t>Marwanferreira</t>
  </si>
  <si>
    <t>marwanferreira</t>
  </si>
  <si>
    <t xml:space="preserve">      3.337</t>
  </si>
  <si>
    <t>José Roberto Afonso</t>
  </si>
  <si>
    <t>zerobertoafonso</t>
  </si>
  <si>
    <t>IDP. ISCSP/ULisboa. FIBE. Finance, A&amp;B, GVEuropa.</t>
  </si>
  <si>
    <t xml:space="preserve">      1.196</t>
  </si>
  <si>
    <t>Tony SAG - 🇧🇷👊🇧🇷</t>
  </si>
  <si>
    <t>tony2808988</t>
  </si>
  <si>
    <t>Só rapidinhas.</t>
  </si>
  <si>
    <t xml:space="preserve">     20.888</t>
  </si>
  <si>
    <t>Sonia🐙⭐ #PTSempreEPraSempre🚩</t>
  </si>
  <si>
    <t>somel62</t>
  </si>
  <si>
    <t>Viver!!💓 #LULA2022✊🏽⭐🚩</t>
  </si>
  <si>
    <t xml:space="preserve">      3.206</t>
  </si>
  <si>
    <t>Anna Maria</t>
  </si>
  <si>
    <t>annamar84883912</t>
  </si>
  <si>
    <t>Aquela que luta e sonha por um mundo melhor e menos desigual.</t>
  </si>
  <si>
    <t xml:space="preserve">      2.005</t>
  </si>
  <si>
    <t>Fernando 🇧🇷 🙏🏼</t>
  </si>
  <si>
    <t>fro_2018</t>
  </si>
  <si>
    <t>Deus / Pátria / Família / Liberdade - 100% Jesus Cristo</t>
  </si>
  <si>
    <t xml:space="preserve">      3.086</t>
  </si>
  <si>
    <t>claudio</t>
  </si>
  <si>
    <t>klaudiorn</t>
  </si>
  <si>
    <t xml:space="preserve">      2.297</t>
  </si>
  <si>
    <t>Gabriel Santos Octa🔴⚫8⃣ 2⃣ Liberta 1⃣ Mundial</t>
  </si>
  <si>
    <t>taysonconceicao</t>
  </si>
  <si>
    <t>Flamengo Tua Gloria e Lutar ❤🖤🔰🇧🇷🇻🇦</t>
  </si>
  <si>
    <t xml:space="preserve">      2.268</t>
  </si>
  <si>
    <t>Diario Ojo Pelao</t>
  </si>
  <si>
    <t>ojopelao</t>
  </si>
  <si>
    <t>La desvalorización del mundo humano crece en razón directa de la valorización del mundo de las cosas. 
Carlos Marx</t>
  </si>
  <si>
    <t>Lula Resistente</t>
  </si>
  <si>
    <t>lularesistente</t>
  </si>
  <si>
    <t>Progressista, Esquerdista, Lulista, Anti-Extremista, Flamenguista !! #Lula2023 🚩🚩🚩L U L A  P R E S I D E N T E🚩🚩 🚩🦑🦑🦑LULA COM CHUCHU🥬🥬🥬</t>
  </si>
  <si>
    <t xml:space="preserve">      3.136</t>
  </si>
  <si>
    <t>🇧🇷🇧🇷 Deus acima de tudo Brasil acima de todos</t>
  </si>
  <si>
    <t>formiga_perna</t>
  </si>
  <si>
    <t>Cada novo dia e uma nova chance para engrandecer aquele que tudo criou;
SDV todos que me segue pode até demorar até 3 dias mas busca retribuir. 🇧🇷🇧🇷🇧🇷</t>
  </si>
  <si>
    <t xml:space="preserve">     14.002</t>
  </si>
  <si>
    <t>Nazaria73</t>
  </si>
  <si>
    <t>nclosing123</t>
  </si>
  <si>
    <t>Cesar Nascimento</t>
  </si>
  <si>
    <t>cesarefatimaglo</t>
  </si>
  <si>
    <t>Eng. químico com Doutorado em eng. de segurança, de esquerda e pela justiça social, torcedor do Flamengo e Manchester United, casado, avô do Jack e ateu.</t>
  </si>
  <si>
    <t xml:space="preserve">      1.838</t>
  </si>
  <si>
    <t>Jaime Nemo</t>
  </si>
  <si>
    <t>nemojaime</t>
  </si>
  <si>
    <t>Eu não sei ainda, mas vou saber mais cedo ou mais tarde</t>
  </si>
  <si>
    <t xml:space="preserve">      2.620</t>
  </si>
  <si>
    <t>Beatriz  Fagundes</t>
  </si>
  <si>
    <t>beatrizfagundes</t>
  </si>
  <si>
    <t>Programa Beatriz Fagundes na Manawa Rádio Web segunda à sábado: 09h até Meio-dia.</t>
  </si>
  <si>
    <t xml:space="preserve">      2.648</t>
  </si>
  <si>
    <t>Jaraguá</t>
  </si>
  <si>
    <t>jaraguabtc</t>
  </si>
  <si>
    <t>Cristão, Bitcoinheiro, defensor da ética Cristã e do direito Jus Natural, participante dos projetos "Os Intankáveis" e "Evangelho BTC".</t>
  </si>
  <si>
    <t xml:space="preserve">      6.765</t>
  </si>
  <si>
    <t>Carpe Diem</t>
  </si>
  <si>
    <t>omni_diem</t>
  </si>
  <si>
    <t>Aproveite o dia todos os dias</t>
  </si>
  <si>
    <t>COM LULA PRO QUE DER E VIER</t>
  </si>
  <si>
    <t>vanialobinha</t>
  </si>
  <si>
    <t>O Brasil vai vencer a era dos idiotas. Estamos quase lá...não desistam...Força Lula ! Força Meu Povo !</t>
  </si>
  <si>
    <t xml:space="preserve">     14.395</t>
  </si>
  <si>
    <t>Retirante Sudestino⭐⭐🏴🏳️</t>
  </si>
  <si>
    <t>vinibhoficial</t>
  </si>
  <si>
    <t>Quem perdeu o trem da história por querer
Saiu do juízo sem saber
Foi mais um covarde a se esconder
Diante de um novo mundo</t>
  </si>
  <si>
    <t xml:space="preserve">      1.896</t>
  </si>
  <si>
    <t>Barbara Lula Silva</t>
  </si>
  <si>
    <t>barbaradincker1</t>
  </si>
  <si>
    <t>mãe, petista com muito orgulho sim, PT o único partido que me defende, bolsominions rapa fora.</t>
  </si>
  <si>
    <t xml:space="preserve">      2.259</t>
  </si>
  <si>
    <t>Carlos Jr</t>
  </si>
  <si>
    <t>junior76_carlos</t>
  </si>
  <si>
    <t>Químico Industrial 👨🏽‍🔬, Permacultor Aprendiz 👨🏽‍🌾🌾, Aprendiz em Aquicultura 🐠.</t>
  </si>
  <si>
    <t xml:space="preserve">      1.858</t>
  </si>
  <si>
    <t>Zeca</t>
  </si>
  <si>
    <t>andiamomeno</t>
  </si>
  <si>
    <t xml:space="preserve">      2.367</t>
  </si>
  <si>
    <t>Fábio 🇧🇷🇧🇷</t>
  </si>
  <si>
    <t>fabiojose_silva</t>
  </si>
  <si>
    <t>Por um Brasil Progressista!
Democracia acima de tudo!
O POVO NO PODER!👊🇧🇷</t>
  </si>
  <si>
    <t xml:space="preserve">      1.454</t>
  </si>
  <si>
    <t>santinhasouza 🚩🚩</t>
  </si>
  <si>
    <t>santinhasouza1</t>
  </si>
  <si>
    <t>Arquiteta do meu destino</t>
  </si>
  <si>
    <t xml:space="preserve">      1.884</t>
  </si>
  <si>
    <t>Sebastião</t>
  </si>
  <si>
    <t>seba_bene</t>
  </si>
  <si>
    <t>Aqui é Democracia. PT🚩🇧🇷</t>
  </si>
  <si>
    <t xml:space="preserve">      7.803</t>
  </si>
  <si>
    <t>Fabi</t>
  </si>
  <si>
    <t>fabiulaor</t>
  </si>
  <si>
    <t xml:space="preserve">      2.713</t>
  </si>
  <si>
    <t>Marcelo .</t>
  </si>
  <si>
    <t>marcelomnjj</t>
  </si>
  <si>
    <t>Daniela Carbonel Triana</t>
  </si>
  <si>
    <t>carboneltriana</t>
  </si>
  <si>
    <t>Soy cubana, bayamesa y mi ideal es el bien, asociado al porvenir de nuestra patria. Perseveremos y venceremos</t>
  </si>
  <si>
    <t xml:space="preserve">      2.348</t>
  </si>
  <si>
    <t>👉Cristinisto✌️🫘Señor con perro blanco 🇦🇷💪🧉</t>
  </si>
  <si>
    <t>juanjuan_juan55</t>
  </si>
  <si>
    <t>Hincha de Deportivo Español🇪🇸Amante del folklore argentino🇦🇷Y fanclub de nuestro vino🍷Para los amigos 🤝para los otros 👊
Si habré corrido fantasmas...!👻</t>
  </si>
  <si>
    <t xml:space="preserve">      3.435</t>
  </si>
  <si>
    <t>Thiago Freitas</t>
  </si>
  <si>
    <t>thiagotentum</t>
  </si>
  <si>
    <t>Ainda trabalho com Futebol. Me divirto com Arte, Matemática, Cozinha e Almanaques.</t>
  </si>
  <si>
    <t xml:space="preserve">      1.957</t>
  </si>
  <si>
    <t>Saladino D. Aracaju 🇧🇷🇧🇷</t>
  </si>
  <si>
    <t>rapaduraj</t>
  </si>
  <si>
    <t>Tome, Doutor, esta tesoura</t>
  </si>
  <si>
    <t xml:space="preserve">      2.525</t>
  </si>
  <si>
    <t>flori 🥀🇦🇷</t>
  </si>
  <si>
    <t>blesshailey</t>
  </si>
  <si>
    <t>backup @blessjuxtin 👅 - fan account</t>
  </si>
  <si>
    <t xml:space="preserve">      5.828</t>
  </si>
  <si>
    <t>green heart</t>
  </si>
  <si>
    <t>br_green_heart</t>
  </si>
  <si>
    <t>Seeking, Sharing Info &amp; Knowledge abt Politics, Economy, Philosophy, Arts, Religion ... 2 reach Health, Truth, Peace, Freedom, Justice, Beauty, Love, God ...</t>
  </si>
  <si>
    <t xml:space="preserve">      2.947</t>
  </si>
  <si>
    <t>AnaPaulaLula🇧🇷🇪🇪🚩⭐️</t>
  </si>
  <si>
    <t>anapaul95390738</t>
  </si>
  <si>
    <t>Lula maior estadista do 🌎!!
Lula melhor Presidente 🇧🇷!!</t>
  </si>
  <si>
    <t xml:space="preserve">      2.978</t>
  </si>
  <si>
    <t>Raphael Nascimento ᶜʳᶠ</t>
  </si>
  <si>
    <t>raphaell_crf</t>
  </si>
  <si>
    <t>@Flamengo 🔴⚫️</t>
  </si>
  <si>
    <t xml:space="preserve">      6.244</t>
  </si>
  <si>
    <t>Edvaldo Muniz🚩</t>
  </si>
  <si>
    <t>edvaldomuniz5</t>
  </si>
  <si>
    <t>Lula13</t>
  </si>
  <si>
    <t xml:space="preserve">      4.522</t>
  </si>
  <si>
    <t>⭐Dandara Lula 13⭐ 🇧🇷 🇺🇾</t>
  </si>
  <si>
    <t>tririos</t>
  </si>
  <si>
    <t>Dou block em Bol卐oGados e seguidores do marreco de Maringá! 
 ⭐️#SouLula, #SouPT, #SouEsquerda!⭐️</t>
  </si>
  <si>
    <t xml:space="preserve">      4.021</t>
  </si>
  <si>
    <t>Drikka Ramos</t>
  </si>
  <si>
    <t>eu_drikka</t>
  </si>
  <si>
    <t>Mestre em Reiki Sistema USUI, mãe,  esposa, espiritualista.
Meta para hoje: Ser melhor do que fui ontem. Assim sigo minha caminhada.</t>
  </si>
  <si>
    <t xml:space="preserve">      1.600</t>
  </si>
  <si>
    <t>alex alves</t>
  </si>
  <si>
    <t>alexalvesdoss12</t>
  </si>
  <si>
    <t>vivo de amores e de cores para tornar a vida mais divertida e descontraída. ..</t>
  </si>
  <si>
    <t xml:space="preserve">      1.344</t>
  </si>
  <si>
    <t>Gabriel Carvalho</t>
  </si>
  <si>
    <t>gabrielfdec</t>
  </si>
  <si>
    <t xml:space="preserve">      2.012</t>
  </si>
  <si>
    <t>Kito 🚩 #Lula13 🚩🇧🇷🚩🇦🇲</t>
  </si>
  <si>
    <t>frmarchetaria</t>
  </si>
  <si>
    <t>https://t.co/U2rPrboiVa https://t.co/dVvc2LGVj8 Instagram: @oficinadamarchetaria Casado, Escorpião 🦂</t>
  </si>
  <si>
    <t xml:space="preserve">      6.682</t>
  </si>
  <si>
    <t>Joy⚢💭</t>
  </si>
  <si>
    <t>mydear_chuuya</t>
  </si>
  <si>
    <t>Literalmente eu (Kafka Asagiri)</t>
  </si>
  <si>
    <t xml:space="preserve">      1.495</t>
  </si>
  <si>
    <t>Braun</t>
  </si>
  <si>
    <t>timebonoro_22</t>
  </si>
  <si>
    <t>Ninguém se importa</t>
  </si>
  <si>
    <t xml:space="preserve">      1.560</t>
  </si>
  <si>
    <t>🚩🖖N. Rubinstein</t>
  </si>
  <si>
    <t>ndasilva6</t>
  </si>
  <si>
    <t>Pai, professor e músico amador.
Preconceito não!
Padre, maestro y músico aficionado.
¡No a los prejuicios!
Father, teacher and amateur musician.
No prejudice!</t>
  </si>
  <si>
    <t xml:space="preserve">      3.257</t>
  </si>
  <si>
    <t>julha</t>
  </si>
  <si>
    <t>geollean</t>
  </si>
  <si>
    <t>she/them🏳️‍🌈🇧🇷 i do tech &amp; design stuff | musical theatre kid | pirralha &amp; ex tiktoker 🪦</t>
  </si>
  <si>
    <t xml:space="preserve">      1.430</t>
  </si>
  <si>
    <t>Simeone Lula</t>
  </si>
  <si>
    <t>simeone_lula</t>
  </si>
  <si>
    <t>Cearense, bancário, aposentado. Na luta por um país mais justo, democrático, sem fome e coerente com a maioria do povo brasileiro. Lula é a Esperança do Brasil.</t>
  </si>
  <si>
    <t xml:space="preserve">      2.243</t>
  </si>
  <si>
    <t>osvaldo v. fernandes</t>
  </si>
  <si>
    <t>fernandes73</t>
  </si>
  <si>
    <t>Olá meu nome é Osvaldo eu vivo no paraná  Obrigado pela visita a todos que me segue seguirei de volta.</t>
  </si>
  <si>
    <t>mmiranda💎🚩 #esquerdaforteeunida🔄</t>
  </si>
  <si>
    <t>mm55921063</t>
  </si>
  <si>
    <t>Esquerda, esquerda. RTW td que gosto dos @❤️❤️ vermelhos. 🥰🚩🚩🚩🔄 selinho  verificado por mim.</t>
  </si>
  <si>
    <t xml:space="preserve">      9.266</t>
  </si>
  <si>
    <t>Johnny Ferreira</t>
  </si>
  <si>
    <t>dilmaman</t>
  </si>
  <si>
    <t xml:space="preserve">      1.166</t>
  </si>
  <si>
    <t>ErA 🚩 🚩🚩</t>
  </si>
  <si>
    <t>era__ms</t>
  </si>
  <si>
    <t>É possível haver prosperidade com justiça social!</t>
  </si>
  <si>
    <t xml:space="preserve">     11.700</t>
  </si>
  <si>
    <t>ana bea</t>
  </si>
  <si>
    <t>rockyourbodyjt</t>
  </si>
  <si>
    <t>it must be exhausting always rooting for the anti-hero</t>
  </si>
  <si>
    <t xml:space="preserve">      2.915</t>
  </si>
  <si>
    <t>💛Márcia Morgado💚</t>
  </si>
  <si>
    <t>marciamorgado12</t>
  </si>
  <si>
    <t>CRISTÃ, MÃE,  ESPOSA, CONSERVADORA, PATRIOTA..      
DEUS, NOSSO JUSTO JUIZ 🙏</t>
  </si>
  <si>
    <t xml:space="preserve">      3.279</t>
  </si>
  <si>
    <t>Nuno Alexandre</t>
  </si>
  <si>
    <t>chateaufiesta</t>
  </si>
  <si>
    <t>RT!=Endorsement. 
https://t.co/2Q3SgNmMTc
https://t.co/znQMSJHLu1…
https://t.co/ZRQQen5bhT
https://t.co/AUep1BKGvj</t>
  </si>
  <si>
    <t>Jesus Calzolari</t>
  </si>
  <si>
    <t>calzolarijesus</t>
  </si>
  <si>
    <t>Herly Lula da Silva</t>
  </si>
  <si>
    <t>herlypereira</t>
  </si>
  <si>
    <t>Pai de duas crianças lindas, petista, Lulista, Dilmista, pão com mortadela... LULA PRESIDENTE 2022 PARA O BRASIL VOLTAR SER FELIZ DE NOVO🚩</t>
  </si>
  <si>
    <t xml:space="preserve">      1.329</t>
  </si>
  <si>
    <t>Scopo</t>
  </si>
  <si>
    <t>scopopt</t>
  </si>
  <si>
    <t>Curiosidades • Notícias • Estatísticas • @_papoboleiros • @MundoFuteb • @SFutebol16</t>
  </si>
  <si>
    <t xml:space="preserve">      3.652</t>
  </si>
  <si>
    <t>Mbtmelo</t>
  </si>
  <si>
    <t>haltoridade</t>
  </si>
  <si>
    <t>Não há nada mais parecido a um fascista do que um burguês assustado - Bertolt Brecht</t>
  </si>
  <si>
    <t xml:space="preserve">      1.632</t>
  </si>
  <si>
    <t>Diogo Proietti 🇮🇹🇪🇺</t>
  </si>
  <si>
    <t>diogoprovete</t>
  </si>
  <si>
    <t>Assistant professor @ufmsbr interested in Biodiversity synthesis. Dad of Manuela. Advisor. Editor. Open Science activist. Amphibians, Ecology, Neotropics.</t>
  </si>
  <si>
    <t xml:space="preserve">      2.341</t>
  </si>
  <si>
    <t>joao fernandes filho</t>
  </si>
  <si>
    <t>joaofernandesf1</t>
  </si>
  <si>
    <t>curso superior completo - unp matal - rn curso de tecnologo em marketing de vendas concluido em 2003 matal brasil.</t>
  </si>
  <si>
    <t xml:space="preserve">      1.752</t>
  </si>
  <si>
    <t>Ronilson BOLSONARO 22</t>
  </si>
  <si>
    <t>ronilsondejesu7</t>
  </si>
  <si>
    <t>Deus, Família, Pátria,Cristão, casado, Pró-Vida, Pró-Familia, Pró-Arma, Conservador de Direita</t>
  </si>
  <si>
    <t xml:space="preserve">      3.153</t>
  </si>
  <si>
    <t>SPFC¹³*</t>
  </si>
  <si>
    <t>catao_spfc</t>
  </si>
  <si>
    <t>Política do Brasil e de SP 🇧🇷 @psol50 @LulaOficial    #SPFC🔴⚪⚫     @SaoPauloFC 
NA LUTA CONTRA O FASCISMO NEONAZISTA</t>
  </si>
  <si>
    <t xml:space="preserve">      2.169</t>
  </si>
  <si>
    <t>Cande</t>
  </si>
  <si>
    <t>candeleclerc16</t>
  </si>
  <si>
    <t>|| tifosa || CL || fan account || not impersonating</t>
  </si>
  <si>
    <t xml:space="preserve">      2.847</t>
  </si>
  <si>
    <t>Eduardo Siqueira</t>
  </si>
  <si>
    <t>eduardo31233838</t>
  </si>
  <si>
    <t>Sou um homem Brasileiro</t>
  </si>
  <si>
    <t xml:space="preserve">      3.201</t>
  </si>
  <si>
    <t>Humberto Jorge Lopez</t>
  </si>
  <si>
    <t>humbertojorgel2</t>
  </si>
  <si>
    <t>English/Spanish/Portuguese teacher/translator</t>
  </si>
  <si>
    <t xml:space="preserve">      1.032</t>
  </si>
  <si>
    <t>Miss KaTe</t>
  </si>
  <si>
    <t>kate27630419</t>
  </si>
  <si>
    <t>She/her🌸🍃🌷
Bilingual teacher of English and Spanish- High School teacher of English-eTwinner- Art- Music- Literature-Nature lover-Motivational quotes</t>
  </si>
  <si>
    <t xml:space="preserve">      3.497</t>
  </si>
  <si>
    <t>Conceição Reynol</t>
  </si>
  <si>
    <t>sebastianareyn2</t>
  </si>
  <si>
    <t>Cláudio Roberto</t>
  </si>
  <si>
    <t>cludior80796255</t>
  </si>
  <si>
    <t>Um Jardineiro de Esquerda, à procura do Jardim do Éden!!
LULA PRESIDENTE 2022!!!
🚩🚩🚩❤✌
SDV</t>
  </si>
  <si>
    <t xml:space="preserve">      2.545</t>
  </si>
  <si>
    <t>Ana Erika Galvão</t>
  </si>
  <si>
    <t>anaerikaolivei1</t>
  </si>
  <si>
    <t>Sou esquerda, #LulaLivre, filiada ao PT! @dilmabr mulher arretada/Antifascista/feminista/anti-racista/socialista/cadeia pra familícia dos infernos!</t>
  </si>
  <si>
    <t xml:space="preserve">     15.208</t>
  </si>
  <si>
    <t>joao luiz couto anzanello</t>
  </si>
  <si>
    <t>anzanellojoao</t>
  </si>
  <si>
    <t>é ser comum</t>
  </si>
  <si>
    <t xml:space="preserve">      1.658</t>
  </si>
  <si>
    <t>Beto Pereira☆</t>
  </si>
  <si>
    <t>betopereira19</t>
  </si>
  <si>
    <t>Queria ter aceitado, as pessoas como elas são. ❤</t>
  </si>
  <si>
    <t xml:space="preserve">      2.927</t>
  </si>
  <si>
    <t>Tati S.G.</t>
  </si>
  <si>
    <t>tatianasg1</t>
  </si>
  <si>
    <t>"Onde minhas pernas ñ puderem me levar, eu andarei pelas pernas de vcs, onde minha voz ñ puder chegar, eu falarei pela voz de vcs". 
Lula 13</t>
  </si>
  <si>
    <t xml:space="preserve">      1.005</t>
  </si>
  <si>
    <t>Luz Mari da Rocha ❤️</t>
  </si>
  <si>
    <t>thymarirocha</t>
  </si>
  <si>
    <t>“ Seja pronto para ouvir, tardio para falar, tardio para se irar.”  - Tiago 1:19</t>
  </si>
  <si>
    <t xml:space="preserve">      2.161</t>
  </si>
  <si>
    <t>Nenna,</t>
  </si>
  <si>
    <t>nena51344002</t>
  </si>
  <si>
    <t>🚩🚩🚩 sempre</t>
  </si>
  <si>
    <t xml:space="preserve">      5.185</t>
  </si>
  <si>
    <t>Marcelo Souza🚩🚩</t>
  </si>
  <si>
    <t>marceloos</t>
  </si>
  <si>
    <t>Tentando converter Fahrenheit em Celsius de cabeça enquanto a casa pega fogo...</t>
  </si>
  <si>
    <t xml:space="preserve">      1.391</t>
  </si>
  <si>
    <t>KEVINITTER | 🧸♥️⭐️🌈 fan account</t>
  </si>
  <si>
    <t>fadeanitta</t>
  </si>
  <si>
    <t>✨Fã louco por @anitta - fan account • compartilho tudo sobre Anitta✨</t>
  </si>
  <si>
    <t xml:space="preserve">      1.115</t>
  </si>
  <si>
    <t>🚩QUE BOM ESTAR DO LADO CERTO DA HISTÓRIA!!🚩</t>
  </si>
  <si>
    <t>lucianotigana</t>
  </si>
  <si>
    <t>SEMPRE A ESQUERDA❤,EU SOU PALMEIRAS💚!
LULA MELHOR PRESIDENTE QUE ESTE PAÍS JÁ TEVE!
PREPARADO PARA GUERRA, PT NA VEIA!
NÃO CONFIO NA POLÍCIA RAÇA DO CARALHO!</t>
  </si>
  <si>
    <t xml:space="preserve">      2.711</t>
  </si>
  <si>
    <t>Evandro</t>
  </si>
  <si>
    <t>fiotioficial</t>
  </si>
  <si>
    <t>CEO and Co-Founder @lab_fantasma  Compositor ✍🏿 Artista 🎤 empreendedor 💵 Diretor e produtor 👨🏾‍💼 Ouça “Vem pra curar” e ascenda seu sol interior☀️💛</t>
  </si>
  <si>
    <t xml:space="preserve">     88.602</t>
  </si>
  <si>
    <t>gicela brasil</t>
  </si>
  <si>
    <t>gicela_brasil</t>
  </si>
  <si>
    <t>a subversão da ordem do tempo,
ou transdimensionalizemo-nos, todos, rumo à quinta</t>
  </si>
  <si>
    <t xml:space="preserve">      2.961</t>
  </si>
  <si>
    <t>José Valcir Alves</t>
  </si>
  <si>
    <t>ajvalcir</t>
  </si>
  <si>
    <t>Quase contador, quase advogado. Esquerda completo, tanto que, gostaria de morar na Inglaterra só pra poder dirigir sempre pela esquerda.</t>
  </si>
  <si>
    <t>É rica Cristtina 🗝</t>
  </si>
  <si>
    <t>kinhajorge</t>
  </si>
  <si>
    <t>🗝</t>
  </si>
  <si>
    <t xml:space="preserve">     12.002</t>
  </si>
  <si>
    <t>Waldemir Direito</t>
  </si>
  <si>
    <t>wsdireito</t>
  </si>
  <si>
    <t>LULA  1️⃣3️⃣PRESIDENTE 💯%  🇧🇷
#LulaEoPTDemocraciaePaz
Se você é neutro em situações de injustiça, você escolheu o lado do opressor.
Desmond Tutu</t>
  </si>
  <si>
    <t>Novo Cantu Notícias</t>
  </si>
  <si>
    <t>celioroseno</t>
  </si>
  <si>
    <t>Celio Roseno</t>
  </si>
  <si>
    <t xml:space="preserve">      1.320</t>
  </si>
  <si>
    <t>Taffarel 🇧🇷🇨🇺🇨🇳🇪🇭🇰🇵</t>
  </si>
  <si>
    <t>taffarelandre</t>
  </si>
  <si>
    <t>TAFFAREL ativista social</t>
  </si>
  <si>
    <t xml:space="preserve">      4.587</t>
  </si>
  <si>
    <t>Rosália Santos13❤</t>
  </si>
  <si>
    <t>rosaliasantossi</t>
  </si>
  <si>
    <t>Se vc é fora bolsonaro estamos juntos🤝aqui é 13 #lula💪juntos na luta por um Brasil com mais dignidade e projetos sociais para todos🫂</t>
  </si>
  <si>
    <t xml:space="preserve">      4.133</t>
  </si>
  <si>
    <t>Wagner Lopes🚩🚩</t>
  </si>
  <si>
    <t>wagnerlopes72</t>
  </si>
  <si>
    <t>Corinthiano, Casado, Pai, Avô, Bancário, Pós-Graduado e MBA. Diretor do Sindicato dos Bancários!
Extremistas, Fascistas, Golpistas apoiadores do Genocida,VTNC!!</t>
  </si>
  <si>
    <t xml:space="preserve">      3.627</t>
  </si>
  <si>
    <t>Raimundo Nonato SCCP⚫⚪/FCB</t>
  </si>
  <si>
    <t>sccpnonato</t>
  </si>
  <si>
    <t>NORDESTINO &amp; CORINTHIANO &amp; CULÉ &amp; CLUBISTA &amp; FÃ DE NEYMAR JR E LIONEL MESSI #GOAT</t>
  </si>
  <si>
    <t xml:space="preserve">      1.744</t>
  </si>
  <si>
    <t>Yarus Fazuele 1⃣3⃣ 🚩🇧🇷🚩</t>
  </si>
  <si>
    <t>yarus13</t>
  </si>
  <si>
    <t>“Os poderosos podem matar uma, duas ou três rosas, mas jamais poderão deter a chegada da primavera”. #LulaPresidente 1⃣3⃣ #EsquerdaSegueEsquerda</t>
  </si>
  <si>
    <t xml:space="preserve">     15.439</t>
  </si>
  <si>
    <t>ANSIOSO Oficial 🌐</t>
  </si>
  <si>
    <t>ansiosooficial</t>
  </si>
  <si>
    <t>ANSIOSO pela própria natureza. Tenho excesso de futuro.. Estou verificado por mim mesmo.</t>
  </si>
  <si>
    <t xml:space="preserve">      8.379</t>
  </si>
  <si>
    <t>kenny</t>
  </si>
  <si>
    <t>kndrauhi</t>
  </si>
  <si>
    <t>#edward: 𝑠ℎ𝑒 𝑑𝑟𝑒𝑎𝑚𝑒𝑑 𝑜𝑓 𝑚𝑒, 𝑖 𝑤𝑎𝑛𝑡𝑒𝑑 𝑡𝑜 𝑑𝑟𝑒𝑎𝑚 𝑜𝑓 ℎ𝑒𝑟 • bieber supremacy</t>
  </si>
  <si>
    <t xml:space="preserve">      8.215</t>
  </si>
  <si>
    <t>Charles Robinson Val</t>
  </si>
  <si>
    <t>cubanodomundo</t>
  </si>
  <si>
    <t>Pai e filho.Amigo. Desejo um Brasil melhor.Defendo causas justas. #NãoaoFascismo#QueroBolsonaroPreso</t>
  </si>
  <si>
    <t xml:space="preserve">      3.841</t>
  </si>
  <si>
    <t>aldo da cruz</t>
  </si>
  <si>
    <t>aldo0rodrigues</t>
  </si>
  <si>
    <t>gosto de curti a vida                 aldodacruzrodriguesr@gmail.com   aldo_vigilante@outlook.com</t>
  </si>
  <si>
    <t xml:space="preserve">      3.138</t>
  </si>
  <si>
    <t>Adegesto Pataca</t>
  </si>
  <si>
    <t>dandan_rei</t>
  </si>
  <si>
    <t>Anti Fascista, mantenho distância das pessoas de bem pelo bem da minha saúde mental.</t>
  </si>
  <si>
    <t xml:space="preserve">      1.848</t>
  </si>
  <si>
    <t>🌺⛩️ 。🦊 浪岡🦊 。⛩️🌺</t>
  </si>
  <si>
    <t>namiokajennie</t>
  </si>
  <si>
    <t>好きな物:アニメやアニメの音楽やマンガしか。好きな食べ物:寿司や牛丼と豚丼や焼きそばとか。いじょうです。 失読症がある - tenho dislexia.</t>
  </si>
  <si>
    <t xml:space="preserve">      1.151</t>
  </si>
  <si>
    <t>💎🤍</t>
  </si>
  <si>
    <t>muffvns</t>
  </si>
  <si>
    <t>Ga; c’ho la poltroneria in corpo; (she/her)</t>
  </si>
  <si>
    <t xml:space="preserve">      4.689</t>
  </si>
  <si>
    <t>Paulo Simões Diniz</t>
  </si>
  <si>
    <t>paulosimoesdini</t>
  </si>
  <si>
    <t>quando você acha que não tem nada, encontra alguém que tem menos ainda.
QUEM VENCE, NÃO DESISTE, E QUEM DESISTE NÃO VENCE.</t>
  </si>
  <si>
    <t xml:space="preserve">     23.402</t>
  </si>
  <si>
    <t>Silvia</t>
  </si>
  <si>
    <t>silvia57457886</t>
  </si>
  <si>
    <t xml:space="preserve">      4.743</t>
  </si>
  <si>
    <t>Flávia</t>
  </si>
  <si>
    <t>llaflavia</t>
  </si>
  <si>
    <t>only a wonderful person who loves the animals. Amo os animais. #Lula2022 🚩 SIGO DE VOLTA ASSIM QUE O TWITTER LIBERAR</t>
  </si>
  <si>
    <t>Karyn Bravo</t>
  </si>
  <si>
    <t>karynbravo</t>
  </si>
  <si>
    <t>Jornalista e apresentadora do Jornal da Cultura, às 21hs, de segunda à sábado 🎥</t>
  </si>
  <si>
    <t xml:space="preserve">     63.983</t>
  </si>
  <si>
    <t>Dani 🚩Ponto de vista, cada um c/ seu! #Lula13😉</t>
  </si>
  <si>
    <t>daniela_1408</t>
  </si>
  <si>
    <t>Ponto de vista, cada um com o seu! Respeito o seu, ENTÃO RESPEITE O MEU!
#LulaMelhorPresidente
#LulaMelhorPresidente 🚩
#BozoNaCadeia</t>
  </si>
  <si>
    <t xml:space="preserve">      6.039</t>
  </si>
  <si>
    <t>FERNANDO3F🚩</t>
  </si>
  <si>
    <t>fernando3ff</t>
  </si>
  <si>
    <t>Petista, esquerdista e etc... Vigilante, agora aposentado, mas sigo trabalhando. Flamenguista desde sempre. O amor venceu o ódio! Lula meu presidente.</t>
  </si>
  <si>
    <t xml:space="preserve">      2.603</t>
  </si>
  <si>
    <t>Gil Carlos Teixeira🇧🇷🎭🇨🇺🇵🇸🇨🇳🚩</t>
  </si>
  <si>
    <t>gilcarlostex</t>
  </si>
  <si>
    <t>Artista. Antifascista. Lulista até a alma
Nome em minúsculas não é erro
É desprezo.
O Presidente Lula me honra seguindo esse perfil
O SDV não é automático</t>
  </si>
  <si>
    <t xml:space="preserve">     12.120</t>
  </si>
  <si>
    <t>J.S.Pendot</t>
  </si>
  <si>
    <t>jspendot</t>
  </si>
  <si>
    <t>Brazilian journalist/lawyer. Democracy is non -negotiable. My tweets are personal opinions. Retweets are not endorsements. 🤔</t>
  </si>
  <si>
    <t xml:space="preserve">      9.811</t>
  </si>
  <si>
    <t>gilmarventania</t>
  </si>
  <si>
    <t>fgddamaceno</t>
  </si>
  <si>
    <t xml:space="preserve">      4.119</t>
  </si>
  <si>
    <t>silvia94581613</t>
  </si>
  <si>
    <t>Livorno,
18 giugno 1960. Antifascista nel Dna, no renziana</t>
  </si>
  <si>
    <t xml:space="preserve">      2.420</t>
  </si>
  <si>
    <t>Gabriella Sofia de Marco della Porta</t>
  </si>
  <si>
    <t>ganga2410</t>
  </si>
  <si>
    <t>IO SONO , uno stato di coscienza , una vibrazione di saggezza e di sapienza .Sono colei che da le indicazioni per una nuova Umanità. 🇮🇹</t>
  </si>
  <si>
    <t>Marly Winnie</t>
  </si>
  <si>
    <t>easyoil_br</t>
  </si>
  <si>
    <t>Cuidado com a propaganda enganosa sobre o CO2 ser nocivo ao meio-ambiente. O CO2 é o gás da VIDA, pois é o único alimento dos vegetais. Na atmosfera tem 0,03% !</t>
  </si>
  <si>
    <t xml:space="preserve">      2.256</t>
  </si>
  <si>
    <t>vdr ♻️</t>
  </si>
  <si>
    <t>valterdiasrosa</t>
  </si>
  <si>
    <t xml:space="preserve">      2.926</t>
  </si>
  <si>
    <t>кαrℓα ᶜʳᶠ 🪩</t>
  </si>
  <si>
    <t>drewtrying</t>
  </si>
  <si>
    <t>the best people in life are free • she/her • fan account</t>
  </si>
  <si>
    <t xml:space="preserve">      6.653</t>
  </si>
  <si>
    <t>lucia francisco</t>
  </si>
  <si>
    <t>luciah1000</t>
  </si>
  <si>
    <t>SOBREVIVER É PRECISO!!
Mulher, mãe, bancária aposentada, esquerdista e PT desde sempre.
#SouLula13</t>
  </si>
  <si>
    <t xml:space="preserve">      1.687</t>
  </si>
  <si>
    <t>Geossandro Moura</t>
  </si>
  <si>
    <t>geossandrom</t>
  </si>
  <si>
    <t>Progressista</t>
  </si>
  <si>
    <t xml:space="preserve">      4.809</t>
  </si>
  <si>
    <t>Bácoro Verde 🚩</t>
  </si>
  <si>
    <t>bacoroverde</t>
  </si>
  <si>
    <t>Baby Boomer ✨</t>
  </si>
  <si>
    <t xml:space="preserve">      7.922</t>
  </si>
  <si>
    <t>Monalisa🌵🍷🐰🦦</t>
  </si>
  <si>
    <t>your_monalisa</t>
  </si>
  <si>
    <t>It makes no sense to divide people into good and bad. 
People are only charming or tedious. ×͜×
Eu sou do tempo que o Twitter era Mato.</t>
  </si>
  <si>
    <t xml:space="preserve">      2.501</t>
  </si>
  <si>
    <t>@AtahualpaYO @NueVEncProfRos</t>
  </si>
  <si>
    <t>recontrachotis</t>
  </si>
  <si>
    <t>Artista Visual Profesora Nac de Inglés. Intérprete Simultáneo Militante Creadora Cuenta Tw NuevoEncuentroProfesionales Rosario Fusión @AtahualpaYO + @NueVEncPro</t>
  </si>
  <si>
    <t xml:space="preserve">      2.292</t>
  </si>
  <si>
    <t>Simone Kaminski</t>
  </si>
  <si>
    <t>simonekaminski3</t>
  </si>
  <si>
    <t>Volta Presidente Bolsonaro, pelo amor de Deus</t>
  </si>
  <si>
    <t xml:space="preserve">      1.212</t>
  </si>
  <si>
    <t>Marco Antônio</t>
  </si>
  <si>
    <t>marcovaganet</t>
  </si>
  <si>
    <t xml:space="preserve">      3.276</t>
  </si>
  <si>
    <t>Pedro</t>
  </si>
  <si>
    <t>pedrovoge</t>
  </si>
  <si>
    <t xml:space="preserve">      7.857</t>
  </si>
  <si>
    <t>AneValis-RJ 🇧🇷❤🖤❤SDV</t>
  </si>
  <si>
    <t>anevaliis</t>
  </si>
  <si>
    <t>Ainda q eu falasse a língua dos homens, e falasse a língua dos anjos, sem amor eu nada seria...</t>
  </si>
  <si>
    <t xml:space="preserve">      3.880</t>
  </si>
  <si>
    <t>Jorge Messias</t>
  </si>
  <si>
    <t>jorgemessiasagu</t>
  </si>
  <si>
    <t>Ministro da Advocacia-Geral da União, procurador da Fazenda Nacional, PhD (Candidate), mestre (UNB), pai de duas bençãos. Torcedor do Sport Club do Recife.</t>
  </si>
  <si>
    <t xml:space="preserve">     12.139</t>
  </si>
  <si>
    <t>Roberto Soares de Ca</t>
  </si>
  <si>
    <t>bobscarvalho</t>
  </si>
  <si>
    <t xml:space="preserve">      2.683</t>
  </si>
  <si>
    <t>Newton 🚩</t>
  </si>
  <si>
    <t>nciceri</t>
  </si>
  <si>
    <t>Eu não luto por mim, luto pelos meus filhos, pelos meus e seus netos. PT na veia, Bolsonaro na cadeia #LulaOmelhorPresidentedoBrasil.  #BolsonaroMiliciano</t>
  </si>
  <si>
    <t xml:space="preserve">      6.420</t>
  </si>
  <si>
    <t>Marina M.</t>
  </si>
  <si>
    <t>marinamorenafln</t>
  </si>
  <si>
    <t xml:space="preserve">      1.204</t>
  </si>
  <si>
    <t>csg</t>
  </si>
  <si>
    <t>claudiosouzag</t>
  </si>
  <si>
    <t>verás que este filho seu não foge à luta !
nem teme quem te adora a própria morte...</t>
  </si>
  <si>
    <t xml:space="preserve">      3.231</t>
  </si>
  <si>
    <t>Bruno 🇧🇷🥊</t>
  </si>
  <si>
    <t>jacas34</t>
  </si>
  <si>
    <t xml:space="preserve">      3.093</t>
  </si>
  <si>
    <t>🔰🔰Dora Palmeira🔰🔰</t>
  </si>
  <si>
    <t>dorasil76578668</t>
  </si>
  <si>
    <t xml:space="preserve">      2.651</t>
  </si>
  <si>
    <t>Sebastião (🪰)</t>
  </si>
  <si>
    <t>masterligador02</t>
  </si>
  <si>
    <t xml:space="preserve">      1.645</t>
  </si>
  <si>
    <t>Nivaldo Avelino Da Rosa Júnior</t>
  </si>
  <si>
    <t>guru_sc</t>
  </si>
  <si>
    <t>Guru Esquerdista, Lulista, Dilmista e Consultor Político/educacional. 
 A Democracia é o único caminho possível.  Pix: 48 98848 0867</t>
  </si>
  <si>
    <t xml:space="preserve">      4.446</t>
  </si>
  <si>
    <t>✠JL9✠</t>
  </si>
  <si>
    <t>j9_lewandowski</t>
  </si>
  <si>
    <t>👨🏾‍💻| Dono da UP Design Graphic 
@vascodagama | 26 anos | RJ 
Nunca foi sorte, sempre foi Deus 💪🙌</t>
  </si>
  <si>
    <t>Roberto Martins ⬅️ 🚩</t>
  </si>
  <si>
    <t>rc_ssmartins</t>
  </si>
  <si>
    <t>Sempre na esperança por mais justiça social.
Sempre acreditando que venceremos o fascismo.
Sempre à esquerda. Sempre!</t>
  </si>
  <si>
    <t xml:space="preserve">      3.278</t>
  </si>
  <si>
    <t>Gabriel #RenaissanceWorldTour🪩</t>
  </si>
  <si>
    <t>gabrielbertazzi</t>
  </si>
  <si>
    <t>Bissexual vegano tatuado com piercing na teta e com a dicção duvidosa e ainda Potterhead (assim sem vírgula) 🇧🇷🇮🇹</t>
  </si>
  <si>
    <t xml:space="preserve">      6.714</t>
  </si>
  <si>
    <t>Carlos Cabaal FN 🇧🇷🇧🇷🇧🇷</t>
  </si>
  <si>
    <t>carlosbarbosaa3</t>
  </si>
  <si>
    <t>BRASILLLLLL 🇧🇷🇧🇷🇧🇷🇧🇷🇧🇷🇧🇷🇧🇷🇧🇷🇧🇷🇧🇷🇧🇷</t>
  </si>
  <si>
    <t xml:space="preserve">      5.721</t>
  </si>
  <si>
    <t>João Fernandes</t>
  </si>
  <si>
    <t>joao_pedrof93</t>
  </si>
  <si>
    <t>Sincero, irônico, trabalhador e torcedor do @cruzeiro chato pra c*@!  Curtiu? segue 👊🏻 não curtiu? block é livre 🤷🏻‍♂️ perfil não democrático.</t>
  </si>
  <si>
    <t xml:space="preserve">      2.414</t>
  </si>
  <si>
    <t>Seoade 🇪🇪🇧🇷🚩</t>
  </si>
  <si>
    <t>seoade</t>
  </si>
  <si>
    <t>🇪🇪Os militantes não vem ao mundo buscar o seu, vem entregar a alma por um punhado de sonhos.(Mujica)</t>
  </si>
  <si>
    <t xml:space="preserve">     14.312</t>
  </si>
  <si>
    <t>REDE TUDOW</t>
  </si>
  <si>
    <t>redetudow</t>
  </si>
  <si>
    <t>SOMOS UMA STARTUP, com a nossa RÁDIO WEB e  queremos ser uma REDE COMERCIAL, promovendo o LIVRE comercio. Ajude-nos divulgando seu negócio. Chame no privado</t>
  </si>
  <si>
    <t xml:space="preserve">      3.664</t>
  </si>
  <si>
    <t>RoubeiaSEP</t>
  </si>
  <si>
    <t>roubeiasep2</t>
  </si>
  <si>
    <t>Perfil dedicado a lembrar árbitros que de alguma forma mudou historia de partidas ou até campeonatos contra nossa amada Sociedade Esportiva Palmeiras😀</t>
  </si>
  <si>
    <t xml:space="preserve">     13.870</t>
  </si>
  <si>
    <t>DR Zaratustra</t>
  </si>
  <si>
    <t>drzaratustra04</t>
  </si>
  <si>
    <t>APOSENTADO- Vive na literatura 📘📗📕e na política quando é preciso!</t>
  </si>
  <si>
    <t xml:space="preserve">      6.245</t>
  </si>
  <si>
    <t>Raquel Mendes #foraBolsonaro🚩🚩 ❤️🇧🇷♥️🏳️❤️</t>
  </si>
  <si>
    <t>raquelm11762963</t>
  </si>
  <si>
    <t>só uma  mãe revoltada com tantos abusos do governo ,aprendendo a twittar no confinamento. Meus filhos estão falando que criaram uma militante #forabolsonaro</t>
  </si>
  <si>
    <t xml:space="preserve">      4.246</t>
  </si>
  <si>
    <t>Lu... lá 2022 🚩🇧🇷🇵🇷🚩</t>
  </si>
  <si>
    <t>lucelrodrigues</t>
  </si>
  <si>
    <t>Mulher preta esquerdista... aqui é Lula e PT🚩
#LulaPresidente2022</t>
  </si>
  <si>
    <t xml:space="preserve">      1.856</t>
  </si>
  <si>
    <t>Marcos De Luca✌🏻🇧🇷🇵🇸🇷🇺🇨🇳🇨🇺🇮🇷🇻🇪</t>
  </si>
  <si>
    <t>marcosdeluca3</t>
  </si>
  <si>
    <t>Ativista da Causa Palestina.✌🏻✊🏿🇧🇷🇵🇸🇻🇪🇨🇺🇨🇳🇮🇷🇷🇺</t>
  </si>
  <si>
    <t>Observador</t>
  </si>
  <si>
    <t>democraciasempr</t>
  </si>
  <si>
    <t>Contra a manipulação midiática e sobre as verdades que eles escondem.</t>
  </si>
  <si>
    <t xml:space="preserve">      3.174</t>
  </si>
  <si>
    <t>GERALDO DIMAS</t>
  </si>
  <si>
    <t>geraldodimas60</t>
  </si>
  <si>
    <t>Casado com Conceição, antifascista, católico, economiário e jornalista aposentado. Botafoguense, avô, pai , amo minha família e amigos. Gado aqui NÃO!</t>
  </si>
  <si>
    <t xml:space="preserve">      2.563</t>
  </si>
  <si>
    <t>Wander Gonçalves</t>
  </si>
  <si>
    <t>wandersfc</t>
  </si>
  <si>
    <t>Amo minha Família  e o SantosFC</t>
  </si>
  <si>
    <t xml:space="preserve">      7.971</t>
  </si>
  <si>
    <t>Cristina LULA da Silva🚩</t>
  </si>
  <si>
    <t>cricamg</t>
  </si>
  <si>
    <t>Lulista. Dilmista.
Resistência.
Filiada ao PT.
Informo: Não leio, não envio e não respondo DM.</t>
  </si>
  <si>
    <t xml:space="preserve">     11.972</t>
  </si>
  <si>
    <t>Jacinta Fontenele</t>
  </si>
  <si>
    <t>jacintafontene1</t>
  </si>
  <si>
    <t>Mãe, Avó, Nordestina,Petista🇧🇷🚩🐙
Antes de tudo FÉ, depois de tudo GRATIDÃO 🙏🎋
praticante de Tai Chi, caminhada.</t>
  </si>
  <si>
    <t xml:space="preserve">      3.164</t>
  </si>
  <si>
    <t>Jacome</t>
  </si>
  <si>
    <t>jacome72439256</t>
  </si>
  <si>
    <t>bandeira do Brasil</t>
  </si>
  <si>
    <t xml:space="preserve">      1.532</t>
  </si>
  <si>
    <t>mauro</t>
  </si>
  <si>
    <t>heymaurinho</t>
  </si>
  <si>
    <t>calado vence, porém não sei ficar calado. SW-4345-9473-5511</t>
  </si>
  <si>
    <t>L. N. A.</t>
  </si>
  <si>
    <t>luigif97101292</t>
  </si>
  <si>
    <t>Combattere il Partito Unico Europeista.
CONTANTE LIBERO.
Stop buonismo e gender.
NO IUS SOLI.
Membro della Lega Nazionale Anti-Ue.
https://t.co/S8WIMIyATT</t>
  </si>
  <si>
    <t xml:space="preserve">      1.012</t>
  </si>
  <si>
    <t>MK 🇳🇱</t>
  </si>
  <si>
    <t>thugmk</t>
  </si>
  <si>
    <t>Um alguém em algum lugar querendo ser alguma coisa.</t>
  </si>
  <si>
    <t xml:space="preserve">      1.616</t>
  </si>
  <si>
    <t>adi</t>
  </si>
  <si>
    <t>adilsongarcia01</t>
  </si>
  <si>
    <t>Educa e transformarás a irracionalidade em inteligência, a inteligência em humanidade e a humanidade em angelitude — diz Emmanuel.</t>
  </si>
  <si>
    <t xml:space="preserve">      2.958</t>
  </si>
  <si>
    <t>Alexandre Pepe Xandy</t>
  </si>
  <si>
    <t>blogdopepe</t>
  </si>
  <si>
    <t>Gosto de Música , Teatro e Cinema...
Especializado em ARTES GRÁFICAS, praticante de MUAY THAI,.Pai de Stephanie Regina... fã de Chaplin ,Raul Seixas e Bob Dylan</t>
  </si>
  <si>
    <t xml:space="preserve">     21.677</t>
  </si>
  <si>
    <t>Selma</t>
  </si>
  <si>
    <t>peres_raymundo</t>
  </si>
  <si>
    <t xml:space="preserve">      1.738</t>
  </si>
  <si>
    <t>Fabinho</t>
  </si>
  <si>
    <t>fabinho_silver</t>
  </si>
  <si>
    <t>Deus Pátria Família Liberdade Armamentista Politicamente incorreto SDV  Anti comunismo/socialismo 
Sigam me os BONS !!!</t>
  </si>
  <si>
    <t xml:space="preserve">      2.422</t>
  </si>
  <si>
    <t>Jaderson Magalhães 13🚩🚩🚩</t>
  </si>
  <si>
    <t>jadersonmg</t>
  </si>
  <si>
    <t>Pobre de esquerda, casado, uma filha, torneiro mecânico. Trabalhador não vota em patrão,
Lula presidente 2023!!!!!</t>
  </si>
  <si>
    <t xml:space="preserve">      8.852</t>
  </si>
  <si>
    <t>Primavera Silenciosa 🆘️ 🇧🇷</t>
  </si>
  <si>
    <t>primasilenciosa</t>
  </si>
  <si>
    <t>Luto Pela Democracia</t>
  </si>
  <si>
    <t xml:space="preserve">      1.388</t>
  </si>
  <si>
    <t>Andrea A.</t>
  </si>
  <si>
    <t>andreaj0103</t>
  </si>
  <si>
    <t>You know what's the reason for my smile every day @JensenAckles? The first word of this sentence. 
⚠️ Please don't send me photo, gif, sites or video.</t>
  </si>
  <si>
    <t xml:space="preserve">      9.096</t>
  </si>
  <si>
    <t>Zélia</t>
  </si>
  <si>
    <t>zlia32562193</t>
  </si>
  <si>
    <t xml:space="preserve">      9.825</t>
  </si>
  <si>
    <t>Nuno Sancha</t>
  </si>
  <si>
    <t>nunosancha</t>
  </si>
  <si>
    <t>From a $0 marketing budget at a Wine Store in Cabo Verde to a marketer at https://t.co/4tD7GEXNqF. Avid reader, and aspiring writer. Former https://t.co/DMEfJDHnLl</t>
  </si>
  <si>
    <t xml:space="preserve">      1.149</t>
  </si>
  <si>
    <t>JR DA FAZ O P</t>
  </si>
  <si>
    <t>pain_jr333</t>
  </si>
  <si>
    <t>👨‍💻 Analista da @torcidafazop
faz o p e ela na mente
faço uns dados ai😴😴</t>
  </si>
  <si>
    <t xml:space="preserve">      2.133</t>
  </si>
  <si>
    <t>Maria Angélica O. N.</t>
  </si>
  <si>
    <t>timao_p_sempre</t>
  </si>
  <si>
    <t>Maria Angélica de Oliveira Nascimento, nascida em 1941. Primeira corinthiana de uma família de palmeirenses e sãopaulinos. Maloqueira, sofredora, graças a Deus.</t>
  </si>
  <si>
    <t xml:space="preserve">      4.379</t>
  </si>
  <si>
    <t>Amalia mas</t>
  </si>
  <si>
    <t>amaliamas</t>
  </si>
  <si>
    <t>Deus ... Pátria e Família 🙏🏻🙏🏻🙏🏻</t>
  </si>
  <si>
    <t xml:space="preserve">      3.507</t>
  </si>
  <si>
    <t>Rosangela LULA de Lima✊🏼 🚩</t>
  </si>
  <si>
    <t>janjalima</t>
  </si>
  <si>
    <t>Sempre em frente ... se não der, enfrente! #EsquerdistaSegueEsquerdista!</t>
  </si>
  <si>
    <t xml:space="preserve">      1.863</t>
  </si>
  <si>
    <t>Saskia</t>
  </si>
  <si>
    <t>saskiasfv</t>
  </si>
  <si>
    <t>completamente apaixonada pelo @Cruzeiro</t>
  </si>
  <si>
    <t xml:space="preserve">      1.364</t>
  </si>
  <si>
    <t>Célio Alves</t>
  </si>
  <si>
    <t>celioalvespb</t>
  </si>
  <si>
    <t>⚖️ Advogado, radialista, jornalista, ex-secretário de Estado, apreciador de fotografia, música, poesia, gastronomia, vinho, livros, animais e natureza.</t>
  </si>
  <si>
    <t xml:space="preserve">      7.051</t>
  </si>
  <si>
    <t>Didi 13rasiL✊🏼📖</t>
  </si>
  <si>
    <t>didi_livre</t>
  </si>
  <si>
    <t>Brasil, Rio e risos
em construção.
Detalhista, jamais reducionista,
sempre abrangente!!!</t>
  </si>
  <si>
    <t>VR.Milor</t>
  </si>
  <si>
    <t>brdavanuza</t>
  </si>
  <si>
    <t xml:space="preserve">      1.226</t>
  </si>
  <si>
    <t>Lorenzo González Ferrer</t>
  </si>
  <si>
    <t>lorenzodcuba</t>
  </si>
  <si>
    <t>Militante orgulloso de la UJC de Cuba 🇨🇺♥️💯 sígueme y te sigo... 👍</t>
  </si>
  <si>
    <t>•Susyyy 🏎️</t>
  </si>
  <si>
    <t>lasusyy16</t>
  </si>
  <si>
    <t>Student 🩺✨, competitive swimmer 🏊🏻‍♀️🫀. ferrarista 🏎️❤️ juventina 🤍🖤 CL¹⁶• FC⁷. Love travel 🌇🧡</t>
  </si>
  <si>
    <t xml:space="preserve">      1.406</t>
  </si>
  <si>
    <t>Gabriela M Dotti</t>
  </si>
  <si>
    <t>gabrielamdotti</t>
  </si>
  <si>
    <t>nagaluma</t>
  </si>
  <si>
    <t>nagaluma1</t>
  </si>
  <si>
    <t>#Family #Fitness #Brazil acima de tudo #Deus acima de todos #BolsonaroBestPresidentEver</t>
  </si>
  <si>
    <t>Rafael07</t>
  </si>
  <si>
    <t>rafael020282</t>
  </si>
  <si>
    <t xml:space="preserve">      1.538</t>
  </si>
  <si>
    <t>Marcio Rodrigues</t>
  </si>
  <si>
    <t>marciomr22</t>
  </si>
  <si>
    <t>Carioca, rubro-negro, economista, cristão, conservador e armamentista. Livre mercado e estado mínimo. 10a conta 🙌🏻 “Si vis pacem, para bellum”</t>
  </si>
  <si>
    <t xml:space="preserve">      4.062</t>
  </si>
  <si>
    <t>Denise Duncan - 2a.CONTA🌻🇧🇷🇧🇷🇧🇷</t>
  </si>
  <si>
    <t>denise_zap</t>
  </si>
  <si>
    <t>2a. Conta - Bolsominion, católica, carnívora, armamentista, HETEROssexual e SDV patriotas SEMPRE👊🏼💪🏼🇧🇷  NÃO BITCOINS E NAO A QUEM NÃO FALA PORTUGUÊS 😡😡</t>
  </si>
  <si>
    <t xml:space="preserve">      1.140</t>
  </si>
  <si>
    <t>Monna Bolt</t>
  </si>
  <si>
    <t>kezya_95</t>
  </si>
  <si>
    <t>Viciada em realitys   . LULISTA. Especialista e Usuária de Novelas Ruins.</t>
  </si>
  <si>
    <t xml:space="preserve">      2.623</t>
  </si>
  <si>
    <t>Sandra Farias 💉</t>
  </si>
  <si>
    <t>sandraffarias</t>
  </si>
  <si>
    <t>Lulista desde sempre, petista por tabela, esquerdista e progressista por convicção. 
Lula Presidente do Brasil pela 3a vez.
 A resposta pra BOT e hater é BLOCK</t>
  </si>
  <si>
    <t xml:space="preserve">      2.922</t>
  </si>
  <si>
    <t>Dri 🇧🇷🚩@pt13democracia</t>
  </si>
  <si>
    <t>adrianasp63</t>
  </si>
  <si>
    <t>🚧 Estamos em obra!
Reconstruir uma nação devastada pelo fascismo!
 🇧🇷🌏⏳🚩</t>
  </si>
  <si>
    <t xml:space="preserve">      7.894</t>
  </si>
  <si>
    <t>Elisa Moreira📚 Maktub🙏🇧🇷 LulaOficial🇧🇷🇨🇳</t>
  </si>
  <si>
    <t>elisamoreira05</t>
  </si>
  <si>
    <t>☯️MãedaCléo&amp;Gata❤️Psicóloga🍀 CRP-05/21457-RJ🌍📚Autora🎬 AboutPsychos📚🌺🍀Donna7Store💻🧐elisamoreira08@gmail.com🏠Axé 🎆FilhadeOya🔥Ode🏹</t>
  </si>
  <si>
    <t xml:space="preserve">      1.232</t>
  </si>
  <si>
    <t>Cristiano🚩🇧🇷 #Lula13 #Haddad13</t>
  </si>
  <si>
    <t>crismorelo</t>
  </si>
  <si>
    <t>Sou PT, Lula, Dilma e Haddad, pq sou torneiro mecânico q se formou na Federal.
#Lula13 #Haddad13</t>
  </si>
  <si>
    <t xml:space="preserve">     21.443</t>
  </si>
  <si>
    <t>ACG747ᅠᅠᅠᅠᅠᅠᅠᅠᅠᅠᅠᅠᅠᅠᅠᅠᅠᅠᅠᅠᅠᅠᅠᅠᅠᅠᅠᅠᅠᅠᅠᅠᅠ</t>
  </si>
  <si>
    <t>acg747</t>
  </si>
  <si>
    <t>jornalista do Portal Onim de boas idéias e do app/blog
acg747top
"O plantio é uma escolha, mas a colheita é obrigatória".</t>
  </si>
  <si>
    <t xml:space="preserve">      1.134</t>
  </si>
  <si>
    <t>Fábio Lula Martins</t>
  </si>
  <si>
    <t>fabiomarbinho</t>
  </si>
  <si>
    <t>é preciso dar o nome correto a paz: Justiça social
(Lula)</t>
  </si>
  <si>
    <t xml:space="preserve">     24.628</t>
  </si>
  <si>
    <t>Luis Vieira</t>
  </si>
  <si>
    <t>luisvieira55</t>
  </si>
  <si>
    <t>Pesquisador do Instituto Nacional de Pesquisas Espaciais. PI da Missão GSST. Suplente de Deputado Federal (PSD/SP) / 2023-2026</t>
  </si>
  <si>
    <t xml:space="preserve">      1.274</t>
  </si>
  <si>
    <t>Esposinha e Marido</t>
  </si>
  <si>
    <t>ksalpinheiros</t>
  </si>
  <si>
    <t>NSFW+18. Bia e Thiago.
Stag/Vixen Hotwife + Exibicionismo discreto.
Experimentando coisas novas.
Seja educado.
Sem DM e WhatsApp.
@BeatrizzVilla
/ CRS 128821</t>
  </si>
  <si>
    <t xml:space="preserve">     43.321</t>
  </si>
  <si>
    <t>🇧🇷 Nesota 🇧🇷</t>
  </si>
  <si>
    <t>n_ltv</t>
  </si>
  <si>
    <t xml:space="preserve">      3.137</t>
  </si>
  <si>
    <t>Carlos》2022 PT 13》🚩🇧🇷🚩🤝</t>
  </si>
  <si>
    <t>carlos35495410</t>
  </si>
  <si>
    <t>Time♡São Paulo 
Signo♡Capricórnio</t>
  </si>
  <si>
    <t xml:space="preserve">      1.776</t>
  </si>
  <si>
    <t>Sebastian🚩🚩</t>
  </si>
  <si>
    <t>sebastian_556</t>
  </si>
  <si>
    <t>Adoro ler um bom livro, um bom churrasco.
Adoro MPB, viagens e fazer amigos.
Instagram: https://t.co/rKDLVWSkCg</t>
  </si>
  <si>
    <t xml:space="preserve">      2.854</t>
  </si>
  <si>
    <t>Antonio Sousa</t>
  </si>
  <si>
    <t>rufinosousa</t>
  </si>
  <si>
    <t>Agente de Policia Federal</t>
  </si>
  <si>
    <t>Uai so serious?</t>
  </si>
  <si>
    <t>anarchychains</t>
  </si>
  <si>
    <t>🐸web3 meme generator ☕️@blockaffee founder 🔬@ModularCrypto researcher🎙@NodleNetwork ambassador 🏴@BanklessBR DAO contributor 🚨don't follow me, I'm lost too!</t>
  </si>
  <si>
    <t xml:space="preserve">      1.145</t>
  </si>
  <si>
    <t>companheira dudaholic</t>
  </si>
  <si>
    <t>itsdudaholic</t>
  </si>
  <si>
    <t>entusiasta de bibsfiha de calabresa.</t>
  </si>
  <si>
    <t xml:space="preserve">      5.516</t>
  </si>
  <si>
    <t>Sirlei Margarete Flesch</t>
  </si>
  <si>
    <t>sirleiflesch</t>
  </si>
  <si>
    <t>Lula meu eterno presidente !
O amor venceu 😍😍🙏</t>
  </si>
  <si>
    <t xml:space="preserve">      3.685</t>
  </si>
  <si>
    <t>Machado</t>
  </si>
  <si>
    <t>wilsonjlmachad1</t>
  </si>
  <si>
    <t>Amo a vida e o imponderável...</t>
  </si>
  <si>
    <t xml:space="preserve">      1.758</t>
  </si>
  <si>
    <t>Ezequiel Fagundes</t>
  </si>
  <si>
    <t>ef_ezeqfagundes</t>
  </si>
  <si>
    <t>Repórter investigativo da Record TV Minas. Já foi de O Tempo, Hoje em Dia, Estado de Minas, Correio Braziliense e O Globo.</t>
  </si>
  <si>
    <t xml:space="preserve">      1.502</t>
  </si>
  <si>
    <t>Solidários a Cuba 🇧🇷🇨🇺</t>
  </si>
  <si>
    <t>blogsolidarios</t>
  </si>
  <si>
    <t>Blog | Solidariedade à Revolução Cubana, contra o bloqueio dos EUA a Cuba.
https://t.co/GXOfquJsEj 
https://t.co/Y9BUTTBGOK</t>
  </si>
  <si>
    <t xml:space="preserve">      8.510</t>
  </si>
  <si>
    <t>#LulaReconstruçãoDoBrasil e DinoJusbrasil no STF</t>
  </si>
  <si>
    <t>mariamirai</t>
  </si>
  <si>
    <t>O Toffoli acaba de anular os acordos decorrentes da leniência da Odebrecht. Segundo ele, a PRISÃO DE LULA FOI UM DOS MAIORES ERROS DA HISTÓRIA! 
@joanaouteresa</t>
  </si>
  <si>
    <t xml:space="preserve">      3.000</t>
  </si>
  <si>
    <t>Confindustria Bergamo</t>
  </si>
  <si>
    <t>confindustriabg</t>
  </si>
  <si>
    <t>Associazione di rappresentanza delle imprese industriali e del terziario di Bergamo e provincia. Scopri tutte le novità del nostro ecosistema!</t>
  </si>
  <si>
    <t xml:space="preserve">      3.440</t>
  </si>
  <si>
    <t>Sol</t>
  </si>
  <si>
    <t>solandreani2020</t>
  </si>
  <si>
    <t xml:space="preserve">      5.918</t>
  </si>
  <si>
    <t>Lux Lucidum 🇧🇷</t>
  </si>
  <si>
    <t>llucidum</t>
  </si>
  <si>
    <t xml:space="preserve">      1.724</t>
  </si>
  <si>
    <t>Λｎｔｅｒｏ Ｓａｎｔｏｓ</t>
  </si>
  <si>
    <t>anterosantos</t>
  </si>
  <si>
    <t>Perfection doesn't exist, when you realize this, you become more close to perfection!</t>
  </si>
  <si>
    <t xml:space="preserve">      1.074</t>
  </si>
  <si>
    <t>Marcelo A Coelho ⚫️⚪</t>
  </si>
  <si>
    <t>marceloacoelho1</t>
  </si>
  <si>
    <t>Fã de Angelis Borges, Manoella Stoltz e Denise Rocha    Petista   Vascaíno   Nascido e criado em Niterói</t>
  </si>
  <si>
    <t xml:space="preserve">      4.170</t>
  </si>
  <si>
    <t>Dom Fabiano</t>
  </si>
  <si>
    <t>lord_crisostomo</t>
  </si>
  <si>
    <t>Autem Imperator. Firmitas Servitium Unitas Dominatio</t>
  </si>
  <si>
    <t xml:space="preserve">      2.018</t>
  </si>
  <si>
    <t>Vinícius Puhl</t>
  </si>
  <si>
    <t>viniciuspuhl</t>
  </si>
  <si>
    <t>Perfil de ideias e opiniões pessoais. 2023 #Adiante</t>
  </si>
  <si>
    <t xml:space="preserve">      1.539</t>
  </si>
  <si>
    <t>Neusa Lima Steinbach</t>
  </si>
  <si>
    <t>neusasteinbach</t>
  </si>
  <si>
    <t>Respeitar sempre. Ser ligada no mundo.  Não suporto hipócritas. Professora aposentada. Escritora. Mãe, vó e bisavó. Sou gauche na vida.</t>
  </si>
  <si>
    <t xml:space="preserve">      3.869</t>
  </si>
  <si>
    <t>Luiz Betenheuser Jr.</t>
  </si>
  <si>
    <t>nuncaabandona</t>
  </si>
  <si>
    <t>Pai de duas MARAVILHOSAS filhas. Minha esposa é FANTÁSTICA. Sou CORITIBA. Estudo ORÇAMENTO e POLÍTICAS PÚBLICAS e GESTÃO DESPORTIVA</t>
  </si>
  <si>
    <t xml:space="preserve">      5.583</t>
  </si>
  <si>
    <t>Lucas</t>
  </si>
  <si>
    <t>lucaspfc10</t>
  </si>
  <si>
    <t>21 • graphic designer</t>
  </si>
  <si>
    <t xml:space="preserve">      2.646</t>
  </si>
  <si>
    <t>Mariluz ♥️</t>
  </si>
  <si>
    <t>thymarirochagm1</t>
  </si>
  <si>
    <t>"As florestas são absolutamente cruciais para lutar contra o aquecimento global e contra a perda de biodiversidade".  Emmanuel Macron</t>
  </si>
  <si>
    <t xml:space="preserve">      2.123</t>
  </si>
  <si>
    <t>🚩🚩🚩Everton Lula Teixeira Lima</t>
  </si>
  <si>
    <t>evertontl</t>
  </si>
  <si>
    <t>Sou nordestino, Lulista e esquerdista!
Arquitetura e Urbanismo</t>
  </si>
  <si>
    <t>alexmonteiro93</t>
  </si>
  <si>
    <t>E, enquanto não me descobres,
os mundos vão navegando
nos ares certos do tempo,
até não se sabe quando...
- e um dia me acabarei (C.M.)</t>
  </si>
  <si>
    <t>Andrea Cabello Styles</t>
  </si>
  <si>
    <t>weknowakemeup</t>
  </si>
  <si>
    <t>Accountant, directioner, mixer, harmonizer, camilizer, swiftie e gavassier!!! Fã louca de G.A., tributo, divergente, potterhead e caçadora de sombras!!! 📚📚</t>
  </si>
  <si>
    <t xml:space="preserve">      1.083</t>
  </si>
  <si>
    <t>Miguel</t>
  </si>
  <si>
    <t>mig63</t>
  </si>
  <si>
    <t>𝙇𝙖𝙧𝙮 𝙡𝙤𝙫𝙚𝙚𝙨🦋</t>
  </si>
  <si>
    <t>selenaexpliciit</t>
  </si>
  <si>
    <t>- Calling your name, the only language I can speak.
• Fan account/parody.
• EXPANSÃO DE DOMÍNIO.</t>
  </si>
  <si>
    <t xml:space="preserve">      1.945</t>
  </si>
  <si>
    <t>Samara 🇧🇷</t>
  </si>
  <si>
    <t>samarafe88</t>
  </si>
  <si>
    <t>Feliz é a nação cujo Deus é o Senhor 🇧🇷 💚💛💙</t>
  </si>
  <si>
    <t xml:space="preserve">      9.659</t>
  </si>
  <si>
    <t>Elvis Ramon Vergara</t>
  </si>
  <si>
    <t>elvisramonverga</t>
  </si>
  <si>
    <t xml:space="preserve">      2.746</t>
  </si>
  <si>
    <t>Rolustosa 🇧🇷⭐️🚩</t>
  </si>
  <si>
    <t>ro_lustosa</t>
  </si>
  <si>
    <t>DEMOCRACIA SEMPRE. Jamais poderão deter a chegada da Primavera</t>
  </si>
  <si>
    <t xml:space="preserve">      8.449</t>
  </si>
  <si>
    <t>Rogério Fontes</t>
  </si>
  <si>
    <t>rogeriodefonte</t>
  </si>
  <si>
    <t>Adm 🎓 Publicidade e Propaganda ❤️</t>
  </si>
  <si>
    <t xml:space="preserve">      7.049</t>
  </si>
  <si>
    <t>Martina</t>
  </si>
  <si>
    <t>martinac1203</t>
  </si>
  <si>
    <t>“Fino alla Fine” non é solo un motto ma anche uno stile di vita @juventusfc 🤍🖤 @scuderiaferrari🏎</t>
  </si>
  <si>
    <t xml:space="preserve">      1.192</t>
  </si>
  <si>
    <t>Elmo de Moraes</t>
  </si>
  <si>
    <t>elmodemoraes</t>
  </si>
  <si>
    <t xml:space="preserve">      2.490</t>
  </si>
  <si>
    <t>Marcos F. Barbosa</t>
  </si>
  <si>
    <t>marcosfbarbosa1</t>
  </si>
  <si>
    <t>Eng. Agrônomo, UDESC  Lages SC. Mestrado em Fertildade e Nutrição de Plantas,UFLA MG. MBA em Marketing e Gestão Estratégica de Negócios, Uni America PR.</t>
  </si>
  <si>
    <t xml:space="preserve">      1.010</t>
  </si>
  <si>
    <t>Luiza🌻🌹🌞</t>
  </si>
  <si>
    <t>luiza22brasil</t>
  </si>
  <si>
    <t xml:space="preserve">      2.176</t>
  </si>
  <si>
    <t>Rafaela ⭐ 🚩🚩🇧🇷🌈🌍</t>
  </si>
  <si>
    <t>rafaelagranna</t>
  </si>
  <si>
    <t>Advogada, mãe da Maria Clara, defensora incondicional da democracia brasileira. LULISTA DE CORPO E ALMA!</t>
  </si>
  <si>
    <t xml:space="preserve">      2.408</t>
  </si>
  <si>
    <t>Opressor (ZV)🃏</t>
  </si>
  <si>
    <t>opressorzv</t>
  </si>
  <si>
    <t>Bolsonarista 🇧🇷💪🏼</t>
  </si>
  <si>
    <t xml:space="preserve">      1.486</t>
  </si>
  <si>
    <t>Danilo Félix 🇧🇷🇭🇺🎸🤟</t>
  </si>
  <si>
    <t>dansfelix</t>
  </si>
  <si>
    <t>Analista de Sistemas pós-graduado, Engenheiro de Dados, Pai, Conservador, Tricolor, Ex-Diretor de TI do @FluminenseFC, Rock n' Roll</t>
  </si>
  <si>
    <t xml:space="preserve">     17.230</t>
  </si>
  <si>
    <t>Amora 🇧🇷🫶💫</t>
  </si>
  <si>
    <t>amora96757846</t>
  </si>
  <si>
    <t>Pra pedir silêncio eu peço, pra fazer barulho eu msm faço !
🌷🌺🌼🌻💞 ⬅️ 1️⃣3️⃣🚩</t>
  </si>
  <si>
    <t xml:space="preserve">      2.360</t>
  </si>
  <si>
    <t>leo</t>
  </si>
  <si>
    <t>leoninismo</t>
  </si>
  <si>
    <t>cirurgião dentista, gremista e socialista. servidor público. atleta. mestrando PPGSS/Unioeste. editorial: militância, esportes e piadocas. @Psol50</t>
  </si>
  <si>
    <t>Carlosrj</t>
  </si>
  <si>
    <t>carlosrj20001</t>
  </si>
  <si>
    <t xml:space="preserve">      1.215</t>
  </si>
  <si>
    <t>Lulista Democrático</t>
  </si>
  <si>
    <t>lulistalivre</t>
  </si>
  <si>
    <t>O Partido é dos Trabalhadores!
Lula Presidente 2022!
#JailBolsonaro</t>
  </si>
  <si>
    <t xml:space="preserve">      2.398</t>
  </si>
  <si>
    <t>Lulíssima ️🌻</t>
  </si>
  <si>
    <t>galvao_jo</t>
  </si>
  <si>
    <t>NORDESTINA COM MUITO  ORGULHO 🌵 SEGUIDORA 💯 FIEL DO PRESIDENTE LULA 🤜🏻🤛🏻</t>
  </si>
  <si>
    <t xml:space="preserve">     12.667</t>
  </si>
  <si>
    <t>Anderson Zogbi 🇧🇷🇱🇧🇮🇹</t>
  </si>
  <si>
    <t>zogbifla</t>
  </si>
  <si>
    <t>RUBRO NEGRO ⚫🔴</t>
  </si>
  <si>
    <t xml:space="preserve">      1.860</t>
  </si>
  <si>
    <t>B. #3DeT⚡🎲🪇 #RevogaNEM #3DeTVictory</t>
  </si>
  <si>
    <t>bschlatter</t>
  </si>
  <si>
    <t>Melhor ser um porco que um fascista. Escrevo #3DeT⚡🎲📚 para @jamboeditora e dou aulas na escola pública. Aviso: pode conter traços de glúten e ironias.</t>
  </si>
  <si>
    <t xml:space="preserve">      1.090</t>
  </si>
  <si>
    <t>maia</t>
  </si>
  <si>
    <t>maialunars</t>
  </si>
  <si>
    <t>i am not a muse, i am the somebody.</t>
  </si>
  <si>
    <t xml:space="preserve">      1.075</t>
  </si>
  <si>
    <t>JUPITER TEATRO PRODUÇÕES🚩🚩</t>
  </si>
  <si>
    <t>teatro1994</t>
  </si>
  <si>
    <t>Fundada em agosto de 1994, na cidade do Rio de Janeiro, tendo como objetivo principal a produção e exibição de eventos culturais.</t>
  </si>
  <si>
    <t xml:space="preserve">      3.146</t>
  </si>
  <si>
    <t>Lula¹³🇧🇷</t>
  </si>
  <si>
    <t>_soulula13</t>
  </si>
  <si>
    <t>Fora gadaiada !
Falem com a minha mão!
Não respondo Gadotário!</t>
  </si>
  <si>
    <t xml:space="preserve">      1.745</t>
  </si>
  <si>
    <t>✨𝐻𝑒𝓁𝒶𝓃𝒹𝓎𝒶 𝒞𝒶𝓇𝓂❀</t>
  </si>
  <si>
    <t>helancarmo</t>
  </si>
  <si>
    <t>⚖️Direito - USF
💰Ciências Contábeis 
🏡Gestão Imobiliária 
🎼🎤Soprano 
💃Dança cigana /danças árabes /Salsa/bachata
🙏 Espiritualizada
🦅</t>
  </si>
  <si>
    <t xml:space="preserve">      1.259</t>
  </si>
  <si>
    <t>🇧🇷 amazoniainforma 🇧🇷🚩🚩</t>
  </si>
  <si>
    <t>amazoniainforma</t>
  </si>
  <si>
    <t>A Amazonia é a única floresta do tamanho de um Continente.#AmazoniaLivre “ Doação de órgãos salva vidas” sigo de volta</t>
  </si>
  <si>
    <t xml:space="preserve">     19.056</t>
  </si>
  <si>
    <t>Lueci</t>
  </si>
  <si>
    <t>luecifabretti</t>
  </si>
  <si>
    <t>RETROCEDER, SOMENTE PARA PEGAR IMPULSO! 🙌💚💛🇧🇷🇧🇷🙏#SomosTodosBolsonaro</t>
  </si>
  <si>
    <t xml:space="preserve">     24.284</t>
  </si>
  <si>
    <t>Paulo #LulaDaSilva Botelho</t>
  </si>
  <si>
    <t>ppbotelho</t>
  </si>
  <si>
    <t>Empresário da área de TI. Petista convicto pelo que vi acontecer durante os anos de governo Lula e Dilma. #DitaduraNuncaMais</t>
  </si>
  <si>
    <t xml:space="preserve">      2.055</t>
  </si>
  <si>
    <t>Razao17</t>
  </si>
  <si>
    <t>razao17</t>
  </si>
  <si>
    <t>Sou a dona da rua.Respeite-me e serás respeitado(a),senão,talvez não tenha tempo de arrepender-se. Se me seguir,talvez aprenda, se eu te seguir não questione...</t>
  </si>
  <si>
    <t xml:space="preserve">     11.126</t>
  </si>
  <si>
    <t>#Antiracista</t>
  </si>
  <si>
    <t>bia_peppe</t>
  </si>
  <si>
    <t>EsquerdistasSeguemEsquerdistas Não faça aos outro o que Voce, não quer para Sí.O Amor Tem que Vencer o Ódio
, Meu filho e Eu, q nunca mais verei.</t>
  </si>
  <si>
    <t xml:space="preserve">      2.924</t>
  </si>
  <si>
    <t>Bru west</t>
  </si>
  <si>
    <t>1bru_</t>
  </si>
  <si>
    <t>Taróloga - axé ⚒️🪞📿 Uma deusa, uma louca, uma feiticeira (literalmente)</t>
  </si>
  <si>
    <t xml:space="preserve">      1.284</t>
  </si>
  <si>
    <t>Histórias, nossas histórias</t>
  </si>
  <si>
    <t>elanegomes2022</t>
  </si>
  <si>
    <t>🚩 // O que a vida quer da gente é coragem // 🚩</t>
  </si>
  <si>
    <t xml:space="preserve">      1.415</t>
  </si>
  <si>
    <t>genario azevedo</t>
  </si>
  <si>
    <t>genario_azevedo</t>
  </si>
  <si>
    <t>Engenheiro de Pesca - Ecossocialista - Educador Ambiental</t>
  </si>
  <si>
    <t xml:space="preserve">      3.730</t>
  </si>
  <si>
    <t>Suzete 🇧🇷🇧🇷</t>
  </si>
  <si>
    <t>suzeteassismelo</t>
  </si>
  <si>
    <t>Quero meu país de volta! 
Recomeçando... 🔰💚💛🇧🇷🙌🌻😎</t>
  </si>
  <si>
    <t xml:space="preserve">      1.841</t>
  </si>
  <si>
    <t>Patricia</t>
  </si>
  <si>
    <t>camposmendonca</t>
  </si>
  <si>
    <t xml:space="preserve">      1.186</t>
  </si>
  <si>
    <t>iza 🍓</t>
  </si>
  <si>
    <t>jbxhadid</t>
  </si>
  <si>
    <t>if i die i’m a legend</t>
  </si>
  <si>
    <t xml:space="preserve">      1.930</t>
  </si>
  <si>
    <t>FitecK - Novo Sol ☀️</t>
  </si>
  <si>
    <t>fitecksergio</t>
  </si>
  <si>
    <t>Cantor - Compositor / Salvador -Ba
                                     OUÇA AGORA 
 - NOVO SOL -
https://t.co/8yojiCdC66</t>
  </si>
  <si>
    <t xml:space="preserve">      1.156</t>
  </si>
  <si>
    <t>𝒍𝒂𝒍𝒂𝒚 𑁍 1989</t>
  </si>
  <si>
    <t>larueftswift</t>
  </si>
  <si>
    <t>➳ Its always 'I love you' and never 'you're like my own personal brand of heroin'</t>
  </si>
  <si>
    <t xml:space="preserve">      1.710</t>
  </si>
  <si>
    <t>🦋</t>
  </si>
  <si>
    <t>laraeuzebio_</t>
  </si>
  <si>
    <t>Nɪɴɢᴜéᴍ ᴄᴏᴍᴏ Dᴇᴜs</t>
  </si>
  <si>
    <t>Danillo Fratta | Analista Investimentos e Trade</t>
  </si>
  <si>
    <t>danillofratta</t>
  </si>
  <si>
    <t>Analista CNPI-T desde 2017 | Te ajudo a operar com AT
| Conheça as minhas carteiras 👇</t>
  </si>
  <si>
    <t>Rita Ribeiro 🇧🇷</t>
  </si>
  <si>
    <t>ritaribee</t>
  </si>
  <si>
    <t>Jornalista, pedagoga, amante do futebol.
Fb: https://t.co/t700rqiW5d
Ig: @ritaribee</t>
  </si>
  <si>
    <t>o fí da Teinha ❤️‍🔥</t>
  </si>
  <si>
    <t>menezesjoaum</t>
  </si>
  <si>
    <t xml:space="preserve">      1.551</t>
  </si>
  <si>
    <t>Renato P.</t>
  </si>
  <si>
    <t>renatopraxis</t>
  </si>
  <si>
    <t>Cientista Social (UFSCar), Educador,  Militante Político Humanista, Democrata e Pacifista. Apesar de você...Vai passar. (Chico Buarque)</t>
  </si>
  <si>
    <t>André Pereira</t>
  </si>
  <si>
    <t>al_peira</t>
  </si>
  <si>
    <t>Agente e empreendedor social! Com um modelo de LAB na periferia da Z/O de Sampa</t>
  </si>
  <si>
    <t xml:space="preserve">      2.901</t>
  </si>
  <si>
    <t>Rafael Garnica 🚜🍀🌖</t>
  </si>
  <si>
    <t>garnicaoficial</t>
  </si>
  <si>
    <t>📌 Advocacia Consultiva e Agronegócio 🔰 Casado com a maravilhosa @baboopgarnica 💍👩🏻‍❤️‍👨🏻 🔰 Pai da doce e linda Giovanna🧑🏻‍🍼❤️ #Cristão #DeuséBom</t>
  </si>
  <si>
    <t>Débora ❤🖤</t>
  </si>
  <si>
    <t>debby_2010</t>
  </si>
  <si>
    <t>Flamenguista, amo cachorros e viajar.
Se for bolsonarento, nem vem pq toma block.
#SEMANISTIA</t>
  </si>
  <si>
    <t xml:space="preserve">      1.529</t>
  </si>
  <si>
    <t>Lucas 🦇</t>
  </si>
  <si>
    <t>vlucasrocha</t>
  </si>
  <si>
    <t>o menino do morcego</t>
  </si>
  <si>
    <t xml:space="preserve">     42.791</t>
  </si>
  <si>
    <t>sɑmi ✞</t>
  </si>
  <si>
    <t>ghstrust</t>
  </si>
  <si>
    <t>🧚🏻‍♀️🌟🍒</t>
  </si>
  <si>
    <t xml:space="preserve">      3.689</t>
  </si>
  <si>
    <t>Tai ⚖️🪴📚🎨🚩🚩🚩</t>
  </si>
  <si>
    <t>taisaadv</t>
  </si>
  <si>
    <t>Aqui é Lula!
Baiana, soteropolitana e membro do #SDVESQUERDALIVRE!🚩
(⚠️SPACEs toda quinta, às 20h⚠️) 
Fortalecendo a corrente
🚩🚩SDV🚩🚩</t>
  </si>
  <si>
    <t xml:space="preserve">      9.643</t>
  </si>
  <si>
    <t>Ivanete Bezerra3</t>
  </si>
  <si>
    <t>ivanetebezerra3</t>
  </si>
  <si>
    <t>Mestre em História.   
Cada ser é único e merece respeito!
Fundadora do PT e militante desde 13 anos.
Amo política e reality.
LUMINADOS.</t>
  </si>
  <si>
    <t xml:space="preserve">      9.782</t>
  </si>
  <si>
    <t>◌⑅⃝●Mrͥ.℘eͣrͫfec†</t>
  </si>
  <si>
    <t>mrperfectt_</t>
  </si>
  <si>
    <t>Warrior Of Thalapathy Vijay | King Kohli |Retweet not Endorsed | 189K Tweets Done |</t>
  </si>
  <si>
    <t xml:space="preserve">      4.997</t>
  </si>
  <si>
    <t>Everson Cassol</t>
  </si>
  <si>
    <t>eversoncassol</t>
  </si>
  <si>
    <t>Capitão Exército Brasileiro
Administração/UFSM  
Tocando em frente, SEMPRE!!!</t>
  </si>
  <si>
    <t xml:space="preserve">      4.096</t>
  </si>
  <si>
    <t>José Carlos Lula da Silva</t>
  </si>
  <si>
    <t>viktista</t>
  </si>
  <si>
    <t>Mary Sampaio</t>
  </si>
  <si>
    <t>marysampaio4</t>
  </si>
  <si>
    <t>🎓⚖️🖊️🆘🇻🇳1️⃣3️⃣🇧🇷
#TRICOLOR⚽ #BBMP ❤️ #BAHIA 🇱🇺  htt://www.youtube.com/4646
➡️#Instagram@marysampaio1313➡️ #Facebook  #TELEGRAM @marysampaio4</t>
  </si>
  <si>
    <t xml:space="preserve">      4.666</t>
  </si>
  <si>
    <t>Joao Marcos</t>
  </si>
  <si>
    <t>joaomviso</t>
  </si>
  <si>
    <t>Stocks US e BR. Quality at Reasonable Prices.</t>
  </si>
  <si>
    <t xml:space="preserve">     11.318</t>
  </si>
  <si>
    <t>CHAVAS</t>
  </si>
  <si>
    <t>chaverinholol</t>
  </si>
  <si>
    <t>Mono Darius, ensinando lunáticos a jogar, MAIOR darius player TRABALHADOR
Lives em - https://t.co/5OF5ZPtg8a
📧E-mail para contato ➡ calamnte123@gmail.com</t>
  </si>
  <si>
    <t xml:space="preserve">      1.736</t>
  </si>
  <si>
    <t>Luki</t>
  </si>
  <si>
    <t>ljsimas</t>
  </si>
  <si>
    <t>A moral e a ética são os princípios básicos das pessoas de bem.
#BolsonaroHeróiDoBrasil</t>
  </si>
  <si>
    <t xml:space="preserve">      3.357</t>
  </si>
  <si>
    <t>🌏Geografianews21 - Geopolítica🚩</t>
  </si>
  <si>
    <t>geografianews21</t>
  </si>
  <si>
    <t>💫 Sigo de volta. ✨ Faz o L Brasil 🇧🇷 o Brasil melhor com LULA Presidente🤩🤩🤩🤩</t>
  </si>
  <si>
    <t xml:space="preserve">      3.721</t>
  </si>
  <si>
    <t>Nilson Nunes</t>
  </si>
  <si>
    <t>nnunesjr</t>
  </si>
  <si>
    <t>Advogado. Especialista e Mestre em Direito. Professor de Direito Constitucional e Tributário.</t>
  </si>
  <si>
    <t xml:space="preserve">      3.950</t>
  </si>
  <si>
    <t>LISCA DOIDO 🫶</t>
  </si>
  <si>
    <t>liscadoido</t>
  </si>
  <si>
    <t>GENÉRICO - AMANTE DOS ALAMBRADOS</t>
  </si>
  <si>
    <t xml:space="preserve">     25.503</t>
  </si>
  <si>
    <t>Maria Tiruí</t>
  </si>
  <si>
    <t>mariatirui</t>
  </si>
  <si>
    <t>Cansada... exausta sim.
Sem esperanças nunca!</t>
  </si>
  <si>
    <t xml:space="preserve">      2.979</t>
  </si>
  <si>
    <t>Cici Dutra.</t>
  </si>
  <si>
    <t>juraci_dutra</t>
  </si>
  <si>
    <t>Psicóloga que ama jardinagem e viajar</t>
  </si>
  <si>
    <t>guinho.</t>
  </si>
  <si>
    <t>guinho_tt</t>
  </si>
  <si>
    <t>666 |
sc |
20 |</t>
  </si>
  <si>
    <t xml:space="preserve">      1.086</t>
  </si>
  <si>
    <t>TutyLiny1924</t>
  </si>
  <si>
    <t>jurktoti</t>
  </si>
  <si>
    <t>Quando cheguei aqui era tudo mato..</t>
  </si>
  <si>
    <t xml:space="preserve">      1.084</t>
  </si>
  <si>
    <t>Rodrigo Felipe das Cativas 🐓</t>
  </si>
  <si>
    <t>rodrigo22galo</t>
  </si>
  <si>
    <t>Amor demais pelo Clube Atlético Mineiro!!  5 cadeiras cativas</t>
  </si>
  <si>
    <t xml:space="preserve">      3.159</t>
  </si>
  <si>
    <t>Jose Sergio Alipio Brandão</t>
  </si>
  <si>
    <t>josesergioalip1</t>
  </si>
  <si>
    <t xml:space="preserve">      1.038</t>
  </si>
  <si>
    <t>Lautykese VICECAMPIONE D'EUROPA</t>
  </si>
  <si>
    <t>marco171292</t>
  </si>
  <si>
    <t>lo #scudettino ficcatelo nel culo
fai il tuo che già fai fatica</t>
  </si>
  <si>
    <t xml:space="preserve">      1.093</t>
  </si>
  <si>
    <t>BIGJASON</t>
  </si>
  <si>
    <t>bigjason252</t>
  </si>
  <si>
    <t>Sou PT ,Sou LulaLivre,LulaPresidente... Odeio Ciro corone Gomes</t>
  </si>
  <si>
    <t xml:space="preserve">      1.557</t>
  </si>
  <si>
    <t>Dada</t>
  </si>
  <si>
    <t>dadaanziotto</t>
  </si>
  <si>
    <t>Bete Amaral 🇧🇷</t>
  </si>
  <si>
    <t>beteamarall</t>
  </si>
  <si>
    <t xml:space="preserve">      2.401</t>
  </si>
  <si>
    <t>Clebão© ˢᵖᶠᶜ 🇾🇪</t>
  </si>
  <si>
    <t>cleb_633</t>
  </si>
  <si>
    <t>São Paulino  🏟️🇾🇪                                                        
                                        Twitch: clebaoo23</t>
  </si>
  <si>
    <t>Rohit Rajeev</t>
  </si>
  <si>
    <t>keralista</t>
  </si>
  <si>
    <t>An Entrepreneur with an 👁️ for tactics and 🔬. Words for @sempremilancom and @_GIFN. Backup account: @milantactics. 📹: @keralista_v2</t>
  </si>
  <si>
    <t xml:space="preserve">      8.595</t>
  </si>
  <si>
    <t>manu</t>
  </si>
  <si>
    <t>lovatogang</t>
  </si>
  <si>
    <t>ele/dele</t>
  </si>
  <si>
    <t xml:space="preserve">      1.504</t>
  </si>
  <si>
    <t>legendas cuck ♠</t>
  </si>
  <si>
    <t>bzsccl</t>
  </si>
  <si>
    <t>DM para entrar no circulo e receber sempre o dobro de posts no precinho
Circle: @bzsXxX
Finder: @bzsfinder
Discord: https://t.co/bEvRIBpCKG</t>
  </si>
  <si>
    <t xml:space="preserve">      8.123</t>
  </si>
  <si>
    <t>Lady Botelho</t>
  </si>
  <si>
    <t>botelho4lady</t>
  </si>
  <si>
    <t xml:space="preserve">      3.469</t>
  </si>
  <si>
    <t>єdvαł łiмα - CєαráSC 🏳️🏴🇧🇷🚩🚩🚩</t>
  </si>
  <si>
    <t>edvalvozao</t>
  </si>
  <si>
    <t>Paulista que reside em Fortaleza , Torcedor do Ceará , Casado com Vilma Clei. Pai de 3 filhos: Anderson,Samuel e Luana. https://t.co/OlrSh9Hm5q</t>
  </si>
  <si>
    <t xml:space="preserve">      1.698</t>
  </si>
  <si>
    <t>Eloi Moccellin</t>
  </si>
  <si>
    <t>garimpodeacoes</t>
  </si>
  <si>
    <t>Garimpeiro de fatos e boatos sobre todos os assuntos.</t>
  </si>
  <si>
    <t xml:space="preserve">      6.752</t>
  </si>
  <si>
    <t>Rodrigo #Lula13 #PrendamBolsonaro&amp;Moro</t>
  </si>
  <si>
    <t>rodp13</t>
  </si>
  <si>
    <t>Ex-preso político em 1971/72. Na luta nestes tempos difíceis de fascismo.</t>
  </si>
  <si>
    <t xml:space="preserve">     32.254</t>
  </si>
  <si>
    <t>PT - Lagoa Dourada (MG)</t>
  </si>
  <si>
    <t>ptlagoadourada</t>
  </si>
  <si>
    <t>Lagoa Petista. Somos o Partido dos Trabalhadores em Lagoa Dourada! 
Siga-nos:
Face: https://t.co/G9s3pUG5UT Insta: https://t.co/QDxD6EajoW</t>
  </si>
  <si>
    <t xml:space="preserve">      1.578</t>
  </si>
  <si>
    <t>Beto Progressista 🚩🚩🚩 Anti bozo! Agnóstico</t>
  </si>
  <si>
    <t>prosecutormaste</t>
  </si>
  <si>
    <t>2001</t>
  </si>
  <si>
    <t xml:space="preserve">      4.947</t>
  </si>
  <si>
    <t>PLS 299/23 PELA DESAPOSENTAÇÃO</t>
  </si>
  <si>
    <t>catarina_47</t>
  </si>
  <si>
    <t>ASTOLFO 🇷🇺❤️🇷🇺</t>
  </si>
  <si>
    <t>astolfo1968</t>
  </si>
  <si>
    <t>La mia famiglia, l'essenza della vita.</t>
  </si>
  <si>
    <t xml:space="preserve">      2.253</t>
  </si>
  <si>
    <t>Elizier De Oliveira</t>
  </si>
  <si>
    <t>eliziernemoveio</t>
  </si>
  <si>
    <t>DEUS, Pátria, Família e Liberdade ,PT é a escória do Brasil, estou no limbo do mercado de trabalho por Etarismo!Pix 422.474.540-20 me ajuda sobreviver, obrigado</t>
  </si>
  <si>
    <t xml:space="preserve">      2.462</t>
  </si>
  <si>
    <t>Gancho🇧🇷🇧🇷🇧🇷</t>
  </si>
  <si>
    <t>gancho_23</t>
  </si>
  <si>
    <t>Deus, Pátria, Família e Liberdade!</t>
  </si>
  <si>
    <t xml:space="preserve">      1.663</t>
  </si>
  <si>
    <t>Osvaldo Martinez®🚩</t>
  </si>
  <si>
    <t>osvaldomtnez90</t>
  </si>
  <si>
    <t>💢«⭐️ Viajes ⭐️ Aventuras ⭐️ Naturaleza ⭐️ Turismo ⭐️ Revolución ⭐️ Rock ⭐️ Política» #LoveTwitter</t>
  </si>
  <si>
    <t xml:space="preserve">     17.864</t>
  </si>
  <si>
    <t>Gi Roza S. #Lula13Presidente #MarcoTemporalNão “Mo</t>
  </si>
  <si>
    <t>giovanadarozas2</t>
  </si>
  <si>
    <t>Abomino injustiças, covardias, hipocrisia, repressão  e violência . Amo e respeito muito a Mãe Natureza !  https://t.co/YY4dTBJaNY    @giovana2OJU9U</t>
  </si>
  <si>
    <t xml:space="preserve">     12.060</t>
  </si>
  <si>
    <t>Vanessa Carvalho</t>
  </si>
  <si>
    <t>vanessasoaresc4</t>
  </si>
  <si>
    <t>Lulista</t>
  </si>
  <si>
    <t xml:space="preserve">     23.102</t>
  </si>
  <si>
    <t>sergio brandão lulista.</t>
  </si>
  <si>
    <t>sergioronnie</t>
  </si>
  <si>
    <t>Um humilde brasileiro,amante da sétima arte,professor e amargurado com as durezas da vida,mas vou na fé!</t>
  </si>
  <si>
    <t xml:space="preserve">      2.280</t>
  </si>
  <si>
    <t>waldemir</t>
  </si>
  <si>
    <t>w080560</t>
  </si>
  <si>
    <t>Somos orientados por uma base ideológica. A questão é; a sua é inclusiva ou excludente' - Paulo Freire</t>
  </si>
  <si>
    <t xml:space="preserve">      2.242</t>
  </si>
  <si>
    <t>#DitaduraNuncaMais 🌵🦅</t>
  </si>
  <si>
    <t>drairacema_</t>
  </si>
  <si>
    <t>DemocraciaParaSempre com Estado de Direito.Professora,Advogada.Para expurgar o #NaziFascismo: Lula!</t>
  </si>
  <si>
    <t xml:space="preserve">     17.521</t>
  </si>
  <si>
    <t>Rei Dom Rossoni 🇧🇷 🇮🇱 Anti-Woke</t>
  </si>
  <si>
    <t>rinaldorossoni</t>
  </si>
  <si>
    <t>Jamais desistiremos de um Brasil livre da tirania comunista!
Não aceitaremos um governo liderado por um presidiário apoiador de ditadores e da ORCRIM!</t>
  </si>
  <si>
    <t xml:space="preserve">      1.749</t>
  </si>
  <si>
    <t>marília do couto e s</t>
  </si>
  <si>
    <t>mariliacoutoesi</t>
  </si>
  <si>
    <t xml:space="preserve">      2.168</t>
  </si>
  <si>
    <t>Fabrizio Bava</t>
  </si>
  <si>
    <t>fabriziobava</t>
  </si>
  <si>
    <t>Insegno nel Dipartimento di Management dell’Università di Torino bilancio e revisione e svolgo la professione di dottore commercialista.</t>
  </si>
  <si>
    <t xml:space="preserve">      3.075</t>
  </si>
  <si>
    <t>Vôlei Fans Brasil 🏐🇧🇷</t>
  </si>
  <si>
    <t>voleifans_br</t>
  </si>
  <si>
    <t>🗣 Novo portal voltado à informações e entretenimento destinados aos fãs do vôlei nacional e internacional. | 📧 Contato: portalvoleimania2022@gmail.com</t>
  </si>
  <si>
    <t xml:space="preserve">      1.361</t>
  </si>
  <si>
    <t>Gus 🚩🇧🇷</t>
  </si>
  <si>
    <t>artistario</t>
  </si>
  <si>
    <t>Cristão, social democrata, fã de Prince. Gosto do bom debate e não levo discussão política pro lado pessoal. Retweet nao é endosso.</t>
  </si>
  <si>
    <t xml:space="preserve">      1.891</t>
  </si>
  <si>
    <t>Thiago Ferreira</t>
  </si>
  <si>
    <t>coachthiagao</t>
  </si>
  <si>
    <t>Diretor Manager @ssofc__</t>
  </si>
  <si>
    <t xml:space="preserve">      3.319</t>
  </si>
  <si>
    <t>Eduardo Lacerda 🚩🇧🇷🇺🇾🇵🇷🇸🇩1️⃣3️⃣</t>
  </si>
  <si>
    <t>eduardo33867333</t>
  </si>
  <si>
    <t>Gaúcho morando no ES, esquerdopata, Lulista, advogado e Petroleiro.</t>
  </si>
  <si>
    <t xml:space="preserve">      2.706</t>
  </si>
  <si>
    <t>Keli 🙏☘️🌷</t>
  </si>
  <si>
    <t>keliveronezi</t>
  </si>
  <si>
    <t>Casada, mãe, em busca de um Brasil melhor!!!</t>
  </si>
  <si>
    <t xml:space="preserve">      8.680</t>
  </si>
  <si>
    <t>🏹Coxa Eu Te Amo!!!💚 Só se vive uma vez.</t>
  </si>
  <si>
    <t>ike_coxa</t>
  </si>
  <si>
    <t>Amo a Vida, a Família e o Coritiba Foot Ball Club!!!</t>
  </si>
  <si>
    <t xml:space="preserve">      3.447</t>
  </si>
  <si>
    <t>Iliria Abrao</t>
  </si>
  <si>
    <t>abrao_iliria</t>
  </si>
  <si>
    <t>L@nn@ Alencar M. Rammacher</t>
  </si>
  <si>
    <t>lnnalencarmram1</t>
  </si>
  <si>
    <t xml:space="preserve">      2.300</t>
  </si>
  <si>
    <t>Sônia Salino🌸🌺🌼</t>
  </si>
  <si>
    <t>soniasallino</t>
  </si>
  <si>
    <t>Geógrafa 🌎 🌍🌏Professora da Rede Estadual e Municipal do Rio de Janeiro. Anseio por uma sociedade mais justa, inclusiva e humana!🚩🇧🇷❤️</t>
  </si>
  <si>
    <t xml:space="preserve">     17.569</t>
  </si>
  <si>
    <t>Celina Esteticista 🚩🚩🏴🏴</t>
  </si>
  <si>
    <t>celinasantoses1</t>
  </si>
  <si>
    <t>Sou Petista desde os anos 80, 
Sou Esteticista, Mãe de dois filhos, também Petistas, sempre na luta por um País melhor para todos 🚩🚩</t>
  </si>
  <si>
    <t xml:space="preserve">      3.787</t>
  </si>
  <si>
    <t>elly</t>
  </si>
  <si>
    <t>gcfthvr</t>
  </si>
  <si>
    <t>͏ ͏ ͏ ͏ ͏ ͏ ͏ ͏ ͏ ͏ ͏ ͏ ͏ ͏ ͏ ͏ ͏ ͏ ͏ ͏ ͏ ͏ ͏ ͏ ͏ ͏ ͏ ͏ ͏ ͏adepta ao https://t.co/7aZwi2yJGj</t>
  </si>
  <si>
    <t xml:space="preserve">      2.313</t>
  </si>
  <si>
    <t>Breca Bores🏳️‍🌈🚩🌹🌎👭🙏💉⚽</t>
  </si>
  <si>
    <t>brecabores</t>
  </si>
  <si>
    <t>Sócia Torcedora do SPFC🇾🇪
Mae de pet - Moana!🐶
Concurseira, Esquerdista.📚
Fã de: Marta, Ceni, Messi e James Rodrigues! ⚽
Lula lá lá!🚩</t>
  </si>
  <si>
    <t>lala</t>
  </si>
  <si>
    <t>bzzlerpeaches</t>
  </si>
  <si>
    <t>Belieber❤💗</t>
  </si>
  <si>
    <t xml:space="preserve">      1.576</t>
  </si>
  <si>
    <t>KRISNITTO</t>
  </si>
  <si>
    <t>mybestanitta</t>
  </si>
  <si>
    <t>“Una perra de raza muy dura de matar”| Anitter</t>
  </si>
  <si>
    <t xml:space="preserve">      1.016</t>
  </si>
  <si>
    <t>ver meu time na tv 🚩</t>
  </si>
  <si>
    <t>assirtirmeutime</t>
  </si>
  <si>
    <t xml:space="preserve">      1.961</t>
  </si>
  <si>
    <t>Ruby🚩💎 Conta Reserva</t>
  </si>
  <si>
    <t>ellyporciuncula</t>
  </si>
  <si>
    <t>Eu faço sorvete desaparecer. Qual é o seu superpoder?</t>
  </si>
  <si>
    <t xml:space="preserve">      1.073</t>
  </si>
  <si>
    <t>Ezequias Neto</t>
  </si>
  <si>
    <t>ezequiasns</t>
  </si>
  <si>
    <t>חזקיהו</t>
  </si>
  <si>
    <t>Ricardo Felippe</t>
  </si>
  <si>
    <t>ricardoafelippe</t>
  </si>
  <si>
    <t>Petista, Lulista e Dilmista. Sou PT desde 1982.</t>
  </si>
  <si>
    <t>ki-suke de uva</t>
  </si>
  <si>
    <t>dinkerbu</t>
  </si>
  <si>
    <t>* .•° ◇ •  ✷ · ˚ * . 　 　*　　* ⋆  . ·* ¤°  ♡▪multifɑndon ɑccount▪♡ ✦ °⋆ · 　° *. ☆* 　　　　° . * · ˚ * . 　*　　* ⋆  . ·*</t>
  </si>
  <si>
    <t xml:space="preserve">      1.249</t>
  </si>
  <si>
    <t>Danni Cristina ⭐🏳️‍🌈🏳️‍⚧️</t>
  </si>
  <si>
    <t>dannicristtin</t>
  </si>
  <si>
    <t>Mergulhe no que você não conhece como eu mergulhei. Não se preocupe em entender, viver ultrapassa qualquer entendimento.” Clarice Lispector.</t>
  </si>
  <si>
    <t>Brasil !!!</t>
  </si>
  <si>
    <t>politicacoco</t>
  </si>
  <si>
    <t>A verdade do Brasil.</t>
  </si>
  <si>
    <t>Edilton Silva 🇾🇪🇳🇬</t>
  </si>
  <si>
    <t>edilton09</t>
  </si>
  <si>
    <t>Torcedor do  @SaoPauloFC e @FCBarcelona, Fã da serie Pro Evolution Soccer (@play_eFootball) ⚽</t>
  </si>
  <si>
    <t xml:space="preserve">      2.098</t>
  </si>
  <si>
    <t>Lula 13</t>
  </si>
  <si>
    <t>lula_tani1000</t>
  </si>
  <si>
    <t>AMO MEU PAÍS</t>
  </si>
  <si>
    <t xml:space="preserve">      2.949</t>
  </si>
  <si>
    <t>Marlene Moreira</t>
  </si>
  <si>
    <t>prudentemarlene</t>
  </si>
  <si>
    <t>Na hora do vamos ver quem defende você é o PT
Lula13 Presidente do Brasil
Haddad governador de São Paulo</t>
  </si>
  <si>
    <t xml:space="preserve">     17.322</t>
  </si>
  <si>
    <t>Vitor Santos</t>
  </si>
  <si>
    <t>jornalistavitor</t>
  </si>
  <si>
    <t>VITOR SANTOS é jornalista,escritor, consultor, pesquisador, e autor de vários artigos Facebook https://t.co/zr7gpVta8X…</t>
  </si>
  <si>
    <t xml:space="preserve">     36.022</t>
  </si>
  <si>
    <t>Snooze acoustic' OUT NOW ❤️ (31-7-22 😭❤️)</t>
  </si>
  <si>
    <t>alexjb1_</t>
  </si>
  <si>
    <t>For a hundred people who hate you a thousand love you, remember it @justinbieber 💖                  
Italian belieber 🇮🇹   ***FANPAGE***</t>
  </si>
  <si>
    <t>Arnaldonepu ᶜʳᶠ</t>
  </si>
  <si>
    <t>arnaldonepu</t>
  </si>
  <si>
    <t>@Flamengo</t>
  </si>
  <si>
    <t>Leonardo Osorio</t>
  </si>
  <si>
    <t>leorxtosorio</t>
  </si>
  <si>
    <t>#Lulalivre 🚩🚩#Lulainocente🚩🚩 #Lulapresidente🚩🚩</t>
  </si>
  <si>
    <t xml:space="preserve">      1.740</t>
  </si>
  <si>
    <t>Nety Belarmino🚩🇾🇪 🍀🎨🌶</t>
  </si>
  <si>
    <t>belarminonety</t>
  </si>
  <si>
    <t>Vovózona de Esquerda.
Professora Artesã.
Amo fazer trilha.
Mãezinha de 4 😍
Vovó de 3 ♥️
Luto por justiça social. Um dia de casa vez.💥💥💥</t>
  </si>
  <si>
    <t xml:space="preserve">      4.441</t>
  </si>
  <si>
    <t>Kleber Silva #Lula13🚩 🇻🇳 🚩</t>
  </si>
  <si>
    <t>_kleber_silva</t>
  </si>
  <si>
    <t>Por dentro eu sei
Que nunca senti
Nada além de amor
Em tudo o que vivi… 
(sempre brilhará - Celso Blues Boy)</t>
  </si>
  <si>
    <t xml:space="preserve">     14.246</t>
  </si>
  <si>
    <t>irys 📖</t>
  </si>
  <si>
    <t>irysbook</t>
  </si>
  <si>
    <t>cr: uma nova chance</t>
  </si>
  <si>
    <t xml:space="preserve">      1.917</t>
  </si>
  <si>
    <t>Luiz Carlos</t>
  </si>
  <si>
    <t>luizcar20454634</t>
  </si>
  <si>
    <t xml:space="preserve">      2.415</t>
  </si>
  <si>
    <t>Salvador Felipe</t>
  </si>
  <si>
    <t>salvadorfelip12</t>
  </si>
  <si>
    <t>Política e Governo 
#Esquerdasempre</t>
  </si>
  <si>
    <t xml:space="preserve">      3.302</t>
  </si>
  <si>
    <t>Gostosa Estranha! 🦁🥬🚩🇧🇷🚩</t>
  </si>
  <si>
    <t>rdumar2</t>
  </si>
  <si>
    <t>falta poucoooo</t>
  </si>
  <si>
    <t xml:space="preserve">      1.816</t>
  </si>
  <si>
    <t>nexus6</t>
  </si>
  <si>
    <t>nexussei_6</t>
  </si>
  <si>
    <t>Bianco, maschio, etero, italiano, famiglia cattolica; nato in Nord-Italia, vivo e sono cresciuto in Veneto...
Insomma, causa Salvini, mi sto sul cazzo da solo</t>
  </si>
  <si>
    <t xml:space="preserve">      1.924</t>
  </si>
  <si>
    <t>Diego Fabiano</t>
  </si>
  <si>
    <t>diegofabiano_35</t>
  </si>
  <si>
    <t>Deus!!! Família!! Brasil!🇧🇷🇧🇷🇧🇷</t>
  </si>
  <si>
    <t xml:space="preserve">      3.125</t>
  </si>
  <si>
    <t>tem pão velho aqui nao</t>
  </si>
  <si>
    <t>dozzedo</t>
  </si>
  <si>
    <t xml:space="preserve">      7.397</t>
  </si>
  <si>
    <t>karly</t>
  </si>
  <si>
    <t>karlys0n</t>
  </si>
  <si>
    <t>free soul</t>
  </si>
  <si>
    <t xml:space="preserve">      1.310</t>
  </si>
  <si>
    <t>Amarildo Lucena</t>
  </si>
  <si>
    <t>lucenaamarildo</t>
  </si>
  <si>
    <t>DEUS, FAMÍLIA, PATRIA e LIBERDADE 🇧🇷🇧🇷🇧🇷 CATÓLICO,CASADO, PAI,AVÔ/ ATIVISTA POLÍTICO!🇧🇷👊</t>
  </si>
  <si>
    <t xml:space="preserve">      8.058</t>
  </si>
  <si>
    <t>OFernandes</t>
  </si>
  <si>
    <t>oswalber</t>
  </si>
  <si>
    <t>ErikGremista11</t>
  </si>
  <si>
    <t>erikrs11</t>
  </si>
  <si>
    <t>ECONOMISTA, SOCIALISTA, ATEU, ANTI-NAZIFASCISTA, ANTI-RACISTA, ANTI-HOMOFÓBICO, ANTI-MACHISTA e GREMISTA.
Em defesa da DEMOCRACIA e pela UNIDADE DAS ESQUERDAS!</t>
  </si>
  <si>
    <t xml:space="preserve">      6.117</t>
  </si>
  <si>
    <t>Malek Zein, CNPI</t>
  </si>
  <si>
    <t>malekzein7</t>
  </si>
  <si>
    <t>TC Matrix - Equity Research Analyst</t>
  </si>
  <si>
    <t xml:space="preserve">      1.100</t>
  </si>
  <si>
    <t>Hugo Braga ➡️💡 🇧🇷</t>
  </si>
  <si>
    <t>hugocbraga</t>
  </si>
  <si>
    <t>Professor de Português e estudante de Direito. Por um projeto de país que não seja de um nome só: Projeto Nacional de Desenvolvimento.</t>
  </si>
  <si>
    <t xml:space="preserve">      4.281</t>
  </si>
  <si>
    <t>José J Vieira</t>
  </si>
  <si>
    <t>jjvieira6</t>
  </si>
  <si>
    <t>Patriota, Cristão conservador.                     
Sigo a direita. ➡️ 🇧🇷</t>
  </si>
  <si>
    <t xml:space="preserve">     37.029</t>
  </si>
  <si>
    <t>Rafael Alves</t>
  </si>
  <si>
    <t>rafaelalvesilva</t>
  </si>
  <si>
    <t xml:space="preserve">      1.416</t>
  </si>
  <si>
    <t>Victor Hugo 🚩</t>
  </si>
  <si>
    <t>vh_aferreira</t>
  </si>
  <si>
    <t>Desenvolvedor</t>
  </si>
  <si>
    <t xml:space="preserve">      4.211</t>
  </si>
  <si>
    <t>‏ً</t>
  </si>
  <si>
    <t>mybiebergirl</t>
  </si>
  <si>
    <t>my badass bitch</t>
  </si>
  <si>
    <t xml:space="preserve">      4.486</t>
  </si>
  <si>
    <t>Michael</t>
  </si>
  <si>
    <t>michaelpavoni2</t>
  </si>
  <si>
    <t>No Brasil, diversos grupos podem ser classificados como minorias: isso inclui a população LGBTQIA+, mulheres, negros, pessoas com deficiência (PCDs), pessoas de</t>
  </si>
  <si>
    <t>ᶻ 𝗓 𐰁</t>
  </si>
  <si>
    <t>huenitos</t>
  </si>
  <si>
    <t>ᅟ ͏ ͏ ͏ ͏ ͏ ͏ ͏ ͏ ͏:P bleh, this user is ͏https://t.co/lkX3xMxjV1  
 ͏ ͏ ͏ ͏ ͏</t>
  </si>
  <si>
    <t>Usiel Rios</t>
  </si>
  <si>
    <t>usielrios</t>
  </si>
  <si>
    <t>"...sem dinheiro no banco, sem parentes importantes..." Indignado com o avanço do fascismo no Brasil, mas com a esperança renovada do que nos trará 2023.</t>
  </si>
  <si>
    <t xml:space="preserve">      5.052</t>
  </si>
  <si>
    <t>Gabriel Kraus</t>
  </si>
  <si>
    <t>gabriel_kraus13</t>
  </si>
  <si>
    <t>colorado 🇮🇩</t>
  </si>
  <si>
    <t xml:space="preserve">      1.138</t>
  </si>
  <si>
    <t>josé altair msampaio</t>
  </si>
  <si>
    <t>jamszeca</t>
  </si>
  <si>
    <t>sou trabalhador bancário e milito na Central Única dos Trabalhadores.</t>
  </si>
  <si>
    <t xml:space="preserve">      2.855</t>
  </si>
  <si>
    <t>naoko 100% megumin</t>
  </si>
  <si>
    <t>naokocos</t>
  </si>
  <si>
    <t>SP/BR 🇧🇷
cosplayer desde 2015 🥰
email pra contato: naoko.cosplay@hotmail.com
Lelouch vi Britannia ❤️
faço live</t>
  </si>
  <si>
    <t xml:space="preserve">      4.307</t>
  </si>
  <si>
    <t>Enrique Rosales Jiménez</t>
  </si>
  <si>
    <t>enrique24875105</t>
  </si>
  <si>
    <t>cubano, revolucionario  de pura sepa, Martiano, fidelista y convencido que un mundo mejor es posible</t>
  </si>
  <si>
    <t>Pedro Jardim</t>
  </si>
  <si>
    <t>ptgarden13</t>
  </si>
  <si>
    <t>Terrivelmente de esquerda</t>
  </si>
  <si>
    <t xml:space="preserve">      3.445</t>
  </si>
  <si>
    <t>carla gastal 🌺</t>
  </si>
  <si>
    <t>carlagastal</t>
  </si>
  <si>
    <t>artesana, mamá de olija, inti &amp; isa y de una bicharada rara, licenciada en lengua y literatura castellana, la abuela cuentacuentos de maría luíza...</t>
  </si>
  <si>
    <t xml:space="preserve">      5.852</t>
  </si>
  <si>
    <t>mushi-san - 🐞🏳️‍⚧️ ✍️ 📚 💬</t>
  </si>
  <si>
    <t>mushisan</t>
  </si>
  <si>
    <t>Redonda e vermelha com bolinhas pretas
Mais conhecida pela curadoria dos RTs, escrevo histórias que ninguém lê (porque o mau-gosto impera :P)
She/her/ela</t>
  </si>
  <si>
    <t xml:space="preserve">      1.568</t>
  </si>
  <si>
    <t>vera araujo 🚩🇧🇷</t>
  </si>
  <si>
    <t>veluc111</t>
  </si>
  <si>
    <t>Militante Independente.
América do Sul</t>
  </si>
  <si>
    <t xml:space="preserve">     12.565</t>
  </si>
  <si>
    <t>Lucas Paniago</t>
  </si>
  <si>
    <t>lucas_pan91</t>
  </si>
  <si>
    <t>I know what I like, and I like what I know!</t>
  </si>
  <si>
    <t xml:space="preserve">      4.175</t>
  </si>
  <si>
    <t>🇧🇷vbrito🇧🇷</t>
  </si>
  <si>
    <t>v_bbrito</t>
  </si>
  <si>
    <t>BRASILEIRO COM MUITO ORGULHO</t>
  </si>
  <si>
    <t>Dani - L</t>
  </si>
  <si>
    <t>daniellapjd</t>
  </si>
  <si>
    <t>brasileira</t>
  </si>
  <si>
    <t xml:space="preserve">      5.475</t>
  </si>
  <si>
    <t>GdsSilva-Capixaba</t>
  </si>
  <si>
    <t>gustavo74501339</t>
  </si>
  <si>
    <t>Deus , pátria e família🇧🇷🇧🇷🇧🇷🇧🇷</t>
  </si>
  <si>
    <t>Fabio I</t>
  </si>
  <si>
    <t>fabioing</t>
  </si>
  <si>
    <t xml:space="preserve">      1.030</t>
  </si>
  <si>
    <t>.'</t>
  </si>
  <si>
    <t>alessandrabrvna</t>
  </si>
  <si>
    <t>um robô (esquerdista) aprendendo português 🤖</t>
  </si>
  <si>
    <t xml:space="preserve">      4.315</t>
  </si>
  <si>
    <t>Eudora</t>
  </si>
  <si>
    <t>eudora</t>
  </si>
  <si>
    <t>Seu brilho é único ✨
Compre online ou encontre a Representante mais próxima de você. 👇
https://t.co/8sB4CKofMF</t>
  </si>
  <si>
    <t xml:space="preserve">     37.133</t>
  </si>
  <si>
    <t>Orlando Simões</t>
  </si>
  <si>
    <t>_osnt_</t>
  </si>
  <si>
    <t>Cearense, ambidestro, capricorniano, sensato (as vezes), Nutrigeneticista e futuro Md.</t>
  </si>
  <si>
    <t xml:space="preserve">      5.723</t>
  </si>
  <si>
    <t>Olimpio Dognini</t>
  </si>
  <si>
    <t>olimpio_dognini</t>
  </si>
  <si>
    <t>Advogado inscrito na OAB/SC, Especialista em Direito Previdenciário, casado com Joyce, pai do João e da Ana. Cristão, conservador e liberal.</t>
  </si>
  <si>
    <t xml:space="preserve">      3.558</t>
  </si>
  <si>
    <t>𝐃𝐚𝐧 Magico</t>
  </si>
  <si>
    <t>earthmixer</t>
  </si>
  <si>
    <t>Earth &amp; Mix ⚣ Anitta</t>
  </si>
  <si>
    <t xml:space="preserve">      2.861</t>
  </si>
  <si>
    <t>Jota Vidal</t>
  </si>
  <si>
    <t>jotavidal88</t>
  </si>
  <si>
    <t>Coordenador logístico de uma grande emissora de TV.
Estudando Direito 🎓⚖. 
Amante do SPFC, musculação e Muay Thai!</t>
  </si>
  <si>
    <t xml:space="preserve">      3.916</t>
  </si>
  <si>
    <t>jordana</t>
  </si>
  <si>
    <t>lmjsecrett</t>
  </si>
  <si>
    <t>só falo de vôlei feminino</t>
  </si>
  <si>
    <t xml:space="preserve">     29.706</t>
  </si>
  <si>
    <t>Boo Seungkwan Baksu</t>
  </si>
  <si>
    <t>boosandans</t>
  </si>
  <si>
    <t>fan account 《seventeen and monstax》</t>
  </si>
  <si>
    <t xml:space="preserve">      1.593</t>
  </si>
  <si>
    <t>joão carlos</t>
  </si>
  <si>
    <t>joocarl85230660</t>
  </si>
  <si>
    <t>Bolsonaro desde 2014</t>
  </si>
  <si>
    <t xml:space="preserve">      2.237</t>
  </si>
  <si>
    <t>SAMIRA ALI BOTELHO</t>
  </si>
  <si>
    <t>ali_botelho</t>
  </si>
  <si>
    <t>SOU DIREITA 
66anos 
#FechadacomBolsonaro
*ESQUERDA É UM CÂNCER 
NÃO desisto
 Brasil acima de tudo
Sigo de volta  Exceto com cadeado
espiritualista 
ITAJUBÁ MG</t>
  </si>
  <si>
    <t xml:space="preserve">      3.189</t>
  </si>
  <si>
    <t>tmz pinto</t>
  </si>
  <si>
    <t>elementosujeito</t>
  </si>
  <si>
    <t>Esquerda Antifascista. Em defesa da educação pública, gratuita e de qualidade.</t>
  </si>
  <si>
    <t xml:space="preserve">      1.696</t>
  </si>
  <si>
    <t>Coren-DF</t>
  </si>
  <si>
    <t>coren_df</t>
  </si>
  <si>
    <t>Perfil oficial do Conselho Regional de Enfermagem do Distrito Federal</t>
  </si>
  <si>
    <t xml:space="preserve">      2.784</t>
  </si>
  <si>
    <t>Ivan Santos</t>
  </si>
  <si>
    <t>arte_prima</t>
  </si>
  <si>
    <t>Dêem flores para os jovens que falharam...      A hipocrisia é a homenagem que o vicio presta à virtude...</t>
  </si>
  <si>
    <t xml:space="preserve">     23.617</t>
  </si>
  <si>
    <t>Elizângela Bleggi</t>
  </si>
  <si>
    <t>elizangelabisc1</t>
  </si>
  <si>
    <t>Quem sou eu uma mãe, mulher que quer um pais de igualdade social, nunca vou desistir destas luta Sou petista de coração e alma</t>
  </si>
  <si>
    <t xml:space="preserve">      1.216</t>
  </si>
  <si>
    <t>Marcelo de Carvalho🇧🇷🌳🚜🔴⚫</t>
  </si>
  <si>
    <t>carv16de</t>
  </si>
  <si>
    <t>Eng Florestal  1977 UFRRJ
#FechadocomBolsonaroAté2026</t>
  </si>
  <si>
    <t xml:space="preserve">      3.827</t>
  </si>
  <si>
    <t>TMD SPORTS ® ( De 🏡 ) 🔰</t>
  </si>
  <si>
    <t>vempratmdsports</t>
  </si>
  <si>
    <t>⚽| Link De Matérial
📊| Assessoria
🎯| Indicações
🔊| Divulgação
💻| Gerenciamento de Mídias Sócias
💡| Mkt Esportivo
🌐 Site TMD ↙</t>
  </si>
  <si>
    <t xml:space="preserve">      2.459</t>
  </si>
  <si>
    <t>Marcos Lima</t>
  </si>
  <si>
    <t>marcosl95254714</t>
  </si>
  <si>
    <t>segue de volta</t>
  </si>
  <si>
    <t xml:space="preserve">      8.629</t>
  </si>
  <si>
    <t>Ivonélio Jr.</t>
  </si>
  <si>
    <t>ivoneliojr</t>
  </si>
  <si>
    <t>Comentários, interações e informações sobre futebol e vôlei... entusiasta do Mercado Financeiro⚽🏐💰 
No peito cravado ⭐️⭐️⭐️⭐️⭐️</t>
  </si>
  <si>
    <t xml:space="preserve">      4.618</t>
  </si>
  <si>
    <t>Barça timão🚩🚩🚩</t>
  </si>
  <si>
    <t>viniforce1</t>
  </si>
  <si>
    <t>Barça Corinthians, FORA CAMPOS NETO! SEM ANISTIA!</t>
  </si>
  <si>
    <t xml:space="preserve">      1.396</t>
  </si>
  <si>
    <t>https://www.kooapp.com/profile/Anna_Lupereira</t>
  </si>
  <si>
    <t>anna_lupereira</t>
  </si>
  <si>
    <t>Seguida por @Lulaoficial
No KOO @Anna_Lupereira
Sempre à esquerda discordar sem ofender 
A luta é de classes
#EsquerdistasSeguemEsquerdistas</t>
  </si>
  <si>
    <t xml:space="preserve">     10.384</t>
  </si>
  <si>
    <t>Eduardo #uranium 🇧🇷</t>
  </si>
  <si>
    <t>dubortoli</t>
  </si>
  <si>
    <t>Investor, enthusiastc of the #uranium thesis, this can be a unique opportunity in Life</t>
  </si>
  <si>
    <t>SEPalestra 41/45 🇧🇷</t>
  </si>
  <si>
    <t>palestrasep51</t>
  </si>
  <si>
    <t>De direita.</t>
  </si>
  <si>
    <t xml:space="preserve">      1.174</t>
  </si>
  <si>
    <t>Be Update (Fan account)</t>
  </si>
  <si>
    <t>believeinrio_</t>
  </si>
  <si>
    <t>Perfil irônico</t>
  </si>
  <si>
    <t>Nina Luz - Rtt tudo!!!!👍</t>
  </si>
  <si>
    <t>ninaluz23695256</t>
  </si>
  <si>
    <t>💯🇧🇷 Brasileira!</t>
  </si>
  <si>
    <t xml:space="preserve">     24.110</t>
  </si>
  <si>
    <t>BRASINHA</t>
  </si>
  <si>
    <t>pauloli67036484</t>
  </si>
  <si>
    <t>De poder ao homem,
E você conhecera seu verdadeiro caráter, Judeu "ATEU", Antifa, Em um relacionamento aberto, tenho pavor de evangélicos !!!!!!!!!!!!</t>
  </si>
  <si>
    <t xml:space="preserve">      1.238</t>
  </si>
  <si>
    <t>(Agente DEL-X) DPFL NEWS #ConservadoresEmAcao</t>
  </si>
  <si>
    <t>agentedel1984</t>
  </si>
  <si>
    <t>Agente de informação 🧑🏻‍💻🇧🇷 
 Página Policial 👮🚔
Participo ativamente da política em SP
e estou de olho em Brasilia
- Setembro 🟨🌞</t>
  </si>
  <si>
    <t xml:space="preserve">     26.214</t>
  </si>
  <si>
    <t>*_*</t>
  </si>
  <si>
    <t>aidarmarina</t>
  </si>
  <si>
    <t>Maturidade</t>
  </si>
  <si>
    <t xml:space="preserve">      4.889</t>
  </si>
  <si>
    <t>Gabriel PT sempre</t>
  </si>
  <si>
    <t>gabriel6828</t>
  </si>
  <si>
    <t xml:space="preserve">      6.741</t>
  </si>
  <si>
    <t>Operário 13 Z 🇧🇷🇷🇺🇨🇺🇷🇺</t>
  </si>
  <si>
    <t>adaofilhosilvei</t>
  </si>
  <si>
    <t>Lulista, Operário da Construção Civil,Trabalhadores unidos🇧🇷🇧🇷 pró Rússia 🇷🇺 brics totalmente anti imperialista,socialista, comunista,juche 🇰🇵.</t>
  </si>
  <si>
    <t>Marcos Martins</t>
  </si>
  <si>
    <t>marcosm92777567</t>
  </si>
  <si>
    <t>Sou motorista de ônibus é bolsonarista</t>
  </si>
  <si>
    <t xml:space="preserve">      1.354</t>
  </si>
  <si>
    <t>MAX MENA</t>
  </si>
  <si>
    <t>maxmena12</t>
  </si>
  <si>
    <t>Brasil acima de tudo!🇧🇷🇧🇷🇧🇷</t>
  </si>
  <si>
    <t xml:space="preserve">      1.497</t>
  </si>
  <si>
    <t>Irene Tozzi</t>
  </si>
  <si>
    <t>tozzi_irene</t>
  </si>
  <si>
    <t>Deus é tudo na minha vida</t>
  </si>
  <si>
    <t xml:space="preserve">      1.553</t>
  </si>
  <si>
    <t>m</t>
  </si>
  <si>
    <t>coelhosoty</t>
  </si>
  <si>
    <t>benito antonio supremacy</t>
  </si>
  <si>
    <t xml:space="preserve">      4.911</t>
  </si>
  <si>
    <t>Alexandre Palma 🇪🇨 ❤️ yo apoyo a Luisa Gonzalez</t>
  </si>
  <si>
    <t>alexpalmatv</t>
  </si>
  <si>
    <t>Mi nombre es Alexandre Palma soy Chileno 🇨🇱 y apoyo a Luisa Gonzalez ❤️ una Mujer Valiente y Guerrera  la Próxima Presidenta del Ecuador 🇪🇨 y Andrés Arauz</t>
  </si>
  <si>
    <t xml:space="preserve">      6.042</t>
  </si>
  <si>
    <t>#LulaRousseff</t>
  </si>
  <si>
    <t>mariluparreiras</t>
  </si>
  <si>
    <t>#FORACamposNeto
Cumpra-se a CONSTITUIÇÃO FEDERAL. Tuiteira independente. 
O mundo é um grande quintal. Não sou nada, só quero que tudo dê certo.</t>
  </si>
  <si>
    <t xml:space="preserve">     20.603</t>
  </si>
  <si>
    <t>CLÁUDIO M.B.</t>
  </si>
  <si>
    <t>cmbortowski</t>
  </si>
  <si>
    <t>CIDADÃO BRASILEIRO,GAÚCHO, HUMANISTA, DEMOCRATA, SOCIAL-PROGRESSISTA, NA DEFESA DO BRASIL SOBERANO, DOS DIREITOS-GARANTIAS DOS TRABALHADORES E MINORIAS SOCIAIS.</t>
  </si>
  <si>
    <t xml:space="preserve">      2.444</t>
  </si>
  <si>
    <t>enio pires</t>
  </si>
  <si>
    <t>piresenio</t>
  </si>
  <si>
    <t xml:space="preserve">      3.166</t>
  </si>
  <si>
    <t>BIA</t>
  </si>
  <si>
    <t>biabionica</t>
  </si>
  <si>
    <t>Verdade, justiça e bem comum. Palmeiras até morrer.
DM🚫</t>
  </si>
  <si>
    <t xml:space="preserve">     15.512</t>
  </si>
  <si>
    <t>Roberta Andrade</t>
  </si>
  <si>
    <t>andradeeroberta</t>
  </si>
  <si>
    <t>Radialista, jornalista, dirigente sindical @stertSergipe, filiado ao @ptbrasil, protetora🐈🐕, psicologia - UNIT, - 
ajudante parlamentar 🔰</t>
  </si>
  <si>
    <t xml:space="preserve">     24.245</t>
  </si>
  <si>
    <t>daaandann</t>
  </si>
  <si>
    <t>Vivão e vivendo 💭🍺 #caiovive #casluvive</t>
  </si>
  <si>
    <t xml:space="preserve">      1.209</t>
  </si>
  <si>
    <t>Lula Livre da Silva</t>
  </si>
  <si>
    <t>lulamariandreia</t>
  </si>
  <si>
    <t>Da vida!</t>
  </si>
  <si>
    <t xml:space="preserve">      2.630</t>
  </si>
  <si>
    <t>Alexandra Peixoto</t>
  </si>
  <si>
    <t>djalepeixoto</t>
  </si>
  <si>
    <t>COMUM  @docomum (instagram e facebook)
@comumbr (twitter)</t>
  </si>
  <si>
    <t xml:space="preserve">      2.272</t>
  </si>
  <si>
    <t>Leão da Arrábida</t>
  </si>
  <si>
    <t>leaodaarrabida</t>
  </si>
  <si>
    <t>The sun is the same in a relative way but you're older
Shorter of breath and one day closer to death</t>
  </si>
  <si>
    <t>lucia 🇧🇷🇧🇷🇺🇸</t>
  </si>
  <si>
    <t>reginalucia</t>
  </si>
  <si>
    <t>“Conservador não tem ideologia, tem valores” Os Conservadores são muito perigosos: Eles trabalham, estudam, respeitam a família e são cristãos.</t>
  </si>
  <si>
    <t>🇧🇷LUCIMARA PEREIRA ROSA🇧🇷</t>
  </si>
  <si>
    <t>lucimar11279256</t>
  </si>
  <si>
    <t>Se você é pro governo Bolsonaro e torce para o Brasil dar certo, eu sigo de volta!</t>
  </si>
  <si>
    <t xml:space="preserve">      1.063</t>
  </si>
  <si>
    <t>Mika</t>
  </si>
  <si>
    <t>itsforyoujustin</t>
  </si>
  <si>
    <t>It's funny to see people that used me for attention and still try to point the finger this way. Sad. All love.</t>
  </si>
  <si>
    <t xml:space="preserve">     11.846</t>
  </si>
  <si>
    <t>Ivete Bolsonaro Melhor Presidente</t>
  </si>
  <si>
    <t>orgulho_2</t>
  </si>
  <si>
    <t>Conservadora,casada cristã
@DavidIvete 1° conta BOLSONARO PRA SEMPRE</t>
  </si>
  <si>
    <t xml:space="preserve">      9.503</t>
  </si>
  <si>
    <t>Adelaide💬</t>
  </si>
  <si>
    <t>abreuad</t>
  </si>
  <si>
    <t>“Só sei que nada sei” (Sócrates)</t>
  </si>
  <si>
    <t xml:space="preserve">      4.334</t>
  </si>
  <si>
    <t>🚩Elizabete Duarte</t>
  </si>
  <si>
    <t>betiduarte</t>
  </si>
  <si>
    <t>Lula Livre Sempre.</t>
  </si>
  <si>
    <t xml:space="preserve">      2.941</t>
  </si>
  <si>
    <t>duuuFN</t>
  </si>
  <si>
    <t>duuufn</t>
  </si>
  <si>
    <t>Fortnite Player | 30K+ on @twitch | $18.000 earnings</t>
  </si>
  <si>
    <t xml:space="preserve">      3.893</t>
  </si>
  <si>
    <t>@SOS_RIO</t>
  </si>
  <si>
    <t>sos_rio</t>
  </si>
  <si>
    <t>Errar é humano, persistir no erro é burrice.</t>
  </si>
  <si>
    <t xml:space="preserve">     10.979</t>
  </si>
  <si>
    <t>Sandra Luiza de almeida</t>
  </si>
  <si>
    <t>sandraluizadea2</t>
  </si>
  <si>
    <t>Athalaia 🚩🌵</t>
  </si>
  <si>
    <t>samtei46</t>
  </si>
  <si>
    <t>Mercado virtual</t>
  </si>
  <si>
    <t xml:space="preserve">      2.971</t>
  </si>
  <si>
    <t>𝘊hris | fwd: 💌</t>
  </si>
  <si>
    <t>is_vem</t>
  </si>
  <si>
    <t>track 13. email's I can't send</t>
  </si>
  <si>
    <t>PBS 22</t>
  </si>
  <si>
    <t>paulopbs2</t>
  </si>
  <si>
    <t>CRISTÃO/app BBNradio/Revista Oeste/BSM/O Brasil é dos patriotas/
LUTE POR SUA LIBERDADE/CF-
Votocontadopúbliconasecão/Pró_Armas_SP/LEALDADE SEMPRE/
Persevere/</t>
  </si>
  <si>
    <t xml:space="preserve">      1.043</t>
  </si>
  <si>
    <t>Marília Tramontini🚩</t>
  </si>
  <si>
    <t>marliatramonti1</t>
  </si>
  <si>
    <t>Non nobis, Domini, non nobis, sed Nomini Tuo ad glorian.</t>
  </si>
  <si>
    <t>Estelita Borges ☮🚩</t>
  </si>
  <si>
    <t>estelitaborges</t>
  </si>
  <si>
    <t>Filosofia e História são minhas paixões. Com muito orgulho faço parte da classe trabalhadora. Sou ateia. Sou feminista. Sou de esquerda. Sou Goiás Esporte Clube</t>
  </si>
  <si>
    <t xml:space="preserve">      7.321</t>
  </si>
  <si>
    <t>Jeffers Junitta | Fan Account</t>
  </si>
  <si>
    <t>jeffersjunitta</t>
  </si>
  <si>
    <t>Fã das Rainhas Anitta e Juliette 👑🔥</t>
  </si>
  <si>
    <t xml:space="preserve">      1.107</t>
  </si>
  <si>
    <t>Mônica Salome</t>
  </si>
  <si>
    <t>mnicasalome2</t>
  </si>
  <si>
    <t>🇧🇷🇧🇷Liberdade!! abra as asas🇧🇷Brasileira,mãe de deficiente, só quero um Brasil mais justo para todos!!Deus acima de tudo🙏 Palmeiras sempre!!💚💚💚💚</t>
  </si>
  <si>
    <t xml:space="preserve">      4.566</t>
  </si>
  <si>
    <t>Laudeci Lula Rousseff</t>
  </si>
  <si>
    <t>laudeci_m</t>
  </si>
  <si>
    <t>Ou mudamos o domínio geopolítico  dos EUA, ou o mundo vai ser quintal estadunidense. Chega da interferência saques e mortes.</t>
  </si>
  <si>
    <t>Marca LULA13</t>
  </si>
  <si>
    <t>marca13613</t>
  </si>
  <si>
    <t>Petista, lulista #lula13</t>
  </si>
  <si>
    <t xml:space="preserve">      4.601</t>
  </si>
  <si>
    <t>Eudi José Moronta Suarez</t>
  </si>
  <si>
    <t>futuritos</t>
  </si>
  <si>
    <t>Artista plástico, proyectista en publicidad exterior, arte digital. Chavista, Humanista, Bolivariano y Socialista. Proyectos de Arte y Publicidad Exterior</t>
  </si>
  <si>
    <t>RosaMendes2🚩⭐#LULA ♥️🚩</t>
  </si>
  <si>
    <t>bloisimendes</t>
  </si>
  <si>
    <t>2a conta⭐Viveremos e Venceremos!⭐Vamos Juntos Reconstruir o Brasil👊🏽#LULISTA❤️ #PTseguePT #LULA13🌟 #EsquerdistasSeguemEsquerdistas SDV 👊🏽✨</t>
  </si>
  <si>
    <t xml:space="preserve">     26.041</t>
  </si>
  <si>
    <t>Free Speech</t>
  </si>
  <si>
    <t>cpayens</t>
  </si>
  <si>
    <t>Só um batalhador. Conservador - Vida, liberdade e direito a busca da felicidade.</t>
  </si>
  <si>
    <t>anitocame is back for more</t>
  </si>
  <si>
    <t>anitocame_</t>
  </si>
  <si>
    <t>keep talkin' cause i ain't gon' hear what you say</t>
  </si>
  <si>
    <t xml:space="preserve">      3.795</t>
  </si>
  <si>
    <t>Lucas Lima🇧🇷🇧🇷</t>
  </si>
  <si>
    <t>lucaslima8115</t>
  </si>
  <si>
    <t>Sou de São Paulo SP moro em São Sebastião SP  . 
Palmeirense Lula Presidente 🌟
FÃ DO BIG BROTHER BRASIL  #TeamLucasLima</t>
  </si>
  <si>
    <t xml:space="preserve">      2.146</t>
  </si>
  <si>
    <t>Daniela 🇧🇷🇺🇸</t>
  </si>
  <si>
    <t>dani_danibr</t>
  </si>
  <si>
    <t>⚖️👩🏻‍⚖️Immigration Law • Global Mobility Expatriates | #AntiWEF #AntiGlobalist | Team 𝕏 #Spaceshost</t>
  </si>
  <si>
    <t xml:space="preserve">      6.915</t>
  </si>
  <si>
    <t>Comunadeusaaaaaaaa</t>
  </si>
  <si>
    <t>nideoliveira71</t>
  </si>
  <si>
    <t>#AlmaSuína, anarcotroska, jornalista irresponsável e tia do pavê. Diretora Sindjors. Co-autora do livro HISTÓRIAS DE MORTE MATADA CONTADAS FEITO MORTE MORRIDA.</t>
  </si>
  <si>
    <t xml:space="preserve">      4.851</t>
  </si>
  <si>
    <t>Meninos na Papuda, meninas na Colméia!</t>
  </si>
  <si>
    <t>marioasouza72</t>
  </si>
  <si>
    <t>O inferno está vazio e todos os demônios estão aqui!</t>
  </si>
  <si>
    <t xml:space="preserve">      6.740</t>
  </si>
  <si>
    <t>Nilton Mário Miranda</t>
  </si>
  <si>
    <t>niltin57</t>
  </si>
  <si>
    <t xml:space="preserve">      2.295</t>
  </si>
  <si>
    <t>pepito83</t>
  </si>
  <si>
    <t>pepito831</t>
  </si>
  <si>
    <t>Cubano 🇨🇺100% luchador incansable de las ideas de Martí,  Fidel y Raúl. Sígueme y te sigo…  #PasiónXCuba 🇨🇺 #DeZurdaTeam🤝🦉</t>
  </si>
  <si>
    <t xml:space="preserve">      4.528</t>
  </si>
  <si>
    <t>Lucas Mendonça</t>
  </si>
  <si>
    <t>talqueira</t>
  </si>
  <si>
    <t>SBT a paixão é aqui 😍❤
#ChampionsNoSBT #SulAmericanaNoSBT #EuropaLeagueNoSBT  fã de esportes, Flamenguista, Sbtista 💓 Rio 40° 
carioca e paraense</t>
  </si>
  <si>
    <t xml:space="preserve">      1.173</t>
  </si>
  <si>
    <t>Lucia Resende 13</t>
  </si>
  <si>
    <t>mluciares</t>
  </si>
  <si>
    <t>Sonhar sempre. Lutar, lutar. Acreditar na utopia possível. Indignar-se e resistir. Fazer a hora. Sempre 13</t>
  </si>
  <si>
    <t xml:space="preserve">      5.476</t>
  </si>
  <si>
    <t>Simone 3ªConta!</t>
  </si>
  <si>
    <t>simonetupper</t>
  </si>
  <si>
    <t xml:space="preserve">      3.316</t>
  </si>
  <si>
    <t>Romero Souza 🇧🇷</t>
  </si>
  <si>
    <t>romerossouza</t>
  </si>
  <si>
    <t>Cristão Casado Conservador Patriota Apoio Incondicional a Bolsonaro🇧🇷💛💚
🇧🇷 🆙 De Tudo E Deus 🆙 De Todos
Meu Pr É Jair Bolsonaro
SDV para perfil a Direita</t>
  </si>
  <si>
    <t xml:space="preserve">     15.177</t>
  </si>
  <si>
    <t>Luiza Fritzen</t>
  </si>
  <si>
    <t>luhfritzen</t>
  </si>
  <si>
    <t>Mulher de pautas</t>
  </si>
  <si>
    <t xml:space="preserve">      2.333</t>
  </si>
  <si>
    <t>McCoy</t>
  </si>
  <si>
    <t>caravanamccoy</t>
  </si>
  <si>
    <t>Bolsonarista, Patriota e só.
Músico 🎸e Socorrista🚑 nas horas vagas (não necessariamente nessa ordem).
Deus, Pátria, Família.
getrr @McCoy_Musico</t>
  </si>
  <si>
    <t xml:space="preserve">      7.546</t>
  </si>
  <si>
    <t>Roberto Barros @oficial</t>
  </si>
  <si>
    <t>robertobarros13</t>
  </si>
  <si>
    <t xml:space="preserve">      1.614</t>
  </si>
  <si>
    <t>但Esperança 🌎</t>
  </si>
  <si>
    <t>hopeluta_</t>
  </si>
  <si>
    <t>🚩💉😷🍀 #FORACAMPOSNETO #ToComMST</t>
  </si>
  <si>
    <t xml:space="preserve">      9.798</t>
  </si>
  <si>
    <t>💜</t>
  </si>
  <si>
    <t>danifernandacrf</t>
  </si>
  <si>
    <t>👩‍👧‍👦❣️</t>
  </si>
  <si>
    <t xml:space="preserve">      1.377</t>
  </si>
  <si>
    <t>uma DOIDA *new era*</t>
  </si>
  <si>
    <t>srkingkong</t>
  </si>
  <si>
    <t>bluesky: warriorqueen</t>
  </si>
  <si>
    <t xml:space="preserve">      1.543</t>
  </si>
  <si>
    <t>Niv Al</t>
  </si>
  <si>
    <t>alvanive</t>
  </si>
  <si>
    <t>Apaixonado pelo Brasil /
RT não é endosso</t>
  </si>
  <si>
    <t xml:space="preserve">      1.351</t>
  </si>
  <si>
    <t>valmirgs</t>
  </si>
  <si>
    <t xml:space="preserve">      2.379</t>
  </si>
  <si>
    <t>Stella de Mendonça Lula da Silva</t>
  </si>
  <si>
    <t>stellamendonca</t>
  </si>
  <si>
    <t>Restauradora de Bens Culturais, escritora, consultora, perita e pesquisadora da obra e vida de Anita Malfatti. (Expertise)</t>
  </si>
  <si>
    <t xml:space="preserve">     17.494</t>
  </si>
  <si>
    <t>N.I.C.K</t>
  </si>
  <si>
    <t>preciousleighad</t>
  </si>
  <si>
    <t>When all is settle and done, you’ll believe god is a woman</t>
  </si>
  <si>
    <t>Hernani Oliveira</t>
  </si>
  <si>
    <t>hernanifmo</t>
  </si>
  <si>
    <t>Environmental Health Consultant
Biodiversity Loss - Climate Change - One Health</t>
  </si>
  <si>
    <t xml:space="preserve">      2.167</t>
  </si>
  <si>
    <t>Costa Max 🚩🚩🇧🇷</t>
  </si>
  <si>
    <t>costamax2206</t>
  </si>
  <si>
    <t>Bolsominions não são bem vindos, adoro os animais e Corinthians no ❤</t>
  </si>
  <si>
    <t xml:space="preserve">      5.786</t>
  </si>
  <si>
    <t>Juçara</t>
  </si>
  <si>
    <t>jucaravlf</t>
  </si>
  <si>
    <t>aposentada ‘quero um país melhor…🎼🎼🎼</t>
  </si>
  <si>
    <t xml:space="preserve">      1.853</t>
  </si>
  <si>
    <t>Katia garrido🚩</t>
  </si>
  <si>
    <t>katiasimonegar1</t>
  </si>
  <si>
    <t>professora, de esquerda,  antifascista,</t>
  </si>
  <si>
    <t xml:space="preserve">      1.092</t>
  </si>
  <si>
    <t>A luta continua...</t>
  </si>
  <si>
    <t>alutacontinua01</t>
  </si>
  <si>
    <t>Por dias melhores!!!</t>
  </si>
  <si>
    <t xml:space="preserve">      6.613</t>
  </si>
  <si>
    <t>Edeson Oliveira Jr.🇧🇷🇧🇷🇧🇷🇧🇷</t>
  </si>
  <si>
    <t>soares_edeson</t>
  </si>
  <si>
    <t>Brasileiro , Patriota, Carioca e Flamenguista com muito orgulho!!
Gosto de ser Romântico, cavalheiro e carinhoso!Muito amoroso e gosto de poesia!❤❤</t>
  </si>
  <si>
    <t xml:space="preserve">      2.337</t>
  </si>
  <si>
    <t>Victor Kietzmann Jr</t>
  </si>
  <si>
    <t>victorkj</t>
  </si>
  <si>
    <t>Sócio Portal SmallCaps @portalsmallcaps</t>
  </si>
  <si>
    <t xml:space="preserve">      2.271</t>
  </si>
  <si>
    <t>Mursi Braz</t>
  </si>
  <si>
    <t>brazmursi</t>
  </si>
  <si>
    <t>Ariana, casada, mãe, feminista, defensora dos direitos humanos, contra os retrocessos e  a favor da vacina adquirida com lisura</t>
  </si>
  <si>
    <t xml:space="preserve">      1.629</t>
  </si>
  <si>
    <t>sergio yamamoto</t>
  </si>
  <si>
    <t>sergioyamamoto9</t>
  </si>
  <si>
    <t>Nascido em São Paulo/SP, conservador,direita</t>
  </si>
  <si>
    <t>Baby Investidor</t>
  </si>
  <si>
    <t>baby_investidor</t>
  </si>
  <si>
    <t>Ajudo você e seus filhos a investirem melhor</t>
  </si>
  <si>
    <t xml:space="preserve">      6.374</t>
  </si>
  <si>
    <t>Francesca Cassano 🇪🇺🇮🇹🇬🇧</t>
  </si>
  <si>
    <t>ukitaeu</t>
  </si>
  <si>
    <t>(millennial in spirit)</t>
  </si>
  <si>
    <t xml:space="preserve">      2.294</t>
  </si>
  <si>
    <t>Duff │ O Cara que COLAPSOU 16 Milhões! ⭐🚀💚</t>
  </si>
  <si>
    <t>ocervejeiro_</t>
  </si>
  <si>
    <t>GT: Leandrus Duff
ID: NGRofficial</t>
  </si>
  <si>
    <t xml:space="preserve">     13.893</t>
  </si>
  <si>
    <t>Wilma Moraes🇧🇷🌈💙💛🤍</t>
  </si>
  <si>
    <t>wilmaamoraes</t>
  </si>
  <si>
    <t>Analista Fiscal Tributária</t>
  </si>
  <si>
    <t xml:space="preserve">      2.112</t>
  </si>
  <si>
    <t>Kevin Pantoja Padrón 💯 🇨🇺 🇻🇪</t>
  </si>
  <si>
    <t>padronpantoja</t>
  </si>
  <si>
    <t>José♥️🇧🇷</t>
  </si>
  <si>
    <t>petucios</t>
  </si>
  <si>
    <t>Não diga que a vitória está perdida, tenha fé em Deus.
E a vitória só conseguimos todos juntos e misturados.</t>
  </si>
  <si>
    <t xml:space="preserve">      4.552</t>
  </si>
  <si>
    <t>Carlos Henrique lima de melo.</t>
  </si>
  <si>
    <t>shama_carlos</t>
  </si>
  <si>
    <t>Amo o que faço e  faço o que amo.</t>
  </si>
  <si>
    <t>Fran Barbosa</t>
  </si>
  <si>
    <t>franbar76500532</t>
  </si>
  <si>
    <t xml:space="preserve">      1.059</t>
  </si>
  <si>
    <t>Marcio Costa 🇧🇷🇧🇷</t>
  </si>
  <si>
    <t>marciofeco</t>
  </si>
  <si>
    <t>Brasil acima de tudo! Deus acima de todos 🇧🇷🇧🇷🇧🇷</t>
  </si>
  <si>
    <t xml:space="preserve">      1.492</t>
  </si>
  <si>
    <t>🚩Jorge Romanholi 🚩🚩🚩👈</t>
  </si>
  <si>
    <t>jorgeromanholi2</t>
  </si>
  <si>
    <t>Realidade e o que interessa .Não acredito em fakes . Progressista desde criança . Filiado ao PT . #Lula 2022 é em que votarei .</t>
  </si>
  <si>
    <t xml:space="preserve">      6.997</t>
  </si>
  <si>
    <t>Rita de Cássia Pinheiro🇧🇷🦆🦆</t>
  </si>
  <si>
    <t>ritadecassiapl</t>
  </si>
  <si>
    <t xml:space="preserve">      5.995</t>
  </si>
  <si>
    <t>¯̷\̷_̷(̷ツ̷)̷_̷/̷¯̷༗̷☬̷☢̷L̷i̷g̷i̷a̷g̷u̷e̷r̷r̷a̷</t>
  </si>
  <si>
    <t>ligiaguerra7</t>
  </si>
  <si>
    <t>direita🇧🇷🇧🇷🇧🇷🇧🇷. RESISTÊNCIA CÍVIL! NÃO PAGO IMPOSTOS! LADRÃO SEU LUGAR É NA PRISÃO!</t>
  </si>
  <si>
    <t xml:space="preserve">      8.962</t>
  </si>
  <si>
    <t>Elizabeth Santos</t>
  </si>
  <si>
    <t>elizabe54726333</t>
  </si>
  <si>
    <t>A paz começa em nós🙏🏼</t>
  </si>
  <si>
    <t xml:space="preserve">      4.374</t>
  </si>
  <si>
    <t>Luiz Gustavo Brito, MD,MSc,PhD</t>
  </si>
  <si>
    <t>lgobrito</t>
  </si>
  <si>
    <t>Assoc  Prof , Unicamp. RT#Endors. Personal and Professional page here.</t>
  </si>
  <si>
    <t xml:space="preserve">      1.596</t>
  </si>
  <si>
    <t>jose hilton_Padim_Padre_Ciço🇧🇷🏦🍌🦀🏦</t>
  </si>
  <si>
    <t>jotahsilva</t>
  </si>
  <si>
    <t>Bancário aposentado e servidor público estadual. Administrador de empresas e bacharel em direito. 
Pós graduado em Finanças Empresariais.</t>
  </si>
  <si>
    <t>ؘ</t>
  </si>
  <si>
    <t>drewfamosinho</t>
  </si>
  <si>
    <t xml:space="preserve">     29.279</t>
  </si>
  <si>
    <t>Manu Gupta 📚</t>
  </si>
  <si>
    <t>mgupt108</t>
  </si>
  <si>
    <t>Excited to explore new challenges, Grateful for past recognitions, awards, and roles. Looking forward to new opportunities to contribute.</t>
  </si>
  <si>
    <t>Flávio Henrique</t>
  </si>
  <si>
    <t>brainbighead</t>
  </si>
  <si>
    <t>Católico, flamenguista, patriota, capitalista, defensor da meritocracia, enfim #Bolsonaro4ever!!!😁</t>
  </si>
  <si>
    <t xml:space="preserve">      1.798</t>
  </si>
  <si>
    <t>AndréPessôa2016</t>
  </si>
  <si>
    <t>andrepessoa2012</t>
  </si>
  <si>
    <t>Amigo de todos, socialista convicto, amante da natureza, gosto de ler, poesias e de VOCÊ!!!!</t>
  </si>
  <si>
    <t xml:space="preserve">      2.174</t>
  </si>
  <si>
    <t>Manuel de S Lopes</t>
  </si>
  <si>
    <t>manueldeslopes</t>
  </si>
  <si>
    <t xml:space="preserve">      3.254</t>
  </si>
  <si>
    <t>Roberto</t>
  </si>
  <si>
    <t>robertothomaz</t>
  </si>
  <si>
    <t>Conservador !!!</t>
  </si>
  <si>
    <t xml:space="preserve">      3.069</t>
  </si>
  <si>
    <t>Um Novo Brasil!</t>
  </si>
  <si>
    <t>brandao_xanxere</t>
  </si>
  <si>
    <t>Professor, psicólogo. Luto por um Estado forte, democrático e popular, comprometido com a vida de todas as criaturas. Quem mandou matar Marielle e Anderson?</t>
  </si>
  <si>
    <t xml:space="preserve">      8.626</t>
  </si>
  <si>
    <t>rosefoltran</t>
  </si>
  <si>
    <t>Só a luta muda a vida</t>
  </si>
  <si>
    <t xml:space="preserve">      1.472</t>
  </si>
  <si>
    <t>Kelvin</t>
  </si>
  <si>
    <t>kelvinoprof</t>
  </si>
  <si>
    <t>Geminiano ♊;
Professor de português e inglês;
Licenciado em Letras - UNINASSAU
Amo RPG;
Noveleiro;</t>
  </si>
  <si>
    <t>Gabi🙅🏻‍♀️🙅🏻‍♀️💋❤</t>
  </si>
  <si>
    <t>fla10005</t>
  </si>
  <si>
    <t>Uma vez Flamengo
Sempre Flamengo
Flamengo sempre, eu hei de ser
É o meu maior prazer, vê-lo brilhar
Seja na terra, seja no mar....</t>
  </si>
  <si>
    <t xml:space="preserve">      4.302</t>
  </si>
  <si>
    <t>Bruno Marchezini Fumagalli 🌹✊🏻</t>
  </si>
  <si>
    <t>brunomarchezin2</t>
  </si>
  <si>
    <t>Desbravando o Twitter por um Projeto Nacional de Desenvolvimento!! 🌹✊🏻
Economista e Mackenzista que nasceu no interior de SP e cresceu no Campo Limpo/SP ✊🏻</t>
  </si>
  <si>
    <t xml:space="preserve">      1.979</t>
  </si>
  <si>
    <t>Bruno César Selbach</t>
  </si>
  <si>
    <t>bbccssx</t>
  </si>
  <si>
    <t xml:space="preserve">      4.487</t>
  </si>
  <si>
    <t>Persona</t>
  </si>
  <si>
    <t>personalescrito</t>
  </si>
  <si>
    <t>anti-capitalist, anti-fascist, #indigenous, #indígenas, climate, #humanrights, América Latina, #Latinoamerica, Amazonia, Brazil, #FreePalestine, BLM</t>
  </si>
  <si>
    <t xml:space="preserve">     21.689</t>
  </si>
  <si>
    <t>Débora Santos</t>
  </si>
  <si>
    <t>deborabi</t>
  </si>
  <si>
    <t>Vermelho é a cor mais quente! 
História da Arte,
História Moderna e Contemporânea</t>
  </si>
  <si>
    <t>Josiê Pinheiro</t>
  </si>
  <si>
    <t>josiepdj</t>
  </si>
  <si>
    <t>Graduado em Redes de Computadores pela faculdade CDL, amo todo tipo de animal, amo astronomia, amo mangás, amo músicas(rock). Democracia sempre.</t>
  </si>
  <si>
    <t xml:space="preserve">      5.914</t>
  </si>
  <si>
    <t>tht</t>
  </si>
  <si>
    <t>faisobarbz</t>
  </si>
  <si>
    <t xml:space="preserve">      1.412</t>
  </si>
  <si>
    <t>alex ⚭ • viu am</t>
  </si>
  <si>
    <t>autistcmonkeys</t>
  </si>
  <si>
    <t>their obsessions follow patterns, sat upon their stools, with their attitudes</t>
  </si>
  <si>
    <t xml:space="preserve">      2.589</t>
  </si>
  <si>
    <t>Lia Leite Fizueli</t>
  </si>
  <si>
    <t>liafarias2011</t>
  </si>
  <si>
    <t>Geógrafa, Doula, ativista pelo parto ativo e respeitoso
✌🏼🚩</t>
  </si>
  <si>
    <t>Esmeralda Rubro🚩</t>
  </si>
  <si>
    <t>esmeralda_rubro</t>
  </si>
  <si>
    <t xml:space="preserve">      1.419</t>
  </si>
  <si>
    <t>Fabio Accalai</t>
  </si>
  <si>
    <t>faboz</t>
  </si>
  <si>
    <t>Informatico, fotografo, imprenditore,, papà di Nathan, AI &amp; blockchain evangelist.
Dirigente Sindacale CGIL FILCAMS 
#Progressisti #Sardegna</t>
  </si>
  <si>
    <t xml:space="preserve">      6.368</t>
  </si>
  <si>
    <t>Palopes</t>
  </si>
  <si>
    <t>paulolo91083863</t>
  </si>
  <si>
    <t xml:space="preserve">      4.802</t>
  </si>
  <si>
    <t>Bel_Mag1️⃣3️⃣🦻👩🏼‍🦯PcD🚩🇧🇷</t>
  </si>
  <si>
    <t>belamag1963</t>
  </si>
  <si>
    <t>ATENÇÃO:🚨 MoroMinions e BolsoNarentos, NÃO ME SIGAM, Block é certo! Vaza, Aqui é Militante Petista a 43 anos e filiada a 31 anos. 
Lula Presidente Sempre 🦑❤️</t>
  </si>
  <si>
    <t xml:space="preserve">      2.510</t>
  </si>
  <si>
    <t>Adriano Melgaço</t>
  </si>
  <si>
    <t>adrianomelgaco</t>
  </si>
  <si>
    <t>Capixaba, Flamenguista, Coordenador de BI e Data Analytics, Scrum Master e apaixonado por Inovação e Tecnologia.</t>
  </si>
  <si>
    <t>Valdir Lazarini</t>
  </si>
  <si>
    <t>valdirlazarini</t>
  </si>
  <si>
    <t>MaAlves</t>
  </si>
  <si>
    <t>dezinha95745711</t>
  </si>
  <si>
    <t>Não vivam preocupados com coisa alguma; em vez disso, orem a Deus pedindo aquilo de que precisam e agradecendo-lhe por tudo que ele já fez.  Filipenses 4:6</t>
  </si>
  <si>
    <t xml:space="preserve">      2.230</t>
  </si>
  <si>
    <t>Jefferson</t>
  </si>
  <si>
    <t>jefgabos</t>
  </si>
  <si>
    <t>!!!</t>
  </si>
  <si>
    <t xml:space="preserve">      1.954</t>
  </si>
  <si>
    <t>psicologa de araque</t>
  </si>
  <si>
    <t>giovannnabraga</t>
  </si>
  <si>
    <t>diário pessoal, não recomendo a leitura.</t>
  </si>
  <si>
    <t xml:space="preserve">      7.484</t>
  </si>
  <si>
    <t>Tito</t>
  </si>
  <si>
    <t>astritxhaferri</t>
  </si>
  <si>
    <t xml:space="preserve">      2.406</t>
  </si>
  <si>
    <t>Romano 🇧🇷</t>
  </si>
  <si>
    <t>otaviolopes</t>
  </si>
  <si>
    <t>👌The RIGHT side!!!👌🇧🇷</t>
  </si>
  <si>
    <t xml:space="preserve">      1.918</t>
  </si>
  <si>
    <t>TEREZINHA NOGUEIRA</t>
  </si>
  <si>
    <t>terezinhanogu16</t>
  </si>
  <si>
    <t>Cidadã brasileira politizada. Sigo todas as redes de Ciro Gomes.
SOU CIRO GOMES 12. FILIADA AO PDT. #PrefiroCiro #ForaBolsonaro #PrefiroCiro</t>
  </si>
  <si>
    <t>Harrison Ravelle</t>
  </si>
  <si>
    <t>harrisonravelle</t>
  </si>
  <si>
    <t>Mestre</t>
  </si>
  <si>
    <t>missioneiro22</t>
  </si>
  <si>
    <t>Porto Alegre</t>
  </si>
  <si>
    <t xml:space="preserve">      1.182</t>
  </si>
  <si>
    <t>PedroLulaPovoFeliz🚩</t>
  </si>
  <si>
    <t>pedrojo06512765</t>
  </si>
  <si>
    <t>Esquerdista !!!
🚩
Microempreendedor
temos q t 1 plano B
Pai de casal
Odeio Injustiça 
Defensor da Democracia
Fé Esperança e Perseverança smp
Tamo junto 👍m hj</t>
  </si>
  <si>
    <t xml:space="preserve">     20.460</t>
  </si>
  <si>
    <t>الذيب الازرق 💙 d</t>
  </si>
  <si>
    <t>ed41584312</t>
  </si>
  <si>
    <t>‏‏‏‏‏‏‏‏‏‏‏‏‏it is enough im hilali💙
🍷انقل من كل بحر قطرة
ومن كل زهرة لمسة
20 شخصية في1
تويتر تسلية وسواليف 🚫
اكتب ما أرغب هو رايي 
🔴انت رد رايك حسب تربيتك</t>
  </si>
  <si>
    <t xml:space="preserve">      4.716</t>
  </si>
  <si>
    <t>Eduardo Barbosa</t>
  </si>
  <si>
    <t>eduardo63558262</t>
  </si>
  <si>
    <t>geógrafo</t>
  </si>
  <si>
    <t xml:space="preserve">      2.382</t>
  </si>
  <si>
    <t>Leonidas</t>
  </si>
  <si>
    <t>leonidasrds</t>
  </si>
  <si>
    <t>𝑹𝒐𝒃𝒆𝒓𝒕𝒂 𝑭𝒂𝒛𝒊𝒐 🫶</t>
  </si>
  <si>
    <t>robertafazio7</t>
  </si>
  <si>
    <t>La vita è questa.
Nulla è facile.
Niente è impossibile.🫶</t>
  </si>
  <si>
    <t>Cleusabj</t>
  </si>
  <si>
    <t>cleusabj</t>
  </si>
  <si>
    <t>Se vida extraterrestre procura seres inteligentes pq eles viriam no Brasil? 
1️⃣3️⃣💟💟</t>
  </si>
  <si>
    <t xml:space="preserve">      4.402</t>
  </si>
  <si>
    <t>eberOr@te⭐️</t>
  </si>
  <si>
    <t>eberorate</t>
  </si>
  <si>
    <t>Tantas vezes chorei. 
Quase desesperei. 
E jurei nunca mais seus carinhos.😍</t>
  </si>
  <si>
    <t xml:space="preserve">      3.343</t>
  </si>
  <si>
    <t>julgoleve</t>
  </si>
  <si>
    <t>ativista dos cartazes</t>
  </si>
  <si>
    <t xml:space="preserve">      4.862</t>
  </si>
  <si>
    <t>paulinda afoita</t>
  </si>
  <si>
    <t>paulaposer</t>
  </si>
  <si>
    <t>o Obama me segue então eu devo valer alguma coisa (confere na minha newsletter!) ✨ ela/dela ✨ sim, você já me viu em algum lugar ✨ @_ArthurMourao 💍</t>
  </si>
  <si>
    <t xml:space="preserve">      1.428</t>
  </si>
  <si>
    <t>RagnarLodbrok</t>
  </si>
  <si>
    <t>eltonscalcon</t>
  </si>
  <si>
    <t>Conservador, patriota e alguém que detesta o politicamente correto...</t>
  </si>
  <si>
    <t xml:space="preserve">      1.438</t>
  </si>
  <si>
    <t>Peck</t>
  </si>
  <si>
    <t>hidro_peck</t>
  </si>
  <si>
    <t>Ambientalista de direita 🇧🇷🇧🇷.
Sigo todos que me seguem e aberto a consultas</t>
  </si>
  <si>
    <t xml:space="preserve">      4.848</t>
  </si>
  <si>
    <t>MaLelê 🦑 🌵 🚩</t>
  </si>
  <si>
    <t>lelecoutz</t>
  </si>
  <si>
    <t>Esquerdopata, Lulista, Dilmista #TeimaDilma #ResistenciaZeDirceu #LulaPresidente</t>
  </si>
  <si>
    <t xml:space="preserve">     33.288</t>
  </si>
  <si>
    <t>Santosleandro Leandro</t>
  </si>
  <si>
    <t>santosleandroww</t>
  </si>
  <si>
    <t>Sou uma pessoa maravilhosa gosto de conversar, e sei que o bom da vida è ser verdadeiro !casado</t>
  </si>
  <si>
    <t xml:space="preserve">      1.157</t>
  </si>
  <si>
    <t>triz know places⚢ 🗽</t>
  </si>
  <si>
    <t>cowboyliketriz</t>
  </si>
  <si>
    <t>𝘮𝘺 𝘸𝘰𝘳𝘥𝘴 𝘴𝘩𝘰𝘰𝘵 𝘵𝘰 𝘬𝘪𝘭𝘭 𝘸𝘩𝘦𝘯 𝘪𝘮 𝘮𝘢𝘥 𝘩𝘢𝘷𝘦 𝘢 𝘭𝘰𝘵 𝘰𝘧 𝘳𝘦𝘨𝘳𝘦𝘵𝘴 𝘢𝘣𝘵 𝘵𝘩𝘢𝘵</t>
  </si>
  <si>
    <t>Sonia Díaz</t>
  </si>
  <si>
    <t>emereci</t>
  </si>
  <si>
    <t>I attack everything in life with a mix of extraordinary genius and naive incompetence, and it's often difficult to tell which is which (D. Adams)</t>
  </si>
  <si>
    <t xml:space="preserve">      1.505</t>
  </si>
  <si>
    <t>Eliseu D Barbosa</t>
  </si>
  <si>
    <t>eliseudbarbosa2</t>
  </si>
  <si>
    <t>Quintino Cristovam</t>
  </si>
  <si>
    <t>cristovamm</t>
  </si>
  <si>
    <t>SDV</t>
  </si>
  <si>
    <t xml:space="preserve">      6.963</t>
  </si>
  <si>
    <t>Andrea Ferraz</t>
  </si>
  <si>
    <t>onlydea_f</t>
  </si>
  <si>
    <t xml:space="preserve">      4.296</t>
  </si>
  <si>
    <t>Miranda, Matheus #RIPMIURA #RIPBILLRUSSELL #MYGOAT</t>
  </si>
  <si>
    <t>matheng_crf</t>
  </si>
  <si>
    <t>Engenheiro Civil, Engenheiro Elétrico, flamenguista, amante de café, entusiasta de futebol e analista nas horas vagas.
RT não é endossar.</t>
  </si>
  <si>
    <t xml:space="preserve">      4.411</t>
  </si>
  <si>
    <t>mateux com x</t>
  </si>
  <si>
    <t>mateuxmoura</t>
  </si>
  <si>
    <t>sou muitas coisas mas ao mesmo tempo eu não sou nada!</t>
  </si>
  <si>
    <t xml:space="preserve">      1.967</t>
  </si>
  <si>
    <t>Malu 🌘 🦑🚩</t>
  </si>
  <si>
    <t>malutreta</t>
  </si>
  <si>
    <t xml:space="preserve">      1.855</t>
  </si>
  <si>
    <t>💙Vika808🍀</t>
  </si>
  <si>
    <t>vika8081</t>
  </si>
  <si>
    <t>Simplesmente mulher, às vezes santa, noutras não.
Repleta de guerra e paz</t>
  </si>
  <si>
    <t>Anahuac</t>
  </si>
  <si>
    <t>anahuacpg</t>
  </si>
  <si>
    <t>Se não conseguimos defender nossa causa, então devemos mudar os defensores, não a causa</t>
  </si>
  <si>
    <t>Ellen Karoline🌵🌵🌵💓💓</t>
  </si>
  <si>
    <t>ellenkaroline1</t>
  </si>
  <si>
    <t>Lidia Chaib</t>
  </si>
  <si>
    <t>lidiachaib</t>
  </si>
  <si>
    <t>Escreveu os livros “Ogum, o rei de muitas faces”, “As melhores histórias de todos os tempos” e “Um dia na vida de um curumim”; Antirracista!</t>
  </si>
  <si>
    <t xml:space="preserve">      1.411</t>
  </si>
  <si>
    <t>Anistia Nunca Mais. PFF2 Sempre.- SUSBH</t>
  </si>
  <si>
    <t>lucianefss</t>
  </si>
  <si>
    <t>Professora,Bióloga,funcionária da PBH,mãe da Beatriz,atleticana, de esquerda. Sempre com @AntifaGalo, @resistalvinegra e @grupagalo.</t>
  </si>
  <si>
    <t xml:space="preserve">      1.767</t>
  </si>
  <si>
    <t>Elda Elizama Pinto 2⃣2⃣</t>
  </si>
  <si>
    <t>eldapianista</t>
  </si>
  <si>
    <t>Direita
Badoo: /01123241785
Face: /eldapianista
Gab: /EldaElizama
Hi5: /eldapianista
Minds: /eldaelizamapinto/
Parler: /Eldapianista
Patriabook: /EldaPianista</t>
  </si>
  <si>
    <t xml:space="preserve">      3.548</t>
  </si>
  <si>
    <t>gege</t>
  </si>
  <si>
    <t>mcolwcci</t>
  </si>
  <si>
    <t>she-her ꗃ fan acc | rbd - sp, n4 &amp; n6 + the eras - sp, n2</t>
  </si>
  <si>
    <t xml:space="preserve">      2.144</t>
  </si>
  <si>
    <t>🇦🇹🇦🇹Tia️goRetwInterˢᶜᶦ🇦🇹🇦🇹</t>
  </si>
  <si>
    <t>tiagoretwinter</t>
  </si>
  <si>
    <t>Perfil especializado em retweet sobre o maior do Sul.
#Internacional 
#GuriasColoradas</t>
  </si>
  <si>
    <t xml:space="preserve">      1.893</t>
  </si>
  <si>
    <t>HUDSON MARQUES</t>
  </si>
  <si>
    <t>bneydavid</t>
  </si>
  <si>
    <t>JORGE E MESSIE MEUS AMORES PARA SEMPRE. Sou casado e Petista.
@ConexaoPetista</t>
  </si>
  <si>
    <t xml:space="preserve">      2.827</t>
  </si>
  <si>
    <t>Deixa 🐦🦜🍀</t>
  </si>
  <si>
    <t>benfica__38</t>
  </si>
  <si>
    <t>NÃO QUERO FICAR PERTO DE VOCÊ ( só para os bolsominions)</t>
  </si>
  <si>
    <t>Slavey Avenasti</t>
  </si>
  <si>
    <t>francaverdade</t>
  </si>
  <si>
    <t>Com o tempo, uma imprensa cínica, mercenária, demagógica e corrupta formará um público tão vil como ela mesma. Joseph Pulitzer Retuite não significa endosso!</t>
  </si>
  <si>
    <t xml:space="preserve">      2.491</t>
  </si>
  <si>
    <t>Pierre</t>
  </si>
  <si>
    <t>plrg1970</t>
  </si>
  <si>
    <t xml:space="preserve">      2.797</t>
  </si>
  <si>
    <t>Jluizc</t>
  </si>
  <si>
    <t>jluizc1</t>
  </si>
  <si>
    <t>Não existe direita, existe Bolsonaro.</t>
  </si>
  <si>
    <t xml:space="preserve">      1.802</t>
  </si>
  <si>
    <t>𝒪𝓊𝓇 𝒫𝑒𝑜𝓅𝓁𝑒</t>
  </si>
  <si>
    <t>_mandalorian_z</t>
  </si>
  <si>
    <t>Política.</t>
  </si>
  <si>
    <t>@luluzinhapreciosa</t>
  </si>
  <si>
    <t>luluzinhapreci1</t>
  </si>
  <si>
    <t>Autêntica 13 Encarnação Lula Melgar ⭐ 🚩🏳️‍🌈✊🏾</t>
  </si>
  <si>
    <t>isabo13melgar</t>
  </si>
  <si>
    <t>CONTA NOVA. Marco TemporalNão.Mãe, professora aposentada, petista, lulista, antifascista, antirracista e de esquerda. DEMOCRACIA. SUS🏳️‍🌈🏳️‍⚧️🏹🌵🌳🦉📚💉</t>
  </si>
  <si>
    <t xml:space="preserve">      2.574</t>
  </si>
  <si>
    <t>):) 📖: semantic error and girls like girls</t>
  </si>
  <si>
    <t>itsaynotme</t>
  </si>
  <si>
    <t>nb,ace,lesbian🏳️‍🌈 ⚢ ◇ ELE/ELA ◇
🐇 OFFGUN, SANTAEARTH, BKPP,MILKLOVE, FREENBECKY, FIRSTKHAO, ENGLOT🐇 ❤️🧸 BL AND GL 🧸❤️</t>
  </si>
  <si>
    <t xml:space="preserve">      1.703</t>
  </si>
  <si>
    <t>Daddy Cwell</t>
  </si>
  <si>
    <t>daddy_cwell2019</t>
  </si>
  <si>
    <t>🇳🇬Freedom of Humanity, Right by Individual. A Stain To One Is a Stain To All. 20/10/2020 Is a Dark Day In Our National History. We'll Never Forget🇳🇬</t>
  </si>
  <si>
    <t xml:space="preserve">      1.316</t>
  </si>
  <si>
    <t>Celso Silva</t>
  </si>
  <si>
    <t>celsoapsil</t>
  </si>
  <si>
    <t>esquerda sempre 🚩
Quero indústrias tecnológicas no Brasil.</t>
  </si>
  <si>
    <t xml:space="preserve">      4.520</t>
  </si>
  <si>
    <t>A luta continua!</t>
  </si>
  <si>
    <t>hfariasilva1969</t>
  </si>
  <si>
    <t>PT de ponta a ponta. Sempre na luta! Nenhum direito a menos!</t>
  </si>
  <si>
    <t xml:space="preserve">      2.790</t>
  </si>
  <si>
    <t>helshman</t>
  </si>
  <si>
    <t>helshmanlacerda</t>
  </si>
  <si>
    <t>Representante Comercial /  Historia e  Filosofia estão na minha vida !</t>
  </si>
  <si>
    <t xml:space="preserve">      1.401</t>
  </si>
  <si>
    <t>☀️Sunny on the street</t>
  </si>
  <si>
    <t>sopejiminie</t>
  </si>
  <si>
    <t>fan account • bts army • s/her • ficwritter • sopemin utted • minors dni • 92' ♠️</t>
  </si>
  <si>
    <t>solange13288679</t>
  </si>
  <si>
    <t>MUITAS VEZES VOCÊ NEM PERCEBE, MAS A SUA LUZ, ILUMINA O CAMINHO DE MUITA GENTE! SEJAMOS LUZ PARA TRAZER NOSSO BRASIL DE VOLTA!         LULA LÁ! 💪</t>
  </si>
  <si>
    <t>Gilson Santos</t>
  </si>
  <si>
    <t>gilsons21698261</t>
  </si>
  <si>
    <t>Política Notícias Negócios e finanças Entretenimento Filmes Meteorologia Notícias da indústria</t>
  </si>
  <si>
    <t>alice 🪩 saw AM !!</t>
  </si>
  <si>
    <t>dr3cl16</t>
  </si>
  <si>
    <t>charles leclerc’s real gf 💌 | @5SOS</t>
  </si>
  <si>
    <t xml:space="preserve">      1.386</t>
  </si>
  <si>
    <t>Jady Bragança</t>
  </si>
  <si>
    <t>jady_braganca</t>
  </si>
  <si>
    <t>Nossa democracia começou a morrer quando, na tribuna da Câmara, um deputado federal homenageou Ustra e não saiu de lá algemado. 🚩🚩🚩</t>
  </si>
  <si>
    <t xml:space="preserve">      1.445</t>
  </si>
  <si>
    <t>Politiza MT</t>
  </si>
  <si>
    <t>politizamt</t>
  </si>
  <si>
    <t>Alfabetização Política</t>
  </si>
  <si>
    <t xml:space="preserve">      6.305</t>
  </si>
  <si>
    <t>Rosária</t>
  </si>
  <si>
    <t>mariarosariagf</t>
  </si>
  <si>
    <t>Carioca, divorciada, conservadora.🇧🇷🇧🇷🇧🇷
Atravessando momentos difíceis, conheci o melhor de mim e o pior de algumas pessoas...🎭</t>
  </si>
  <si>
    <t xml:space="preserve">      2.110</t>
  </si>
  <si>
    <t>luluonti</t>
  </si>
  <si>
    <t>Ecologista y solidaria. #PeaceAndLove   #FreePalestine 
#BlackLivesMatter  #Justice     Educ. y Psic.  Autora de "Mujeres en Rebeldía" 
https://t.co/wT21GJdrUC</t>
  </si>
  <si>
    <t>Mario - O POVO É O PODER.</t>
  </si>
  <si>
    <t>mariomarcio25</t>
  </si>
  <si>
    <t>A ciência é um modo de conhecer fundamentado em um método, o método científico. O método é o modo de funcionamento das ciências, é fundamentado na observação.</t>
  </si>
  <si>
    <t xml:space="preserve">      5.012</t>
  </si>
  <si>
    <t>indiara🌈🚩🇧🇷</t>
  </si>
  <si>
    <t>indi_eu_avisei</t>
  </si>
  <si>
    <t>Flamenguista,Esquerdista 💘#Casada💕👭💍🥰#Resistência</t>
  </si>
  <si>
    <t xml:space="preserve">      4.090</t>
  </si>
  <si>
    <t>jose marques dos santos</t>
  </si>
  <si>
    <t>josemssantos</t>
  </si>
  <si>
    <t>"Que tempos são estes, em que temos de defender o óbvio?", Bertolt Brecht</t>
  </si>
  <si>
    <t xml:space="preserve">      3.992</t>
  </si>
  <si>
    <t>Flamarri</t>
  </si>
  <si>
    <t>flamarri</t>
  </si>
  <si>
    <t>Pai, cientista, arquiteto e músico.
Uma sociedade mais controlada não tem coragem de se expressar.</t>
  </si>
  <si>
    <t xml:space="preserve">      1.037</t>
  </si>
  <si>
    <t>José G Teodoro</t>
  </si>
  <si>
    <t>josephgteodoro</t>
  </si>
  <si>
    <t>Finalmente o Brasil vai ficar zen!</t>
  </si>
  <si>
    <t xml:space="preserve">      1.213</t>
  </si>
  <si>
    <t>Beatriz</t>
  </si>
  <si>
    <t>beatrizbialind2</t>
  </si>
  <si>
    <t xml:space="preserve">      2.578</t>
  </si>
  <si>
    <t>ليفي</t>
  </si>
  <si>
    <t>levi_de_souza</t>
  </si>
  <si>
    <t xml:space="preserve">      1.003</t>
  </si>
  <si>
    <t>vera l ricardo facci</t>
  </si>
  <si>
    <t>facci__</t>
  </si>
  <si>
    <t>psicóloga bancária matemática  patriota🇧🇷🇧🇷🇧🇷🇧🇷🇧🇷🇧🇷</t>
  </si>
  <si>
    <t xml:space="preserve">      4.779</t>
  </si>
  <si>
    <t>Fazueli da Silva Santos</t>
  </si>
  <si>
    <t>ze_povao_</t>
  </si>
  <si>
    <t>Na luta</t>
  </si>
  <si>
    <t>Santaroni ᶜʳᶠ</t>
  </si>
  <si>
    <t>santaroni7</t>
  </si>
  <si>
    <t xml:space="preserve">      5.473</t>
  </si>
  <si>
    <t>Denis🇧🇷🇦🇲🌹</t>
  </si>
  <si>
    <t>denis_humanos</t>
  </si>
  <si>
    <t>artes visuais, política, cotidiano, direitos humanos</t>
  </si>
  <si>
    <t xml:space="preserve">      1.591</t>
  </si>
  <si>
    <t>Christian Michel Spadoto</t>
  </si>
  <si>
    <t>chris_spadoto</t>
  </si>
  <si>
    <t>LIBERDADE!!! 🇧🇷 🇺🇸🇮🇱🗡️🛡️🥛
#SayNoToBillGates
#NoNewNormal
@Palmeiras
@Spadoto4conta</t>
  </si>
  <si>
    <t xml:space="preserve">      1.936</t>
  </si>
  <si>
    <t>I Am the katycat</t>
  </si>
  <si>
    <t>rick_sant_1998</t>
  </si>
  <si>
    <t>Como dizia a contemporânea Katy Perry:
                  - Então eu respiro fundo e salvo como rascunho.</t>
  </si>
  <si>
    <t>𝗞𝝠𝗟𝗜𝗭</t>
  </si>
  <si>
    <t>kalizof</t>
  </si>
  <si>
    <t>anitta, anitta, so grad to meet ya @anitta @jaoromania @amarinasena</t>
  </si>
  <si>
    <t>Afonso</t>
  </si>
  <si>
    <t>afonsocar_</t>
  </si>
  <si>
    <t>🇵🇹🇨🇭. Classical Liberal. Travel enthusiast. Free Spirit. Opinions are my own. Follows / likes / RT’s ≠ endorsements.</t>
  </si>
  <si>
    <t>cm - @cmaximino@c.im</t>
  </si>
  <si>
    <t>caio_maximino</t>
  </si>
  <si>
    <t>O século 30 vencerá.! 
Ressucita-me para que ninguém mais tenha que sacrificar-se por uma casa, um buraco. 
Ressucita-me para que o Pai seja ao menos o Universo</t>
  </si>
  <si>
    <t xml:space="preserve">      1.541</t>
  </si>
  <si>
    <t>CHANCELERSP</t>
  </si>
  <si>
    <t>chancelersp</t>
  </si>
  <si>
    <t>Professional Headcoach F/A,Diretor de eSports Academy (?), Talent Development/Aquisition e Scouting Lead. SEP. ENG-ESP-PT. CEO ACR</t>
  </si>
  <si>
    <t xml:space="preserve">      1.235</t>
  </si>
  <si>
    <t>Millennial Bastard👨🏾‍🦲</t>
  </si>
  <si>
    <t>94_bastard</t>
  </si>
  <si>
    <t>He/Him - Art - Politics- the gay version of Masculinity, criminologist - and overall future machiavellian supervillain 🫅🏿🇦🇴🇳🇦🇬🇧🇵🇹</t>
  </si>
  <si>
    <t xml:space="preserve">      1.008</t>
  </si>
  <si>
    <t>Emilystellaemi2</t>
  </si>
  <si>
    <t>emilystellaemi2</t>
  </si>
  <si>
    <t>RIDERE È UNA COSA SERIA😂
NIENTE POLITICA</t>
  </si>
  <si>
    <t xml:space="preserve">     13.877</t>
  </si>
  <si>
    <t>🌻Gisa 💚💛</t>
  </si>
  <si>
    <t>coresdajustica</t>
  </si>
  <si>
    <t>João 16:33
Eu lhes disse essas coisas para que em mim vocês tenham paz. Neste mundo vocês terão aflições; contudo, tenham ânimo! Eu venci o mundo.</t>
  </si>
  <si>
    <t xml:space="preserve">      2.976</t>
  </si>
  <si>
    <t>BRASIL ACIMA DE TUDO DEUS ACIMA DE TODOS</t>
  </si>
  <si>
    <t>mariasocorrobr4</t>
  </si>
  <si>
    <t>Dayse</t>
  </si>
  <si>
    <t>dayserp1</t>
  </si>
  <si>
    <t>Moacyr e Sandra</t>
  </si>
  <si>
    <t>moacyresandra</t>
  </si>
  <si>
    <t>Duo Moacyr e Sandra, afinados com a  música. Cantores de música caipira e demais estilos. Comprometidos com a qualidade e sonoridade musicais.</t>
  </si>
  <si>
    <t>Coringa 🇧🇷</t>
  </si>
  <si>
    <t>ottikalf</t>
  </si>
  <si>
    <t>Defendendo o legado do Presidente Bolsonaro e apoiando o Partido Liberal</t>
  </si>
  <si>
    <t xml:space="preserve">      2.502</t>
  </si>
  <si>
    <t>Carol petista anti-ong🇺🇲</t>
  </si>
  <si>
    <t>caroline9479</t>
  </si>
  <si>
    <t>Bacharel de Direito,casada e Petista 
Meu Twitter, minhas regras! 😘Perfil ferozmente Lulista e Petista.</t>
  </si>
  <si>
    <t>Lou</t>
  </si>
  <si>
    <t>loufloripa</t>
  </si>
  <si>
    <t xml:space="preserve">      2.359</t>
  </si>
  <si>
    <t>Thiago 13🇧🇷🇨🇺🇨🇳🇻🇳🇵🇸🇧🇫🇱🇦🇰🇵🇦🇴</t>
  </si>
  <si>
    <t>thiagofsr83</t>
  </si>
  <si>
    <t>sou poeta, amor,/
se não me queres, te quero/
como uma palavra</t>
  </si>
  <si>
    <t>Lula O Melhor Presidente 🇧🇷🇵🇸🇻🇪🇨🇺🇷🇺🇨🇳</t>
  </si>
  <si>
    <t>gustavoucranian</t>
  </si>
  <si>
    <t>#LulaPresidente
Brasil com Lula, governo da vida e da esperança. #BolsonaroTeEnganouBabaca
#EsquerdistasSeguemEsquerdistas
#ASaídaSempreSeráPelaEsquerda
🇧🇷</t>
  </si>
  <si>
    <t xml:space="preserve">      6.726</t>
  </si>
  <si>
    <t>CEO de MEI</t>
  </si>
  <si>
    <t>dalpiazlc</t>
  </si>
  <si>
    <t>Viciado em café.                      
Economista e CEO de MEI.
https://t.co/3vHIXOAEgb</t>
  </si>
  <si>
    <t xml:space="preserve">      6.034</t>
  </si>
  <si>
    <t>LULAFLA!🤩🦑1️⃣3️⃣⭐⭐⭐🚩🇧🇷♥️🖤</t>
  </si>
  <si>
    <t>carlo15557023</t>
  </si>
  <si>
    <t>🕊️♥️🍀⚖️🫱🏻‍🫲🏾🙏🏽🌎</t>
  </si>
  <si>
    <t xml:space="preserve">      3.252</t>
  </si>
  <si>
    <t>Beth Palermo</t>
  </si>
  <si>
    <t>hebepalermo</t>
  </si>
  <si>
    <t>Cristã, Casada.
Amo o Brasil! 🇧🇷</t>
  </si>
  <si>
    <t xml:space="preserve">      2.703</t>
  </si>
  <si>
    <t>bia</t>
  </si>
  <si>
    <t>heatrbreak</t>
  </si>
  <si>
    <t>Visca el Barça</t>
  </si>
  <si>
    <t xml:space="preserve">      2.278</t>
  </si>
  <si>
    <t>🚩Lula Brasil🇧🇷</t>
  </si>
  <si>
    <t>rosalulabrasil</t>
  </si>
  <si>
    <t xml:space="preserve">      1.381</t>
  </si>
  <si>
    <t>☥ CALMA ◐</t>
  </si>
  <si>
    <t>leve_tando</t>
  </si>
  <si>
    <t>📡 Universe 🌎 News🎨ART 🐄 Vegan 🎞 Cinema 🕺Dance 🌳 Nature 📜 History ♫ Music  🚢 Travel ☀ Hope 🚩</t>
  </si>
  <si>
    <t xml:space="preserve">      5.308</t>
  </si>
  <si>
    <t>Somos mais de 40 milhões!</t>
  </si>
  <si>
    <t>msoiv</t>
  </si>
  <si>
    <t>⚫️🔴 https://t.co/63DU04Xjtc</t>
  </si>
  <si>
    <t xml:space="preserve">      1.792</t>
  </si>
  <si>
    <t>@tekamachado /Instagram: @alkimiaesteticagyn</t>
  </si>
  <si>
    <t>machado_teka</t>
  </si>
  <si>
    <t>Lulista, Dilmista, Haddadista Sempre❤️❤...Indignada com essa sociedade hipócrita e falso moralista!! Ranço de Bolsoninions.</t>
  </si>
  <si>
    <t xml:space="preserve">      5.507</t>
  </si>
  <si>
    <t>quem me conhece sabe</t>
  </si>
  <si>
    <t>entretantotiago</t>
  </si>
  <si>
    <t>exótica presidente da caixa</t>
  </si>
  <si>
    <t>elenaseger</t>
  </si>
  <si>
    <t>Esquerda sempre!</t>
  </si>
  <si>
    <t>Praiano/luiz CENSURADO</t>
  </si>
  <si>
    <t>praianoluizh</t>
  </si>
  <si>
    <t>4° CONTA, CADÊ A GALERA PRA AJUDAR??</t>
  </si>
  <si>
    <t xml:space="preserve">      1.153</t>
  </si>
  <si>
    <t>PEDRO</t>
  </si>
  <si>
    <t>henrifonsecan</t>
  </si>
  <si>
    <t>fã da Anitta</t>
  </si>
  <si>
    <t>Roberto Bastos</t>
  </si>
  <si>
    <t>roberto20122879</t>
  </si>
  <si>
    <t>Brasil sil sil</t>
  </si>
  <si>
    <t xml:space="preserve">      2.345</t>
  </si>
  <si>
    <t>ruiva 1️⃣3️⃣</t>
  </si>
  <si>
    <t>ruiva08</t>
  </si>
  <si>
    <t>❤</t>
  </si>
  <si>
    <t xml:space="preserve">      4.346</t>
  </si>
  <si>
    <t>Bet</t>
  </si>
  <si>
    <t>bet50835451</t>
  </si>
  <si>
    <t>Apoio Bolsonaro e questiono as vax🇧🇷🇧🇷🇧🇷🇧🇷🇧🇷🇧🇷🇧🇷🇧🇷🇧🇷</t>
  </si>
  <si>
    <t xml:space="preserve">      4.816</t>
  </si>
  <si>
    <t>🇧🇷 ғʟᴀᴠɪɴʜᴀ 🫡</t>
  </si>
  <si>
    <t>a_flavinha_a</t>
  </si>
  <si>
    <t>Desistir não é opção. É se conformar com a morte.
Sou um docinho, só quando quero.🍬🍭🍧🍰
NÃO ME MARQUEM EM LISTAS, POR FAVOR! 🙏</t>
  </si>
  <si>
    <t xml:space="preserve">     32.942</t>
  </si>
  <si>
    <t>ernesto isturiz</t>
  </si>
  <si>
    <t>ivolkman</t>
  </si>
  <si>
    <t>Sólo Dios es bueno. (Lucas 18, 19)
http://t.co/gMQcrqQtH4</t>
  </si>
  <si>
    <t xml:space="preserve">      1.778</t>
  </si>
  <si>
    <t>Lorran Marcial</t>
  </si>
  <si>
    <t>lorranmarcial</t>
  </si>
  <si>
    <t>Petrópolis. 
Sagitariano.
Freelancer, estudante de Design Gráfico e Design UX 
Dou opiniões sobre reality shows e assuntos sérios.</t>
  </si>
  <si>
    <t xml:space="preserve">      1.526</t>
  </si>
  <si>
    <t>Thiago Fajardo</t>
  </si>
  <si>
    <t>thiagofajardo2</t>
  </si>
  <si>
    <t xml:space="preserve">      2.405</t>
  </si>
  <si>
    <t>Fantasminha Camarada</t>
  </si>
  <si>
    <t>ghost_zsskayr</t>
  </si>
  <si>
    <t>🤝🏼 Boas-vindas! | 17y 🇧🇷 | Rock na Véia e outros tipos de música | Apenas que... busquem conhecimento. - ET Bilu</t>
  </si>
  <si>
    <t xml:space="preserve">      1.062</t>
  </si>
  <si>
    <t>EDUARDO PAIVA</t>
  </si>
  <si>
    <t>eduardosophos</t>
  </si>
  <si>
    <t>Só a luta muda a vida!</t>
  </si>
  <si>
    <t xml:space="preserve">      3.245</t>
  </si>
  <si>
    <t>Tha✞a | LAYOVER</t>
  </si>
  <si>
    <t>prayturbada</t>
  </si>
  <si>
    <t>Justin Bieber &amp; BTS = 🏠💕 | Fan Account</t>
  </si>
  <si>
    <t xml:space="preserve">      3.035</t>
  </si>
  <si>
    <t>Fernando Rodrigues🇧🇷🇻🇳🚩</t>
  </si>
  <si>
    <t>fernandors75</t>
  </si>
  <si>
    <t>ECeTista🇧🇷Flamenguista🇦🇴PTista🇻🇳
#Lula Presidente</t>
  </si>
  <si>
    <t xml:space="preserve">      3.204</t>
  </si>
  <si>
    <t>Walney Alves</t>
  </si>
  <si>
    <t>walneyalves3</t>
  </si>
  <si>
    <t>Deus no Comando... Tudo Dará Certo!!! BOLSONARO2022 🙏🙏🙏🇧🇷🇧🇷🇧🇷</t>
  </si>
  <si>
    <t xml:space="preserve">      3.104</t>
  </si>
  <si>
    <t>🇧🇷Zelia Fabro22🇧🇷</t>
  </si>
  <si>
    <t>zfabrogmailcom</t>
  </si>
  <si>
    <t>Brasil Acima de tudo;
Deus Acima de todos.
Se algumas pessoas se afastarem de você, não fique triste, isso é resposta da oração:Livrai-me de todo mal. Amém!</t>
  </si>
  <si>
    <t xml:space="preserve">     53.084</t>
  </si>
  <si>
    <t>🇧🇷Denise🇧🇷</t>
  </si>
  <si>
    <t>___denise___eu_</t>
  </si>
  <si>
    <t>Após 15/06/21 passei a seguir todos de volta. DIREITA liberal. Pela liberdade de expressão. Censura não !! #LulaLadrão - LEIA meu tuite FIXADO ⚠️⚠️</t>
  </si>
  <si>
    <t xml:space="preserve">     11.893</t>
  </si>
  <si>
    <t>Lhucyenn 🇧🇷🇧🇷</t>
  </si>
  <si>
    <t>luciene2222</t>
  </si>
  <si>
    <t>💚💛Católica, conservadora 🇧🇷🇧🇷</t>
  </si>
  <si>
    <t xml:space="preserve">      8.711</t>
  </si>
  <si>
    <t>Sandra</t>
  </si>
  <si>
    <t>sandra20921836</t>
  </si>
  <si>
    <t xml:space="preserve">      3.719</t>
  </si>
  <si>
    <t>momsou</t>
  </si>
  <si>
    <t>monicamoreira52</t>
  </si>
  <si>
    <t>Trabalhada na quimioterapia. Em remissão. VIVA O SUS!!!!🙌🏽🙌🏽🙌🏽🙌🏽 De Fortaleza, Ceará, com orgulho ♒️♌️♓️🎶🎼🎵🎶🎼🎵🎶🎼🎶🎵🎼🎵🎶🎵🎼🎵🎶🎵🎼🎶🎶🎼🎵</t>
  </si>
  <si>
    <t xml:space="preserve">      3.299</t>
  </si>
  <si>
    <t>Dario Castellano Alfonso</t>
  </si>
  <si>
    <t>dariohabana</t>
  </si>
  <si>
    <t>Cubano 100%. Amante de la verdad y la justeza. Somos continuidad.</t>
  </si>
  <si>
    <t xml:space="preserve">      4.162</t>
  </si>
  <si>
    <t>Claudinei na luta companheiros🚩🚩🚩🚩🚩</t>
  </si>
  <si>
    <t>claudineirferr1</t>
  </si>
  <si>
    <t>Formado em Logística</t>
  </si>
  <si>
    <t xml:space="preserve">      3.242</t>
  </si>
  <si>
    <t>Eliete Melorini</t>
  </si>
  <si>
    <t>emelorini</t>
  </si>
  <si>
    <t xml:space="preserve">      1.559</t>
  </si>
  <si>
    <t>@ColetivoSalaPT.</t>
  </si>
  <si>
    <t>coletivosalapt</t>
  </si>
  <si>
    <t>@ColetivoSalaPT. Socióloga/educadora/Cientista Social. SOS ELETROBRAS STF #Garantir43daUniao</t>
  </si>
  <si>
    <t xml:space="preserve">     24.672</t>
  </si>
  <si>
    <t>Reinaldo 🇧🇷 🚩¹³</t>
  </si>
  <si>
    <t>reyjbr2004</t>
  </si>
  <si>
    <t>💚   Eu decidi viver, e não agradar.</t>
  </si>
  <si>
    <t xml:space="preserve">      3.260</t>
  </si>
  <si>
    <t>Alberto Trindade🚩🇧🇷🚩</t>
  </si>
  <si>
    <t>albertotrind1</t>
  </si>
  <si>
    <t>Paisano!
#ForaBolsonaroGenocida
#VivaoSUS
#LULA2022!</t>
  </si>
  <si>
    <t xml:space="preserve">      2.773</t>
  </si>
  <si>
    <t>Vera Lucia Brilhante do vale</t>
  </si>
  <si>
    <t>verabrilhante1</t>
  </si>
  <si>
    <t>-Tudo é possivel! "5197148
 Cadastre-se como CLIENTE PREMIUM e compre os produ
 #EsquerdaSegueEsquerda</t>
  </si>
  <si>
    <t xml:space="preserve">      3.949</t>
  </si>
  <si>
    <t>Krlao 🚩 💯 Lula</t>
  </si>
  <si>
    <t>k13pt</t>
  </si>
  <si>
    <t>FILIADO AO PT
“O QUE ME PREOCUPA NÃO É O GRITO DOS MAUS, MAS O SILÊNCIO DOS BONS”</t>
  </si>
  <si>
    <t xml:space="preserve">     67.102</t>
  </si>
  <si>
    <t>fernando ferreira</t>
  </si>
  <si>
    <t>onfaitavec</t>
  </si>
  <si>
    <t>Economist</t>
  </si>
  <si>
    <t xml:space="preserve">      1.604</t>
  </si>
  <si>
    <t>Talitinha ☾</t>
  </si>
  <si>
    <t>talitoschi</t>
  </si>
  <si>
    <t>pedagoga UFJF | mestranda em educação UFOP | pesquisadora marxista de políticas públicas educacionais.</t>
  </si>
  <si>
    <t xml:space="preserve">      3.128</t>
  </si>
  <si>
    <t>Miriam Tavares</t>
  </si>
  <si>
    <t>miriamtavares14</t>
  </si>
  <si>
    <t>#LulaPresidente13 Advogada, amante de política, música e vinhos.</t>
  </si>
  <si>
    <t>Floriano Sá Neto</t>
  </si>
  <si>
    <t>fmsaneto</t>
  </si>
  <si>
    <t>Servidor Público Federal, sindicalista e membro do IJF. Leitor compulsivo e meu lazer predileto é fazer trilha de moto. Amo viajar e conhecer novos lugares.</t>
  </si>
  <si>
    <t>Segadas Vianna</t>
  </si>
  <si>
    <t>segadas_vianna</t>
  </si>
  <si>
    <t>Jornalista (DRT 26647RJ)  BLOG DO SEGADAS-Geopolítica mundial
 Consultor da Frente Sandinista na Nicarágua em 1984, consultor de estratégia política e eleitoral</t>
  </si>
  <si>
    <t xml:space="preserve">      2.776</t>
  </si>
  <si>
    <t>Oliveira Cavalcante</t>
  </si>
  <si>
    <t>oliveiracavalc8</t>
  </si>
  <si>
    <t>** QUEM SABE OUVIR, TIRA LIÇÕES ATÉ DO SILÊNCIO.</t>
  </si>
  <si>
    <t xml:space="preserve">      5.309</t>
  </si>
  <si>
    <t>Olinda Saul 🇧🇷</t>
  </si>
  <si>
    <t>saulolinda</t>
  </si>
  <si>
    <t>•Fundadora do Ballet Olinda Saul (Projeto de inclusão social com 700 alunos) •Maestra em Ballet Clássico GRADUAÇÃO em HAVANA, CUBA. Filiada ao @PCdoB_oficial</t>
  </si>
  <si>
    <t xml:space="preserve">      1.777</t>
  </si>
  <si>
    <t>Marlon Jimenez</t>
  </si>
  <si>
    <t>marlonj86115541</t>
  </si>
  <si>
    <t>Patriota, martiano, fidelista, defensor de las causas justas. 🇨🇺💪💓✌️😁</t>
  </si>
  <si>
    <t xml:space="preserve">      1.155</t>
  </si>
  <si>
    <t>Patrícia Helena Azevedo Lima</t>
  </si>
  <si>
    <t>patriciahelenaq</t>
  </si>
  <si>
    <t>Advogada trabalhista, professora, doutoranda pela Tor Vergata de Roma, em Cotutela com à USP, mestre pela USP. Integrante do Núcleo de pesquisa TADT - FDUSP.</t>
  </si>
  <si>
    <t xml:space="preserve">     17.189</t>
  </si>
  <si>
    <t>Érica Martins 🐱🌴🌻🚩🇧🇷</t>
  </si>
  <si>
    <t>erikinhamagic</t>
  </si>
  <si>
    <t>Cientista Social e Advogada. Professora de História e Geografia. Filha apaixonada de Gaia 🙏❤</t>
  </si>
  <si>
    <t xml:space="preserve">      8.463</t>
  </si>
  <si>
    <t>Ednildo</t>
  </si>
  <si>
    <t>praia50</t>
  </si>
  <si>
    <t>Deus, pátria,  família e liberdade 🗽</t>
  </si>
  <si>
    <t xml:space="preserve">      1.144</t>
  </si>
  <si>
    <t>Fontes 🚩🇧🇷</t>
  </si>
  <si>
    <t>fontes_as</t>
  </si>
  <si>
    <t>Sou pelos mais fracos.</t>
  </si>
  <si>
    <t>cintia 🐉</t>
  </si>
  <si>
    <t>julhoevoc</t>
  </si>
  <si>
    <t>pirata, track 10 🏴‍☠️ taylor’s versions</t>
  </si>
  <si>
    <t>Marilourdes Trindade</t>
  </si>
  <si>
    <t>malutrin2018</t>
  </si>
  <si>
    <t>Joana</t>
  </si>
  <si>
    <t>jkl2008</t>
  </si>
  <si>
    <t>Nada</t>
  </si>
  <si>
    <t>Elizabeth Pessoa🇧🇷</t>
  </si>
  <si>
    <t>evp22pessoa</t>
  </si>
  <si>
    <t>Armamentista e conservadora. Fora PT . Fora PDT . Fora Psol . Fora Mdb.</t>
  </si>
  <si>
    <t xml:space="preserve">      3.425</t>
  </si>
  <si>
    <t>Marilene Cruz de Sant Ana 🇧🇷🇧🇷🇧🇷🇧🇷🇧🇷🇧🇷</t>
  </si>
  <si>
    <t>marilenecruzde2</t>
  </si>
  <si>
    <t>As pessoas são livres desde o nascimento 
o que as aprisiona são suas escolhas</t>
  </si>
  <si>
    <t xml:space="preserve">      6.953</t>
  </si>
  <si>
    <t>Olavo Senna</t>
  </si>
  <si>
    <t>sennaolavo</t>
  </si>
  <si>
    <t>Surfando pelo mundo</t>
  </si>
  <si>
    <t xml:space="preserve">      1.534</t>
  </si>
  <si>
    <t>Elementary Stan | THE ERAS TOUR 17/11</t>
  </si>
  <si>
    <t>lehtardivo</t>
  </si>
  <si>
    <t>pequenos surtos diários sobre elementary, taylor swift, filmes, séries e pessoas insuportáveis</t>
  </si>
  <si>
    <t>Makevinho</t>
  </si>
  <si>
    <t>makevinho</t>
  </si>
  <si>
    <t>Tenho uma loja de Pokémon TCG. Cards avulsos, produtos selados, sleeves, acessórios e muito mais!
Acesse - https://t.co/0WNSBIRZFC</t>
  </si>
  <si>
    <t>marcelo39874062</t>
  </si>
  <si>
    <t>Cristão, conservador de direita e anti-PT
🇧🇷🇧🇷🇧🇷🇧🇷🇧🇷</t>
  </si>
  <si>
    <t xml:space="preserve">      4.785</t>
  </si>
  <si>
    <t>EVANDRO PRADO</t>
  </si>
  <si>
    <t>evandrojosedas6</t>
  </si>
  <si>
    <t>Florianópolis/SC. Patriota; Amante da família e amor ao Brasil. 💛💚💙💛💚💙💛💚💙💛💚💙💛💚💙💛💚💙💛💚💙💛💚💙</t>
  </si>
  <si>
    <t xml:space="preserve">      1.349</t>
  </si>
  <si>
    <t>Vani</t>
  </si>
  <si>
    <t>vanice_a</t>
  </si>
  <si>
    <t>Conservadora, Bolsonarista e Patriota!
        NOSSA BANDEIRA JAMAIS SERÁ VERMELHA</t>
  </si>
  <si>
    <t xml:space="preserve">     17.269</t>
  </si>
  <si>
    <t>Socorro</t>
  </si>
  <si>
    <t>socorrofpb</t>
  </si>
  <si>
    <t>#ANTIFASCISTA 
#SEMANISTIA
#BOLSONARONACADEIA               🏳️‍🌈🇨🇺🇲🇽🇵🇸🇻🇪</t>
  </si>
  <si>
    <t xml:space="preserve">      4.359</t>
  </si>
  <si>
    <t>Fernanda Gomes</t>
  </si>
  <si>
    <t>nandagofernanda</t>
  </si>
  <si>
    <t xml:space="preserve">      3.478</t>
  </si>
  <si>
    <t>Anna Costa</t>
  </si>
  <si>
    <t>annahcosta27</t>
  </si>
  <si>
    <t xml:space="preserve">      2.121</t>
  </si>
  <si>
    <t>Borges Paulo🇧🇷brasil🇧🇷</t>
  </si>
  <si>
    <t>bpaulobrasil22</t>
  </si>
  <si>
    <t>🇧🇷100% BRASIL🇧🇷!
CONSERVADOR DE DIREITA! ÓDIO PELA ESQUERDA COMUNISTA. TOLERÂNCIA ZERO COM MARGINAIS🇧🇷</t>
  </si>
  <si>
    <t xml:space="preserve">      1.108</t>
  </si>
  <si>
    <t>JOE 95 info</t>
  </si>
  <si>
    <t>dom972joe</t>
  </si>
  <si>
    <t>c</t>
  </si>
  <si>
    <t>Ney Cruz</t>
  </si>
  <si>
    <t>albuquerqueno</t>
  </si>
  <si>
    <t>Assistente de Produção, Bacharel em Teologia e  Flamenguista de Militância Esquerdista. @LulaOficial</t>
  </si>
  <si>
    <t xml:space="preserve">     30.040</t>
  </si>
  <si>
    <t>🫧BELL GOMES 🫧</t>
  </si>
  <si>
    <t>isabeliagomes</t>
  </si>
  <si>
    <t>💔Saudade é o amor que fica de quem não pôde ficar💔</t>
  </si>
  <si>
    <t>Nancy Cardoso</t>
  </si>
  <si>
    <t>nancyca57293784</t>
  </si>
  <si>
    <t>Brasil acima de tudo e Deus acima de todos.</t>
  </si>
  <si>
    <t xml:space="preserve">      1.460</t>
  </si>
  <si>
    <t>Micaio Medeiros 🇦🇹</t>
  </si>
  <si>
    <t>micaio09</t>
  </si>
  <si>
    <t>@SCInternacional 🇦🇹 | Insta: @Micaio09  📸</t>
  </si>
  <si>
    <t xml:space="preserve">      2.695</t>
  </si>
  <si>
    <t>Guilherme Cunha</t>
  </si>
  <si>
    <t>guilhermetom</t>
  </si>
  <si>
    <t>Escritor amador, sonhador profissional...</t>
  </si>
  <si>
    <t>ericat bitch •</t>
  </si>
  <si>
    <t>cute_pennywise</t>
  </si>
  <si>
    <t>official profile of terzo's girlfriend</t>
  </si>
  <si>
    <t>ClaudioAthaydeBeringhs 🇧🇷</t>
  </si>
  <si>
    <t>claudioberinghs</t>
  </si>
  <si>
    <t>🔰Santiago de Compostela 2004
🔰Via de Lá Plata 2021
🇧🇷 @Cberinghs
Ex Distribuidor Antarctica que viu o $$ do Jorge Paulo Leman comprar o governo FHC</t>
  </si>
  <si>
    <t xml:space="preserve">     18.073</t>
  </si>
  <si>
    <t>Alessandre Reis de Freitas</t>
  </si>
  <si>
    <t>alessandrereis2</t>
  </si>
  <si>
    <t>Um advogado maluco, estudando Farmácia(?), que adora leitura, viagens e COMIDA (rsrsrsrs), GAY... De ESQUERDA, por favor educação, sigo todos, assim #SDV</t>
  </si>
  <si>
    <t xml:space="preserve">      3.307</t>
  </si>
  <si>
    <t>Plínio 🚩🚩🚩</t>
  </si>
  <si>
    <t>plniop1</t>
  </si>
  <si>
    <t xml:space="preserve">      2.787</t>
  </si>
  <si>
    <t>Cadu Barzotto</t>
  </si>
  <si>
    <t>cadubarzotto</t>
  </si>
  <si>
    <t>Historiador, Professor de História e Mestre em Educação. 27 anos, geminiano e - de repente - inventou de fazer uns vídeos pra internet.</t>
  </si>
  <si>
    <t>Nunca foi sorte sempre foi Lula</t>
  </si>
  <si>
    <t>carlatoscan</t>
  </si>
  <si>
    <t>A cadela do fascismo esta sempre no cio
Bertold Brecht</t>
  </si>
  <si>
    <t xml:space="preserve">     11.741</t>
  </si>
  <si>
    <t>✦</t>
  </si>
  <si>
    <t>luc4zrp</t>
  </si>
  <si>
    <t>Talvez não faça muito sentido agora, mas uma hora você entende: A verdade te liberta. Siga o 🐇 Salmo121: 7-8 | Mat 7-7 🗝️📖🤯✨</t>
  </si>
  <si>
    <t xml:space="preserve">     21.267</t>
  </si>
  <si>
    <t>Suely Iraha</t>
  </si>
  <si>
    <t>irahasuely</t>
  </si>
  <si>
    <t>LULISTA</t>
  </si>
  <si>
    <t xml:space="preserve">      2.222</t>
  </si>
  <si>
    <t>mayan</t>
  </si>
  <si>
    <t>mayanzitto</t>
  </si>
  <si>
    <t>just mayan</t>
  </si>
  <si>
    <t xml:space="preserve">      1.787</t>
  </si>
  <si>
    <t>JohnXingu@🇧🇷🇧🇷🇧🇷</t>
  </si>
  <si>
    <t>johnxinguhotma1</t>
  </si>
  <si>
    <t>Liberdade!!!! 🇧🇷🇧🇷🇧🇷🇧🇷</t>
  </si>
  <si>
    <t>victor</t>
  </si>
  <si>
    <t>loserwoke</t>
  </si>
  <si>
    <t>because even salt can look like sugar</t>
  </si>
  <si>
    <t>ℙ𝕌ℝO 𝔾𝔸𝕃𝔼𝕋O ✠</t>
  </si>
  <si>
    <t>perronito_robys</t>
  </si>
  <si>
    <t>A vida me ensinou a nunca desistir. Nem ganhar, nem perder, mas procurar evoluir.💪🏼</t>
  </si>
  <si>
    <t xml:space="preserve">      2.205</t>
  </si>
  <si>
    <t>Eduardo Silva</t>
  </si>
  <si>
    <t>carlose49518882</t>
  </si>
  <si>
    <t>Socialista,esquerdopata,ateísta,gayzista,antifacista,filiado ao PT-SC,Dilmista,Lulista❤ torcedor  do @FortalezaEC 🦁e ao lado das mulheres contra o machismo.</t>
  </si>
  <si>
    <t xml:space="preserve">      3.244</t>
  </si>
  <si>
    <t>Mirani</t>
  </si>
  <si>
    <t>miranineves</t>
  </si>
  <si>
    <t>Filhos, herança do senhor!</t>
  </si>
  <si>
    <t xml:space="preserve">      6.405</t>
  </si>
  <si>
    <t>Marcos Geraldo Nunes MD Tecnologia</t>
  </si>
  <si>
    <t>mdtecnologia</t>
  </si>
  <si>
    <t>Bisavó Cap. da Guarda Imperial, Avô lutou em 1932, Pai na FEB Itália 1945, Pai de 5, Deus,Pátria,Família.     Meu Pix é: mdtecnologia@live.com</t>
  </si>
  <si>
    <t xml:space="preserve">      3.498</t>
  </si>
  <si>
    <t>ma</t>
  </si>
  <si>
    <t>marinharc</t>
  </si>
  <si>
    <t>uma garota apaixonada por livros 📚 Nordestina 🌵. meus favoritos 🥣🥷 🦏Corinthians 🖤 Fan Account</t>
  </si>
  <si>
    <t xml:space="preserve">      3.674</t>
  </si>
  <si>
    <t>Maximo</t>
  </si>
  <si>
    <t>maximo20078832</t>
  </si>
  <si>
    <t>Minha persistencia
'Seja persistente, mesmo que você seja frágil, se continuar fazendo algo continuamente, causará impacto.'</t>
  </si>
  <si>
    <t xml:space="preserve">      1.255</t>
  </si>
  <si>
    <t>JCS🚩 💉🐊13</t>
  </si>
  <si>
    <t>jotauele1</t>
  </si>
  <si>
    <t>Pop/Rock Música Futebol Europeu Minha Família Meu Neto</t>
  </si>
  <si>
    <t xml:space="preserve">      2.953</t>
  </si>
  <si>
    <t>LULA Sandra Miria HADDAD</t>
  </si>
  <si>
    <t>sandra_miria</t>
  </si>
  <si>
    <t>Brasileira, feliz, otimista, persistente , petista, GALOO.Nas horas vagas adoro fritar coxinhas. #LulaLivreJá 🌟1⃣3⃣
Perfil alternativo @SandraMiria2 siga lá 👍</t>
  </si>
  <si>
    <t xml:space="preserve">     11.806</t>
  </si>
  <si>
    <t>Samael Dias 🇧🇷</t>
  </si>
  <si>
    <t>diassamael</t>
  </si>
  <si>
    <t>preguiça d+ pra escrever uma bio</t>
  </si>
  <si>
    <t xml:space="preserve">      2.371</t>
  </si>
  <si>
    <t>Thales Souza Reis 🧣</t>
  </si>
  <si>
    <t>thsouzareis</t>
  </si>
  <si>
    <t>mestrando em comunicação com um toque de literatura • especialista em relações internacionais e diplomacia • apaixonado por América Latina, futebol e Inter.</t>
  </si>
  <si>
    <t xml:space="preserve">     13.674</t>
  </si>
  <si>
    <t>Filippo "Facinoroso" Corvi</t>
  </si>
  <si>
    <t>filippocorvi</t>
  </si>
  <si>
    <t>juventino e piacentino, qua per la Juve.</t>
  </si>
  <si>
    <t xml:space="preserve">      1.205</t>
  </si>
  <si>
    <t>Paolo Crociato</t>
  </si>
  <si>
    <t>paolocrociato</t>
  </si>
  <si>
    <t>Fondatore di https://t.co/73MRoBUsAF - Obiettivo: ottenere l’indipendenza finanziaria e una rendita passiva crescente investendo in titoli a dividendo</t>
  </si>
  <si>
    <t xml:space="preserve">     47.911</t>
  </si>
  <si>
    <t>Joao Neto</t>
  </si>
  <si>
    <t>antiidiota</t>
  </si>
  <si>
    <t>Sou o que eu gostaria de ser. Nem mais nem menos.</t>
  </si>
  <si>
    <t xml:space="preserve">      2.153</t>
  </si>
  <si>
    <t>Gil</t>
  </si>
  <si>
    <t>maragil_mara</t>
  </si>
  <si>
    <t>O fascismo sussurrou em nosso ouvido "você não é forte o suficiente para resistir a tempestade” Hoje sussurramos no ouvido do fascismo “Nós somos a tempestade”</t>
  </si>
  <si>
    <t xml:space="preserve">      4.132</t>
  </si>
  <si>
    <t>Omar Kaminski</t>
  </si>
  <si>
    <t>internetlegal</t>
  </si>
  <si>
    <t>Hacking the law since 1995</t>
  </si>
  <si>
    <t xml:space="preserve">      4.585</t>
  </si>
  <si>
    <t>Celula Rio</t>
  </si>
  <si>
    <t>celula_rio</t>
  </si>
  <si>
    <t>🇧🇷🇧🇷🇧🇷🇧🇷🦆🦆</t>
  </si>
  <si>
    <t xml:space="preserve">      1.617</t>
  </si>
  <si>
    <t>PauloRJ 🔴⚫</t>
  </si>
  <si>
    <t>paulo64rj</t>
  </si>
  <si>
    <t>Escritor |
Professor Universitário |
Cientista Político |
Filósofo |
Teólogo |</t>
  </si>
  <si>
    <t>Letícia Moraes🚩🚩🚩13</t>
  </si>
  <si>
    <t>leticiam9949417</t>
  </si>
  <si>
    <t>mulher de fases, mas sempre pela esquerda e antifacista. Lula13🚩🚩🚩🇧🇷 CONFIO NO LULA13</t>
  </si>
  <si>
    <t xml:space="preserve">      3.312</t>
  </si>
  <si>
    <t>Cabaneiro 💢 ◤✠◢</t>
  </si>
  <si>
    <t>jerryfacha</t>
  </si>
  <si>
    <t>Um vascaíno sortudo. E agora, de bem com a vida.</t>
  </si>
  <si>
    <t xml:space="preserve">      1.536</t>
  </si>
  <si>
    <t>Beto</t>
  </si>
  <si>
    <t>albertosalesadv</t>
  </si>
  <si>
    <t>Bacharel em Direito e História.</t>
  </si>
  <si>
    <t xml:space="preserve">      2.011</t>
  </si>
  <si>
    <t>Lopez 🚩</t>
  </si>
  <si>
    <t>paradoxobrasil</t>
  </si>
  <si>
    <t>Petista filiado, Lulista. Fascistas caiam fora!</t>
  </si>
  <si>
    <t>2022 FELIZ DE NOVO</t>
  </si>
  <si>
    <t>sccp_wesleyy</t>
  </si>
  <si>
    <t>Se você é contra justiça social e povos minoritários, tá no perfil errado irmão.</t>
  </si>
  <si>
    <t xml:space="preserve">      1.935</t>
  </si>
  <si>
    <t>Everaldo Pereira Mel</t>
  </si>
  <si>
    <t>evraldomelo</t>
  </si>
  <si>
    <t xml:space="preserve">      2.343</t>
  </si>
  <si>
    <t>Thomas Müntzer</t>
  </si>
  <si>
    <t>muntzer_thomas</t>
  </si>
  <si>
    <t>Omnia sunt communia.</t>
  </si>
  <si>
    <t xml:space="preserve">      8.457</t>
  </si>
  <si>
    <t>vih ᶠᵉᶜ</t>
  </si>
  <si>
    <t>beenyoux</t>
  </si>
  <si>
    <t>that's bizzle on his finest</t>
  </si>
  <si>
    <t xml:space="preserve">      2.274</t>
  </si>
  <si>
    <t>Isllander </t>
  </si>
  <si>
    <t>oisllander</t>
  </si>
  <si>
    <t>Journalist and Filmmaker!
@isllander banida</t>
  </si>
  <si>
    <t>🚩Claudio🚩</t>
  </si>
  <si>
    <t>zebedeudascoves</t>
  </si>
  <si>
    <t>O Brasil está voltando!</t>
  </si>
  <si>
    <t xml:space="preserve">      3.781</t>
  </si>
  <si>
    <t>Cristiane Vitória</t>
  </si>
  <si>
    <t>zadinacristiane</t>
  </si>
  <si>
    <t>Humanista</t>
  </si>
  <si>
    <t xml:space="preserve">      3.543</t>
  </si>
  <si>
    <t>anprimoderno.com.br🎖️</t>
  </si>
  <si>
    <t>anprimoderno</t>
  </si>
  <si>
    <t xml:space="preserve">      2.392</t>
  </si>
  <si>
    <t>Fåbi 🦑🚩</t>
  </si>
  <si>
    <t>fabpaz</t>
  </si>
  <si>
    <t>A FELICIDADE É SOCIALISTA!
Arquiteta, Pintora e Escultora ... entre outras cositas más...
#Lula13 ⭐</t>
  </si>
  <si>
    <t xml:space="preserve">      3.574</t>
  </si>
  <si>
    <t>Maristela de Melo</t>
  </si>
  <si>
    <t>maristelademelo</t>
  </si>
  <si>
    <t>Em defesa do justo, do ético, da família, das crianças, dos direitos dos povos e suas culturas e saberes.</t>
  </si>
  <si>
    <t xml:space="preserve">     26.549</t>
  </si>
  <si>
    <t>Rafael Dos Santos</t>
  </si>
  <si>
    <t>rafaeld65095182</t>
  </si>
  <si>
    <t>Em Segundo Algumas Vezes... Na Segunda Jamais ! Torcida Jovem R.Q.I ⚪⚫S.F.C⭐⭐</t>
  </si>
  <si>
    <t>Breno Brito</t>
  </si>
  <si>
    <t>brenorb</t>
  </si>
  <si>
    <t>🗽 #libertarianism
💹 #finance
₿ 
🧠 #DataScience
💩 #shitposts
⚡ brenorb@zbd.gg</t>
  </si>
  <si>
    <t xml:space="preserve">      2.762</t>
  </si>
  <si>
    <t>Investimentos Digitais (Edilson Lauro)</t>
  </si>
  <si>
    <t>invdigitais</t>
  </si>
  <si>
    <t>Perfil do Canal e Pessoal, falo de Bitcoin, Dicas e Tutoriais. Revenda Oficial das Principais Hardwallets https://t.co/T56Dpex3vA Not your Keys not Your Coins</t>
  </si>
  <si>
    <t xml:space="preserve">     29.535</t>
  </si>
  <si>
    <t>R.  Buzz</t>
  </si>
  <si>
    <t>buzz8051</t>
  </si>
  <si>
    <t>“Sou algarvio e a minha rua tem o mar ao fundo” (já não sei que o disse, mas era poeta)</t>
  </si>
  <si>
    <t>Rogério</t>
  </si>
  <si>
    <t>rogeriocasado</t>
  </si>
  <si>
    <t>Já nasci Casado, a segunda vez foi desatenção !! 
Política, Coritiba e Panathinaikos
Μιλάω ελληνικά, γι' αυτό σας ακολουθώ!  Υποστηρίζω την Coritiba και τον ΠΑΟ</t>
  </si>
  <si>
    <t xml:space="preserve">      2.975</t>
  </si>
  <si>
    <t>eliane</t>
  </si>
  <si>
    <t>elianealfano</t>
  </si>
  <si>
    <t xml:space="preserve">      4.886</t>
  </si>
  <si>
    <t>🚩𝕲𝖗𝖆ç𝖆 𝕸𝖔𝖗𝖊𝖎𝖗𝖆 🍀</t>
  </si>
  <si>
    <t>ceara59</t>
  </si>
  <si>
    <t>Viúva, mãe, vó de 4 netos. Sincera e amiga. Gosto de política, de dançar e fazer amizades. Adoro viajar. Votei no Lula. Sou Petista, feliz, risonha. Amo a vida.</t>
  </si>
  <si>
    <t>Tadeu Alves</t>
  </si>
  <si>
    <t>tadeu_alves</t>
  </si>
  <si>
    <t>Cidadao-comum</t>
  </si>
  <si>
    <t xml:space="preserve">     20.447</t>
  </si>
  <si>
    <t>Paulo ᴼᶜᵗᵃ</t>
  </si>
  <si>
    <t>phl_fla_1895</t>
  </si>
  <si>
    <t>Cultura inútil, quinta série e acima de tudo Rubro-Negro  ❤🖤🙅🏻‍♂️ #Flamengo
@Flamengo</t>
  </si>
  <si>
    <t xml:space="preserve">      6.201</t>
  </si>
  <si>
    <t>Heraldo Moreira</t>
  </si>
  <si>
    <t>heraldomoreira</t>
  </si>
  <si>
    <t>.
 Advogado por opção
 Comunicador por vocação
 Professor Universitário por paixão
.
 Acompanhe @HeraldoMoreira
 nas principais redes sociais
.</t>
  </si>
  <si>
    <t xml:space="preserve">      2.637</t>
  </si>
  <si>
    <t>JA ARRIGHI</t>
  </si>
  <si>
    <t>arrighijanio</t>
  </si>
  <si>
    <t>PATRIOTA</t>
  </si>
  <si>
    <t>thegreatkali🦋</t>
  </si>
  <si>
    <t>juliixd2</t>
  </si>
  <si>
    <t>🎱 | #KALI: This butterfly, it isn't real</t>
  </si>
  <si>
    <t xml:space="preserve">      3.112</t>
  </si>
  <si>
    <t>PRV</t>
  </si>
  <si>
    <t>valroprado1</t>
  </si>
  <si>
    <t>KássiaBataglini</t>
  </si>
  <si>
    <t>kbataglini</t>
  </si>
  <si>
    <t>Penso logo existo...kkkk</t>
  </si>
  <si>
    <t>André Santos🇾🇪♥️♡🖤🇾🇪</t>
  </si>
  <si>
    <t>santossacerdote</t>
  </si>
  <si>
    <t>amigo e gente boa!</t>
  </si>
  <si>
    <t xml:space="preserve">      1.938</t>
  </si>
  <si>
    <t>BELMIRO CALDEIRA ⚪️⚫️</t>
  </si>
  <si>
    <t>belmiro1912</t>
  </si>
  <si>
    <t>DE UM PASSADO E UM PASSADO SÓ DE GLÓRIAS ⚪⚫</t>
  </si>
  <si>
    <t xml:space="preserve">      3.849</t>
  </si>
  <si>
    <t>felipetadewald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</si>
</sst>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9.0"/>
      <color rgb="FF000000"/>
      <name val="&quot;Google Sans Mono&quot;"/>
    </font>
    <font>
      <color theme="1"/>
      <name val="Arial"/>
      <scheme val="minor"/>
    </font>
    <font>
      <b/>
      <color theme="1"/>
      <name val="Arial"/>
      <scheme val="minor"/>
    </font>
    <font>
      <b/>
      <sz val="9.0"/>
      <color theme="1"/>
      <name val="Arial"/>
    </font>
    <font>
      <u/>
      <color rgb="FF0000FF"/>
    </font>
  </fonts>
  <fills count="5">
    <fill>
      <patternFill patternType="none"/>
    </fill>
    <fill>
      <patternFill patternType="lightGray"/>
    </fill>
    <fill>
      <patternFill patternType="solid">
        <fgColor rgb="FFFFFFFF"/>
        <bgColor rgb="FFFFFFFF"/>
      </patternFill>
    </fill>
    <fill>
      <patternFill patternType="solid">
        <fgColor rgb="FFEAEAEA"/>
        <bgColor rgb="FFEAEAEA"/>
      </patternFill>
    </fill>
    <fill>
      <patternFill patternType="solid">
        <fgColor rgb="FFCFE2F3"/>
        <bgColor rgb="FFCFE2F3"/>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Fill="1" applyFont="1"/>
    <xf borderId="0" fillId="0" fontId="2" numFmtId="0" xfId="0" applyFont="1"/>
    <xf borderId="0" fillId="0" fontId="2" numFmtId="0" xfId="0" applyAlignment="1" applyFont="1">
      <alignment shrinkToFit="0" wrapText="1"/>
    </xf>
    <xf borderId="0" fillId="3" fontId="3" numFmtId="0" xfId="0" applyAlignment="1" applyFill="1" applyFont="1">
      <alignment horizontal="center" shrinkToFit="0" wrapText="1"/>
    </xf>
    <xf borderId="0" fillId="3" fontId="3" numFmtId="0" xfId="0" applyAlignment="1" applyFont="1">
      <alignment horizontal="center"/>
    </xf>
    <xf borderId="0" fillId="3" fontId="3" numFmtId="0" xfId="0" applyAlignment="1" applyFont="1">
      <alignment horizontal="right"/>
    </xf>
    <xf borderId="0" fillId="4" fontId="4" numFmtId="0" xfId="0" applyAlignment="1" applyFill="1" applyFont="1">
      <alignment horizontal="center" shrinkToFit="0" vertical="center" wrapText="1"/>
    </xf>
    <xf quotePrefix="1" borderId="0" fillId="0" fontId="2" numFmtId="0" xfId="0" applyAlignment="1" applyFont="1">
      <alignment horizontal="right"/>
    </xf>
    <xf borderId="0" fillId="0" fontId="2" numFmtId="0" xfId="0" applyAlignment="1" applyFont="1">
      <alignment horizontal="center" readingOrder="0" vertical="center"/>
    </xf>
    <xf borderId="0" fillId="0" fontId="2" numFmtId="0" xfId="0" applyAlignment="1" applyFont="1">
      <alignment horizontal="center" vertical="center"/>
    </xf>
    <xf quotePrefix="1" borderId="0" fillId="0" fontId="2" numFmtId="0" xfId="0" applyAlignment="1" applyFont="1">
      <alignment shrinkToFit="0" wrapText="1"/>
    </xf>
    <xf quotePrefix="1" borderId="0" fillId="0" fontId="2"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co/vSjF693gRa" TargetMode="External"/><Relationship Id="rId2" Type="http://schemas.openxmlformats.org/officeDocument/2006/relationships/hyperlink" Target="http://esquerda.net" TargetMode="External"/><Relationship Id="rId3" Type="http://schemas.openxmlformats.org/officeDocument/2006/relationships/hyperlink" Target="https://t.co/5lWcvi4IJR" TargetMode="External"/><Relationship Id="rId4" Type="http://schemas.openxmlformats.org/officeDocument/2006/relationships/hyperlink" Target="https://t.co/NOZXkGwvoG" TargetMode="External"/><Relationship Id="rId10" Type="http://schemas.openxmlformats.org/officeDocument/2006/relationships/drawing" Target="../drawings/drawing4.xml"/><Relationship Id="rId9" Type="http://schemas.openxmlformats.org/officeDocument/2006/relationships/hyperlink" Target="https://www.kooapp.com/profile/Anna_Lupereira" TargetMode="External"/><Relationship Id="rId5" Type="http://schemas.openxmlformats.org/officeDocument/2006/relationships/hyperlink" Target="http://fanpage.it" TargetMode="External"/><Relationship Id="rId6" Type="http://schemas.openxmlformats.org/officeDocument/2006/relationships/hyperlink" Target="https://t.co/Bq6qssRTNl" TargetMode="External"/><Relationship Id="rId7" Type="http://schemas.openxmlformats.org/officeDocument/2006/relationships/hyperlink" Target="https://t.co/AY2XORDWhr" TargetMode="External"/><Relationship Id="rId8" Type="http://schemas.openxmlformats.org/officeDocument/2006/relationships/hyperlink" Target="https://t.co/oaBhYCPbM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3" max="3" width="41.5"/>
    <col customWidth="1" min="4" max="4" width="14.38"/>
  </cols>
  <sheetData>
    <row r="1">
      <c r="A1" s="1" t="str">
        <f>IFERROR(__xludf.DUMMYFUNCTION("QUERY('Influencers Tratados'!A:K,""select A,B,C,E,F where (D='Sim' AND I&lt;&gt;'Não' AND J&lt;&gt;'Não' AND K &lt;&gt;'Não')"")"),"Usuário")</f>
        <v>Usuário</v>
      </c>
      <c r="B1" s="2" t="str">
        <f>IFERROR(__xludf.DUMMYFUNCTION("""COMPUTED_VALUE"""),"User_Name")</f>
        <v>User_Name</v>
      </c>
      <c r="C1" s="3" t="str">
        <f>IFERROR(__xludf.DUMMYFUNCTION("""COMPUTED_VALUE"""),"Descrição")</f>
        <v>Descrição</v>
      </c>
      <c r="D1" s="2" t="str">
        <f>IFERROR(__xludf.DUMMYFUNCTION("""COMPUTED_VALUE"""),"N. Seguidores")</f>
        <v>N. Seguidores</v>
      </c>
      <c r="E1" s="2" t="str">
        <f>IFERROR(__xludf.DUMMYFUNCTION("""COMPUTED_VALUE"""),"Conteúdo majoritariamente sobre educação financeira")</f>
        <v>Conteúdo majoritariamente sobre educação financeira</v>
      </c>
    </row>
    <row r="2">
      <c r="C2" s="3"/>
    </row>
    <row r="3">
      <c r="C3" s="3"/>
    </row>
    <row r="4">
      <c r="C4" s="3"/>
    </row>
    <row r="5">
      <c r="C5" s="3"/>
    </row>
    <row r="6">
      <c r="C6" s="3"/>
    </row>
    <row r="7">
      <c r="C7" s="3"/>
    </row>
    <row r="8">
      <c r="C8" s="3"/>
    </row>
    <row r="9">
      <c r="C9" s="3"/>
    </row>
    <row r="10">
      <c r="C10" s="3"/>
    </row>
    <row r="11">
      <c r="C11" s="3"/>
    </row>
    <row r="12">
      <c r="C12" s="3"/>
    </row>
    <row r="13">
      <c r="C13" s="3"/>
    </row>
    <row r="14">
      <c r="C14" s="3"/>
    </row>
    <row r="15">
      <c r="C15" s="3"/>
    </row>
    <row r="16">
      <c r="C16" s="3"/>
    </row>
    <row r="17">
      <c r="C17" s="3"/>
    </row>
    <row r="18">
      <c r="C18" s="3"/>
    </row>
    <row r="19">
      <c r="C19" s="3"/>
    </row>
    <row r="20">
      <c r="C20" s="3"/>
    </row>
    <row r="21">
      <c r="C21" s="3"/>
    </row>
    <row r="22">
      <c r="C22" s="3"/>
    </row>
    <row r="23">
      <c r="C23" s="3"/>
    </row>
    <row r="24">
      <c r="C24" s="3"/>
    </row>
    <row r="25">
      <c r="C25" s="3"/>
    </row>
    <row r="26">
      <c r="C26" s="3"/>
    </row>
    <row r="27">
      <c r="C27" s="3"/>
    </row>
    <row r="28">
      <c r="C28" s="3"/>
    </row>
    <row r="29">
      <c r="C29" s="3"/>
    </row>
    <row r="30">
      <c r="C30" s="3"/>
    </row>
    <row r="31">
      <c r="C31" s="3"/>
    </row>
    <row r="32">
      <c r="C32" s="3"/>
    </row>
    <row r="33">
      <c r="C33" s="3"/>
    </row>
    <row r="34">
      <c r="C34" s="3"/>
    </row>
    <row r="35">
      <c r="C35" s="3"/>
    </row>
    <row r="36">
      <c r="C36" s="3"/>
    </row>
    <row r="37">
      <c r="C37" s="3"/>
    </row>
    <row r="38">
      <c r="C38" s="3"/>
    </row>
    <row r="39">
      <c r="C39" s="3"/>
    </row>
    <row r="40">
      <c r="C40" s="3"/>
    </row>
    <row r="41">
      <c r="C41" s="3"/>
    </row>
    <row r="42">
      <c r="C42" s="3"/>
    </row>
    <row r="43">
      <c r="C43" s="3"/>
    </row>
    <row r="44">
      <c r="C44" s="3"/>
    </row>
    <row r="45">
      <c r="C45" s="3"/>
    </row>
    <row r="46">
      <c r="C46" s="3"/>
    </row>
    <row r="47">
      <c r="C47" s="3"/>
    </row>
    <row r="48">
      <c r="C48" s="3"/>
    </row>
    <row r="49">
      <c r="C49" s="3"/>
    </row>
    <row r="50">
      <c r="C50" s="3"/>
    </row>
    <row r="51">
      <c r="C51" s="3"/>
    </row>
    <row r="52">
      <c r="C52" s="3"/>
    </row>
    <row r="53">
      <c r="C53" s="3"/>
    </row>
    <row r="54">
      <c r="C54" s="3"/>
    </row>
    <row r="55">
      <c r="C55" s="3"/>
    </row>
    <row r="56">
      <c r="C56" s="3"/>
    </row>
    <row r="57">
      <c r="C57" s="3"/>
    </row>
    <row r="58">
      <c r="C58" s="3"/>
    </row>
    <row r="59">
      <c r="C59" s="3"/>
    </row>
    <row r="60">
      <c r="C60" s="3"/>
    </row>
    <row r="61">
      <c r="C61" s="3"/>
    </row>
    <row r="62">
      <c r="C62" s="3"/>
    </row>
    <row r="63">
      <c r="C63" s="3"/>
    </row>
    <row r="64">
      <c r="C64" s="3"/>
    </row>
    <row r="65">
      <c r="C65" s="3"/>
    </row>
    <row r="66">
      <c r="C66" s="3"/>
    </row>
    <row r="67">
      <c r="C67" s="3"/>
    </row>
    <row r="68">
      <c r="C68" s="3"/>
    </row>
    <row r="69">
      <c r="C69" s="3"/>
    </row>
    <row r="70">
      <c r="C70" s="3"/>
    </row>
    <row r="71">
      <c r="C71" s="3"/>
    </row>
    <row r="72">
      <c r="C72" s="3"/>
    </row>
    <row r="73">
      <c r="C73" s="3"/>
    </row>
    <row r="74">
      <c r="C74" s="3"/>
    </row>
    <row r="75">
      <c r="C75" s="3"/>
    </row>
    <row r="76">
      <c r="C76" s="3"/>
    </row>
    <row r="77">
      <c r="C77" s="3"/>
    </row>
    <row r="78">
      <c r="C78" s="3"/>
    </row>
    <row r="79">
      <c r="C79" s="3"/>
    </row>
    <row r="80">
      <c r="C80" s="3"/>
    </row>
    <row r="81">
      <c r="C81" s="3"/>
    </row>
    <row r="82">
      <c r="C82" s="3"/>
    </row>
    <row r="83">
      <c r="C83" s="3"/>
    </row>
    <row r="84">
      <c r="C84" s="3"/>
    </row>
    <row r="85">
      <c r="C85" s="3"/>
    </row>
    <row r="86">
      <c r="C86" s="3"/>
    </row>
    <row r="87">
      <c r="C87" s="3"/>
    </row>
    <row r="88">
      <c r="C88" s="3"/>
    </row>
    <row r="89">
      <c r="C89" s="3"/>
    </row>
    <row r="90">
      <c r="C90" s="3"/>
    </row>
    <row r="91">
      <c r="C91" s="3"/>
    </row>
    <row r="92">
      <c r="C92" s="3"/>
    </row>
    <row r="93">
      <c r="C93" s="3"/>
    </row>
    <row r="94">
      <c r="C94" s="3"/>
    </row>
    <row r="95">
      <c r="C95" s="3"/>
    </row>
    <row r="96">
      <c r="C96" s="3"/>
    </row>
    <row r="97">
      <c r="C97" s="3"/>
    </row>
    <row r="98">
      <c r="C98" s="3"/>
    </row>
    <row r="99">
      <c r="C99" s="3"/>
    </row>
    <row r="100">
      <c r="C100" s="3"/>
    </row>
    <row r="101">
      <c r="C101" s="3"/>
    </row>
    <row r="102">
      <c r="C102" s="3"/>
    </row>
    <row r="103">
      <c r="C103" s="3"/>
    </row>
    <row r="104">
      <c r="C104" s="3"/>
    </row>
    <row r="105">
      <c r="C105" s="3"/>
    </row>
    <row r="106">
      <c r="C106" s="3"/>
    </row>
    <row r="107">
      <c r="C107" s="3"/>
    </row>
    <row r="108">
      <c r="C108" s="3"/>
    </row>
    <row r="109">
      <c r="C109" s="3"/>
    </row>
    <row r="110">
      <c r="C110" s="3"/>
    </row>
    <row r="111">
      <c r="C111" s="3"/>
    </row>
    <row r="112">
      <c r="C112" s="3"/>
    </row>
    <row r="113">
      <c r="C113" s="3"/>
    </row>
    <row r="114">
      <c r="C114" s="3"/>
    </row>
    <row r="115">
      <c r="C115" s="3"/>
    </row>
    <row r="116">
      <c r="C116" s="3"/>
    </row>
    <row r="117">
      <c r="C117" s="3"/>
    </row>
    <row r="118">
      <c r="C118" s="3"/>
    </row>
    <row r="119">
      <c r="C119" s="3"/>
    </row>
    <row r="120">
      <c r="C120" s="3"/>
    </row>
    <row r="121">
      <c r="C121" s="3"/>
    </row>
    <row r="122">
      <c r="C122" s="3"/>
    </row>
    <row r="123">
      <c r="C123" s="3"/>
    </row>
    <row r="124">
      <c r="C124" s="3"/>
    </row>
    <row r="125">
      <c r="C125" s="3"/>
    </row>
    <row r="126">
      <c r="C126" s="3"/>
    </row>
    <row r="127">
      <c r="C127" s="3"/>
    </row>
    <row r="128">
      <c r="C128" s="3"/>
    </row>
    <row r="129">
      <c r="C129" s="3"/>
    </row>
    <row r="130">
      <c r="C130" s="3"/>
    </row>
    <row r="131">
      <c r="C131" s="3"/>
    </row>
    <row r="132">
      <c r="C132" s="3"/>
    </row>
    <row r="133">
      <c r="C133" s="3"/>
    </row>
    <row r="134">
      <c r="C134" s="3"/>
    </row>
    <row r="135">
      <c r="C135" s="3"/>
    </row>
    <row r="136">
      <c r="C136" s="3"/>
    </row>
    <row r="137">
      <c r="C137" s="3"/>
    </row>
    <row r="138">
      <c r="C138" s="3"/>
    </row>
    <row r="139">
      <c r="C139" s="3"/>
    </row>
    <row r="140">
      <c r="C140" s="3"/>
    </row>
    <row r="141">
      <c r="C141" s="3"/>
    </row>
    <row r="142">
      <c r="C142" s="3"/>
    </row>
    <row r="143">
      <c r="C143" s="3"/>
    </row>
    <row r="144">
      <c r="C144" s="3"/>
    </row>
    <row r="145">
      <c r="C145" s="3"/>
    </row>
    <row r="146">
      <c r="C146" s="3"/>
    </row>
    <row r="147">
      <c r="C147" s="3"/>
    </row>
    <row r="148">
      <c r="C148" s="3"/>
    </row>
    <row r="149">
      <c r="C149" s="3"/>
    </row>
    <row r="150">
      <c r="C150" s="3"/>
    </row>
    <row r="151">
      <c r="C151" s="3"/>
    </row>
    <row r="152">
      <c r="C152" s="3"/>
    </row>
    <row r="153">
      <c r="C153" s="3"/>
    </row>
    <row r="154">
      <c r="C154" s="3"/>
    </row>
    <row r="155">
      <c r="C155" s="3"/>
    </row>
    <row r="156">
      <c r="C156" s="3"/>
    </row>
    <row r="157">
      <c r="C157" s="3"/>
    </row>
    <row r="158">
      <c r="C158" s="3"/>
    </row>
    <row r="159">
      <c r="C159" s="3"/>
    </row>
    <row r="160">
      <c r="C160" s="3"/>
    </row>
    <row r="161">
      <c r="C161" s="3"/>
    </row>
    <row r="162">
      <c r="C162" s="3"/>
    </row>
    <row r="163">
      <c r="C163" s="3"/>
    </row>
    <row r="164">
      <c r="C164" s="3"/>
    </row>
    <row r="165">
      <c r="C165" s="3"/>
    </row>
    <row r="166">
      <c r="C166" s="3"/>
    </row>
    <row r="167">
      <c r="C167" s="3"/>
    </row>
    <row r="168">
      <c r="C168" s="3"/>
    </row>
    <row r="169">
      <c r="C169" s="3"/>
    </row>
    <row r="170">
      <c r="C170" s="3"/>
    </row>
    <row r="171">
      <c r="C171" s="3"/>
    </row>
    <row r="172">
      <c r="C172" s="3"/>
    </row>
    <row r="173">
      <c r="C173" s="3"/>
    </row>
    <row r="174">
      <c r="C174" s="3"/>
    </row>
    <row r="175">
      <c r="C175" s="3"/>
    </row>
    <row r="176">
      <c r="C176" s="3"/>
    </row>
    <row r="177">
      <c r="C177" s="3"/>
    </row>
    <row r="178">
      <c r="C178" s="3"/>
    </row>
    <row r="179">
      <c r="C179" s="3"/>
    </row>
    <row r="180">
      <c r="C180" s="3"/>
    </row>
    <row r="181">
      <c r="C181" s="3"/>
    </row>
    <row r="182">
      <c r="C182" s="3"/>
    </row>
    <row r="183">
      <c r="C183" s="3"/>
    </row>
    <row r="184">
      <c r="C184" s="3"/>
    </row>
    <row r="185">
      <c r="C185" s="3"/>
    </row>
    <row r="186">
      <c r="C186" s="3"/>
    </row>
    <row r="187">
      <c r="C187" s="3"/>
    </row>
    <row r="188">
      <c r="C188" s="3"/>
    </row>
    <row r="189">
      <c r="C189" s="3"/>
    </row>
    <row r="190">
      <c r="C190" s="3"/>
    </row>
    <row r="191">
      <c r="C191" s="3"/>
    </row>
    <row r="192">
      <c r="C192" s="3"/>
    </row>
    <row r="193">
      <c r="C193" s="3"/>
    </row>
    <row r="194">
      <c r="C194" s="3"/>
    </row>
    <row r="195">
      <c r="C195" s="3"/>
    </row>
    <row r="196">
      <c r="C196" s="3"/>
    </row>
    <row r="197">
      <c r="C197" s="3"/>
    </row>
    <row r="198">
      <c r="C198" s="3"/>
    </row>
    <row r="199">
      <c r="C199" s="3"/>
    </row>
    <row r="200">
      <c r="C200" s="3"/>
    </row>
    <row r="201">
      <c r="C201" s="3"/>
    </row>
    <row r="202">
      <c r="C202" s="3"/>
    </row>
    <row r="203">
      <c r="C203" s="3"/>
    </row>
    <row r="204">
      <c r="C204" s="3"/>
    </row>
    <row r="205">
      <c r="C205" s="3"/>
    </row>
    <row r="206">
      <c r="C206" s="3"/>
    </row>
    <row r="207">
      <c r="C207" s="3"/>
    </row>
    <row r="208">
      <c r="C208" s="3"/>
    </row>
    <row r="209">
      <c r="C209" s="3"/>
    </row>
    <row r="210">
      <c r="C210" s="3"/>
    </row>
    <row r="211">
      <c r="C211" s="3"/>
    </row>
    <row r="212">
      <c r="C212" s="3"/>
    </row>
    <row r="213">
      <c r="C213" s="3"/>
    </row>
    <row r="214">
      <c r="C214" s="3"/>
    </row>
    <row r="215">
      <c r="C215" s="3"/>
    </row>
    <row r="216">
      <c r="C216" s="3"/>
    </row>
    <row r="217">
      <c r="C217" s="3"/>
    </row>
    <row r="218">
      <c r="C218" s="3"/>
    </row>
    <row r="219">
      <c r="C219" s="3"/>
    </row>
    <row r="220">
      <c r="C220" s="3"/>
    </row>
    <row r="221">
      <c r="C221" s="3"/>
    </row>
    <row r="222">
      <c r="C222" s="3"/>
    </row>
    <row r="223">
      <c r="C223" s="3"/>
    </row>
    <row r="224">
      <c r="C224" s="3"/>
    </row>
    <row r="225">
      <c r="C225" s="3"/>
    </row>
    <row r="226">
      <c r="C226" s="3"/>
    </row>
    <row r="227">
      <c r="C227" s="3"/>
    </row>
    <row r="228">
      <c r="C228" s="3"/>
    </row>
    <row r="229">
      <c r="C229" s="3"/>
    </row>
    <row r="230">
      <c r="C230" s="3"/>
    </row>
    <row r="231">
      <c r="C231" s="3"/>
    </row>
    <row r="232">
      <c r="C232" s="3"/>
    </row>
    <row r="233">
      <c r="C233" s="3"/>
    </row>
    <row r="234">
      <c r="C234" s="3"/>
    </row>
    <row r="235">
      <c r="C235" s="3"/>
    </row>
    <row r="236">
      <c r="C236" s="3"/>
    </row>
    <row r="237">
      <c r="C237" s="3"/>
    </row>
    <row r="238">
      <c r="C238" s="3"/>
    </row>
    <row r="239">
      <c r="C239" s="3"/>
    </row>
    <row r="240">
      <c r="C240" s="3"/>
    </row>
    <row r="241">
      <c r="C241" s="3"/>
    </row>
    <row r="242">
      <c r="C242" s="3"/>
    </row>
    <row r="243">
      <c r="C243" s="3"/>
    </row>
    <row r="244">
      <c r="C244" s="3"/>
    </row>
    <row r="245">
      <c r="C245" s="3"/>
    </row>
    <row r="246">
      <c r="C246" s="3"/>
    </row>
    <row r="247">
      <c r="C247" s="3"/>
    </row>
    <row r="248">
      <c r="C248" s="3"/>
    </row>
    <row r="249">
      <c r="C249" s="3"/>
    </row>
    <row r="250">
      <c r="C250" s="3"/>
    </row>
    <row r="251">
      <c r="C251" s="3"/>
    </row>
    <row r="252">
      <c r="C252" s="3"/>
    </row>
    <row r="253">
      <c r="C253" s="3"/>
    </row>
    <row r="254">
      <c r="C254" s="3"/>
    </row>
    <row r="255">
      <c r="C255" s="3"/>
    </row>
    <row r="256">
      <c r="C256" s="3"/>
    </row>
    <row r="257">
      <c r="C257" s="3"/>
    </row>
    <row r="258">
      <c r="C258" s="3"/>
    </row>
    <row r="259">
      <c r="C259" s="3"/>
    </row>
    <row r="260">
      <c r="C260" s="3"/>
    </row>
    <row r="261">
      <c r="C261" s="3"/>
    </row>
    <row r="262">
      <c r="C262" s="3"/>
    </row>
    <row r="263">
      <c r="C263" s="3"/>
    </row>
    <row r="264">
      <c r="C264" s="3"/>
    </row>
    <row r="265">
      <c r="C265" s="3"/>
    </row>
    <row r="266">
      <c r="C266" s="3"/>
    </row>
    <row r="267">
      <c r="C267" s="3"/>
    </row>
    <row r="268">
      <c r="C268" s="3"/>
    </row>
    <row r="269">
      <c r="C269" s="3"/>
    </row>
    <row r="270">
      <c r="C270" s="3"/>
    </row>
    <row r="271">
      <c r="C271" s="3"/>
    </row>
    <row r="272">
      <c r="C272" s="3"/>
    </row>
    <row r="273">
      <c r="C273" s="3"/>
    </row>
    <row r="274">
      <c r="C274" s="3"/>
    </row>
    <row r="275">
      <c r="C275" s="3"/>
    </row>
    <row r="276">
      <c r="C276" s="3"/>
    </row>
    <row r="277">
      <c r="C277" s="3"/>
    </row>
    <row r="278">
      <c r="C278" s="3"/>
    </row>
    <row r="279">
      <c r="C279" s="3"/>
    </row>
    <row r="280">
      <c r="C280" s="3"/>
    </row>
    <row r="281">
      <c r="C281" s="3"/>
    </row>
    <row r="282">
      <c r="C282" s="3"/>
    </row>
    <row r="283">
      <c r="C283" s="3"/>
    </row>
    <row r="284">
      <c r="C284" s="3"/>
    </row>
    <row r="285">
      <c r="C285" s="3"/>
    </row>
    <row r="286">
      <c r="C286" s="3"/>
    </row>
    <row r="287">
      <c r="C287" s="3"/>
    </row>
    <row r="288">
      <c r="C288" s="3"/>
    </row>
    <row r="289">
      <c r="C289" s="3"/>
    </row>
    <row r="290">
      <c r="C290" s="3"/>
    </row>
    <row r="291">
      <c r="C291" s="3"/>
    </row>
    <row r="292">
      <c r="C292" s="3"/>
    </row>
    <row r="293">
      <c r="C293" s="3"/>
    </row>
    <row r="294">
      <c r="C294" s="3"/>
    </row>
    <row r="295">
      <c r="C295" s="3"/>
    </row>
    <row r="296">
      <c r="C296" s="3"/>
    </row>
    <row r="297">
      <c r="C297" s="3"/>
    </row>
    <row r="298">
      <c r="C298" s="3"/>
    </row>
    <row r="299">
      <c r="C299" s="3"/>
    </row>
    <row r="300">
      <c r="C300" s="3"/>
    </row>
    <row r="301">
      <c r="C301" s="3"/>
    </row>
    <row r="302">
      <c r="C302" s="3"/>
    </row>
    <row r="303">
      <c r="C303" s="3"/>
    </row>
    <row r="304">
      <c r="C304" s="3"/>
    </row>
    <row r="305">
      <c r="C305" s="3"/>
    </row>
    <row r="306">
      <c r="C306" s="3"/>
    </row>
    <row r="307">
      <c r="C307" s="3"/>
    </row>
    <row r="308">
      <c r="C308" s="3"/>
    </row>
    <row r="309">
      <c r="C309" s="3"/>
    </row>
    <row r="310">
      <c r="C310" s="3"/>
    </row>
    <row r="311">
      <c r="C311" s="3"/>
    </row>
    <row r="312">
      <c r="C312" s="3"/>
    </row>
    <row r="313">
      <c r="C313" s="3"/>
    </row>
    <row r="314">
      <c r="C314" s="3"/>
    </row>
    <row r="315">
      <c r="C315" s="3"/>
    </row>
    <row r="316">
      <c r="C316" s="3"/>
    </row>
    <row r="317">
      <c r="C317" s="3"/>
    </row>
    <row r="318">
      <c r="C318" s="3"/>
    </row>
    <row r="319">
      <c r="C319" s="3"/>
    </row>
    <row r="320">
      <c r="C320" s="3"/>
    </row>
    <row r="321">
      <c r="C321" s="3"/>
    </row>
    <row r="322">
      <c r="C322" s="3"/>
    </row>
    <row r="323">
      <c r="C323" s="3"/>
    </row>
    <row r="324">
      <c r="C324" s="3"/>
    </row>
    <row r="325">
      <c r="C325" s="3"/>
    </row>
    <row r="326">
      <c r="C326" s="3"/>
    </row>
    <row r="327">
      <c r="C327" s="3"/>
    </row>
    <row r="328">
      <c r="C328" s="3"/>
    </row>
    <row r="329">
      <c r="C329" s="3"/>
    </row>
    <row r="330">
      <c r="C330" s="3"/>
    </row>
    <row r="331">
      <c r="C331" s="3"/>
    </row>
    <row r="332">
      <c r="C332" s="3"/>
    </row>
    <row r="333">
      <c r="C333" s="3"/>
    </row>
    <row r="334">
      <c r="C334" s="3"/>
    </row>
    <row r="335">
      <c r="C335" s="3"/>
    </row>
    <row r="336">
      <c r="C336" s="3"/>
    </row>
    <row r="337">
      <c r="C337" s="3"/>
    </row>
    <row r="338">
      <c r="C338" s="3"/>
    </row>
    <row r="339">
      <c r="C339" s="3"/>
    </row>
    <row r="340">
      <c r="C340" s="3"/>
    </row>
    <row r="341">
      <c r="C341" s="3"/>
    </row>
    <row r="342">
      <c r="C342" s="3"/>
    </row>
    <row r="343">
      <c r="C343" s="3"/>
    </row>
    <row r="344">
      <c r="C344" s="3"/>
    </row>
    <row r="345">
      <c r="C345" s="3"/>
    </row>
    <row r="346">
      <c r="C346" s="3"/>
    </row>
    <row r="347">
      <c r="C347" s="3"/>
    </row>
    <row r="348">
      <c r="C348" s="3"/>
    </row>
    <row r="349">
      <c r="C349" s="3"/>
    </row>
    <row r="350">
      <c r="C350" s="3"/>
    </row>
    <row r="351">
      <c r="C351" s="3"/>
    </row>
    <row r="352">
      <c r="C352" s="3"/>
    </row>
    <row r="353">
      <c r="C353" s="3"/>
    </row>
    <row r="354">
      <c r="C354" s="3"/>
    </row>
    <row r="355">
      <c r="C355" s="3"/>
    </row>
    <row r="356">
      <c r="C356" s="3"/>
    </row>
    <row r="357">
      <c r="C357" s="3"/>
    </row>
    <row r="358">
      <c r="C358" s="3"/>
    </row>
    <row r="359">
      <c r="C359" s="3"/>
    </row>
    <row r="360">
      <c r="C360" s="3"/>
    </row>
    <row r="361">
      <c r="C361" s="3"/>
    </row>
    <row r="362">
      <c r="C362" s="3"/>
    </row>
    <row r="363">
      <c r="C363" s="3"/>
    </row>
    <row r="364">
      <c r="C364" s="3"/>
    </row>
    <row r="365">
      <c r="C365" s="3"/>
    </row>
    <row r="366">
      <c r="C366" s="3"/>
    </row>
    <row r="367">
      <c r="C367" s="3"/>
    </row>
    <row r="368">
      <c r="C368" s="3"/>
    </row>
    <row r="369">
      <c r="C369" s="3"/>
    </row>
    <row r="370">
      <c r="C370" s="3"/>
    </row>
    <row r="371">
      <c r="C371" s="3"/>
    </row>
    <row r="372">
      <c r="C372" s="3"/>
    </row>
    <row r="373">
      <c r="C373" s="3"/>
    </row>
    <row r="374">
      <c r="C374" s="3"/>
    </row>
    <row r="375">
      <c r="C375" s="3"/>
    </row>
    <row r="376">
      <c r="C376" s="3"/>
    </row>
    <row r="377">
      <c r="C377" s="3"/>
    </row>
    <row r="378">
      <c r="C378" s="3"/>
    </row>
    <row r="379">
      <c r="C379" s="3"/>
    </row>
    <row r="380">
      <c r="C380" s="3"/>
    </row>
    <row r="381">
      <c r="C381" s="3"/>
    </row>
    <row r="382">
      <c r="C382" s="3"/>
    </row>
    <row r="383">
      <c r="C383" s="3"/>
    </row>
    <row r="384">
      <c r="C384" s="3"/>
    </row>
    <row r="385">
      <c r="C385" s="3"/>
    </row>
    <row r="386">
      <c r="C386" s="3"/>
    </row>
    <row r="387">
      <c r="C387" s="3"/>
    </row>
    <row r="388">
      <c r="C388" s="3"/>
    </row>
    <row r="389">
      <c r="C389" s="3"/>
    </row>
    <row r="390">
      <c r="C390" s="3"/>
    </row>
    <row r="391">
      <c r="C391" s="3"/>
    </row>
    <row r="392">
      <c r="C392" s="3"/>
    </row>
    <row r="393">
      <c r="C393" s="3"/>
    </row>
    <row r="394">
      <c r="C394" s="3"/>
    </row>
    <row r="395">
      <c r="C395" s="3"/>
    </row>
    <row r="396">
      <c r="C396" s="3"/>
    </row>
    <row r="397">
      <c r="C397" s="3"/>
    </row>
    <row r="398">
      <c r="C398" s="3"/>
    </row>
    <row r="399">
      <c r="C399" s="3"/>
    </row>
    <row r="400">
      <c r="C400" s="3"/>
    </row>
    <row r="401">
      <c r="C401" s="3"/>
    </row>
    <row r="402">
      <c r="C402" s="3"/>
    </row>
    <row r="403">
      <c r="C403" s="3"/>
    </row>
    <row r="404">
      <c r="C404" s="3"/>
    </row>
    <row r="405">
      <c r="C405" s="3"/>
    </row>
    <row r="406">
      <c r="C406" s="3"/>
    </row>
    <row r="407">
      <c r="C407" s="3"/>
    </row>
    <row r="408">
      <c r="C408" s="3"/>
    </row>
    <row r="409">
      <c r="C409" s="3"/>
    </row>
    <row r="410">
      <c r="C410" s="3"/>
    </row>
    <row r="411">
      <c r="C411" s="3"/>
    </row>
    <row r="412">
      <c r="C412" s="3"/>
    </row>
    <row r="413">
      <c r="C413" s="3"/>
    </row>
    <row r="414">
      <c r="C414" s="3"/>
    </row>
    <row r="415">
      <c r="C415" s="3"/>
    </row>
    <row r="416">
      <c r="C416" s="3"/>
    </row>
    <row r="417">
      <c r="C417" s="3"/>
    </row>
    <row r="418">
      <c r="C418" s="3"/>
    </row>
    <row r="419">
      <c r="C419" s="3"/>
    </row>
    <row r="420">
      <c r="C420" s="3"/>
    </row>
    <row r="421">
      <c r="C421" s="3"/>
    </row>
    <row r="422">
      <c r="C422" s="3"/>
    </row>
    <row r="423">
      <c r="C423" s="3"/>
    </row>
    <row r="424">
      <c r="C424" s="3"/>
    </row>
    <row r="425">
      <c r="C425" s="3"/>
    </row>
    <row r="426">
      <c r="C426" s="3"/>
    </row>
    <row r="427">
      <c r="C427" s="3"/>
    </row>
    <row r="428">
      <c r="C428" s="3"/>
    </row>
    <row r="429">
      <c r="C429" s="3"/>
    </row>
    <row r="430">
      <c r="C430" s="3"/>
    </row>
    <row r="431">
      <c r="C431" s="3"/>
    </row>
    <row r="432">
      <c r="C432" s="3"/>
    </row>
    <row r="433">
      <c r="C433" s="3"/>
    </row>
    <row r="434">
      <c r="C434" s="3"/>
    </row>
    <row r="435">
      <c r="C435" s="3"/>
    </row>
    <row r="436">
      <c r="C436" s="3"/>
    </row>
    <row r="437">
      <c r="C437" s="3"/>
    </row>
    <row r="438">
      <c r="C438" s="3"/>
    </row>
    <row r="439">
      <c r="C439" s="3"/>
    </row>
    <row r="440">
      <c r="C440" s="3"/>
    </row>
    <row r="441">
      <c r="C441" s="3"/>
    </row>
    <row r="442">
      <c r="C442" s="3"/>
    </row>
    <row r="443">
      <c r="C443" s="3"/>
    </row>
    <row r="444">
      <c r="C444" s="3"/>
    </row>
    <row r="445">
      <c r="C445" s="3"/>
    </row>
    <row r="446">
      <c r="C446" s="3"/>
    </row>
    <row r="447">
      <c r="C447" s="3"/>
    </row>
    <row r="448">
      <c r="C448" s="3"/>
    </row>
    <row r="449">
      <c r="C449" s="3"/>
    </row>
    <row r="450">
      <c r="C450" s="3"/>
    </row>
    <row r="451">
      <c r="C451" s="3"/>
    </row>
    <row r="452">
      <c r="C452" s="3"/>
    </row>
    <row r="453">
      <c r="C453" s="3"/>
    </row>
    <row r="454">
      <c r="C454" s="3"/>
    </row>
    <row r="455">
      <c r="C455" s="3"/>
    </row>
    <row r="456">
      <c r="C456" s="3"/>
    </row>
    <row r="457">
      <c r="C457" s="3"/>
    </row>
    <row r="458">
      <c r="C458" s="3"/>
    </row>
    <row r="459">
      <c r="C459" s="3"/>
    </row>
    <row r="460">
      <c r="C460" s="3"/>
    </row>
    <row r="461">
      <c r="C461" s="3"/>
    </row>
    <row r="462">
      <c r="C462" s="3"/>
    </row>
    <row r="463">
      <c r="C463" s="3"/>
    </row>
    <row r="464">
      <c r="C464" s="3"/>
    </row>
    <row r="465">
      <c r="C465" s="3"/>
    </row>
    <row r="466">
      <c r="C466" s="3"/>
    </row>
    <row r="467">
      <c r="C467" s="3"/>
    </row>
    <row r="468">
      <c r="C468" s="3"/>
    </row>
    <row r="469">
      <c r="C469" s="3"/>
    </row>
    <row r="470">
      <c r="C470" s="3"/>
    </row>
    <row r="471">
      <c r="C471" s="3"/>
    </row>
    <row r="472">
      <c r="C472" s="3"/>
    </row>
    <row r="473">
      <c r="C473" s="3"/>
    </row>
    <row r="474">
      <c r="C474" s="3"/>
    </row>
    <row r="475">
      <c r="C475" s="3"/>
    </row>
    <row r="476">
      <c r="C476" s="3"/>
    </row>
    <row r="477">
      <c r="C477" s="3"/>
    </row>
    <row r="478">
      <c r="C478" s="3"/>
    </row>
    <row r="479">
      <c r="C479" s="3"/>
    </row>
    <row r="480">
      <c r="C480" s="3"/>
    </row>
    <row r="481">
      <c r="C481" s="3"/>
    </row>
    <row r="482">
      <c r="C482" s="3"/>
    </row>
    <row r="483">
      <c r="C483" s="3"/>
    </row>
    <row r="484">
      <c r="C484" s="3"/>
    </row>
    <row r="485">
      <c r="C485" s="3"/>
    </row>
    <row r="486">
      <c r="C486" s="3"/>
    </row>
    <row r="487">
      <c r="C487" s="3"/>
    </row>
    <row r="488">
      <c r="C488" s="3"/>
    </row>
    <row r="489">
      <c r="C489" s="3"/>
    </row>
    <row r="490">
      <c r="C490" s="3"/>
    </row>
    <row r="491">
      <c r="C491" s="3"/>
    </row>
    <row r="492">
      <c r="C492" s="3"/>
    </row>
    <row r="493">
      <c r="C493" s="3"/>
    </row>
    <row r="494">
      <c r="C494" s="3"/>
    </row>
    <row r="495">
      <c r="C495" s="3"/>
    </row>
    <row r="496">
      <c r="C496" s="3"/>
    </row>
    <row r="497">
      <c r="C497" s="3"/>
    </row>
    <row r="498">
      <c r="C498" s="3"/>
    </row>
    <row r="499">
      <c r="C499" s="3"/>
    </row>
    <row r="500">
      <c r="C500" s="3"/>
    </row>
    <row r="501">
      <c r="C501" s="3"/>
    </row>
    <row r="502">
      <c r="C502" s="3"/>
    </row>
    <row r="503">
      <c r="C503" s="3"/>
    </row>
    <row r="504">
      <c r="C504" s="3"/>
    </row>
    <row r="505">
      <c r="C505" s="3"/>
    </row>
    <row r="506">
      <c r="C506" s="3"/>
    </row>
    <row r="507">
      <c r="C507" s="3"/>
    </row>
    <row r="508">
      <c r="C508" s="3"/>
    </row>
    <row r="509">
      <c r="C509" s="3"/>
    </row>
    <row r="510">
      <c r="C510" s="3"/>
    </row>
    <row r="511">
      <c r="C511" s="3"/>
    </row>
    <row r="512">
      <c r="C512" s="3"/>
    </row>
    <row r="513">
      <c r="C513" s="3"/>
    </row>
    <row r="514">
      <c r="C514" s="3"/>
    </row>
    <row r="515">
      <c r="C515" s="3"/>
    </row>
    <row r="516">
      <c r="C516" s="3"/>
    </row>
    <row r="517">
      <c r="C517" s="3"/>
    </row>
    <row r="518">
      <c r="C518" s="3"/>
    </row>
    <row r="519">
      <c r="C519" s="3"/>
    </row>
    <row r="520">
      <c r="C520" s="3"/>
    </row>
    <row r="521">
      <c r="C521" s="3"/>
    </row>
    <row r="522">
      <c r="C522" s="3"/>
    </row>
    <row r="523">
      <c r="C523" s="3"/>
    </row>
    <row r="524">
      <c r="C524" s="3"/>
    </row>
    <row r="525">
      <c r="C525" s="3"/>
    </row>
    <row r="526">
      <c r="C526" s="3"/>
    </row>
    <row r="527">
      <c r="C527" s="3"/>
    </row>
    <row r="528">
      <c r="C528" s="3"/>
    </row>
    <row r="529">
      <c r="C529" s="3"/>
    </row>
    <row r="530">
      <c r="C530" s="3"/>
    </row>
    <row r="531">
      <c r="C531" s="3"/>
    </row>
    <row r="532">
      <c r="C532" s="3"/>
    </row>
    <row r="533">
      <c r="C533" s="3"/>
    </row>
    <row r="534">
      <c r="C534" s="3"/>
    </row>
    <row r="535">
      <c r="C535" s="3"/>
    </row>
    <row r="536">
      <c r="C536" s="3"/>
    </row>
    <row r="537">
      <c r="C537" s="3"/>
    </row>
    <row r="538">
      <c r="C538" s="3"/>
    </row>
    <row r="539">
      <c r="C539" s="3"/>
    </row>
    <row r="540">
      <c r="C540" s="3"/>
    </row>
    <row r="541">
      <c r="C541" s="3"/>
    </row>
    <row r="542">
      <c r="C542" s="3"/>
    </row>
    <row r="543">
      <c r="C543" s="3"/>
    </row>
    <row r="544">
      <c r="C544" s="3"/>
    </row>
    <row r="545">
      <c r="C545" s="3"/>
    </row>
    <row r="546">
      <c r="C546" s="3"/>
    </row>
    <row r="547">
      <c r="C547" s="3"/>
    </row>
    <row r="548">
      <c r="C548" s="3"/>
    </row>
    <row r="549">
      <c r="C549" s="3"/>
    </row>
    <row r="550">
      <c r="C550" s="3"/>
    </row>
    <row r="551">
      <c r="C551" s="3"/>
    </row>
    <row r="552">
      <c r="C552" s="3"/>
    </row>
    <row r="553">
      <c r="C553" s="3"/>
    </row>
    <row r="554">
      <c r="C554" s="3"/>
    </row>
    <row r="555">
      <c r="C555" s="3"/>
    </row>
    <row r="556">
      <c r="C556" s="3"/>
    </row>
    <row r="557">
      <c r="C557" s="3"/>
    </row>
    <row r="558">
      <c r="C558" s="3"/>
    </row>
    <row r="559">
      <c r="C559" s="3"/>
    </row>
    <row r="560">
      <c r="C560" s="3"/>
    </row>
    <row r="561">
      <c r="C561" s="3"/>
    </row>
    <row r="562">
      <c r="C562" s="3"/>
    </row>
    <row r="563">
      <c r="C563" s="3"/>
    </row>
    <row r="564">
      <c r="C564" s="3"/>
    </row>
    <row r="565">
      <c r="C565" s="3"/>
    </row>
    <row r="566">
      <c r="C566" s="3"/>
    </row>
    <row r="567">
      <c r="C567" s="3"/>
    </row>
    <row r="568">
      <c r="C568" s="3"/>
    </row>
    <row r="569">
      <c r="C569" s="3"/>
    </row>
    <row r="570">
      <c r="C570" s="3"/>
    </row>
    <row r="571">
      <c r="C571" s="3"/>
    </row>
    <row r="572">
      <c r="C572" s="3"/>
    </row>
    <row r="573">
      <c r="C573" s="3"/>
    </row>
    <row r="574">
      <c r="C574" s="3"/>
    </row>
    <row r="575">
      <c r="C575" s="3"/>
    </row>
    <row r="576">
      <c r="C576" s="3"/>
    </row>
    <row r="577">
      <c r="C577" s="3"/>
    </row>
    <row r="578">
      <c r="C578" s="3"/>
    </row>
    <row r="579">
      <c r="C579" s="3"/>
    </row>
    <row r="580">
      <c r="C580" s="3"/>
    </row>
    <row r="581">
      <c r="C581" s="3"/>
    </row>
    <row r="582">
      <c r="C582" s="3"/>
    </row>
    <row r="583">
      <c r="C583" s="3"/>
    </row>
    <row r="584">
      <c r="C584" s="3"/>
    </row>
    <row r="585">
      <c r="C585" s="3"/>
    </row>
    <row r="586">
      <c r="C586" s="3"/>
    </row>
    <row r="587">
      <c r="C587" s="3"/>
    </row>
    <row r="588">
      <c r="C588" s="3"/>
    </row>
    <row r="589">
      <c r="C589" s="3"/>
    </row>
    <row r="590">
      <c r="C590" s="3"/>
    </row>
    <row r="591">
      <c r="C591" s="3"/>
    </row>
    <row r="592">
      <c r="C592" s="3"/>
    </row>
    <row r="593">
      <c r="C593" s="3"/>
    </row>
    <row r="594">
      <c r="C594" s="3"/>
    </row>
    <row r="595">
      <c r="C595" s="3"/>
    </row>
    <row r="596">
      <c r="C596" s="3"/>
    </row>
    <row r="597">
      <c r="C597" s="3"/>
    </row>
    <row r="598">
      <c r="C598" s="3"/>
    </row>
    <row r="599">
      <c r="C599" s="3"/>
    </row>
    <row r="600">
      <c r="C600" s="3"/>
    </row>
    <row r="601">
      <c r="C601" s="3"/>
    </row>
    <row r="602">
      <c r="C602" s="3"/>
    </row>
    <row r="603">
      <c r="C603" s="3"/>
    </row>
    <row r="604">
      <c r="C604" s="3"/>
    </row>
    <row r="605">
      <c r="C605" s="3"/>
    </row>
    <row r="606">
      <c r="C606" s="3"/>
    </row>
    <row r="607">
      <c r="C607" s="3"/>
    </row>
    <row r="608">
      <c r="C608" s="3"/>
    </row>
    <row r="609">
      <c r="C609" s="3"/>
    </row>
    <row r="610">
      <c r="C610" s="3"/>
    </row>
    <row r="611">
      <c r="C611" s="3"/>
    </row>
    <row r="612">
      <c r="C612" s="3"/>
    </row>
    <row r="613">
      <c r="C613" s="3"/>
    </row>
    <row r="614">
      <c r="C614" s="3"/>
    </row>
    <row r="615">
      <c r="C615" s="3"/>
    </row>
    <row r="616">
      <c r="C616" s="3"/>
    </row>
    <row r="617">
      <c r="C617" s="3"/>
    </row>
    <row r="618">
      <c r="C618" s="3"/>
    </row>
    <row r="619">
      <c r="C619" s="3"/>
    </row>
    <row r="620">
      <c r="C620" s="3"/>
    </row>
    <row r="621">
      <c r="C621" s="3"/>
    </row>
    <row r="622">
      <c r="C622" s="3"/>
    </row>
    <row r="623">
      <c r="C623" s="3"/>
    </row>
    <row r="624">
      <c r="C624" s="3"/>
    </row>
    <row r="625">
      <c r="C625" s="3"/>
    </row>
    <row r="626">
      <c r="C626" s="3"/>
    </row>
    <row r="627">
      <c r="C627" s="3"/>
    </row>
    <row r="628">
      <c r="C628" s="3"/>
    </row>
    <row r="629">
      <c r="C629" s="3"/>
    </row>
    <row r="630">
      <c r="C630" s="3"/>
    </row>
    <row r="631">
      <c r="C631" s="3"/>
    </row>
    <row r="632">
      <c r="C632" s="3"/>
    </row>
    <row r="633">
      <c r="C633" s="3"/>
    </row>
    <row r="634">
      <c r="C634" s="3"/>
    </row>
    <row r="635">
      <c r="C635" s="3"/>
    </row>
    <row r="636">
      <c r="C636" s="3"/>
    </row>
    <row r="637">
      <c r="C637" s="3"/>
    </row>
    <row r="638">
      <c r="C638" s="3"/>
    </row>
    <row r="639">
      <c r="C639" s="3"/>
    </row>
    <row r="640">
      <c r="C640" s="3"/>
    </row>
    <row r="641">
      <c r="C641" s="3"/>
    </row>
    <row r="642">
      <c r="C642" s="3"/>
    </row>
    <row r="643">
      <c r="C643" s="3"/>
    </row>
    <row r="644">
      <c r="C644" s="3"/>
    </row>
    <row r="645">
      <c r="C645" s="3"/>
    </row>
    <row r="646">
      <c r="C646" s="3"/>
    </row>
    <row r="647">
      <c r="C647" s="3"/>
    </row>
    <row r="648">
      <c r="C648" s="3"/>
    </row>
    <row r="649">
      <c r="C649" s="3"/>
    </row>
    <row r="650">
      <c r="C650" s="3"/>
    </row>
    <row r="651">
      <c r="C651" s="3"/>
    </row>
    <row r="652">
      <c r="C652" s="3"/>
    </row>
    <row r="653">
      <c r="C653" s="3"/>
    </row>
    <row r="654">
      <c r="C654" s="3"/>
    </row>
    <row r="655">
      <c r="C655" s="3"/>
    </row>
    <row r="656">
      <c r="C656" s="3"/>
    </row>
    <row r="657">
      <c r="C657" s="3"/>
    </row>
    <row r="658">
      <c r="C658" s="3"/>
    </row>
    <row r="659">
      <c r="C659" s="3"/>
    </row>
    <row r="660">
      <c r="C660" s="3"/>
    </row>
    <row r="661">
      <c r="C661" s="3"/>
    </row>
    <row r="662">
      <c r="C662" s="3"/>
    </row>
    <row r="663">
      <c r="C663" s="3"/>
    </row>
    <row r="664">
      <c r="C664" s="3"/>
    </row>
    <row r="665">
      <c r="C665" s="3"/>
    </row>
    <row r="666">
      <c r="C666" s="3"/>
    </row>
    <row r="667">
      <c r="C667" s="3"/>
    </row>
    <row r="668">
      <c r="C668" s="3"/>
    </row>
    <row r="669">
      <c r="C669" s="3"/>
    </row>
    <row r="670">
      <c r="C670" s="3"/>
    </row>
    <row r="671">
      <c r="C671" s="3"/>
    </row>
    <row r="672">
      <c r="C672" s="3"/>
    </row>
    <row r="673">
      <c r="C673" s="3"/>
    </row>
    <row r="674">
      <c r="C674" s="3"/>
    </row>
    <row r="675">
      <c r="C675" s="3"/>
    </row>
    <row r="676">
      <c r="C676" s="3"/>
    </row>
    <row r="677">
      <c r="C677" s="3"/>
    </row>
    <row r="678">
      <c r="C678" s="3"/>
    </row>
    <row r="679">
      <c r="C679" s="3"/>
    </row>
    <row r="680">
      <c r="C680" s="3"/>
    </row>
    <row r="681">
      <c r="C681" s="3"/>
    </row>
    <row r="682">
      <c r="C682" s="3"/>
    </row>
    <row r="683">
      <c r="C683" s="3"/>
    </row>
    <row r="684">
      <c r="C684" s="3"/>
    </row>
    <row r="685">
      <c r="C685" s="3"/>
    </row>
    <row r="686">
      <c r="C686" s="3"/>
    </row>
    <row r="687">
      <c r="C687" s="3"/>
    </row>
    <row r="688">
      <c r="C688" s="3"/>
    </row>
    <row r="689">
      <c r="C689" s="3"/>
    </row>
    <row r="690">
      <c r="C690" s="3"/>
    </row>
    <row r="691">
      <c r="C691" s="3"/>
    </row>
    <row r="692">
      <c r="C692" s="3"/>
    </row>
    <row r="693">
      <c r="C693" s="3"/>
    </row>
    <row r="694">
      <c r="C694" s="3"/>
    </row>
    <row r="695">
      <c r="C695" s="3"/>
    </row>
    <row r="696">
      <c r="C696" s="3"/>
    </row>
    <row r="697">
      <c r="C697" s="3"/>
    </row>
    <row r="698">
      <c r="C698" s="3"/>
    </row>
    <row r="699">
      <c r="C699" s="3"/>
    </row>
    <row r="700">
      <c r="C700" s="3"/>
    </row>
    <row r="701">
      <c r="C701" s="3"/>
    </row>
    <row r="702">
      <c r="C702" s="3"/>
    </row>
    <row r="703">
      <c r="C703" s="3"/>
    </row>
    <row r="704">
      <c r="C704" s="3"/>
    </row>
    <row r="705">
      <c r="C705" s="3"/>
    </row>
    <row r="706">
      <c r="C706" s="3"/>
    </row>
    <row r="707">
      <c r="C707" s="3"/>
    </row>
    <row r="708">
      <c r="C708" s="3"/>
    </row>
    <row r="709">
      <c r="C709" s="3"/>
    </row>
    <row r="710">
      <c r="C710" s="3"/>
    </row>
    <row r="711">
      <c r="C711" s="3"/>
    </row>
    <row r="712">
      <c r="C712" s="3"/>
    </row>
    <row r="713">
      <c r="C713" s="3"/>
    </row>
    <row r="714">
      <c r="C714" s="3"/>
    </row>
    <row r="715">
      <c r="C715" s="3"/>
    </row>
    <row r="716">
      <c r="C716" s="3"/>
    </row>
    <row r="717">
      <c r="C717" s="3"/>
    </row>
    <row r="718">
      <c r="C718" s="3"/>
    </row>
    <row r="719">
      <c r="C719" s="3"/>
    </row>
    <row r="720">
      <c r="C720" s="3"/>
    </row>
    <row r="721">
      <c r="C721" s="3"/>
    </row>
    <row r="722">
      <c r="C722" s="3"/>
    </row>
    <row r="723">
      <c r="C723" s="3"/>
    </row>
    <row r="724">
      <c r="C724" s="3"/>
    </row>
    <row r="725">
      <c r="C725" s="3"/>
    </row>
    <row r="726">
      <c r="C726" s="3"/>
    </row>
    <row r="727">
      <c r="C727" s="3"/>
    </row>
    <row r="728">
      <c r="C728" s="3"/>
    </row>
    <row r="729">
      <c r="C729" s="3"/>
    </row>
    <row r="730">
      <c r="C730" s="3"/>
    </row>
    <row r="731">
      <c r="C731" s="3"/>
    </row>
    <row r="732">
      <c r="C732" s="3"/>
    </row>
    <row r="733">
      <c r="C733" s="3"/>
    </row>
    <row r="734">
      <c r="C734" s="3"/>
    </row>
    <row r="735">
      <c r="C735" s="3"/>
    </row>
    <row r="736">
      <c r="C736" s="3"/>
    </row>
    <row r="737">
      <c r="C737" s="3"/>
    </row>
    <row r="738">
      <c r="C738" s="3"/>
    </row>
    <row r="739">
      <c r="C739" s="3"/>
    </row>
    <row r="740">
      <c r="C740" s="3"/>
    </row>
    <row r="741">
      <c r="C741" s="3"/>
    </row>
    <row r="742">
      <c r="C742" s="3"/>
    </row>
    <row r="743">
      <c r="C743" s="3"/>
    </row>
    <row r="744">
      <c r="C744" s="3"/>
    </row>
    <row r="745">
      <c r="C745" s="3"/>
    </row>
    <row r="746">
      <c r="C746" s="3"/>
    </row>
    <row r="747">
      <c r="C747" s="3"/>
    </row>
    <row r="748">
      <c r="C748" s="3"/>
    </row>
    <row r="749">
      <c r="C749" s="3"/>
    </row>
    <row r="750">
      <c r="C750" s="3"/>
    </row>
    <row r="751">
      <c r="C751" s="3"/>
    </row>
    <row r="752">
      <c r="C752" s="3"/>
    </row>
    <row r="753">
      <c r="C753" s="3"/>
    </row>
    <row r="754">
      <c r="C754" s="3"/>
    </row>
    <row r="755">
      <c r="C755" s="3"/>
    </row>
    <row r="756">
      <c r="C756" s="3"/>
    </row>
    <row r="757">
      <c r="C757" s="3"/>
    </row>
    <row r="758">
      <c r="C758" s="3"/>
    </row>
    <row r="759">
      <c r="C759" s="3"/>
    </row>
    <row r="760">
      <c r="C760" s="3"/>
    </row>
    <row r="761">
      <c r="C761" s="3"/>
    </row>
    <row r="762">
      <c r="C762" s="3"/>
    </row>
    <row r="763">
      <c r="C763" s="3"/>
    </row>
    <row r="764">
      <c r="C764" s="3"/>
    </row>
    <row r="765">
      <c r="C765" s="3"/>
    </row>
    <row r="766">
      <c r="C766" s="3"/>
    </row>
    <row r="767">
      <c r="C767" s="3"/>
    </row>
    <row r="768">
      <c r="C768" s="3"/>
    </row>
    <row r="769">
      <c r="C769" s="3"/>
    </row>
    <row r="770">
      <c r="C770" s="3"/>
    </row>
    <row r="771">
      <c r="C771" s="3"/>
    </row>
    <row r="772">
      <c r="C772" s="3"/>
    </row>
    <row r="773">
      <c r="C773" s="3"/>
    </row>
    <row r="774">
      <c r="C774" s="3"/>
    </row>
    <row r="775">
      <c r="C775" s="3"/>
    </row>
    <row r="776">
      <c r="C776" s="3"/>
    </row>
    <row r="777">
      <c r="C777" s="3"/>
    </row>
    <row r="778">
      <c r="C778" s="3"/>
    </row>
    <row r="779">
      <c r="C779" s="3"/>
    </row>
    <row r="780">
      <c r="C780" s="3"/>
    </row>
    <row r="781">
      <c r="C781" s="3"/>
    </row>
    <row r="782">
      <c r="C782" s="3"/>
    </row>
    <row r="783">
      <c r="C783" s="3"/>
    </row>
    <row r="784">
      <c r="C784" s="3"/>
    </row>
    <row r="785">
      <c r="C785" s="3"/>
    </row>
    <row r="786">
      <c r="C786" s="3"/>
    </row>
    <row r="787">
      <c r="C787" s="3"/>
    </row>
    <row r="788">
      <c r="C788" s="3"/>
    </row>
    <row r="789">
      <c r="C789" s="3"/>
    </row>
    <row r="790">
      <c r="C790" s="3"/>
    </row>
    <row r="791">
      <c r="C791" s="3"/>
    </row>
    <row r="792">
      <c r="C792" s="3"/>
    </row>
    <row r="793">
      <c r="C793" s="3"/>
    </row>
    <row r="794">
      <c r="C794" s="3"/>
    </row>
    <row r="795">
      <c r="C795" s="3"/>
    </row>
    <row r="796">
      <c r="C796" s="3"/>
    </row>
    <row r="797">
      <c r="C797" s="3"/>
    </row>
    <row r="798">
      <c r="C798" s="3"/>
    </row>
    <row r="799">
      <c r="C799" s="3"/>
    </row>
    <row r="800">
      <c r="C800" s="3"/>
    </row>
    <row r="801">
      <c r="C801" s="3"/>
    </row>
    <row r="802">
      <c r="C802" s="3"/>
    </row>
    <row r="803">
      <c r="C803" s="3"/>
    </row>
    <row r="804">
      <c r="C804" s="3"/>
    </row>
    <row r="805">
      <c r="C805" s="3"/>
    </row>
    <row r="806">
      <c r="C806" s="3"/>
    </row>
    <row r="807">
      <c r="C807" s="3"/>
    </row>
    <row r="808">
      <c r="C808" s="3"/>
    </row>
    <row r="809">
      <c r="C809" s="3"/>
    </row>
    <row r="810">
      <c r="C810" s="3"/>
    </row>
    <row r="811">
      <c r="C811" s="3"/>
    </row>
    <row r="812">
      <c r="C812" s="3"/>
    </row>
    <row r="813">
      <c r="C813" s="3"/>
    </row>
    <row r="814">
      <c r="C814" s="3"/>
    </row>
    <row r="815">
      <c r="C815" s="3"/>
    </row>
    <row r="816">
      <c r="C816" s="3"/>
    </row>
    <row r="817">
      <c r="C817" s="3"/>
    </row>
    <row r="818">
      <c r="C818" s="3"/>
    </row>
    <row r="819">
      <c r="C819" s="3"/>
    </row>
    <row r="820">
      <c r="C820" s="3"/>
    </row>
    <row r="821">
      <c r="C821" s="3"/>
    </row>
    <row r="822">
      <c r="C822" s="3"/>
    </row>
    <row r="823">
      <c r="C823" s="3"/>
    </row>
    <row r="824">
      <c r="C824" s="3"/>
    </row>
    <row r="825">
      <c r="C825" s="3"/>
    </row>
    <row r="826">
      <c r="C826" s="3"/>
    </row>
    <row r="827">
      <c r="C827" s="3"/>
    </row>
    <row r="828">
      <c r="C828" s="3"/>
    </row>
    <row r="829">
      <c r="C829" s="3"/>
    </row>
    <row r="830">
      <c r="C830" s="3"/>
    </row>
    <row r="831">
      <c r="C831" s="3"/>
    </row>
    <row r="832">
      <c r="C832" s="3"/>
    </row>
    <row r="833">
      <c r="C833" s="3"/>
    </row>
    <row r="834">
      <c r="C834" s="3"/>
    </row>
    <row r="835">
      <c r="C835" s="3"/>
    </row>
    <row r="836">
      <c r="C836" s="3"/>
    </row>
    <row r="837">
      <c r="C837" s="3"/>
    </row>
    <row r="838">
      <c r="C838" s="3"/>
    </row>
    <row r="839">
      <c r="C839" s="3"/>
    </row>
    <row r="840">
      <c r="C840" s="3"/>
    </row>
    <row r="841">
      <c r="C841" s="3"/>
    </row>
    <row r="842">
      <c r="C842" s="3"/>
    </row>
    <row r="843">
      <c r="C843" s="3"/>
    </row>
    <row r="844">
      <c r="C844" s="3"/>
    </row>
    <row r="845">
      <c r="C845" s="3"/>
    </row>
    <row r="846">
      <c r="C846" s="3"/>
    </row>
    <row r="847">
      <c r="C847" s="3"/>
    </row>
    <row r="848">
      <c r="C848" s="3"/>
    </row>
    <row r="849">
      <c r="C849" s="3"/>
    </row>
    <row r="850">
      <c r="C850" s="3"/>
    </row>
    <row r="851">
      <c r="C851" s="3"/>
    </row>
    <row r="852">
      <c r="C852" s="3"/>
    </row>
    <row r="853">
      <c r="C853" s="3"/>
    </row>
    <row r="854">
      <c r="C854" s="3"/>
    </row>
    <row r="855">
      <c r="C855" s="3"/>
    </row>
    <row r="856">
      <c r="C856" s="3"/>
    </row>
    <row r="857">
      <c r="C857" s="3"/>
    </row>
    <row r="858">
      <c r="C858" s="3"/>
    </row>
    <row r="859">
      <c r="C859" s="3"/>
    </row>
    <row r="860">
      <c r="C860" s="3"/>
    </row>
    <row r="861">
      <c r="C861" s="3"/>
    </row>
    <row r="862">
      <c r="C862" s="3"/>
    </row>
    <row r="863">
      <c r="C863" s="3"/>
    </row>
    <row r="864">
      <c r="C864" s="3"/>
    </row>
    <row r="865">
      <c r="C865" s="3"/>
    </row>
    <row r="866">
      <c r="C866" s="3"/>
    </row>
    <row r="867">
      <c r="C867" s="3"/>
    </row>
    <row r="868">
      <c r="C868" s="3"/>
    </row>
    <row r="869">
      <c r="C869" s="3"/>
    </row>
    <row r="870">
      <c r="C870" s="3"/>
    </row>
    <row r="871">
      <c r="C871" s="3"/>
    </row>
    <row r="872">
      <c r="C872" s="3"/>
    </row>
    <row r="873">
      <c r="C873" s="3"/>
    </row>
    <row r="874">
      <c r="C874" s="3"/>
    </row>
    <row r="875">
      <c r="C875" s="3"/>
    </row>
    <row r="876">
      <c r="C876" s="3"/>
    </row>
    <row r="877">
      <c r="C877" s="3"/>
    </row>
    <row r="878">
      <c r="C878" s="3"/>
    </row>
    <row r="879">
      <c r="C879" s="3"/>
    </row>
    <row r="880">
      <c r="C880" s="3"/>
    </row>
    <row r="881">
      <c r="C881" s="3"/>
    </row>
    <row r="882">
      <c r="C882" s="3"/>
    </row>
    <row r="883">
      <c r="C883" s="3"/>
    </row>
    <row r="884">
      <c r="C884" s="3"/>
    </row>
    <row r="885">
      <c r="C885" s="3"/>
    </row>
    <row r="886">
      <c r="C886" s="3"/>
    </row>
    <row r="887">
      <c r="C887" s="3"/>
    </row>
    <row r="888">
      <c r="C888" s="3"/>
    </row>
    <row r="889">
      <c r="C889" s="3"/>
    </row>
    <row r="890">
      <c r="C890" s="3"/>
    </row>
    <row r="891">
      <c r="C891" s="3"/>
    </row>
    <row r="892">
      <c r="C892" s="3"/>
    </row>
    <row r="893">
      <c r="C893" s="3"/>
    </row>
    <row r="894">
      <c r="C894" s="3"/>
    </row>
    <row r="895">
      <c r="C895" s="3"/>
    </row>
    <row r="896">
      <c r="C896" s="3"/>
    </row>
    <row r="897">
      <c r="C897" s="3"/>
    </row>
    <row r="898">
      <c r="C898" s="3"/>
    </row>
    <row r="899">
      <c r="C899" s="3"/>
    </row>
    <row r="900">
      <c r="C900" s="3"/>
    </row>
    <row r="901">
      <c r="C901" s="3"/>
    </row>
    <row r="902">
      <c r="C902" s="3"/>
    </row>
    <row r="903">
      <c r="C903" s="3"/>
    </row>
    <row r="904">
      <c r="C904" s="3"/>
    </row>
    <row r="905">
      <c r="C905" s="3"/>
    </row>
    <row r="906">
      <c r="C906" s="3"/>
    </row>
    <row r="907">
      <c r="C907" s="3"/>
    </row>
    <row r="908">
      <c r="C908" s="3"/>
    </row>
    <row r="909">
      <c r="C909" s="3"/>
    </row>
    <row r="910">
      <c r="C910" s="3"/>
    </row>
    <row r="911">
      <c r="C911" s="3"/>
    </row>
    <row r="912">
      <c r="C912" s="3"/>
    </row>
    <row r="913">
      <c r="C913" s="3"/>
    </row>
    <row r="914">
      <c r="C914" s="3"/>
    </row>
    <row r="915">
      <c r="C915" s="3"/>
    </row>
    <row r="916">
      <c r="C916" s="3"/>
    </row>
    <row r="917">
      <c r="C917" s="3"/>
    </row>
    <row r="918">
      <c r="C918" s="3"/>
    </row>
    <row r="919">
      <c r="C919" s="3"/>
    </row>
    <row r="920">
      <c r="C920" s="3"/>
    </row>
    <row r="921">
      <c r="C921" s="3"/>
    </row>
    <row r="922">
      <c r="C922" s="3"/>
    </row>
    <row r="923">
      <c r="C923" s="3"/>
    </row>
    <row r="924">
      <c r="C924" s="3"/>
    </row>
    <row r="925">
      <c r="C925" s="3"/>
    </row>
    <row r="926">
      <c r="C926" s="3"/>
    </row>
    <row r="927">
      <c r="C927" s="3"/>
    </row>
    <row r="928">
      <c r="C928" s="3"/>
    </row>
    <row r="929">
      <c r="C929" s="3"/>
    </row>
    <row r="930">
      <c r="C930" s="3"/>
    </row>
    <row r="931">
      <c r="C931" s="3"/>
    </row>
    <row r="932">
      <c r="C932" s="3"/>
    </row>
    <row r="933">
      <c r="C933" s="3"/>
    </row>
    <row r="934">
      <c r="C934" s="3"/>
    </row>
    <row r="935">
      <c r="C935" s="3"/>
    </row>
    <row r="936">
      <c r="C936" s="3"/>
    </row>
    <row r="937">
      <c r="C937" s="3"/>
    </row>
    <row r="938">
      <c r="C938" s="3"/>
    </row>
    <row r="939">
      <c r="C939" s="3"/>
    </row>
    <row r="940">
      <c r="C940" s="3"/>
    </row>
    <row r="941">
      <c r="C941" s="3"/>
    </row>
    <row r="942">
      <c r="C942" s="3"/>
    </row>
    <row r="943">
      <c r="C943" s="3"/>
    </row>
    <row r="944">
      <c r="C944" s="3"/>
    </row>
    <row r="945">
      <c r="C945" s="3"/>
    </row>
    <row r="946">
      <c r="C946" s="3"/>
    </row>
    <row r="947">
      <c r="C947" s="3"/>
    </row>
    <row r="948">
      <c r="C948" s="3"/>
    </row>
    <row r="949">
      <c r="C949" s="3"/>
    </row>
    <row r="950">
      <c r="C950" s="3"/>
    </row>
    <row r="951">
      <c r="C951" s="3"/>
    </row>
    <row r="952">
      <c r="C952" s="3"/>
    </row>
    <row r="953">
      <c r="C953" s="3"/>
    </row>
    <row r="954">
      <c r="C954" s="3"/>
    </row>
    <row r="955">
      <c r="C955" s="3"/>
    </row>
    <row r="956">
      <c r="C956" s="3"/>
    </row>
    <row r="957">
      <c r="C957" s="3"/>
    </row>
    <row r="958">
      <c r="C958" s="3"/>
    </row>
    <row r="959">
      <c r="C959" s="3"/>
    </row>
    <row r="960">
      <c r="C960" s="3"/>
    </row>
    <row r="961">
      <c r="C961" s="3"/>
    </row>
    <row r="962">
      <c r="C962" s="3"/>
    </row>
    <row r="963">
      <c r="C963" s="3"/>
    </row>
    <row r="964">
      <c r="C964" s="3"/>
    </row>
    <row r="965">
      <c r="C965" s="3"/>
    </row>
    <row r="966">
      <c r="C966" s="3"/>
    </row>
    <row r="967">
      <c r="C967" s="3"/>
    </row>
    <row r="968">
      <c r="C968" s="3"/>
    </row>
    <row r="969">
      <c r="C969" s="3"/>
    </row>
    <row r="970">
      <c r="C970" s="3"/>
    </row>
    <row r="971">
      <c r="C971" s="3"/>
    </row>
    <row r="972">
      <c r="C972" s="3"/>
    </row>
    <row r="973">
      <c r="C973" s="3"/>
    </row>
    <row r="974">
      <c r="C974" s="3"/>
    </row>
    <row r="975">
      <c r="C975" s="3"/>
    </row>
    <row r="976">
      <c r="C976" s="3"/>
    </row>
    <row r="977">
      <c r="C977" s="3"/>
    </row>
    <row r="978">
      <c r="C978" s="3"/>
    </row>
    <row r="979">
      <c r="C979" s="3"/>
    </row>
    <row r="980">
      <c r="C980" s="3"/>
    </row>
    <row r="981">
      <c r="C981" s="3"/>
    </row>
    <row r="982">
      <c r="C982" s="3"/>
    </row>
    <row r="983">
      <c r="C983" s="3"/>
    </row>
    <row r="984">
      <c r="C984" s="3"/>
    </row>
    <row r="985">
      <c r="C985" s="3"/>
    </row>
    <row r="986">
      <c r="C986" s="3"/>
    </row>
    <row r="987">
      <c r="C987" s="3"/>
    </row>
    <row r="988">
      <c r="C988" s="3"/>
    </row>
    <row r="989">
      <c r="C989" s="3"/>
    </row>
    <row r="990">
      <c r="C990" s="3"/>
    </row>
    <row r="991">
      <c r="C991" s="3"/>
    </row>
    <row r="992">
      <c r="C992" s="3"/>
    </row>
    <row r="993">
      <c r="C993" s="3"/>
    </row>
    <row r="994">
      <c r="C994" s="3"/>
    </row>
    <row r="995">
      <c r="C995" s="3"/>
    </row>
    <row r="996">
      <c r="C996" s="3"/>
    </row>
    <row r="997">
      <c r="C997" s="3"/>
    </row>
    <row r="998">
      <c r="C998" s="3"/>
    </row>
    <row r="999">
      <c r="C999" s="3"/>
    </row>
    <row r="1000">
      <c r="C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4.0"/>
    <col customWidth="1" min="3" max="3" width="40.88"/>
  </cols>
  <sheetData>
    <row r="1">
      <c r="A1" s="4" t="s">
        <v>0</v>
      </c>
      <c r="B1" s="5" t="s">
        <v>1</v>
      </c>
      <c r="C1" s="4" t="s">
        <v>2</v>
      </c>
      <c r="D1" s="5" t="s">
        <v>3</v>
      </c>
      <c r="E1" s="6" t="s">
        <v>4</v>
      </c>
      <c r="F1" s="7" t="s">
        <v>5</v>
      </c>
      <c r="G1" s="7" t="s">
        <v>6</v>
      </c>
      <c r="H1" s="7" t="s">
        <v>7</v>
      </c>
      <c r="I1" s="7" t="s">
        <v>8</v>
      </c>
      <c r="J1" s="7" t="s">
        <v>9</v>
      </c>
      <c r="K1" s="7" t="s">
        <v>10</v>
      </c>
    </row>
    <row r="2" hidden="1">
      <c r="A2" s="3" t="s">
        <v>11</v>
      </c>
      <c r="B2" s="2" t="s">
        <v>12</v>
      </c>
      <c r="C2" s="3" t="s">
        <v>13</v>
      </c>
      <c r="D2" s="2">
        <v>0.16663296917627152</v>
      </c>
      <c r="E2" s="8" t="s">
        <v>14</v>
      </c>
      <c r="F2" s="9" t="s">
        <v>15</v>
      </c>
      <c r="G2" s="9" t="s">
        <v>16</v>
      </c>
      <c r="H2" s="9" t="s">
        <v>16</v>
      </c>
      <c r="I2" s="9"/>
      <c r="J2" s="9"/>
      <c r="K2" s="9"/>
    </row>
    <row r="3" hidden="1">
      <c r="A3" s="3" t="s">
        <v>17</v>
      </c>
      <c r="B3" s="2" t="s">
        <v>18</v>
      </c>
      <c r="C3" s="3" t="s">
        <v>19</v>
      </c>
      <c r="D3" s="2">
        <v>0.05800742769448336</v>
      </c>
      <c r="E3" s="8" t="s">
        <v>20</v>
      </c>
      <c r="F3" s="9" t="s">
        <v>15</v>
      </c>
      <c r="G3" s="9" t="s">
        <v>16</v>
      </c>
      <c r="H3" s="9" t="s">
        <v>16</v>
      </c>
      <c r="I3" s="9"/>
      <c r="J3" s="9"/>
      <c r="K3" s="9"/>
    </row>
    <row r="4" hidden="1">
      <c r="A4" s="3" t="s">
        <v>21</v>
      </c>
      <c r="B4" s="2" t="s">
        <v>22</v>
      </c>
      <c r="C4" s="3" t="s">
        <v>23</v>
      </c>
      <c r="D4" s="2">
        <v>0.02576279980403305</v>
      </c>
      <c r="E4" s="8" t="s">
        <v>24</v>
      </c>
      <c r="F4" s="9" t="s">
        <v>15</v>
      </c>
      <c r="G4" s="9" t="s">
        <v>16</v>
      </c>
      <c r="H4" s="9" t="s">
        <v>16</v>
      </c>
      <c r="I4" s="9"/>
      <c r="J4" s="9"/>
      <c r="K4" s="9"/>
    </row>
    <row r="5" hidden="1">
      <c r="A5" s="3" t="s">
        <v>25</v>
      </c>
      <c r="B5" s="2" t="s">
        <v>26</v>
      </c>
      <c r="C5" s="3" t="s">
        <v>27</v>
      </c>
      <c r="D5" s="2">
        <v>0.02361800326210992</v>
      </c>
      <c r="E5" s="8" t="s">
        <v>28</v>
      </c>
      <c r="F5" s="9" t="s">
        <v>15</v>
      </c>
      <c r="G5" s="9" t="s">
        <v>16</v>
      </c>
      <c r="H5" s="9" t="s">
        <v>16</v>
      </c>
      <c r="I5" s="9"/>
      <c r="J5" s="9"/>
      <c r="K5" s="9"/>
    </row>
    <row r="6" hidden="1">
      <c r="A6" s="3" t="s">
        <v>29</v>
      </c>
      <c r="B6" s="2" t="s">
        <v>30</v>
      </c>
      <c r="C6" s="3" t="s">
        <v>31</v>
      </c>
      <c r="D6" s="2">
        <v>0.00882307207313345</v>
      </c>
      <c r="E6" s="8" t="s">
        <v>32</v>
      </c>
      <c r="F6" s="9" t="s">
        <v>15</v>
      </c>
      <c r="G6" s="9" t="s">
        <v>16</v>
      </c>
      <c r="H6" s="9" t="s">
        <v>16</v>
      </c>
      <c r="I6" s="9"/>
      <c r="J6" s="9"/>
      <c r="K6" s="9"/>
    </row>
    <row r="7" hidden="1">
      <c r="A7" s="3" t="s">
        <v>33</v>
      </c>
      <c r="B7" s="2" t="s">
        <v>34</v>
      </c>
      <c r="C7" s="3" t="s">
        <v>35</v>
      </c>
      <c r="D7" s="2">
        <v>0.006729920723596621</v>
      </c>
      <c r="E7" s="8" t="s">
        <v>36</v>
      </c>
      <c r="F7" s="9" t="s">
        <v>15</v>
      </c>
      <c r="G7" s="9" t="s">
        <v>16</v>
      </c>
      <c r="H7" s="9" t="s">
        <v>16</v>
      </c>
      <c r="I7" s="9"/>
      <c r="J7" s="9"/>
      <c r="K7" s="9"/>
    </row>
    <row r="8" hidden="1">
      <c r="A8" s="3" t="s">
        <v>37</v>
      </c>
      <c r="B8" s="2" t="s">
        <v>38</v>
      </c>
      <c r="C8" s="3" t="s">
        <v>39</v>
      </c>
      <c r="D8" s="2">
        <v>0.00635108412657297</v>
      </c>
      <c r="E8" s="8" t="s">
        <v>40</v>
      </c>
      <c r="F8" s="9" t="s">
        <v>15</v>
      </c>
      <c r="G8" s="9" t="s">
        <v>16</v>
      </c>
      <c r="H8" s="9" t="s">
        <v>16</v>
      </c>
      <c r="I8" s="9"/>
      <c r="J8" s="9"/>
      <c r="K8" s="9"/>
    </row>
    <row r="9" hidden="1">
      <c r="A9" s="3" t="s">
        <v>41</v>
      </c>
      <c r="B9" s="2" t="s">
        <v>42</v>
      </c>
      <c r="C9" s="3" t="s">
        <v>43</v>
      </c>
      <c r="D9" s="2">
        <v>0.0057059283217657415</v>
      </c>
      <c r="E9" s="8" t="s">
        <v>44</v>
      </c>
      <c r="F9" s="9" t="s">
        <v>15</v>
      </c>
      <c r="G9" s="9" t="s">
        <v>16</v>
      </c>
      <c r="H9" s="9" t="s">
        <v>16</v>
      </c>
      <c r="I9" s="9"/>
      <c r="J9" s="9"/>
      <c r="K9" s="9"/>
    </row>
    <row r="10" hidden="1">
      <c r="A10" s="3" t="s">
        <v>45</v>
      </c>
      <c r="B10" s="2" t="s">
        <v>46</v>
      </c>
      <c r="C10" s="3" t="s">
        <v>47</v>
      </c>
      <c r="D10" s="2">
        <v>0.004866084255272739</v>
      </c>
      <c r="E10" s="8" t="s">
        <v>48</v>
      </c>
      <c r="F10" s="9" t="s">
        <v>15</v>
      </c>
      <c r="G10" s="9" t="s">
        <v>16</v>
      </c>
      <c r="H10" s="9" t="s">
        <v>16</v>
      </c>
      <c r="I10" s="9"/>
      <c r="J10" s="9"/>
      <c r="K10" s="9"/>
    </row>
    <row r="11" hidden="1">
      <c r="A11" s="3" t="s">
        <v>49</v>
      </c>
      <c r="B11" s="2" t="s">
        <v>50</v>
      </c>
      <c r="C11" s="3" t="s">
        <v>51</v>
      </c>
      <c r="D11" s="2">
        <v>0.004450262365074863</v>
      </c>
      <c r="E11" s="8" t="s">
        <v>52</v>
      </c>
      <c r="F11" s="9" t="s">
        <v>15</v>
      </c>
      <c r="G11" s="9" t="s">
        <v>16</v>
      </c>
      <c r="H11" s="9" t="s">
        <v>16</v>
      </c>
      <c r="I11" s="9"/>
      <c r="J11" s="9"/>
      <c r="K11" s="9"/>
    </row>
    <row r="12">
      <c r="A12" s="3" t="s">
        <v>53</v>
      </c>
      <c r="B12" s="2" t="s">
        <v>54</v>
      </c>
      <c r="C12" s="3" t="s">
        <v>55</v>
      </c>
      <c r="D12" s="2">
        <v>0.003907588075770422</v>
      </c>
      <c r="E12" s="8" t="s">
        <v>56</v>
      </c>
      <c r="F12" s="9" t="s">
        <v>16</v>
      </c>
      <c r="G12" s="9" t="s">
        <v>16</v>
      </c>
      <c r="H12" s="9" t="s">
        <v>16</v>
      </c>
      <c r="I12" s="9" t="s">
        <v>16</v>
      </c>
      <c r="J12" s="9" t="s">
        <v>16</v>
      </c>
      <c r="K12" s="9" t="s">
        <v>16</v>
      </c>
    </row>
    <row r="13" hidden="1">
      <c r="A13" s="3" t="s">
        <v>57</v>
      </c>
      <c r="B13" s="2" t="s">
        <v>58</v>
      </c>
      <c r="C13" s="3" t="s">
        <v>59</v>
      </c>
      <c r="D13" s="2">
        <v>0.003367745925011724</v>
      </c>
      <c r="E13" s="8" t="s">
        <v>60</v>
      </c>
      <c r="F13" s="9" t="s">
        <v>15</v>
      </c>
      <c r="G13" s="9" t="s">
        <v>16</v>
      </c>
      <c r="H13" s="9" t="s">
        <v>16</v>
      </c>
      <c r="I13" s="9"/>
      <c r="J13" s="9"/>
      <c r="K13" s="9"/>
    </row>
    <row r="14" hidden="1">
      <c r="A14" s="3" t="s">
        <v>61</v>
      </c>
      <c r="B14" s="2" t="s">
        <v>62</v>
      </c>
      <c r="C14" s="3" t="s">
        <v>63</v>
      </c>
      <c r="D14" s="2">
        <v>0.002651812406029347</v>
      </c>
      <c r="E14" s="8" t="s">
        <v>64</v>
      </c>
      <c r="F14" s="9" t="s">
        <v>15</v>
      </c>
      <c r="G14" s="9" t="s">
        <v>16</v>
      </c>
      <c r="H14" s="9" t="s">
        <v>16</v>
      </c>
      <c r="I14" s="9"/>
      <c r="J14" s="9"/>
      <c r="K14" s="9"/>
    </row>
    <row r="15">
      <c r="A15" s="3" t="s">
        <v>65</v>
      </c>
      <c r="B15" s="2" t="s">
        <v>66</v>
      </c>
      <c r="C15" s="3" t="s">
        <v>67</v>
      </c>
      <c r="D15" s="2">
        <v>0.0024592543470979655</v>
      </c>
      <c r="E15" s="8" t="s">
        <v>68</v>
      </c>
      <c r="F15" s="9" t="s">
        <v>16</v>
      </c>
      <c r="G15" s="9" t="s">
        <v>16</v>
      </c>
      <c r="H15" s="9" t="s">
        <v>16</v>
      </c>
      <c r="I15" s="9" t="s">
        <v>16</v>
      </c>
      <c r="J15" s="9" t="s">
        <v>16</v>
      </c>
      <c r="K15" s="9" t="s">
        <v>16</v>
      </c>
    </row>
    <row r="16" hidden="1">
      <c r="A16" s="3" t="s">
        <v>69</v>
      </c>
      <c r="B16" s="2" t="s">
        <v>70</v>
      </c>
      <c r="C16" s="3" t="s">
        <v>71</v>
      </c>
      <c r="D16" s="2">
        <v>0.0024408505955583106</v>
      </c>
      <c r="E16" s="8" t="s">
        <v>72</v>
      </c>
      <c r="F16" s="9" t="s">
        <v>15</v>
      </c>
      <c r="G16" s="9" t="s">
        <v>16</v>
      </c>
      <c r="H16" s="9" t="s">
        <v>16</v>
      </c>
      <c r="I16" s="9"/>
      <c r="J16" s="9"/>
      <c r="K16" s="9"/>
    </row>
    <row r="17" hidden="1">
      <c r="A17" s="3" t="s">
        <v>73</v>
      </c>
      <c r="B17" s="2" t="s">
        <v>74</v>
      </c>
      <c r="C17" s="3" t="s">
        <v>75</v>
      </c>
      <c r="D17" s="2">
        <v>0.0022768385893074906</v>
      </c>
      <c r="E17" s="8" t="s">
        <v>76</v>
      </c>
      <c r="F17" s="9" t="s">
        <v>15</v>
      </c>
      <c r="G17" s="9" t="s">
        <v>16</v>
      </c>
      <c r="H17" s="9" t="s">
        <v>16</v>
      </c>
      <c r="I17" s="9"/>
      <c r="J17" s="9"/>
      <c r="K17" s="9"/>
    </row>
    <row r="18" hidden="1">
      <c r="A18" s="3" t="s">
        <v>77</v>
      </c>
      <c r="B18" s="2" t="s">
        <v>78</v>
      </c>
      <c r="C18" s="3" t="s">
        <v>79</v>
      </c>
      <c r="D18" s="2">
        <v>0.0020944997997025447</v>
      </c>
      <c r="E18" s="8" t="s">
        <v>80</v>
      </c>
      <c r="F18" s="9" t="s">
        <v>15</v>
      </c>
      <c r="G18" s="9" t="s">
        <v>16</v>
      </c>
      <c r="H18" s="9" t="s">
        <v>16</v>
      </c>
      <c r="I18" s="9"/>
      <c r="J18" s="9"/>
      <c r="K18" s="9"/>
    </row>
    <row r="19" hidden="1">
      <c r="A19" s="3" t="s">
        <v>81</v>
      </c>
      <c r="B19" s="2" t="s">
        <v>82</v>
      </c>
      <c r="C19" s="3"/>
      <c r="D19" s="2">
        <v>0.0018444676456669342</v>
      </c>
      <c r="E19" s="8" t="s">
        <v>83</v>
      </c>
      <c r="F19" s="9" t="s">
        <v>15</v>
      </c>
      <c r="G19" s="9" t="s">
        <v>16</v>
      </c>
      <c r="H19" s="9" t="s">
        <v>16</v>
      </c>
      <c r="I19" s="9"/>
      <c r="J19" s="9"/>
      <c r="K19" s="9"/>
    </row>
    <row r="20">
      <c r="A20" s="3" t="s">
        <v>84</v>
      </c>
      <c r="B20" s="2" t="s">
        <v>85</v>
      </c>
      <c r="C20" s="3" t="s">
        <v>86</v>
      </c>
      <c r="D20" s="2">
        <v>0.00180504496228916</v>
      </c>
      <c r="E20" s="8" t="s">
        <v>87</v>
      </c>
      <c r="F20" s="9" t="s">
        <v>16</v>
      </c>
      <c r="G20" s="9" t="s">
        <v>16</v>
      </c>
      <c r="H20" s="9" t="s">
        <v>16</v>
      </c>
      <c r="I20" s="9" t="s">
        <v>16</v>
      </c>
      <c r="J20" s="9" t="s">
        <v>16</v>
      </c>
      <c r="K20" s="9" t="s">
        <v>16</v>
      </c>
    </row>
    <row r="21" hidden="1">
      <c r="A21" s="3" t="s">
        <v>88</v>
      </c>
      <c r="B21" s="2" t="s">
        <v>89</v>
      </c>
      <c r="C21" s="3" t="s">
        <v>90</v>
      </c>
      <c r="D21" s="2">
        <v>0.00180504496228916</v>
      </c>
      <c r="E21" s="8" t="s">
        <v>91</v>
      </c>
      <c r="F21" s="9" t="s">
        <v>15</v>
      </c>
      <c r="G21" s="9" t="s">
        <v>16</v>
      </c>
      <c r="H21" s="9" t="s">
        <v>16</v>
      </c>
      <c r="I21" s="9"/>
      <c r="J21" s="9"/>
      <c r="K21" s="9"/>
    </row>
    <row r="22" hidden="1">
      <c r="A22" s="3" t="s">
        <v>92</v>
      </c>
      <c r="B22" s="2" t="s">
        <v>93</v>
      </c>
      <c r="C22" s="3" t="s">
        <v>94</v>
      </c>
      <c r="D22" s="2">
        <v>0.00180504496228916</v>
      </c>
      <c r="E22" s="8" t="s">
        <v>95</v>
      </c>
      <c r="F22" s="9" t="s">
        <v>15</v>
      </c>
      <c r="G22" s="9" t="s">
        <v>16</v>
      </c>
      <c r="H22" s="9" t="s">
        <v>16</v>
      </c>
      <c r="I22" s="9"/>
      <c r="J22" s="9"/>
      <c r="K22" s="9"/>
    </row>
    <row r="23" hidden="1">
      <c r="A23" s="3" t="s">
        <v>96</v>
      </c>
      <c r="B23" s="2" t="s">
        <v>97</v>
      </c>
      <c r="C23" s="3" t="s">
        <v>98</v>
      </c>
      <c r="D23" s="2">
        <v>0.0017447807290181616</v>
      </c>
      <c r="E23" s="8" t="s">
        <v>99</v>
      </c>
      <c r="F23" s="9" t="s">
        <v>15</v>
      </c>
      <c r="G23" s="9" t="s">
        <v>16</v>
      </c>
      <c r="H23" s="9" t="s">
        <v>16</v>
      </c>
      <c r="I23" s="9"/>
      <c r="J23" s="9"/>
      <c r="K23" s="9"/>
    </row>
    <row r="24" hidden="1">
      <c r="A24" s="3" t="s">
        <v>100</v>
      </c>
      <c r="B24" s="2" t="s">
        <v>101</v>
      </c>
      <c r="C24" s="3" t="s">
        <v>102</v>
      </c>
      <c r="D24" s="2">
        <v>0.0017198067279588383</v>
      </c>
      <c r="E24" s="8" t="s">
        <v>103</v>
      </c>
      <c r="F24" s="9" t="s">
        <v>15</v>
      </c>
      <c r="G24" s="9" t="s">
        <v>16</v>
      </c>
      <c r="H24" s="9" t="s">
        <v>16</v>
      </c>
      <c r="I24" s="9"/>
      <c r="J24" s="9"/>
      <c r="K24" s="9"/>
    </row>
    <row r="25" hidden="1">
      <c r="A25" s="3" t="s">
        <v>104</v>
      </c>
      <c r="B25" s="2" t="s">
        <v>105</v>
      </c>
      <c r="C25" s="3" t="s">
        <v>106</v>
      </c>
      <c r="D25" s="2">
        <v>0.0016345684936285175</v>
      </c>
      <c r="E25" s="8" t="s">
        <v>107</v>
      </c>
      <c r="F25" s="9" t="s">
        <v>15</v>
      </c>
      <c r="G25" s="9" t="s">
        <v>16</v>
      </c>
      <c r="H25" s="9" t="s">
        <v>16</v>
      </c>
      <c r="I25" s="9"/>
      <c r="J25" s="9"/>
      <c r="K25" s="9"/>
    </row>
    <row r="26" hidden="1">
      <c r="A26" s="3" t="s">
        <v>108</v>
      </c>
      <c r="B26" s="2" t="s">
        <v>109</v>
      </c>
      <c r="C26" s="3" t="s">
        <v>110</v>
      </c>
      <c r="D26" s="2">
        <v>0.001591949376463357</v>
      </c>
      <c r="E26" s="8" t="s">
        <v>111</v>
      </c>
      <c r="F26" s="9" t="s">
        <v>15</v>
      </c>
      <c r="G26" s="9" t="s">
        <v>16</v>
      </c>
      <c r="H26" s="9" t="s">
        <v>16</v>
      </c>
      <c r="I26" s="9"/>
      <c r="J26" s="9"/>
      <c r="K26" s="9"/>
    </row>
    <row r="27" hidden="1">
      <c r="A27" s="3" t="s">
        <v>112</v>
      </c>
      <c r="B27" s="2" t="s">
        <v>113</v>
      </c>
      <c r="C27" s="3" t="s">
        <v>114</v>
      </c>
      <c r="D27" s="2">
        <v>0.0015493302592981962</v>
      </c>
      <c r="E27" s="8" t="s">
        <v>115</v>
      </c>
      <c r="F27" s="9" t="s">
        <v>15</v>
      </c>
      <c r="G27" s="9" t="s">
        <v>16</v>
      </c>
      <c r="H27" s="9" t="s">
        <v>16</v>
      </c>
      <c r="I27" s="9"/>
      <c r="J27" s="9"/>
      <c r="K27" s="9"/>
    </row>
    <row r="28" hidden="1">
      <c r="A28" s="3" t="s">
        <v>116</v>
      </c>
      <c r="B28" s="2" t="s">
        <v>117</v>
      </c>
      <c r="C28" s="3" t="s">
        <v>118</v>
      </c>
      <c r="D28" s="2">
        <v>0.0015493302592981958</v>
      </c>
      <c r="E28" s="8" t="s">
        <v>119</v>
      </c>
      <c r="F28" s="9" t="s">
        <v>15</v>
      </c>
      <c r="G28" s="9" t="s">
        <v>16</v>
      </c>
      <c r="H28" s="9" t="s">
        <v>16</v>
      </c>
      <c r="I28" s="9"/>
      <c r="J28" s="9"/>
      <c r="K28" s="9"/>
    </row>
    <row r="29" hidden="1">
      <c r="A29" s="3" t="s">
        <v>120</v>
      </c>
      <c r="B29" s="2" t="s">
        <v>121</v>
      </c>
      <c r="C29" s="3" t="s">
        <v>122</v>
      </c>
      <c r="D29" s="2">
        <v>0.001492504769744648</v>
      </c>
      <c r="E29" s="8" t="s">
        <v>123</v>
      </c>
      <c r="F29" s="9" t="s">
        <v>15</v>
      </c>
      <c r="G29" s="9" t="s">
        <v>16</v>
      </c>
      <c r="H29" s="9" t="s">
        <v>16</v>
      </c>
      <c r="I29" s="9"/>
      <c r="J29" s="9"/>
      <c r="K29" s="9"/>
    </row>
    <row r="30" hidden="1">
      <c r="A30" s="3" t="s">
        <v>124</v>
      </c>
      <c r="B30" s="2" t="s">
        <v>125</v>
      </c>
      <c r="C30" s="3" t="s">
        <v>126</v>
      </c>
      <c r="D30" s="2">
        <v>0.001492504769744648</v>
      </c>
      <c r="E30" s="8" t="s">
        <v>127</v>
      </c>
      <c r="F30" s="9" t="s">
        <v>15</v>
      </c>
      <c r="G30" s="9" t="s">
        <v>16</v>
      </c>
      <c r="H30" s="9" t="s">
        <v>16</v>
      </c>
      <c r="I30" s="9"/>
      <c r="J30" s="9"/>
      <c r="K30" s="9"/>
    </row>
    <row r="31" hidden="1">
      <c r="A31" s="3" t="s">
        <v>128</v>
      </c>
      <c r="B31" s="2" t="s">
        <v>129</v>
      </c>
      <c r="C31" s="3" t="s">
        <v>130</v>
      </c>
      <c r="D31" s="2">
        <v>0.001426833693922011</v>
      </c>
      <c r="E31" s="8" t="s">
        <v>131</v>
      </c>
      <c r="F31" s="9" t="s">
        <v>15</v>
      </c>
      <c r="G31" s="9" t="s">
        <v>16</v>
      </c>
      <c r="H31" s="9" t="s">
        <v>16</v>
      </c>
      <c r="I31" s="9"/>
      <c r="J31" s="9"/>
      <c r="K31" s="9"/>
    </row>
    <row r="32" hidden="1">
      <c r="A32" s="3" t="s">
        <v>132</v>
      </c>
      <c r="B32" s="2" t="s">
        <v>133</v>
      </c>
      <c r="C32" s="3" t="s">
        <v>134</v>
      </c>
      <c r="D32" s="2">
        <v>0.0014127625859952104</v>
      </c>
      <c r="E32" s="8" t="s">
        <v>135</v>
      </c>
      <c r="F32" s="9" t="s">
        <v>15</v>
      </c>
      <c r="G32" s="9" t="s">
        <v>16</v>
      </c>
      <c r="H32" s="9" t="s">
        <v>16</v>
      </c>
      <c r="I32" s="9"/>
      <c r="J32" s="9"/>
      <c r="K32" s="9"/>
    </row>
    <row r="33" hidden="1">
      <c r="A33" s="3" t="s">
        <v>136</v>
      </c>
      <c r="B33" s="2" t="s">
        <v>137</v>
      </c>
      <c r="C33" s="3" t="s">
        <v>138</v>
      </c>
      <c r="D33" s="2">
        <v>0.0013362346734723922</v>
      </c>
      <c r="E33" s="8" t="s">
        <v>139</v>
      </c>
      <c r="F33" s="9" t="s">
        <v>15</v>
      </c>
      <c r="G33" s="9" t="s">
        <v>16</v>
      </c>
      <c r="H33" s="9" t="s">
        <v>16</v>
      </c>
      <c r="I33" s="9"/>
      <c r="J33" s="9"/>
      <c r="K33" s="9"/>
    </row>
    <row r="34" hidden="1">
      <c r="A34" s="3" t="s">
        <v>140</v>
      </c>
      <c r="B34" s="2" t="s">
        <v>141</v>
      </c>
      <c r="C34" s="3" t="s">
        <v>142</v>
      </c>
      <c r="D34" s="2">
        <v>0.001298925570252295</v>
      </c>
      <c r="E34" s="8" t="s">
        <v>143</v>
      </c>
      <c r="F34" s="9" t="s">
        <v>15</v>
      </c>
      <c r="G34" s="9" t="s">
        <v>16</v>
      </c>
      <c r="H34" s="9" t="s">
        <v>16</v>
      </c>
      <c r="I34" s="9"/>
      <c r="J34" s="9"/>
      <c r="K34" s="9"/>
    </row>
    <row r="35" hidden="1">
      <c r="A35" s="3" t="s">
        <v>144</v>
      </c>
      <c r="B35" s="2" t="s">
        <v>145</v>
      </c>
      <c r="C35" s="3" t="s">
        <v>146</v>
      </c>
      <c r="D35" s="2">
        <v>0.001274197328024551</v>
      </c>
      <c r="E35" s="8" t="s">
        <v>147</v>
      </c>
      <c r="F35" s="9" t="s">
        <v>15</v>
      </c>
      <c r="G35" s="9" t="s">
        <v>16</v>
      </c>
      <c r="H35" s="9" t="s">
        <v>16</v>
      </c>
      <c r="I35" s="9"/>
      <c r="J35" s="9"/>
      <c r="K35" s="9"/>
    </row>
    <row r="36" hidden="1">
      <c r="A36" s="3" t="s">
        <v>148</v>
      </c>
      <c r="B36" s="2" t="s">
        <v>149</v>
      </c>
      <c r="C36" s="3"/>
      <c r="D36" s="2">
        <v>0.001265202811530458</v>
      </c>
      <c r="E36" s="8" t="s">
        <v>150</v>
      </c>
      <c r="F36" s="9" t="s">
        <v>15</v>
      </c>
      <c r="G36" s="9" t="s">
        <v>16</v>
      </c>
      <c r="H36" s="9" t="s">
        <v>16</v>
      </c>
      <c r="I36" s="9"/>
      <c r="J36" s="9"/>
      <c r="K36" s="9"/>
    </row>
    <row r="37" hidden="1">
      <c r="A37" s="3" t="s">
        <v>151</v>
      </c>
      <c r="B37" s="2" t="s">
        <v>152</v>
      </c>
      <c r="C37" s="3" t="s">
        <v>153</v>
      </c>
      <c r="D37" s="2">
        <v>0.0012367900667536837</v>
      </c>
      <c r="E37" s="8" t="s">
        <v>154</v>
      </c>
      <c r="F37" s="9" t="s">
        <v>15</v>
      </c>
      <c r="G37" s="9" t="s">
        <v>16</v>
      </c>
      <c r="H37" s="9" t="s">
        <v>16</v>
      </c>
      <c r="I37" s="9"/>
      <c r="J37" s="9"/>
      <c r="K37" s="9"/>
    </row>
    <row r="38" hidden="1">
      <c r="A38" s="3" t="s">
        <v>155</v>
      </c>
      <c r="B38" s="2" t="s">
        <v>156</v>
      </c>
      <c r="C38" s="3" t="s">
        <v>157</v>
      </c>
      <c r="D38" s="2">
        <v>0.0012367900667536837</v>
      </c>
      <c r="E38" s="8" t="s">
        <v>158</v>
      </c>
      <c r="F38" s="9" t="s">
        <v>15</v>
      </c>
      <c r="G38" s="9" t="s">
        <v>16</v>
      </c>
      <c r="H38" s="9" t="s">
        <v>16</v>
      </c>
      <c r="I38" s="9"/>
      <c r="J38" s="9"/>
      <c r="K38" s="9"/>
    </row>
    <row r="39" hidden="1">
      <c r="A39" s="3" t="s">
        <v>159</v>
      </c>
      <c r="B39" s="2" t="s">
        <v>160</v>
      </c>
      <c r="C39" s="3" t="s">
        <v>161</v>
      </c>
      <c r="D39" s="2">
        <v>0.0012367900667536837</v>
      </c>
      <c r="E39" s="8" t="s">
        <v>162</v>
      </c>
      <c r="F39" s="9" t="s">
        <v>15</v>
      </c>
      <c r="G39" s="9" t="s">
        <v>16</v>
      </c>
      <c r="H39" s="9" t="s">
        <v>16</v>
      </c>
      <c r="I39" s="9"/>
      <c r="J39" s="9"/>
      <c r="K39" s="9"/>
    </row>
    <row r="40" hidden="1">
      <c r="A40" s="3" t="s">
        <v>163</v>
      </c>
      <c r="B40" s="2" t="s">
        <v>164</v>
      </c>
      <c r="C40" s="3" t="s">
        <v>165</v>
      </c>
      <c r="D40" s="2">
        <v>0.0012367900667536837</v>
      </c>
      <c r="E40" s="8" t="s">
        <v>166</v>
      </c>
      <c r="F40" s="9" t="s">
        <v>15</v>
      </c>
      <c r="G40" s="9" t="s">
        <v>16</v>
      </c>
      <c r="H40" s="9" t="s">
        <v>16</v>
      </c>
      <c r="I40" s="9"/>
      <c r="J40" s="9"/>
      <c r="K40" s="9"/>
    </row>
    <row r="41" hidden="1">
      <c r="A41" s="3" t="s">
        <v>167</v>
      </c>
      <c r="B41" s="2" t="s">
        <v>168</v>
      </c>
      <c r="C41" s="3" t="s">
        <v>169</v>
      </c>
      <c r="D41" s="2">
        <v>0.0012367900667536837</v>
      </c>
      <c r="E41" s="8" t="s">
        <v>170</v>
      </c>
      <c r="F41" s="9" t="s">
        <v>15</v>
      </c>
      <c r="G41" s="9" t="s">
        <v>16</v>
      </c>
      <c r="H41" s="9" t="s">
        <v>16</v>
      </c>
      <c r="I41" s="9"/>
      <c r="J41" s="9"/>
      <c r="K41" s="9"/>
    </row>
    <row r="42" hidden="1">
      <c r="A42" s="3" t="s">
        <v>171</v>
      </c>
      <c r="B42" s="2" t="s">
        <v>172</v>
      </c>
      <c r="C42" s="3" t="s">
        <v>173</v>
      </c>
      <c r="D42" s="2">
        <v>0.0012367900667536837</v>
      </c>
      <c r="E42" s="8" t="s">
        <v>174</v>
      </c>
      <c r="F42" s="9" t="s">
        <v>15</v>
      </c>
      <c r="G42" s="9" t="s">
        <v>16</v>
      </c>
      <c r="H42" s="9" t="s">
        <v>16</v>
      </c>
      <c r="I42" s="9"/>
      <c r="J42" s="9"/>
      <c r="K42" s="9"/>
    </row>
    <row r="43" hidden="1">
      <c r="A43" s="3" t="s">
        <v>175</v>
      </c>
      <c r="B43" s="2" t="s">
        <v>176</v>
      </c>
      <c r="C43" s="3" t="s">
        <v>177</v>
      </c>
      <c r="D43" s="2">
        <v>0.0012367900667536837</v>
      </c>
      <c r="E43" s="8" t="s">
        <v>178</v>
      </c>
      <c r="F43" s="9" t="s">
        <v>15</v>
      </c>
      <c r="G43" s="9" t="s">
        <v>16</v>
      </c>
      <c r="H43" s="9" t="s">
        <v>16</v>
      </c>
      <c r="I43" s="9"/>
      <c r="J43" s="9"/>
      <c r="K43" s="9"/>
    </row>
    <row r="44" hidden="1">
      <c r="A44" s="3" t="s">
        <v>179</v>
      </c>
      <c r="B44" s="2" t="s">
        <v>180</v>
      </c>
      <c r="C44" s="3" t="s">
        <v>181</v>
      </c>
      <c r="D44" s="2">
        <v>0.0012367900667536837</v>
      </c>
      <c r="E44" s="8" t="s">
        <v>182</v>
      </c>
      <c r="F44" s="9" t="s">
        <v>15</v>
      </c>
      <c r="G44" s="9" t="s">
        <v>16</v>
      </c>
      <c r="H44" s="9" t="s">
        <v>16</v>
      </c>
      <c r="I44" s="9"/>
      <c r="J44" s="9"/>
      <c r="K44" s="9"/>
    </row>
    <row r="45" hidden="1">
      <c r="A45" s="3" t="s">
        <v>183</v>
      </c>
      <c r="B45" s="2" t="s">
        <v>184</v>
      </c>
      <c r="C45" s="3" t="s">
        <v>185</v>
      </c>
      <c r="D45" s="2">
        <v>0.0012367900667536837</v>
      </c>
      <c r="E45" s="8" t="s">
        <v>186</v>
      </c>
      <c r="F45" s="9" t="s">
        <v>15</v>
      </c>
      <c r="G45" s="9" t="s">
        <v>16</v>
      </c>
      <c r="H45" s="9" t="s">
        <v>16</v>
      </c>
      <c r="I45" s="9"/>
      <c r="J45" s="9"/>
      <c r="K45" s="9"/>
    </row>
    <row r="46" hidden="1">
      <c r="A46" s="3" t="s">
        <v>187</v>
      </c>
      <c r="B46" s="2" t="s">
        <v>188</v>
      </c>
      <c r="C46" s="3" t="s">
        <v>189</v>
      </c>
      <c r="D46" s="2">
        <v>0.0012176114640293615</v>
      </c>
      <c r="E46" s="8" t="s">
        <v>190</v>
      </c>
      <c r="F46" s="9" t="s">
        <v>15</v>
      </c>
      <c r="G46" s="9" t="s">
        <v>16</v>
      </c>
      <c r="H46" s="9" t="s">
        <v>16</v>
      </c>
      <c r="I46" s="9"/>
      <c r="J46" s="9"/>
      <c r="K46" s="9"/>
    </row>
    <row r="47" hidden="1">
      <c r="A47" s="3" t="s">
        <v>191</v>
      </c>
      <c r="B47" s="2" t="s">
        <v>192</v>
      </c>
      <c r="C47" s="3" t="s">
        <v>193</v>
      </c>
      <c r="D47" s="2">
        <v>0.0012012741357827173</v>
      </c>
      <c r="E47" s="8" t="s">
        <v>194</v>
      </c>
      <c r="F47" s="9" t="s">
        <v>15</v>
      </c>
      <c r="G47" s="9" t="s">
        <v>16</v>
      </c>
      <c r="H47" s="9" t="s">
        <v>16</v>
      </c>
      <c r="I47" s="9"/>
      <c r="J47" s="9"/>
      <c r="K47" s="9"/>
    </row>
    <row r="48" hidden="1">
      <c r="A48" s="3" t="s">
        <v>195</v>
      </c>
      <c r="B48" s="2" t="s">
        <v>196</v>
      </c>
      <c r="C48" s="3" t="s">
        <v>197</v>
      </c>
      <c r="D48" s="2">
        <v>0.0011972592914120854</v>
      </c>
      <c r="E48" s="8" t="s">
        <v>198</v>
      </c>
      <c r="F48" s="9" t="s">
        <v>15</v>
      </c>
      <c r="G48" s="9" t="s">
        <v>16</v>
      </c>
      <c r="H48" s="9" t="s">
        <v>16</v>
      </c>
      <c r="I48" s="9"/>
      <c r="J48" s="9"/>
      <c r="K48" s="9"/>
    </row>
    <row r="49" hidden="1">
      <c r="A49" s="3" t="s">
        <v>199</v>
      </c>
      <c r="B49" s="2" t="s">
        <v>200</v>
      </c>
      <c r="C49" s="3" t="s">
        <v>201</v>
      </c>
      <c r="D49" s="2">
        <v>0.0011626698629881868</v>
      </c>
      <c r="E49" s="8" t="s">
        <v>202</v>
      </c>
      <c r="F49" s="9" t="s">
        <v>15</v>
      </c>
      <c r="G49" s="9" t="s">
        <v>16</v>
      </c>
      <c r="H49" s="9" t="s">
        <v>16</v>
      </c>
      <c r="I49" s="9"/>
      <c r="J49" s="9"/>
      <c r="K49" s="9"/>
    </row>
    <row r="50" hidden="1">
      <c r="A50" s="3" t="s">
        <v>203</v>
      </c>
      <c r="B50" s="2" t="s">
        <v>204</v>
      </c>
      <c r="C50" s="3" t="s">
        <v>205</v>
      </c>
      <c r="D50" s="2">
        <v>0.0011401867345126528</v>
      </c>
      <c r="E50" s="8" t="s">
        <v>206</v>
      </c>
      <c r="F50" s="9" t="s">
        <v>15</v>
      </c>
      <c r="G50" s="9" t="s">
        <v>16</v>
      </c>
      <c r="H50" s="9" t="s">
        <v>16</v>
      </c>
      <c r="I50" s="9"/>
      <c r="J50" s="9"/>
      <c r="K50" s="9"/>
    </row>
    <row r="51" hidden="1">
      <c r="A51" s="3" t="s">
        <v>207</v>
      </c>
      <c r="B51" s="2" t="s">
        <v>208</v>
      </c>
      <c r="C51" s="3" t="s">
        <v>209</v>
      </c>
      <c r="D51" s="2">
        <v>0.0011179506733830038</v>
      </c>
      <c r="E51" s="8" t="s">
        <v>210</v>
      </c>
      <c r="F51" s="9" t="s">
        <v>15</v>
      </c>
      <c r="G51" s="9" t="s">
        <v>16</v>
      </c>
      <c r="H51" s="9" t="s">
        <v>16</v>
      </c>
      <c r="I51" s="9"/>
      <c r="J51" s="9"/>
      <c r="K51" s="9"/>
    </row>
    <row r="52" hidden="1">
      <c r="A52" s="3" t="s">
        <v>211</v>
      </c>
      <c r="B52" s="2" t="s">
        <v>212</v>
      </c>
      <c r="C52" s="3" t="s">
        <v>213</v>
      </c>
      <c r="D52" s="2">
        <v>0.0010505383480582844</v>
      </c>
      <c r="E52" s="8" t="s">
        <v>214</v>
      </c>
      <c r="F52" s="9" t="s">
        <v>15</v>
      </c>
      <c r="G52" s="9" t="s">
        <v>16</v>
      </c>
      <c r="H52" s="9" t="s">
        <v>16</v>
      </c>
      <c r="I52" s="9"/>
      <c r="J52" s="9"/>
      <c r="K52" s="9"/>
    </row>
    <row r="53" hidden="1">
      <c r="A53" s="3" t="s">
        <v>215</v>
      </c>
      <c r="B53" s="2" t="s">
        <v>216</v>
      </c>
      <c r="C53" s="3" t="s">
        <v>217</v>
      </c>
      <c r="D53" s="2">
        <v>9.526626189859457E-4</v>
      </c>
      <c r="E53" s="8" t="s">
        <v>218</v>
      </c>
      <c r="F53" s="9" t="s">
        <v>15</v>
      </c>
      <c r="G53" s="9" t="s">
        <v>16</v>
      </c>
      <c r="H53" s="9" t="s">
        <v>16</v>
      </c>
      <c r="I53" s="9"/>
      <c r="J53" s="9"/>
      <c r="K53" s="9"/>
    </row>
    <row r="54" hidden="1">
      <c r="A54" s="3" t="s">
        <v>219</v>
      </c>
      <c r="B54" s="2" t="s">
        <v>220</v>
      </c>
      <c r="C54" s="3" t="s">
        <v>221</v>
      </c>
      <c r="D54" s="2">
        <v>9.526626189859457E-4</v>
      </c>
      <c r="E54" s="8" t="s">
        <v>222</v>
      </c>
      <c r="F54" s="9" t="s">
        <v>15</v>
      </c>
      <c r="G54" s="9" t="s">
        <v>16</v>
      </c>
      <c r="H54" s="9" t="s">
        <v>16</v>
      </c>
      <c r="I54" s="9"/>
      <c r="J54" s="9"/>
      <c r="K54" s="9"/>
    </row>
    <row r="55" hidden="1">
      <c r="A55" s="3" t="s">
        <v>223</v>
      </c>
      <c r="B55" s="2" t="s">
        <v>224</v>
      </c>
      <c r="C55" s="3" t="s">
        <v>225</v>
      </c>
      <c r="D55" s="2">
        <v>9.526626189859457E-4</v>
      </c>
      <c r="E55" s="8" t="s">
        <v>226</v>
      </c>
      <c r="F55" s="9" t="s">
        <v>15</v>
      </c>
      <c r="G55" s="9" t="s">
        <v>16</v>
      </c>
      <c r="H55" s="9" t="s">
        <v>16</v>
      </c>
      <c r="I55" s="9"/>
      <c r="J55" s="9"/>
      <c r="K55" s="9"/>
    </row>
    <row r="56" hidden="1">
      <c r="A56" s="3" t="s">
        <v>227</v>
      </c>
      <c r="B56" s="2" t="s">
        <v>228</v>
      </c>
      <c r="C56" s="3" t="s">
        <v>229</v>
      </c>
      <c r="D56" s="2">
        <v>9.526626189859457E-4</v>
      </c>
      <c r="E56" s="8" t="s">
        <v>230</v>
      </c>
      <c r="F56" s="9" t="s">
        <v>15</v>
      </c>
      <c r="G56" s="9" t="s">
        <v>16</v>
      </c>
      <c r="H56" s="9" t="s">
        <v>16</v>
      </c>
      <c r="I56" s="9"/>
      <c r="J56" s="9"/>
      <c r="K56" s="9"/>
    </row>
    <row r="57" hidden="1">
      <c r="A57" s="3" t="s">
        <v>231</v>
      </c>
      <c r="B57" s="2" t="s">
        <v>232</v>
      </c>
      <c r="C57" s="3" t="s">
        <v>233</v>
      </c>
      <c r="D57" s="2">
        <v>9.526626189859457E-4</v>
      </c>
      <c r="E57" s="8" t="s">
        <v>234</v>
      </c>
      <c r="F57" s="9" t="s">
        <v>15</v>
      </c>
      <c r="G57" s="9" t="s">
        <v>16</v>
      </c>
      <c r="H57" s="9" t="s">
        <v>16</v>
      </c>
      <c r="I57" s="9"/>
      <c r="J57" s="9"/>
      <c r="K57" s="9"/>
    </row>
    <row r="58" hidden="1">
      <c r="A58" s="3" t="s">
        <v>235</v>
      </c>
      <c r="B58" s="2" t="s">
        <v>236</v>
      </c>
      <c r="C58" s="3" t="s">
        <v>237</v>
      </c>
      <c r="D58" s="2">
        <v>8.41277894521734E-4</v>
      </c>
      <c r="E58" s="8" t="s">
        <v>238</v>
      </c>
      <c r="F58" s="9" t="s">
        <v>15</v>
      </c>
      <c r="G58" s="9" t="s">
        <v>16</v>
      </c>
      <c r="H58" s="9" t="s">
        <v>16</v>
      </c>
      <c r="I58" s="9"/>
      <c r="J58" s="9"/>
      <c r="K58" s="9"/>
    </row>
    <row r="59" hidden="1">
      <c r="A59" s="3" t="s">
        <v>239</v>
      </c>
      <c r="B59" s="2" t="s">
        <v>240</v>
      </c>
      <c r="C59" s="3" t="s">
        <v>241</v>
      </c>
      <c r="D59" s="2">
        <v>8.105988951020765E-4</v>
      </c>
      <c r="E59" s="8" t="s">
        <v>242</v>
      </c>
      <c r="F59" s="9" t="s">
        <v>15</v>
      </c>
      <c r="G59" s="9" t="s">
        <v>16</v>
      </c>
      <c r="H59" s="9" t="s">
        <v>16</v>
      </c>
      <c r="I59" s="9"/>
      <c r="J59" s="9"/>
      <c r="K59" s="9"/>
    </row>
    <row r="60" hidden="1">
      <c r="A60" s="3" t="s">
        <v>243</v>
      </c>
      <c r="B60" s="2" t="s">
        <v>244</v>
      </c>
      <c r="C60" s="3" t="s">
        <v>245</v>
      </c>
      <c r="D60" s="2">
        <v>7.892893365194962E-4</v>
      </c>
      <c r="E60" s="8" t="s">
        <v>246</v>
      </c>
      <c r="F60" s="9" t="s">
        <v>15</v>
      </c>
      <c r="G60" s="9" t="s">
        <v>16</v>
      </c>
      <c r="H60" s="9" t="s">
        <v>16</v>
      </c>
      <c r="I60" s="9"/>
      <c r="J60" s="9"/>
      <c r="K60" s="9"/>
    </row>
    <row r="61" hidden="1">
      <c r="A61" s="3" t="s">
        <v>247</v>
      </c>
      <c r="B61" s="2" t="s">
        <v>248</v>
      </c>
      <c r="C61" s="3" t="s">
        <v>249</v>
      </c>
      <c r="D61" s="2">
        <v>7.821861503253028E-4</v>
      </c>
      <c r="E61" s="8" t="s">
        <v>250</v>
      </c>
      <c r="F61" s="9" t="s">
        <v>15</v>
      </c>
      <c r="G61" s="9" t="s">
        <v>16</v>
      </c>
      <c r="H61" s="9" t="s">
        <v>16</v>
      </c>
      <c r="I61" s="9"/>
      <c r="J61" s="9"/>
      <c r="K61" s="9"/>
    </row>
    <row r="62" hidden="1">
      <c r="A62" s="3" t="s">
        <v>251</v>
      </c>
      <c r="B62" s="2" t="s">
        <v>252</v>
      </c>
      <c r="C62" s="3" t="s">
        <v>253</v>
      </c>
      <c r="D62" s="2">
        <v>7.821861503253028E-4</v>
      </c>
      <c r="E62" s="8" t="s">
        <v>254</v>
      </c>
      <c r="F62" s="9" t="s">
        <v>15</v>
      </c>
      <c r="G62" s="9" t="s">
        <v>16</v>
      </c>
      <c r="H62" s="9" t="s">
        <v>16</v>
      </c>
      <c r="I62" s="9"/>
      <c r="J62" s="9"/>
      <c r="K62" s="9"/>
    </row>
    <row r="63" hidden="1">
      <c r="A63" s="3" t="s">
        <v>255</v>
      </c>
      <c r="B63" s="2" t="s">
        <v>256</v>
      </c>
      <c r="C63" s="3" t="s">
        <v>257</v>
      </c>
      <c r="D63" s="2">
        <v>7.821861503253028E-4</v>
      </c>
      <c r="E63" s="8" t="s">
        <v>258</v>
      </c>
      <c r="F63" s="9" t="s">
        <v>15</v>
      </c>
      <c r="G63" s="9" t="s">
        <v>16</v>
      </c>
      <c r="H63" s="9" t="s">
        <v>16</v>
      </c>
      <c r="I63" s="9"/>
      <c r="J63" s="9"/>
      <c r="K63" s="9"/>
    </row>
    <row r="64" hidden="1">
      <c r="A64" s="3" t="s">
        <v>259</v>
      </c>
      <c r="B64" s="2" t="s">
        <v>260</v>
      </c>
      <c r="C64" s="3" t="s">
        <v>261</v>
      </c>
      <c r="D64" s="2">
        <v>7.608765917427224E-4</v>
      </c>
      <c r="E64" s="8" t="s">
        <v>262</v>
      </c>
      <c r="F64" s="9" t="s">
        <v>15</v>
      </c>
      <c r="G64" s="9" t="s">
        <v>16</v>
      </c>
      <c r="H64" s="9" t="s">
        <v>16</v>
      </c>
      <c r="I64" s="9"/>
      <c r="J64" s="9"/>
      <c r="K64" s="9"/>
    </row>
    <row r="65" hidden="1">
      <c r="A65" s="3" t="s">
        <v>263</v>
      </c>
      <c r="B65" s="2" t="s">
        <v>264</v>
      </c>
      <c r="C65" s="3" t="s">
        <v>265</v>
      </c>
      <c r="D65" s="2">
        <v>7.267812980105938E-4</v>
      </c>
      <c r="E65" s="8" t="s">
        <v>266</v>
      </c>
      <c r="F65" s="9" t="s">
        <v>15</v>
      </c>
      <c r="G65" s="9" t="s">
        <v>16</v>
      </c>
      <c r="H65" s="9" t="s">
        <v>16</v>
      </c>
      <c r="I65" s="9"/>
      <c r="J65" s="9"/>
      <c r="K65" s="9"/>
    </row>
    <row r="66" hidden="1">
      <c r="A66" s="3" t="s">
        <v>267</v>
      </c>
      <c r="B66" s="2" t="s">
        <v>268</v>
      </c>
      <c r="C66" s="3" t="s">
        <v>269</v>
      </c>
      <c r="D66" s="2">
        <v>6.969479159949813E-4</v>
      </c>
      <c r="E66" s="8" t="s">
        <v>270</v>
      </c>
      <c r="F66" s="9" t="s">
        <v>15</v>
      </c>
      <c r="G66" s="9" t="s">
        <v>16</v>
      </c>
      <c r="H66" s="9" t="s">
        <v>16</v>
      </c>
      <c r="I66" s="9"/>
      <c r="J66" s="9"/>
      <c r="K66" s="9"/>
    </row>
    <row r="67" hidden="1">
      <c r="A67" s="3" t="s">
        <v>271</v>
      </c>
      <c r="B67" s="2" t="s">
        <v>272</v>
      </c>
      <c r="C67" s="3" t="s">
        <v>273</v>
      </c>
      <c r="D67" s="2">
        <v>6.969479159949813E-4</v>
      </c>
      <c r="E67" s="8" t="s">
        <v>274</v>
      </c>
      <c r="F67" s="9" t="s">
        <v>15</v>
      </c>
      <c r="G67" s="9" t="s">
        <v>16</v>
      </c>
      <c r="H67" s="9" t="s">
        <v>16</v>
      </c>
      <c r="I67" s="9"/>
      <c r="J67" s="9"/>
      <c r="K67" s="9"/>
    </row>
    <row r="68" hidden="1">
      <c r="A68" s="3" t="s">
        <v>275</v>
      </c>
      <c r="B68" s="2" t="s">
        <v>275</v>
      </c>
      <c r="C68" s="3" t="s">
        <v>276</v>
      </c>
      <c r="D68" s="2">
        <v>6.969479159949813E-4</v>
      </c>
      <c r="E68" s="8" t="s">
        <v>277</v>
      </c>
      <c r="F68" s="9" t="s">
        <v>15</v>
      </c>
      <c r="G68" s="9" t="s">
        <v>16</v>
      </c>
      <c r="H68" s="9" t="s">
        <v>16</v>
      </c>
      <c r="I68" s="9"/>
      <c r="J68" s="9"/>
      <c r="K68" s="9"/>
    </row>
    <row r="69" hidden="1">
      <c r="A69" s="3" t="s">
        <v>278</v>
      </c>
      <c r="B69" s="2" t="s">
        <v>279</v>
      </c>
      <c r="C69" s="3" t="s">
        <v>280</v>
      </c>
      <c r="D69" s="2">
        <v>6.926860042784653E-4</v>
      </c>
      <c r="E69" s="8" t="s">
        <v>281</v>
      </c>
      <c r="F69" s="9" t="s">
        <v>15</v>
      </c>
      <c r="G69" s="9" t="s">
        <v>16</v>
      </c>
      <c r="H69" s="9" t="s">
        <v>16</v>
      </c>
      <c r="I69" s="9"/>
      <c r="J69" s="9"/>
      <c r="K69" s="9"/>
    </row>
    <row r="70" hidden="1">
      <c r="A70" s="3" t="s">
        <v>282</v>
      </c>
      <c r="B70" s="2" t="s">
        <v>283</v>
      </c>
      <c r="C70" s="3" t="s">
        <v>284</v>
      </c>
      <c r="D70" s="2">
        <v>6.926860042784653E-4</v>
      </c>
      <c r="E70" s="8" t="s">
        <v>285</v>
      </c>
      <c r="F70" s="9" t="s">
        <v>15</v>
      </c>
      <c r="G70" s="9" t="s">
        <v>16</v>
      </c>
      <c r="H70" s="9" t="s">
        <v>16</v>
      </c>
      <c r="I70" s="9"/>
      <c r="J70" s="9"/>
      <c r="K70" s="9"/>
    </row>
    <row r="71" hidden="1">
      <c r="A71" s="3" t="s">
        <v>286</v>
      </c>
      <c r="B71" s="2" t="s">
        <v>287</v>
      </c>
      <c r="C71" s="3" t="s">
        <v>288</v>
      </c>
      <c r="D71" s="2">
        <v>6.685351712182075E-4</v>
      </c>
      <c r="E71" s="8" t="s">
        <v>289</v>
      </c>
      <c r="F71" s="9" t="s">
        <v>15</v>
      </c>
      <c r="G71" s="9" t="s">
        <v>16</v>
      </c>
      <c r="H71" s="9" t="s">
        <v>16</v>
      </c>
      <c r="I71" s="9"/>
      <c r="J71" s="9"/>
      <c r="K71" s="9"/>
    </row>
    <row r="72" hidden="1">
      <c r="A72" s="3" t="s">
        <v>290</v>
      </c>
      <c r="B72" s="2" t="s">
        <v>291</v>
      </c>
      <c r="C72" s="3" t="s">
        <v>292</v>
      </c>
      <c r="D72" s="2">
        <v>6.685351712182074E-4</v>
      </c>
      <c r="E72" s="8" t="s">
        <v>293</v>
      </c>
      <c r="F72" s="9" t="s">
        <v>15</v>
      </c>
      <c r="G72" s="9" t="s">
        <v>16</v>
      </c>
      <c r="H72" s="9" t="s">
        <v>16</v>
      </c>
      <c r="I72" s="9"/>
      <c r="J72" s="9"/>
      <c r="K72" s="9"/>
    </row>
    <row r="73" hidden="1">
      <c r="A73" s="3" t="s">
        <v>294</v>
      </c>
      <c r="B73" s="2" t="s">
        <v>295</v>
      </c>
      <c r="C73" s="3" t="s">
        <v>296</v>
      </c>
      <c r="D73" s="2">
        <v>6.685351712182074E-4</v>
      </c>
      <c r="E73" s="8" t="s">
        <v>297</v>
      </c>
      <c r="F73" s="9" t="s">
        <v>15</v>
      </c>
      <c r="G73" s="9" t="s">
        <v>16</v>
      </c>
      <c r="H73" s="9" t="s">
        <v>16</v>
      </c>
      <c r="I73" s="9"/>
      <c r="J73" s="9"/>
      <c r="K73" s="9"/>
    </row>
    <row r="74" hidden="1">
      <c r="A74" s="3" t="s">
        <v>298</v>
      </c>
      <c r="B74" s="2" t="s">
        <v>299</v>
      </c>
      <c r="C74" s="3" t="s">
        <v>300</v>
      </c>
      <c r="D74" s="2">
        <v>6.685351712182074E-4</v>
      </c>
      <c r="E74" s="8" t="s">
        <v>301</v>
      </c>
      <c r="F74" s="9" t="s">
        <v>15</v>
      </c>
      <c r="G74" s="9" t="s">
        <v>16</v>
      </c>
      <c r="H74" s="9" t="s">
        <v>16</v>
      </c>
      <c r="I74" s="9"/>
      <c r="J74" s="9"/>
      <c r="K74" s="9"/>
    </row>
    <row r="75" hidden="1">
      <c r="A75" s="3" t="s">
        <v>302</v>
      </c>
      <c r="B75" s="2" t="s">
        <v>303</v>
      </c>
      <c r="C75" s="3" t="s">
        <v>304</v>
      </c>
      <c r="D75" s="2">
        <v>6.685351712182074E-4</v>
      </c>
      <c r="E75" s="8" t="s">
        <v>305</v>
      </c>
      <c r="F75" s="9" t="s">
        <v>15</v>
      </c>
      <c r="G75" s="9" t="s">
        <v>16</v>
      </c>
      <c r="H75" s="9" t="s">
        <v>16</v>
      </c>
      <c r="I75" s="9"/>
      <c r="J75" s="9"/>
      <c r="K75" s="9"/>
    </row>
    <row r="76" hidden="1">
      <c r="A76" s="3" t="s">
        <v>306</v>
      </c>
      <c r="B76" s="2" t="s">
        <v>307</v>
      </c>
      <c r="C76" s="3" t="s">
        <v>308</v>
      </c>
      <c r="D76" s="2">
        <v>6.685351712182074E-4</v>
      </c>
      <c r="E76" s="8" t="s">
        <v>309</v>
      </c>
      <c r="F76" s="9" t="s">
        <v>15</v>
      </c>
      <c r="G76" s="9" t="s">
        <v>16</v>
      </c>
      <c r="H76" s="9" t="s">
        <v>16</v>
      </c>
      <c r="I76" s="9"/>
      <c r="J76" s="9"/>
      <c r="K76" s="9"/>
    </row>
    <row r="77" hidden="1">
      <c r="A77" s="3" t="s">
        <v>310</v>
      </c>
      <c r="B77" s="2" t="s">
        <v>311</v>
      </c>
      <c r="C77" s="3" t="s">
        <v>312</v>
      </c>
      <c r="D77" s="2">
        <v>6.685351712182074E-4</v>
      </c>
      <c r="E77" s="8" t="s">
        <v>313</v>
      </c>
      <c r="F77" s="9" t="s">
        <v>15</v>
      </c>
      <c r="G77" s="9" t="s">
        <v>16</v>
      </c>
      <c r="H77" s="9" t="s">
        <v>16</v>
      </c>
      <c r="I77" s="9"/>
      <c r="J77" s="9"/>
      <c r="K77" s="9"/>
    </row>
    <row r="78" hidden="1">
      <c r="A78" s="3" t="s">
        <v>314</v>
      </c>
      <c r="B78" s="2" t="s">
        <v>315</v>
      </c>
      <c r="C78" s="3" t="s">
        <v>316</v>
      </c>
      <c r="D78" s="2">
        <v>6.685351712182074E-4</v>
      </c>
      <c r="E78" s="8" t="s">
        <v>317</v>
      </c>
      <c r="F78" s="9" t="s">
        <v>15</v>
      </c>
      <c r="G78" s="9" t="s">
        <v>16</v>
      </c>
      <c r="H78" s="9" t="s">
        <v>16</v>
      </c>
      <c r="I78" s="9"/>
      <c r="J78" s="9"/>
      <c r="K78" s="9"/>
    </row>
    <row r="79" hidden="1">
      <c r="A79" s="3" t="s">
        <v>318</v>
      </c>
      <c r="B79" s="2" t="s">
        <v>319</v>
      </c>
      <c r="C79" s="3" t="s">
        <v>320</v>
      </c>
      <c r="D79" s="2">
        <v>6.685351712182074E-4</v>
      </c>
      <c r="E79" s="8" t="s">
        <v>321</v>
      </c>
      <c r="F79" s="9" t="s">
        <v>15</v>
      </c>
      <c r="G79" s="9" t="s">
        <v>16</v>
      </c>
      <c r="H79" s="9" t="s">
        <v>16</v>
      </c>
      <c r="I79" s="9"/>
      <c r="J79" s="9"/>
      <c r="K79" s="9"/>
    </row>
    <row r="80" hidden="1">
      <c r="A80" s="3" t="s">
        <v>322</v>
      </c>
      <c r="B80" s="2" t="s">
        <v>323</v>
      </c>
      <c r="C80" s="3" t="s">
        <v>324</v>
      </c>
      <c r="D80" s="2">
        <v>6.685351712182074E-4</v>
      </c>
      <c r="E80" s="8" t="s">
        <v>325</v>
      </c>
      <c r="F80" s="9" t="s">
        <v>15</v>
      </c>
      <c r="G80" s="9" t="s">
        <v>16</v>
      </c>
      <c r="H80" s="9" t="s">
        <v>16</v>
      </c>
      <c r="I80" s="9"/>
      <c r="J80" s="9"/>
      <c r="K80" s="9"/>
    </row>
    <row r="81" hidden="1">
      <c r="A81" s="3" t="s">
        <v>326</v>
      </c>
      <c r="B81" s="2" t="s">
        <v>327</v>
      </c>
      <c r="C81" s="3" t="s">
        <v>328</v>
      </c>
      <c r="D81" s="2">
        <v>6.685351712182074E-4</v>
      </c>
      <c r="E81" s="8" t="s">
        <v>329</v>
      </c>
      <c r="F81" s="9" t="s">
        <v>15</v>
      </c>
      <c r="G81" s="9" t="s">
        <v>16</v>
      </c>
      <c r="H81" s="9" t="s">
        <v>16</v>
      </c>
      <c r="I81" s="9"/>
      <c r="J81" s="9"/>
      <c r="K81" s="9"/>
    </row>
    <row r="82" hidden="1">
      <c r="A82" s="3" t="s">
        <v>330</v>
      </c>
      <c r="B82" s="2" t="s">
        <v>331</v>
      </c>
      <c r="C82" s="3" t="s">
        <v>332</v>
      </c>
      <c r="D82" s="2">
        <v>6.685351712182074E-4</v>
      </c>
      <c r="E82" s="8" t="s">
        <v>333</v>
      </c>
      <c r="F82" s="9" t="s">
        <v>15</v>
      </c>
      <c r="G82" s="9" t="s">
        <v>16</v>
      </c>
      <c r="H82" s="9" t="s">
        <v>16</v>
      </c>
      <c r="I82" s="9"/>
      <c r="J82" s="9"/>
      <c r="K82" s="9"/>
    </row>
    <row r="83" hidden="1">
      <c r="A83" s="3" t="s">
        <v>334</v>
      </c>
      <c r="B83" s="2" t="s">
        <v>335</v>
      </c>
      <c r="C83" s="3" t="s">
        <v>336</v>
      </c>
      <c r="D83" s="2">
        <v>6.685351712182074E-4</v>
      </c>
      <c r="E83" s="8" t="s">
        <v>337</v>
      </c>
      <c r="F83" s="9" t="s">
        <v>15</v>
      </c>
      <c r="G83" s="9" t="s">
        <v>16</v>
      </c>
      <c r="H83" s="9" t="s">
        <v>16</v>
      </c>
      <c r="I83" s="9"/>
      <c r="J83" s="9"/>
      <c r="K83" s="9"/>
    </row>
    <row r="84" hidden="1">
      <c r="A84" s="3" t="s">
        <v>338</v>
      </c>
      <c r="B84" s="2" t="s">
        <v>339</v>
      </c>
      <c r="C84" s="3" t="s">
        <v>340</v>
      </c>
      <c r="D84" s="2">
        <v>6.685351712182074E-4</v>
      </c>
      <c r="E84" s="8" t="s">
        <v>341</v>
      </c>
      <c r="F84" s="9" t="s">
        <v>15</v>
      </c>
      <c r="G84" s="9" t="s">
        <v>16</v>
      </c>
      <c r="H84" s="9" t="s">
        <v>16</v>
      </c>
      <c r="I84" s="9"/>
      <c r="J84" s="9"/>
      <c r="K84" s="9"/>
    </row>
    <row r="85" hidden="1">
      <c r="A85" s="3" t="s">
        <v>342</v>
      </c>
      <c r="B85" s="2" t="s">
        <v>343</v>
      </c>
      <c r="C85" s="3" t="s">
        <v>344</v>
      </c>
      <c r="D85" s="2">
        <v>6.685351712182074E-4</v>
      </c>
      <c r="E85" s="8" t="s">
        <v>345</v>
      </c>
      <c r="F85" s="9" t="s">
        <v>15</v>
      </c>
      <c r="G85" s="9" t="s">
        <v>16</v>
      </c>
      <c r="H85" s="9" t="s">
        <v>16</v>
      </c>
      <c r="I85" s="9"/>
      <c r="J85" s="9"/>
      <c r="K85" s="9"/>
    </row>
    <row r="86" hidden="1">
      <c r="A86" s="3" t="s">
        <v>346</v>
      </c>
      <c r="B86" s="2" t="s">
        <v>347</v>
      </c>
      <c r="C86" s="3" t="s">
        <v>348</v>
      </c>
      <c r="D86" s="2">
        <v>6.685351712182074E-4</v>
      </c>
      <c r="E86" s="8" t="s">
        <v>115</v>
      </c>
      <c r="F86" s="9" t="s">
        <v>15</v>
      </c>
      <c r="G86" s="9" t="s">
        <v>16</v>
      </c>
      <c r="H86" s="9" t="s">
        <v>16</v>
      </c>
      <c r="I86" s="9"/>
      <c r="J86" s="9"/>
      <c r="K86" s="9"/>
    </row>
    <row r="87" hidden="1">
      <c r="A87" s="3" t="s">
        <v>349</v>
      </c>
      <c r="B87" s="2" t="s">
        <v>350</v>
      </c>
      <c r="C87" s="3" t="s">
        <v>351</v>
      </c>
      <c r="D87" s="2">
        <v>6.685351712182074E-4</v>
      </c>
      <c r="E87" s="8" t="s">
        <v>352</v>
      </c>
      <c r="F87" s="9" t="s">
        <v>15</v>
      </c>
      <c r="G87" s="9" t="s">
        <v>16</v>
      </c>
      <c r="H87" s="9" t="s">
        <v>16</v>
      </c>
      <c r="I87" s="9"/>
      <c r="J87" s="9"/>
      <c r="K87" s="9"/>
    </row>
    <row r="88" hidden="1">
      <c r="A88" s="3" t="s">
        <v>353</v>
      </c>
      <c r="B88" s="2" t="s">
        <v>354</v>
      </c>
      <c r="C88" s="3" t="s">
        <v>355</v>
      </c>
      <c r="D88" s="2">
        <v>6.685351712182074E-4</v>
      </c>
      <c r="E88" s="8" t="s">
        <v>356</v>
      </c>
      <c r="F88" s="9" t="s">
        <v>15</v>
      </c>
      <c r="G88" s="9" t="s">
        <v>16</v>
      </c>
      <c r="H88" s="9" t="s">
        <v>16</v>
      </c>
      <c r="I88" s="9"/>
      <c r="J88" s="9"/>
      <c r="K88" s="9"/>
    </row>
    <row r="89" hidden="1">
      <c r="A89" s="3" t="s">
        <v>357</v>
      </c>
      <c r="B89" s="2" t="s">
        <v>358</v>
      </c>
      <c r="C89" s="3" t="s">
        <v>359</v>
      </c>
      <c r="D89" s="2">
        <v>6.685351712182074E-4</v>
      </c>
      <c r="E89" s="8" t="s">
        <v>360</v>
      </c>
      <c r="F89" s="9" t="s">
        <v>15</v>
      </c>
      <c r="G89" s="9" t="s">
        <v>16</v>
      </c>
      <c r="H89" s="9" t="s">
        <v>16</v>
      </c>
      <c r="I89" s="9"/>
      <c r="J89" s="9"/>
      <c r="K89" s="9"/>
    </row>
    <row r="90" hidden="1">
      <c r="A90" s="3" t="s">
        <v>361</v>
      </c>
      <c r="B90" s="2" t="s">
        <v>362</v>
      </c>
      <c r="C90" s="3" t="s">
        <v>363</v>
      </c>
      <c r="D90" s="2">
        <v>6.685351712182074E-4</v>
      </c>
      <c r="E90" s="8" t="s">
        <v>364</v>
      </c>
      <c r="F90" s="9" t="s">
        <v>15</v>
      </c>
      <c r="G90" s="9" t="s">
        <v>16</v>
      </c>
      <c r="H90" s="9" t="s">
        <v>16</v>
      </c>
      <c r="I90" s="9"/>
      <c r="J90" s="9"/>
      <c r="K90" s="9"/>
    </row>
    <row r="91" hidden="1">
      <c r="A91" s="3" t="s">
        <v>365</v>
      </c>
      <c r="B91" s="2" t="s">
        <v>366</v>
      </c>
      <c r="C91" s="3" t="s">
        <v>367</v>
      </c>
      <c r="D91" s="2">
        <v>6.685351712182074E-4</v>
      </c>
      <c r="E91" s="8" t="s">
        <v>368</v>
      </c>
      <c r="F91" s="9" t="s">
        <v>15</v>
      </c>
      <c r="G91" s="9" t="s">
        <v>16</v>
      </c>
      <c r="H91" s="9" t="s">
        <v>16</v>
      </c>
      <c r="I91" s="9"/>
      <c r="J91" s="9"/>
      <c r="K91" s="9"/>
    </row>
    <row r="92" hidden="1">
      <c r="A92" s="3" t="s">
        <v>369</v>
      </c>
      <c r="B92" s="2" t="s">
        <v>370</v>
      </c>
      <c r="C92" s="3" t="s">
        <v>371</v>
      </c>
      <c r="D92" s="2">
        <v>6.685351712182074E-4</v>
      </c>
      <c r="E92" s="8" t="s">
        <v>372</v>
      </c>
      <c r="F92" s="9" t="s">
        <v>15</v>
      </c>
      <c r="G92" s="9" t="s">
        <v>16</v>
      </c>
      <c r="H92" s="9" t="s">
        <v>16</v>
      </c>
      <c r="I92" s="9"/>
      <c r="J92" s="9"/>
      <c r="K92" s="9"/>
    </row>
    <row r="93" hidden="1">
      <c r="A93" s="3" t="s">
        <v>373</v>
      </c>
      <c r="B93" s="2" t="s">
        <v>374</v>
      </c>
      <c r="C93" s="3" t="s">
        <v>375</v>
      </c>
      <c r="D93" s="2">
        <v>6.685351712182074E-4</v>
      </c>
      <c r="E93" s="8" t="s">
        <v>376</v>
      </c>
      <c r="F93" s="9" t="s">
        <v>15</v>
      </c>
      <c r="G93" s="9" t="s">
        <v>16</v>
      </c>
      <c r="H93" s="9" t="s">
        <v>16</v>
      </c>
      <c r="I93" s="9"/>
      <c r="J93" s="9"/>
      <c r="K93" s="9"/>
    </row>
    <row r="94" hidden="1">
      <c r="A94" s="3" t="s">
        <v>377</v>
      </c>
      <c r="B94" s="2" t="s">
        <v>378</v>
      </c>
      <c r="C94" s="3" t="s">
        <v>379</v>
      </c>
      <c r="D94" s="2">
        <v>6.685351712182074E-4</v>
      </c>
      <c r="E94" s="8" t="s">
        <v>380</v>
      </c>
      <c r="F94" s="9" t="s">
        <v>15</v>
      </c>
      <c r="G94" s="9" t="s">
        <v>16</v>
      </c>
      <c r="H94" s="9" t="s">
        <v>16</v>
      </c>
      <c r="I94" s="9"/>
      <c r="J94" s="9"/>
      <c r="K94" s="9"/>
    </row>
    <row r="95" hidden="1">
      <c r="A95" s="3" t="s">
        <v>381</v>
      </c>
      <c r="B95" s="2" t="s">
        <v>382</v>
      </c>
      <c r="C95" s="3" t="s">
        <v>383</v>
      </c>
      <c r="D95" s="2">
        <v>6.685351712182074E-4</v>
      </c>
      <c r="E95" s="8" t="s">
        <v>384</v>
      </c>
      <c r="F95" s="9" t="s">
        <v>15</v>
      </c>
      <c r="G95" s="9" t="s">
        <v>16</v>
      </c>
      <c r="H95" s="9" t="s">
        <v>16</v>
      </c>
      <c r="I95" s="9"/>
      <c r="J95" s="9"/>
      <c r="K95" s="9"/>
    </row>
    <row r="96">
      <c r="A96" s="3" t="s">
        <v>385</v>
      </c>
      <c r="B96" s="2" t="s">
        <v>386</v>
      </c>
      <c r="C96" s="3" t="s">
        <v>387</v>
      </c>
      <c r="D96" s="2">
        <v>6.685351712182074E-4</v>
      </c>
      <c r="E96" s="8" t="s">
        <v>388</v>
      </c>
      <c r="F96" s="9" t="s">
        <v>16</v>
      </c>
      <c r="G96" s="9" t="s">
        <v>16</v>
      </c>
      <c r="H96" s="9" t="s">
        <v>16</v>
      </c>
      <c r="I96" s="9" t="s">
        <v>16</v>
      </c>
      <c r="J96" s="9" t="s">
        <v>16</v>
      </c>
      <c r="K96" s="9" t="s">
        <v>16</v>
      </c>
    </row>
    <row r="97" hidden="1">
      <c r="A97" s="3" t="s">
        <v>389</v>
      </c>
      <c r="B97" s="2" t="s">
        <v>390</v>
      </c>
      <c r="C97" s="3" t="s">
        <v>391</v>
      </c>
      <c r="D97" s="2">
        <v>6.685351712182074E-4</v>
      </c>
      <c r="E97" s="8" t="s">
        <v>392</v>
      </c>
      <c r="F97" s="9" t="s">
        <v>15</v>
      </c>
      <c r="G97" s="9" t="s">
        <v>16</v>
      </c>
      <c r="H97" s="9" t="s">
        <v>16</v>
      </c>
      <c r="I97" s="9"/>
      <c r="J97" s="9"/>
      <c r="K97" s="9"/>
    </row>
    <row r="98" hidden="1">
      <c r="A98" s="3" t="s">
        <v>393</v>
      </c>
      <c r="B98" s="2" t="s">
        <v>394</v>
      </c>
      <c r="C98" s="3" t="s">
        <v>395</v>
      </c>
      <c r="D98" s="2">
        <v>6.685351712182074E-4</v>
      </c>
      <c r="E98" s="8" t="s">
        <v>396</v>
      </c>
      <c r="F98" s="9" t="s">
        <v>15</v>
      </c>
      <c r="G98" s="9" t="s">
        <v>16</v>
      </c>
      <c r="H98" s="9" t="s">
        <v>16</v>
      </c>
      <c r="I98" s="9"/>
      <c r="J98" s="9"/>
      <c r="K98" s="9"/>
    </row>
    <row r="99" hidden="1">
      <c r="A99" s="3" t="s">
        <v>397</v>
      </c>
      <c r="B99" s="2" t="s">
        <v>398</v>
      </c>
      <c r="C99" s="3" t="s">
        <v>399</v>
      </c>
      <c r="D99" s="2">
        <v>6.685351712182074E-4</v>
      </c>
      <c r="E99" s="8" t="s">
        <v>400</v>
      </c>
      <c r="F99" s="9" t="s">
        <v>15</v>
      </c>
      <c r="G99" s="9" t="s">
        <v>16</v>
      </c>
      <c r="H99" s="9" t="s">
        <v>16</v>
      </c>
      <c r="I99" s="9"/>
      <c r="J99" s="9"/>
      <c r="K99" s="9"/>
    </row>
    <row r="100" hidden="1">
      <c r="A100" s="3" t="s">
        <v>401</v>
      </c>
      <c r="B100" s="2" t="s">
        <v>402</v>
      </c>
      <c r="C100" s="3" t="s">
        <v>403</v>
      </c>
      <c r="D100" s="2">
        <v>6.685351712156733E-4</v>
      </c>
      <c r="E100" s="8" t="s">
        <v>404</v>
      </c>
      <c r="F100" s="9" t="s">
        <v>15</v>
      </c>
      <c r="G100" s="9" t="s">
        <v>16</v>
      </c>
      <c r="H100" s="9" t="s">
        <v>16</v>
      </c>
      <c r="I100" s="9"/>
      <c r="J100" s="9"/>
      <c r="K100" s="9"/>
    </row>
    <row r="101">
      <c r="A101" s="3" t="s">
        <v>405</v>
      </c>
      <c r="B101" s="2" t="s">
        <v>406</v>
      </c>
      <c r="C101" s="3" t="s">
        <v>407</v>
      </c>
      <c r="D101" s="2">
        <v>6.685351712153129E-4</v>
      </c>
      <c r="E101" s="8" t="s">
        <v>408</v>
      </c>
      <c r="F101" s="9" t="s">
        <v>16</v>
      </c>
      <c r="G101" s="9" t="s">
        <v>16</v>
      </c>
      <c r="H101" s="9" t="s">
        <v>16</v>
      </c>
      <c r="I101" s="9" t="s">
        <v>16</v>
      </c>
      <c r="J101" s="9" t="s">
        <v>16</v>
      </c>
      <c r="K101" s="9" t="s">
        <v>16</v>
      </c>
    </row>
    <row r="102" hidden="1">
      <c r="A102" s="3" t="s">
        <v>409</v>
      </c>
      <c r="B102" s="2" t="s">
        <v>410</v>
      </c>
      <c r="C102" s="3" t="s">
        <v>411</v>
      </c>
      <c r="D102" s="2">
        <v>6.685351712153129E-4</v>
      </c>
      <c r="E102" s="8" t="s">
        <v>412</v>
      </c>
      <c r="F102" s="9" t="s">
        <v>15</v>
      </c>
      <c r="G102" s="9" t="s">
        <v>16</v>
      </c>
      <c r="H102" s="9" t="s">
        <v>16</v>
      </c>
      <c r="I102" s="9"/>
      <c r="J102" s="9"/>
      <c r="K102" s="9"/>
    </row>
    <row r="103" hidden="1">
      <c r="A103" s="3" t="s">
        <v>413</v>
      </c>
      <c r="B103" s="2" t="s">
        <v>414</v>
      </c>
      <c r="C103" s="3" t="s">
        <v>415</v>
      </c>
      <c r="D103" s="2">
        <v>6.685351712153129E-4</v>
      </c>
      <c r="E103" s="8" t="s">
        <v>416</v>
      </c>
      <c r="F103" s="9" t="s">
        <v>15</v>
      </c>
      <c r="G103" s="9" t="s">
        <v>16</v>
      </c>
      <c r="H103" s="9" t="s">
        <v>16</v>
      </c>
      <c r="I103" s="9"/>
      <c r="J103" s="9"/>
      <c r="K103" s="9"/>
    </row>
    <row r="104" hidden="1">
      <c r="A104" s="3" t="s">
        <v>417</v>
      </c>
      <c r="B104" s="2" t="s">
        <v>418</v>
      </c>
      <c r="C104" s="3" t="s">
        <v>419</v>
      </c>
      <c r="D104" s="2">
        <v>6.685351712153129E-4</v>
      </c>
      <c r="E104" s="8" t="s">
        <v>420</v>
      </c>
      <c r="F104" s="9" t="s">
        <v>15</v>
      </c>
      <c r="G104" s="9" t="s">
        <v>16</v>
      </c>
      <c r="H104" s="9" t="s">
        <v>16</v>
      </c>
      <c r="I104" s="9"/>
      <c r="J104" s="9"/>
      <c r="K104" s="9"/>
    </row>
    <row r="105" hidden="1">
      <c r="A105" s="3" t="s">
        <v>421</v>
      </c>
      <c r="B105" s="2" t="s">
        <v>422</v>
      </c>
      <c r="C105" s="3" t="s">
        <v>423</v>
      </c>
      <c r="D105" s="2">
        <v>6.68535171214802E-4</v>
      </c>
      <c r="E105" s="8" t="s">
        <v>424</v>
      </c>
      <c r="F105" s="9" t="s">
        <v>15</v>
      </c>
      <c r="G105" s="9" t="s">
        <v>16</v>
      </c>
      <c r="H105" s="9" t="s">
        <v>16</v>
      </c>
      <c r="I105" s="9"/>
      <c r="J105" s="9"/>
      <c r="K105" s="9"/>
    </row>
    <row r="106" hidden="1">
      <c r="A106" s="3" t="s">
        <v>425</v>
      </c>
      <c r="B106" s="2" t="s">
        <v>426</v>
      </c>
      <c r="C106" s="3"/>
      <c r="D106" s="2">
        <v>6.68535171214802E-4</v>
      </c>
      <c r="E106" s="8" t="s">
        <v>427</v>
      </c>
      <c r="F106" s="9" t="s">
        <v>15</v>
      </c>
      <c r="G106" s="9" t="s">
        <v>16</v>
      </c>
      <c r="H106" s="9" t="s">
        <v>16</v>
      </c>
      <c r="I106" s="9"/>
      <c r="J106" s="9"/>
      <c r="K106" s="9"/>
    </row>
    <row r="107" hidden="1">
      <c r="A107" s="3" t="s">
        <v>428</v>
      </c>
      <c r="B107" s="2" t="s">
        <v>429</v>
      </c>
      <c r="C107" s="3" t="s">
        <v>430</v>
      </c>
      <c r="D107" s="2">
        <v>6.685351712147788E-4</v>
      </c>
      <c r="E107" s="8" t="s">
        <v>431</v>
      </c>
      <c r="F107" s="9" t="s">
        <v>15</v>
      </c>
      <c r="G107" s="9" t="s">
        <v>16</v>
      </c>
      <c r="H107" s="9" t="s">
        <v>16</v>
      </c>
      <c r="I107" s="9"/>
      <c r="J107" s="9"/>
      <c r="K107" s="9"/>
    </row>
    <row r="108" hidden="1">
      <c r="A108" s="3" t="s">
        <v>432</v>
      </c>
      <c r="B108" s="2" t="s">
        <v>433</v>
      </c>
      <c r="C108" s="3" t="s">
        <v>434</v>
      </c>
      <c r="D108" s="2">
        <v>6.556097950325779E-4</v>
      </c>
      <c r="E108" s="8" t="s">
        <v>435</v>
      </c>
      <c r="F108" s="9" t="s">
        <v>15</v>
      </c>
      <c r="G108" s="9" t="s">
        <v>16</v>
      </c>
      <c r="H108" s="9" t="s">
        <v>16</v>
      </c>
      <c r="I108" s="9"/>
      <c r="J108" s="9"/>
      <c r="K108" s="9"/>
    </row>
    <row r="109" hidden="1">
      <c r="A109" s="3" t="s">
        <v>436</v>
      </c>
      <c r="B109" s="2" t="s">
        <v>437</v>
      </c>
      <c r="C109" s="3" t="s">
        <v>438</v>
      </c>
      <c r="D109" s="2">
        <v>6.48395532815038E-4</v>
      </c>
      <c r="E109" s="8" t="s">
        <v>439</v>
      </c>
      <c r="F109" s="9" t="s">
        <v>15</v>
      </c>
      <c r="G109" s="9" t="s">
        <v>16</v>
      </c>
      <c r="H109" s="9" t="s">
        <v>16</v>
      </c>
      <c r="I109" s="9"/>
      <c r="J109" s="9"/>
      <c r="K109" s="9"/>
    </row>
    <row r="110" hidden="1">
      <c r="A110" s="3" t="s">
        <v>440</v>
      </c>
      <c r="B110" s="2" t="s">
        <v>441</v>
      </c>
      <c r="C110" s="3" t="s">
        <v>442</v>
      </c>
      <c r="D110" s="2">
        <v>6.479359312550465E-4</v>
      </c>
      <c r="E110" s="8" t="s">
        <v>443</v>
      </c>
      <c r="F110" s="9" t="s">
        <v>15</v>
      </c>
      <c r="G110" s="9" t="s">
        <v>16</v>
      </c>
      <c r="H110" s="9" t="s">
        <v>16</v>
      </c>
      <c r="I110" s="9"/>
      <c r="J110" s="9"/>
      <c r="K110" s="9"/>
    </row>
    <row r="111" hidden="1">
      <c r="A111" s="3" t="s">
        <v>444</v>
      </c>
      <c r="B111" s="2" t="s">
        <v>445</v>
      </c>
      <c r="C111" s="3" t="s">
        <v>446</v>
      </c>
      <c r="D111" s="2">
        <v>6.275083516249118E-4</v>
      </c>
      <c r="E111" s="8" t="s">
        <v>447</v>
      </c>
      <c r="F111" s="9" t="s">
        <v>15</v>
      </c>
      <c r="G111" s="9" t="s">
        <v>16</v>
      </c>
      <c r="H111" s="9" t="s">
        <v>16</v>
      </c>
      <c r="I111" s="9"/>
      <c r="J111" s="9"/>
      <c r="K111" s="9"/>
    </row>
    <row r="112" hidden="1">
      <c r="A112" s="3" t="s">
        <v>448</v>
      </c>
      <c r="B112" s="2" t="s">
        <v>449</v>
      </c>
      <c r="C112" s="3" t="s">
        <v>450</v>
      </c>
      <c r="D112" s="2">
        <v>6.159880431836817E-4</v>
      </c>
      <c r="E112" s="8" t="s">
        <v>451</v>
      </c>
      <c r="F112" s="9" t="s">
        <v>15</v>
      </c>
      <c r="G112" s="9" t="s">
        <v>16</v>
      </c>
      <c r="H112" s="9" t="s">
        <v>16</v>
      </c>
      <c r="I112" s="9"/>
      <c r="J112" s="9"/>
      <c r="K112" s="9"/>
    </row>
    <row r="113" hidden="1">
      <c r="A113" s="3" t="s">
        <v>452</v>
      </c>
      <c r="B113" s="2" t="s">
        <v>453</v>
      </c>
      <c r="C113" s="3" t="s">
        <v>454</v>
      </c>
      <c r="D113" s="2">
        <v>6.15971593381176E-4</v>
      </c>
      <c r="E113" s="8" t="s">
        <v>455</v>
      </c>
      <c r="F113" s="9" t="s">
        <v>15</v>
      </c>
      <c r="G113" s="9" t="s">
        <v>16</v>
      </c>
      <c r="H113" s="9" t="s">
        <v>16</v>
      </c>
      <c r="I113" s="9"/>
      <c r="J113" s="9"/>
      <c r="K113" s="9"/>
    </row>
    <row r="114" hidden="1">
      <c r="A114" s="3" t="s">
        <v>456</v>
      </c>
      <c r="B114" s="2" t="s">
        <v>457</v>
      </c>
      <c r="C114" s="3" t="s">
        <v>458</v>
      </c>
      <c r="D114" s="2">
        <v>6.117096816646599E-4</v>
      </c>
      <c r="E114" s="8" t="s">
        <v>459</v>
      </c>
      <c r="F114" s="9" t="s">
        <v>15</v>
      </c>
      <c r="G114" s="9" t="s">
        <v>16</v>
      </c>
      <c r="H114" s="9" t="s">
        <v>16</v>
      </c>
      <c r="I114" s="9"/>
      <c r="J114" s="9"/>
      <c r="K114" s="9"/>
    </row>
    <row r="115" hidden="1">
      <c r="A115" s="3" t="s">
        <v>460</v>
      </c>
      <c r="B115" s="2" t="s">
        <v>461</v>
      </c>
      <c r="C115" s="3" t="s">
        <v>462</v>
      </c>
      <c r="D115" s="2">
        <v>5.9849775534346E-4</v>
      </c>
      <c r="E115" s="8" t="s">
        <v>463</v>
      </c>
      <c r="F115" s="9" t="s">
        <v>15</v>
      </c>
      <c r="G115" s="9" t="s">
        <v>16</v>
      </c>
      <c r="H115" s="9" t="s">
        <v>16</v>
      </c>
      <c r="I115" s="9"/>
      <c r="J115" s="9"/>
      <c r="K115" s="9"/>
    </row>
    <row r="116" hidden="1">
      <c r="A116" s="3" t="s">
        <v>464</v>
      </c>
      <c r="B116" s="2" t="s">
        <v>465</v>
      </c>
      <c r="C116" s="3" t="s">
        <v>466</v>
      </c>
      <c r="D116" s="2">
        <v>5.861382113655634E-4</v>
      </c>
      <c r="E116" s="8" t="s">
        <v>467</v>
      </c>
      <c r="F116" s="9" t="s">
        <v>15</v>
      </c>
      <c r="G116" s="9" t="s">
        <v>16</v>
      </c>
      <c r="H116" s="9" t="s">
        <v>16</v>
      </c>
      <c r="I116" s="9"/>
      <c r="J116" s="9"/>
      <c r="K116" s="9"/>
    </row>
    <row r="117">
      <c r="A117" s="3" t="s">
        <v>468</v>
      </c>
      <c r="B117" s="2" t="s">
        <v>469</v>
      </c>
      <c r="C117" s="3" t="s">
        <v>470</v>
      </c>
      <c r="D117" s="2">
        <v>5.825133917738869E-4</v>
      </c>
      <c r="E117" s="8" t="s">
        <v>471</v>
      </c>
      <c r="F117" s="9" t="s">
        <v>16</v>
      </c>
      <c r="G117" s="9" t="s">
        <v>16</v>
      </c>
      <c r="H117" s="9" t="s">
        <v>16</v>
      </c>
      <c r="I117" s="9" t="s">
        <v>16</v>
      </c>
      <c r="J117" s="9" t="s">
        <v>16</v>
      </c>
      <c r="K117" s="9" t="s">
        <v>16</v>
      </c>
    </row>
    <row r="118" hidden="1">
      <c r="A118" s="3" t="s">
        <v>472</v>
      </c>
      <c r="B118" s="2" t="s">
        <v>473</v>
      </c>
      <c r="C118" s="3" t="s">
        <v>474</v>
      </c>
      <c r="D118" s="2">
        <v>5.822314589587571E-4</v>
      </c>
      <c r="E118" s="8" t="s">
        <v>475</v>
      </c>
      <c r="F118" s="9" t="s">
        <v>15</v>
      </c>
      <c r="G118" s="9" t="s">
        <v>16</v>
      </c>
      <c r="H118" s="9" t="s">
        <v>16</v>
      </c>
      <c r="I118" s="9"/>
      <c r="J118" s="9"/>
      <c r="K118" s="9"/>
    </row>
    <row r="119">
      <c r="A119" s="3" t="s">
        <v>476</v>
      </c>
      <c r="B119" s="2" t="s">
        <v>477</v>
      </c>
      <c r="C119" s="3" t="s">
        <v>478</v>
      </c>
      <c r="D119" s="2">
        <v>5.690905644994992E-4</v>
      </c>
      <c r="E119" s="8" t="s">
        <v>479</v>
      </c>
      <c r="F119" s="9" t="s">
        <v>16</v>
      </c>
      <c r="G119" s="9" t="s">
        <v>16</v>
      </c>
      <c r="H119" s="9" t="s">
        <v>16</v>
      </c>
      <c r="I119" s="9" t="s">
        <v>16</v>
      </c>
      <c r="J119" s="9" t="s">
        <v>16</v>
      </c>
      <c r="K119" s="9" t="s">
        <v>16</v>
      </c>
    </row>
    <row r="120" hidden="1">
      <c r="A120" s="3" t="s">
        <v>480</v>
      </c>
      <c r="C120" s="3" t="s">
        <v>481</v>
      </c>
      <c r="D120" s="2">
        <v>5.690905644994992E-4</v>
      </c>
      <c r="E120" s="8" t="s">
        <v>482</v>
      </c>
      <c r="F120" s="9" t="s">
        <v>15</v>
      </c>
      <c r="G120" s="9" t="s">
        <v>16</v>
      </c>
      <c r="H120" s="9" t="s">
        <v>16</v>
      </c>
      <c r="I120" s="9"/>
      <c r="J120" s="9"/>
      <c r="K120" s="9"/>
    </row>
    <row r="121" hidden="1">
      <c r="A121" s="3" t="s">
        <v>483</v>
      </c>
      <c r="B121" s="2" t="s">
        <v>484</v>
      </c>
      <c r="C121" s="3" t="s">
        <v>485</v>
      </c>
      <c r="D121" s="2">
        <v>5.658941307121121E-4</v>
      </c>
      <c r="E121" s="8" t="s">
        <v>486</v>
      </c>
      <c r="F121" s="9" t="s">
        <v>15</v>
      </c>
      <c r="G121" s="9" t="s">
        <v>16</v>
      </c>
      <c r="H121" s="9" t="s">
        <v>16</v>
      </c>
      <c r="I121" s="9"/>
      <c r="J121" s="9"/>
      <c r="K121" s="9"/>
    </row>
    <row r="122" hidden="1">
      <c r="A122" s="3" t="s">
        <v>487</v>
      </c>
      <c r="B122" s="2" t="s">
        <v>488</v>
      </c>
      <c r="C122" s="3" t="s">
        <v>489</v>
      </c>
      <c r="D122" s="2">
        <v>5.477810059169188E-4</v>
      </c>
      <c r="E122" s="8" t="s">
        <v>490</v>
      </c>
      <c r="F122" s="9" t="s">
        <v>15</v>
      </c>
      <c r="G122" s="9" t="s">
        <v>16</v>
      </c>
      <c r="H122" s="9" t="s">
        <v>16</v>
      </c>
      <c r="I122" s="9"/>
      <c r="J122" s="9"/>
      <c r="K122" s="9"/>
    </row>
    <row r="123" hidden="1">
      <c r="A123" s="3" t="s">
        <v>491</v>
      </c>
      <c r="B123" s="2" t="s">
        <v>492</v>
      </c>
      <c r="C123" s="3" t="s">
        <v>493</v>
      </c>
      <c r="D123" s="2">
        <v>5.477810059169188E-4</v>
      </c>
      <c r="E123" s="8" t="s">
        <v>494</v>
      </c>
      <c r="F123" s="9" t="s">
        <v>15</v>
      </c>
      <c r="G123" s="9" t="s">
        <v>16</v>
      </c>
      <c r="H123" s="9" t="s">
        <v>16</v>
      </c>
      <c r="I123" s="9"/>
      <c r="J123" s="9"/>
      <c r="K123" s="9"/>
    </row>
    <row r="124" hidden="1">
      <c r="A124" s="3" t="s">
        <v>495</v>
      </c>
      <c r="B124" s="2" t="s">
        <v>496</v>
      </c>
      <c r="C124" s="3" t="s">
        <v>497</v>
      </c>
      <c r="D124" s="2">
        <v>5.477810059169188E-4</v>
      </c>
      <c r="E124" s="8" t="s">
        <v>498</v>
      </c>
      <c r="F124" s="9" t="s">
        <v>15</v>
      </c>
      <c r="G124" s="9" t="s">
        <v>16</v>
      </c>
      <c r="H124" s="9" t="s">
        <v>16</v>
      </c>
      <c r="I124" s="9"/>
      <c r="J124" s="9"/>
      <c r="K124" s="9"/>
    </row>
    <row r="125" hidden="1">
      <c r="A125" s="3" t="s">
        <v>499</v>
      </c>
      <c r="B125" s="2" t="s">
        <v>500</v>
      </c>
      <c r="C125" s="3" t="s">
        <v>501</v>
      </c>
      <c r="D125" s="2">
        <v>5.477810059169188E-4</v>
      </c>
      <c r="E125" s="8" t="s">
        <v>502</v>
      </c>
      <c r="F125" s="9" t="s">
        <v>15</v>
      </c>
      <c r="G125" s="9" t="s">
        <v>16</v>
      </c>
      <c r="H125" s="9" t="s">
        <v>16</v>
      </c>
      <c r="I125" s="9"/>
      <c r="J125" s="9"/>
      <c r="K125" s="9"/>
    </row>
    <row r="126" hidden="1">
      <c r="A126" s="3" t="s">
        <v>503</v>
      </c>
      <c r="B126" s="2" t="s">
        <v>504</v>
      </c>
      <c r="C126" s="3" t="s">
        <v>505</v>
      </c>
      <c r="D126" s="2">
        <v>5.351018185602835E-4</v>
      </c>
      <c r="E126" s="8" t="s">
        <v>506</v>
      </c>
      <c r="F126" s="9" t="s">
        <v>15</v>
      </c>
      <c r="G126" s="9" t="s">
        <v>16</v>
      </c>
      <c r="H126" s="9" t="s">
        <v>16</v>
      </c>
      <c r="I126" s="9"/>
      <c r="J126" s="9"/>
      <c r="K126" s="9"/>
    </row>
    <row r="127" hidden="1">
      <c r="A127" s="3" t="s">
        <v>507</v>
      </c>
      <c r="B127" s="2" t="s">
        <v>508</v>
      </c>
      <c r="C127" s="3" t="s">
        <v>509</v>
      </c>
      <c r="D127" s="2">
        <v>5.264714473343384E-4</v>
      </c>
      <c r="E127" s="8" t="s">
        <v>510</v>
      </c>
      <c r="F127" s="9" t="s">
        <v>15</v>
      </c>
      <c r="G127" s="9" t="s">
        <v>16</v>
      </c>
      <c r="H127" s="9" t="s">
        <v>16</v>
      </c>
      <c r="I127" s="9"/>
      <c r="J127" s="9"/>
      <c r="K127" s="9"/>
    </row>
    <row r="128" hidden="1">
      <c r="A128" s="3" t="s">
        <v>511</v>
      </c>
      <c r="B128" s="2" t="s">
        <v>512</v>
      </c>
      <c r="C128" s="3" t="s">
        <v>513</v>
      </c>
      <c r="D128" s="2">
        <v>5.264714473343384E-4</v>
      </c>
      <c r="E128" s="8" t="s">
        <v>514</v>
      </c>
      <c r="F128" s="9" t="s">
        <v>15</v>
      </c>
      <c r="G128" s="9" t="s">
        <v>16</v>
      </c>
      <c r="H128" s="9" t="s">
        <v>16</v>
      </c>
      <c r="I128" s="9"/>
      <c r="J128" s="9"/>
      <c r="K128" s="9"/>
    </row>
    <row r="129" hidden="1">
      <c r="A129" s="3" t="s">
        <v>515</v>
      </c>
      <c r="B129" s="2" t="s">
        <v>516</v>
      </c>
      <c r="C129" s="3" t="s">
        <v>517</v>
      </c>
      <c r="D129" s="2">
        <v>5.264714473343384E-4</v>
      </c>
      <c r="E129" s="8" t="s">
        <v>518</v>
      </c>
      <c r="F129" s="9" t="s">
        <v>15</v>
      </c>
      <c r="G129" s="9" t="s">
        <v>16</v>
      </c>
      <c r="H129" s="9" t="s">
        <v>16</v>
      </c>
      <c r="I129" s="9"/>
      <c r="J129" s="9"/>
      <c r="K129" s="9"/>
    </row>
    <row r="130" hidden="1">
      <c r="A130" s="3" t="s">
        <v>519</v>
      </c>
      <c r="B130" s="2" t="s">
        <v>520</v>
      </c>
      <c r="C130" s="3" t="s">
        <v>521</v>
      </c>
      <c r="D130" s="2">
        <v>5.264714473343384E-4</v>
      </c>
      <c r="E130" s="8" t="s">
        <v>522</v>
      </c>
      <c r="F130" s="9" t="s">
        <v>15</v>
      </c>
      <c r="G130" s="9" t="s">
        <v>16</v>
      </c>
      <c r="H130" s="9" t="s">
        <v>16</v>
      </c>
      <c r="I130" s="9"/>
      <c r="J130" s="9"/>
      <c r="K130" s="9"/>
    </row>
    <row r="131" hidden="1">
      <c r="A131" s="3" t="s">
        <v>523</v>
      </c>
      <c r="B131" s="2" t="s">
        <v>524</v>
      </c>
      <c r="C131" s="3" t="s">
        <v>525</v>
      </c>
      <c r="D131" s="2">
        <v>5.264714473343383E-4</v>
      </c>
      <c r="E131" s="8" t="s">
        <v>526</v>
      </c>
      <c r="F131" s="9" t="s">
        <v>15</v>
      </c>
      <c r="G131" s="9" t="s">
        <v>16</v>
      </c>
      <c r="H131" s="9" t="s">
        <v>16</v>
      </c>
      <c r="I131" s="9"/>
      <c r="J131" s="9"/>
      <c r="K131" s="9"/>
    </row>
    <row r="132" hidden="1">
      <c r="A132" s="3" t="s">
        <v>527</v>
      </c>
      <c r="B132" s="2" t="s">
        <v>528</v>
      </c>
      <c r="C132" s="3" t="s">
        <v>529</v>
      </c>
      <c r="D132" s="2">
        <v>5.179476239013062E-4</v>
      </c>
      <c r="E132" s="8" t="s">
        <v>530</v>
      </c>
      <c r="F132" s="9" t="s">
        <v>15</v>
      </c>
      <c r="G132" s="9" t="s">
        <v>16</v>
      </c>
      <c r="H132" s="9" t="s">
        <v>16</v>
      </c>
      <c r="I132" s="9"/>
      <c r="J132" s="9"/>
      <c r="K132" s="9"/>
    </row>
    <row r="133" hidden="1">
      <c r="A133" s="3" t="s">
        <v>531</v>
      </c>
      <c r="B133" s="2" t="s">
        <v>532</v>
      </c>
      <c r="C133" s="3" t="s">
        <v>533</v>
      </c>
      <c r="D133" s="2">
        <v>5.177226896718235E-4</v>
      </c>
      <c r="E133" s="8" t="s">
        <v>534</v>
      </c>
      <c r="F133" s="9" t="s">
        <v>15</v>
      </c>
      <c r="G133" s="9" t="s">
        <v>16</v>
      </c>
      <c r="H133" s="9" t="s">
        <v>16</v>
      </c>
      <c r="I133" s="9"/>
      <c r="J133" s="9"/>
      <c r="K133" s="9"/>
    </row>
    <row r="134" hidden="1">
      <c r="A134" s="3" t="s">
        <v>535</v>
      </c>
      <c r="B134" s="2" t="s">
        <v>536</v>
      </c>
      <c r="C134" s="3" t="s">
        <v>537</v>
      </c>
      <c r="D134" s="2">
        <v>5.115547563265322E-4</v>
      </c>
      <c r="E134" s="8" t="s">
        <v>538</v>
      </c>
      <c r="F134" s="9" t="s">
        <v>15</v>
      </c>
      <c r="G134" s="9" t="s">
        <v>16</v>
      </c>
      <c r="H134" s="9" t="s">
        <v>16</v>
      </c>
      <c r="I134" s="9"/>
      <c r="J134" s="9"/>
      <c r="K134" s="9"/>
    </row>
    <row r="135">
      <c r="A135" s="3" t="s">
        <v>539</v>
      </c>
      <c r="B135" s="2" t="s">
        <v>540</v>
      </c>
      <c r="C135" s="3" t="s">
        <v>541</v>
      </c>
      <c r="D135" s="2">
        <v>4.8597144738377876E-4</v>
      </c>
      <c r="E135" s="8" t="s">
        <v>542</v>
      </c>
      <c r="F135" s="9" t="s">
        <v>16</v>
      </c>
      <c r="G135" s="9" t="s">
        <v>16</v>
      </c>
      <c r="H135" s="9" t="s">
        <v>16</v>
      </c>
      <c r="I135" s="9" t="s">
        <v>16</v>
      </c>
      <c r="J135" s="9" t="s">
        <v>16</v>
      </c>
      <c r="K135" s="9" t="s">
        <v>16</v>
      </c>
    </row>
    <row r="136" hidden="1">
      <c r="A136" s="3" t="s">
        <v>543</v>
      </c>
      <c r="B136" s="2" t="s">
        <v>544</v>
      </c>
      <c r="C136" s="3" t="s">
        <v>545</v>
      </c>
      <c r="D136" s="2">
        <v>4.8385233016917775E-4</v>
      </c>
      <c r="E136" s="8" t="s">
        <v>546</v>
      </c>
      <c r="F136" s="9" t="s">
        <v>15</v>
      </c>
      <c r="G136" s="9" t="s">
        <v>16</v>
      </c>
      <c r="H136" s="9" t="s">
        <v>16</v>
      </c>
      <c r="I136" s="9"/>
      <c r="J136" s="9"/>
      <c r="K136" s="9"/>
    </row>
    <row r="137" hidden="1">
      <c r="A137" s="3" t="s">
        <v>547</v>
      </c>
      <c r="B137" s="2" t="s">
        <v>548</v>
      </c>
      <c r="C137" s="3" t="s">
        <v>549</v>
      </c>
      <c r="D137" s="2">
        <v>4.8385233016917775E-4</v>
      </c>
      <c r="E137" s="8" t="s">
        <v>550</v>
      </c>
      <c r="F137" s="9" t="s">
        <v>15</v>
      </c>
      <c r="G137" s="9" t="s">
        <v>16</v>
      </c>
      <c r="H137" s="9" t="s">
        <v>16</v>
      </c>
      <c r="I137" s="9"/>
      <c r="J137" s="9"/>
      <c r="K137" s="9"/>
    </row>
    <row r="138" hidden="1">
      <c r="A138" s="3" t="s">
        <v>551</v>
      </c>
      <c r="B138" s="2" t="s">
        <v>552</v>
      </c>
      <c r="C138" s="3" t="s">
        <v>553</v>
      </c>
      <c r="D138" s="2">
        <v>4.8385233016917775E-4</v>
      </c>
      <c r="E138" s="8" t="s">
        <v>554</v>
      </c>
      <c r="F138" s="9" t="s">
        <v>15</v>
      </c>
      <c r="G138" s="9" t="s">
        <v>16</v>
      </c>
      <c r="H138" s="9" t="s">
        <v>16</v>
      </c>
      <c r="I138" s="9"/>
      <c r="J138" s="9"/>
      <c r="K138" s="9"/>
    </row>
    <row r="139" hidden="1">
      <c r="A139" s="3" t="s">
        <v>555</v>
      </c>
      <c r="B139" s="2" t="s">
        <v>556</v>
      </c>
      <c r="C139" s="3" t="s">
        <v>557</v>
      </c>
      <c r="D139" s="2">
        <v>4.8385233016917775E-4</v>
      </c>
      <c r="E139" s="8" t="s">
        <v>558</v>
      </c>
      <c r="F139" s="9" t="s">
        <v>15</v>
      </c>
      <c r="G139" s="9" t="s">
        <v>16</v>
      </c>
      <c r="H139" s="9" t="s">
        <v>16</v>
      </c>
      <c r="I139" s="9"/>
      <c r="J139" s="9"/>
      <c r="K139" s="9"/>
    </row>
    <row r="140" hidden="1">
      <c r="A140" s="3" t="s">
        <v>559</v>
      </c>
      <c r="B140" s="2" t="s">
        <v>560</v>
      </c>
      <c r="C140" s="3" t="s">
        <v>561</v>
      </c>
      <c r="D140" s="2">
        <v>4.7532850673614557E-4</v>
      </c>
      <c r="E140" s="8" t="s">
        <v>562</v>
      </c>
      <c r="F140" s="9" t="s">
        <v>15</v>
      </c>
      <c r="G140" s="9" t="s">
        <v>16</v>
      </c>
      <c r="H140" s="9" t="s">
        <v>16</v>
      </c>
      <c r="I140" s="9"/>
      <c r="J140" s="9"/>
      <c r="K140" s="9"/>
    </row>
    <row r="141" hidden="1">
      <c r="A141" s="3" t="s">
        <v>563</v>
      </c>
      <c r="B141" s="2" t="s">
        <v>564</v>
      </c>
      <c r="C141" s="3" t="s">
        <v>565</v>
      </c>
      <c r="D141" s="2">
        <v>4.7532850673614557E-4</v>
      </c>
      <c r="E141" s="8" t="s">
        <v>566</v>
      </c>
      <c r="F141" s="9" t="s">
        <v>15</v>
      </c>
      <c r="G141" s="9" t="s">
        <v>16</v>
      </c>
      <c r="H141" s="9" t="s">
        <v>16</v>
      </c>
      <c r="I141" s="9"/>
      <c r="J141" s="9"/>
      <c r="K141" s="9"/>
    </row>
    <row r="142" hidden="1">
      <c r="A142" s="3" t="s">
        <v>567</v>
      </c>
      <c r="B142" s="2" t="s">
        <v>568</v>
      </c>
      <c r="C142" s="3" t="s">
        <v>569</v>
      </c>
      <c r="D142" s="2">
        <v>4.7213207294875847E-4</v>
      </c>
      <c r="E142" s="8" t="s">
        <v>570</v>
      </c>
      <c r="F142" s="9" t="s">
        <v>15</v>
      </c>
      <c r="G142" s="9" t="s">
        <v>16</v>
      </c>
      <c r="H142" s="9" t="s">
        <v>16</v>
      </c>
      <c r="I142" s="9"/>
      <c r="J142" s="9"/>
      <c r="K142" s="9"/>
    </row>
    <row r="143" hidden="1">
      <c r="A143" s="3" t="s">
        <v>571</v>
      </c>
      <c r="B143" s="2" t="s">
        <v>572</v>
      </c>
      <c r="C143" s="3" t="s">
        <v>573</v>
      </c>
      <c r="D143" s="2">
        <v>4.41233213004017E-4</v>
      </c>
      <c r="E143" s="8" t="s">
        <v>574</v>
      </c>
      <c r="F143" s="9" t="s">
        <v>15</v>
      </c>
      <c r="G143" s="9" t="s">
        <v>16</v>
      </c>
      <c r="H143" s="9" t="s">
        <v>16</v>
      </c>
      <c r="I143" s="9"/>
      <c r="J143" s="9"/>
      <c r="K143" s="9"/>
    </row>
    <row r="144" hidden="1">
      <c r="A144" s="3" t="s">
        <v>575</v>
      </c>
      <c r="B144" s="2" t="s">
        <v>576</v>
      </c>
      <c r="C144" s="3" t="s">
        <v>577</v>
      </c>
      <c r="D144" s="2">
        <v>4.41233213004017E-4</v>
      </c>
      <c r="E144" s="8" t="s">
        <v>578</v>
      </c>
      <c r="F144" s="9" t="s">
        <v>15</v>
      </c>
      <c r="G144" s="9" t="s">
        <v>16</v>
      </c>
      <c r="H144" s="9" t="s">
        <v>16</v>
      </c>
      <c r="I144" s="9"/>
      <c r="J144" s="9"/>
      <c r="K144" s="9"/>
    </row>
    <row r="145" hidden="1">
      <c r="A145" s="3" t="s">
        <v>579</v>
      </c>
      <c r="B145" s="2" t="s">
        <v>580</v>
      </c>
      <c r="C145" s="3" t="s">
        <v>581</v>
      </c>
      <c r="D145" s="2">
        <v>4.41233213004017E-4</v>
      </c>
      <c r="E145" s="8" t="s">
        <v>582</v>
      </c>
      <c r="F145" s="9" t="s">
        <v>15</v>
      </c>
      <c r="G145" s="9" t="s">
        <v>16</v>
      </c>
      <c r="H145" s="9" t="s">
        <v>16</v>
      </c>
      <c r="I145" s="9"/>
      <c r="J145" s="9"/>
      <c r="K145" s="9"/>
    </row>
    <row r="146" hidden="1">
      <c r="A146" s="3" t="s">
        <v>583</v>
      </c>
      <c r="B146" s="2" t="s">
        <v>584</v>
      </c>
      <c r="C146" s="3" t="s">
        <v>585</v>
      </c>
      <c r="D146" s="2">
        <v>4.41233213004017E-4</v>
      </c>
      <c r="E146" s="8" t="s">
        <v>586</v>
      </c>
      <c r="F146" s="9" t="s">
        <v>15</v>
      </c>
      <c r="G146" s="9" t="s">
        <v>16</v>
      </c>
      <c r="H146" s="9" t="s">
        <v>16</v>
      </c>
      <c r="I146" s="9"/>
      <c r="J146" s="9"/>
      <c r="K146" s="9"/>
    </row>
    <row r="147" hidden="1">
      <c r="A147" s="3" t="s">
        <v>587</v>
      </c>
      <c r="B147" s="2" t="s">
        <v>588</v>
      </c>
      <c r="C147" s="3"/>
      <c r="D147" s="2">
        <v>4.41233213004017E-4</v>
      </c>
      <c r="E147" s="8" t="s">
        <v>589</v>
      </c>
      <c r="F147" s="9" t="s">
        <v>15</v>
      </c>
      <c r="G147" s="9" t="s">
        <v>16</v>
      </c>
      <c r="H147" s="9" t="s">
        <v>16</v>
      </c>
      <c r="I147" s="9"/>
      <c r="J147" s="9"/>
      <c r="K147" s="9"/>
    </row>
    <row r="148" hidden="1">
      <c r="A148" s="3" t="s">
        <v>590</v>
      </c>
      <c r="B148" s="2" t="s">
        <v>591</v>
      </c>
      <c r="C148" s="3" t="s">
        <v>592</v>
      </c>
      <c r="D148" s="2">
        <v>4.41233213004017E-4</v>
      </c>
      <c r="E148" s="8" t="s">
        <v>593</v>
      </c>
      <c r="F148" s="9" t="s">
        <v>15</v>
      </c>
      <c r="G148" s="9" t="s">
        <v>16</v>
      </c>
      <c r="H148" s="9" t="s">
        <v>16</v>
      </c>
      <c r="I148" s="9"/>
      <c r="J148" s="9"/>
      <c r="K148" s="9"/>
    </row>
    <row r="149" hidden="1">
      <c r="A149" s="3" t="s">
        <v>594</v>
      </c>
      <c r="B149" s="2" t="s">
        <v>595</v>
      </c>
      <c r="C149" s="3" t="s">
        <v>596</v>
      </c>
      <c r="D149" s="2">
        <v>4.41233213004017E-4</v>
      </c>
      <c r="E149" s="8" t="s">
        <v>597</v>
      </c>
      <c r="F149" s="9" t="s">
        <v>15</v>
      </c>
      <c r="G149" s="9" t="s">
        <v>16</v>
      </c>
      <c r="H149" s="9" t="s">
        <v>16</v>
      </c>
      <c r="I149" s="9"/>
      <c r="J149" s="9"/>
      <c r="K149" s="9"/>
    </row>
    <row r="150" hidden="1">
      <c r="A150" s="3" t="s">
        <v>598</v>
      </c>
      <c r="B150" s="2" t="s">
        <v>599</v>
      </c>
      <c r="C150" s="3" t="s">
        <v>600</v>
      </c>
      <c r="D150" s="2">
        <v>4.332421285352718E-4</v>
      </c>
      <c r="E150" s="8" t="s">
        <v>601</v>
      </c>
      <c r="F150" s="9" t="s">
        <v>15</v>
      </c>
      <c r="G150" s="9" t="s">
        <v>16</v>
      </c>
      <c r="H150" s="9" t="s">
        <v>16</v>
      </c>
      <c r="I150" s="9"/>
      <c r="J150" s="9"/>
      <c r="K150" s="9"/>
    </row>
    <row r="151" hidden="1">
      <c r="A151" s="3" t="s">
        <v>602</v>
      </c>
      <c r="B151" s="2" t="s">
        <v>603</v>
      </c>
      <c r="C151" s="3" t="s">
        <v>604</v>
      </c>
      <c r="D151" s="2">
        <v>4.2702684061563006E-4</v>
      </c>
      <c r="E151" s="8" t="s">
        <v>605</v>
      </c>
      <c r="F151" s="9" t="s">
        <v>15</v>
      </c>
      <c r="G151" s="9" t="s">
        <v>16</v>
      </c>
      <c r="H151" s="9" t="s">
        <v>16</v>
      </c>
      <c r="I151" s="9"/>
      <c r="J151" s="9"/>
      <c r="K151" s="9"/>
    </row>
    <row r="152" hidden="1">
      <c r="A152" s="3" t="s">
        <v>606</v>
      </c>
      <c r="B152" s="2" t="s">
        <v>607</v>
      </c>
      <c r="C152" s="3" t="s">
        <v>608</v>
      </c>
      <c r="D152" s="2">
        <v>4.259998739369515E-4</v>
      </c>
      <c r="E152" s="8" t="s">
        <v>609</v>
      </c>
      <c r="F152" s="9" t="s">
        <v>15</v>
      </c>
      <c r="G152" s="9" t="s">
        <v>16</v>
      </c>
      <c r="H152" s="9" t="s">
        <v>16</v>
      </c>
      <c r="I152" s="9"/>
      <c r="J152" s="9"/>
      <c r="K152" s="9"/>
    </row>
    <row r="153" hidden="1">
      <c r="A153" s="3" t="s">
        <v>610</v>
      </c>
      <c r="B153" s="2" t="s">
        <v>611</v>
      </c>
      <c r="C153" s="3" t="s">
        <v>612</v>
      </c>
      <c r="D153" s="2">
        <v>4.220546102796946E-4</v>
      </c>
      <c r="E153" s="8" t="s">
        <v>613</v>
      </c>
      <c r="F153" s="9" t="s">
        <v>15</v>
      </c>
      <c r="G153" s="9" t="s">
        <v>16</v>
      </c>
      <c r="H153" s="9" t="s">
        <v>16</v>
      </c>
      <c r="I153" s="9"/>
      <c r="J153" s="9"/>
      <c r="K153" s="9"/>
    </row>
    <row r="154" hidden="1">
      <c r="A154" s="3" t="s">
        <v>614</v>
      </c>
      <c r="B154" s="2" t="s">
        <v>615</v>
      </c>
      <c r="C154" s="3" t="s">
        <v>616</v>
      </c>
      <c r="D154" s="2">
        <v>4.1179350154856454E-4</v>
      </c>
      <c r="E154" s="8" t="s">
        <v>617</v>
      </c>
      <c r="F154" s="9" t="s">
        <v>15</v>
      </c>
      <c r="G154" s="9" t="s">
        <v>16</v>
      </c>
      <c r="H154" s="9" t="s">
        <v>16</v>
      </c>
      <c r="I154" s="9"/>
      <c r="J154" s="9"/>
      <c r="K154" s="9"/>
    </row>
    <row r="155" hidden="1">
      <c r="A155" s="3" t="s">
        <v>618</v>
      </c>
      <c r="B155" s="2" t="s">
        <v>619</v>
      </c>
      <c r="C155" s="3" t="s">
        <v>620</v>
      </c>
      <c r="D155" s="2">
        <v>4.0287600755537227E-4</v>
      </c>
      <c r="E155" s="8" t="s">
        <v>621</v>
      </c>
      <c r="F155" s="9" t="s">
        <v>15</v>
      </c>
      <c r="G155" s="9" t="s">
        <v>16</v>
      </c>
      <c r="H155" s="9" t="s">
        <v>16</v>
      </c>
      <c r="I155" s="9"/>
      <c r="J155" s="9"/>
      <c r="K155" s="9"/>
    </row>
    <row r="156" hidden="1">
      <c r="A156" s="3" t="s">
        <v>622</v>
      </c>
      <c r="B156" s="2" t="s">
        <v>623</v>
      </c>
      <c r="C156" s="3" t="s">
        <v>624</v>
      </c>
      <c r="D156" s="2">
        <v>4.000347330776949E-4</v>
      </c>
      <c r="E156" s="8" t="s">
        <v>625</v>
      </c>
      <c r="F156" s="9" t="s">
        <v>15</v>
      </c>
      <c r="G156" s="9" t="s">
        <v>16</v>
      </c>
      <c r="H156" s="9" t="s">
        <v>16</v>
      </c>
      <c r="I156" s="9"/>
      <c r="J156" s="9"/>
      <c r="K156" s="9"/>
    </row>
    <row r="157" hidden="1">
      <c r="A157" s="3" t="s">
        <v>626</v>
      </c>
      <c r="B157" s="2" t="s">
        <v>627</v>
      </c>
      <c r="C157" s="3" t="s">
        <v>628</v>
      </c>
      <c r="D157" s="2">
        <v>3.986140958388562E-4</v>
      </c>
      <c r="E157" s="8" t="s">
        <v>629</v>
      </c>
      <c r="F157" s="9" t="s">
        <v>15</v>
      </c>
      <c r="G157" s="9" t="s">
        <v>16</v>
      </c>
      <c r="H157" s="9" t="s">
        <v>16</v>
      </c>
      <c r="I157" s="9"/>
      <c r="J157" s="9"/>
      <c r="K157" s="9"/>
    </row>
    <row r="158" hidden="1">
      <c r="A158" s="3" t="s">
        <v>630</v>
      </c>
      <c r="B158" s="2" t="s">
        <v>631</v>
      </c>
      <c r="C158" s="3" t="s">
        <v>632</v>
      </c>
      <c r="D158" s="2">
        <v>3.986140958388562E-4</v>
      </c>
      <c r="E158" s="8" t="s">
        <v>633</v>
      </c>
      <c r="F158" s="9" t="s">
        <v>15</v>
      </c>
      <c r="G158" s="9" t="s">
        <v>16</v>
      </c>
      <c r="H158" s="9" t="s">
        <v>16</v>
      </c>
      <c r="I158" s="9"/>
      <c r="J158" s="9"/>
      <c r="K158" s="9"/>
    </row>
    <row r="159" hidden="1">
      <c r="A159" s="3" t="s">
        <v>634</v>
      </c>
      <c r="B159" s="2" t="s">
        <v>635</v>
      </c>
      <c r="C159" s="3" t="s">
        <v>636</v>
      </c>
      <c r="D159" s="2">
        <v>3.9840100025303045E-4</v>
      </c>
      <c r="E159" s="8" t="s">
        <v>637</v>
      </c>
      <c r="F159" s="9" t="s">
        <v>15</v>
      </c>
      <c r="G159" s="9" t="s">
        <v>16</v>
      </c>
      <c r="H159" s="9" t="s">
        <v>16</v>
      </c>
      <c r="I159" s="9"/>
      <c r="J159" s="9"/>
      <c r="K159" s="9"/>
    </row>
    <row r="160" hidden="1">
      <c r="A160" s="3" t="s">
        <v>638</v>
      </c>
      <c r="B160" s="2" t="s">
        <v>639</v>
      </c>
      <c r="C160" s="3" t="s">
        <v>640</v>
      </c>
      <c r="D160" s="2">
        <v>3.8780890657990404E-4</v>
      </c>
      <c r="E160" s="8" t="s">
        <v>641</v>
      </c>
      <c r="F160" s="9" t="s">
        <v>15</v>
      </c>
      <c r="G160" s="9" t="s">
        <v>16</v>
      </c>
      <c r="H160" s="9" t="s">
        <v>16</v>
      </c>
      <c r="I160" s="9"/>
      <c r="J160" s="9"/>
      <c r="K160" s="9"/>
    </row>
    <row r="161" hidden="1">
      <c r="A161" s="3" t="s">
        <v>642</v>
      </c>
      <c r="B161" s="2" t="s">
        <v>643</v>
      </c>
      <c r="C161" s="3" t="s">
        <v>644</v>
      </c>
      <c r="D161" s="2">
        <v>3.844077234504693E-4</v>
      </c>
      <c r="E161" s="8" t="s">
        <v>645</v>
      </c>
      <c r="F161" s="9" t="s">
        <v>15</v>
      </c>
      <c r="G161" s="9" t="s">
        <v>16</v>
      </c>
      <c r="H161" s="9" t="s">
        <v>16</v>
      </c>
      <c r="I161" s="9"/>
      <c r="J161" s="9"/>
      <c r="K161" s="9"/>
    </row>
    <row r="162" hidden="1">
      <c r="A162" s="3" t="s">
        <v>646</v>
      </c>
      <c r="B162" s="2" t="s">
        <v>647</v>
      </c>
      <c r="C162" s="3" t="s">
        <v>648</v>
      </c>
      <c r="D162" s="2">
        <v>3.783192781411606E-4</v>
      </c>
      <c r="E162" s="8" t="s">
        <v>649</v>
      </c>
      <c r="F162" s="9" t="s">
        <v>15</v>
      </c>
      <c r="G162" s="9" t="s">
        <v>16</v>
      </c>
      <c r="H162" s="9" t="s">
        <v>16</v>
      </c>
      <c r="I162" s="9"/>
      <c r="J162" s="9"/>
      <c r="K162" s="9"/>
    </row>
    <row r="163" hidden="1">
      <c r="A163" s="3" t="s">
        <v>650</v>
      </c>
      <c r="B163" s="2" t="s">
        <v>651</v>
      </c>
      <c r="C163" s="3" t="s">
        <v>652</v>
      </c>
      <c r="D163" s="2">
        <v>3.730426255397598E-4</v>
      </c>
      <c r="E163" s="8" t="s">
        <v>653</v>
      </c>
      <c r="F163" s="9" t="s">
        <v>15</v>
      </c>
      <c r="G163" s="9" t="s">
        <v>16</v>
      </c>
      <c r="H163" s="9" t="s">
        <v>16</v>
      </c>
      <c r="I163" s="9"/>
      <c r="J163" s="9"/>
      <c r="K163" s="9"/>
    </row>
    <row r="164" hidden="1">
      <c r="A164" s="3" t="s">
        <v>654</v>
      </c>
      <c r="B164" s="2" t="s">
        <v>655</v>
      </c>
      <c r="C164" s="3" t="s">
        <v>656</v>
      </c>
      <c r="D164" s="2">
        <v>3.648894031255037E-4</v>
      </c>
      <c r="E164" s="8" t="s">
        <v>657</v>
      </c>
      <c r="F164" s="9" t="s">
        <v>15</v>
      </c>
      <c r="G164" s="9" t="s">
        <v>16</v>
      </c>
      <c r="H164" s="9" t="s">
        <v>16</v>
      </c>
      <c r="I164" s="9"/>
      <c r="J164" s="9"/>
      <c r="K164" s="9"/>
    </row>
    <row r="165" hidden="1">
      <c r="A165" s="3" t="s">
        <v>658</v>
      </c>
      <c r="B165" s="2" t="s">
        <v>659</v>
      </c>
      <c r="C165" s="3" t="s">
        <v>660</v>
      </c>
      <c r="D165" s="2">
        <v>3.621747506626438E-4</v>
      </c>
      <c r="E165" s="8" t="s">
        <v>661</v>
      </c>
      <c r="F165" s="9" t="s">
        <v>15</v>
      </c>
      <c r="G165" s="9" t="s">
        <v>16</v>
      </c>
      <c r="H165" s="9" t="s">
        <v>16</v>
      </c>
      <c r="I165" s="9"/>
      <c r="J165" s="9"/>
      <c r="K165" s="9"/>
    </row>
    <row r="166" hidden="1">
      <c r="A166" s="3" t="s">
        <v>662</v>
      </c>
      <c r="B166" s="2" t="s">
        <v>663</v>
      </c>
      <c r="C166" s="3" t="s">
        <v>664</v>
      </c>
      <c r="D166" s="2">
        <v>3.559949786736955E-4</v>
      </c>
      <c r="E166" s="8" t="s">
        <v>665</v>
      </c>
      <c r="F166" s="9" t="s">
        <v>15</v>
      </c>
      <c r="G166" s="9" t="s">
        <v>16</v>
      </c>
      <c r="H166" s="9" t="s">
        <v>16</v>
      </c>
      <c r="I166" s="9"/>
      <c r="J166" s="9"/>
      <c r="K166" s="9"/>
    </row>
    <row r="167" hidden="1">
      <c r="A167" s="3" t="s">
        <v>666</v>
      </c>
      <c r="B167" s="2" t="s">
        <v>667</v>
      </c>
      <c r="C167" s="3" t="s">
        <v>668</v>
      </c>
      <c r="D167" s="2">
        <v>3.559949786736955E-4</v>
      </c>
      <c r="E167" s="8" t="s">
        <v>669</v>
      </c>
      <c r="F167" s="9" t="s">
        <v>15</v>
      </c>
      <c r="G167" s="9" t="s">
        <v>16</v>
      </c>
      <c r="H167" s="9" t="s">
        <v>16</v>
      </c>
      <c r="I167" s="9"/>
      <c r="J167" s="9"/>
      <c r="K167" s="9"/>
    </row>
    <row r="168" hidden="1">
      <c r="A168" s="3" t="s">
        <v>670</v>
      </c>
      <c r="B168" s="2" t="s">
        <v>671</v>
      </c>
      <c r="C168" s="3" t="s">
        <v>672</v>
      </c>
      <c r="D168" s="2">
        <v>3.559949786736955E-4</v>
      </c>
      <c r="E168" s="8" t="s">
        <v>673</v>
      </c>
      <c r="F168" s="9" t="s">
        <v>15</v>
      </c>
      <c r="G168" s="9" t="s">
        <v>16</v>
      </c>
      <c r="H168" s="9" t="s">
        <v>16</v>
      </c>
      <c r="I168" s="9"/>
      <c r="J168" s="9"/>
      <c r="K168" s="9"/>
    </row>
    <row r="169">
      <c r="A169" s="3" t="s">
        <v>674</v>
      </c>
      <c r="B169" s="2" t="s">
        <v>675</v>
      </c>
      <c r="C169" s="3" t="s">
        <v>676</v>
      </c>
      <c r="D169" s="2">
        <v>3.559949786736955E-4</v>
      </c>
      <c r="E169" s="8" t="s">
        <v>677</v>
      </c>
      <c r="F169" s="9" t="s">
        <v>16</v>
      </c>
      <c r="G169" s="9" t="s">
        <v>16</v>
      </c>
      <c r="H169" s="9" t="s">
        <v>16</v>
      </c>
      <c r="I169" s="9" t="s">
        <v>16</v>
      </c>
      <c r="J169" s="9" t="s">
        <v>16</v>
      </c>
      <c r="K169" s="9" t="s">
        <v>16</v>
      </c>
    </row>
    <row r="170" hidden="1">
      <c r="A170" s="3" t="s">
        <v>678</v>
      </c>
      <c r="B170" s="2" t="s">
        <v>679</v>
      </c>
      <c r="C170" s="3" t="s">
        <v>680</v>
      </c>
      <c r="D170" s="2">
        <v>3.559949786736955E-4</v>
      </c>
      <c r="E170" s="8" t="s">
        <v>681</v>
      </c>
      <c r="F170" s="9" t="s">
        <v>15</v>
      </c>
      <c r="G170" s="9" t="s">
        <v>16</v>
      </c>
      <c r="H170" s="9" t="s">
        <v>16</v>
      </c>
      <c r="I170" s="9"/>
      <c r="J170" s="9"/>
      <c r="K170" s="9"/>
    </row>
    <row r="171" hidden="1">
      <c r="A171" s="3" t="s">
        <v>682</v>
      </c>
      <c r="B171" s="2" t="s">
        <v>683</v>
      </c>
      <c r="C171" s="3" t="s">
        <v>684</v>
      </c>
      <c r="D171" s="2">
        <v>3.559949786736955E-4</v>
      </c>
      <c r="E171" s="8" t="s">
        <v>685</v>
      </c>
      <c r="F171" s="9" t="s">
        <v>15</v>
      </c>
      <c r="G171" s="9" t="s">
        <v>16</v>
      </c>
      <c r="H171" s="9" t="s">
        <v>16</v>
      </c>
      <c r="I171" s="9"/>
      <c r="J171" s="9"/>
      <c r="K171" s="9"/>
    </row>
    <row r="172" hidden="1">
      <c r="A172" s="3" t="s">
        <v>686</v>
      </c>
      <c r="B172" s="2" t="s">
        <v>687</v>
      </c>
      <c r="C172" s="3" t="s">
        <v>688</v>
      </c>
      <c r="D172" s="2">
        <v>3.4960211109892137E-4</v>
      </c>
      <c r="E172" s="8" t="s">
        <v>689</v>
      </c>
      <c r="F172" s="9" t="s">
        <v>15</v>
      </c>
      <c r="G172" s="9" t="s">
        <v>16</v>
      </c>
      <c r="H172" s="9" t="s">
        <v>16</v>
      </c>
      <c r="I172" s="9"/>
      <c r="J172" s="9"/>
      <c r="K172" s="9"/>
    </row>
    <row r="173" hidden="1">
      <c r="A173" s="3" t="s">
        <v>690</v>
      </c>
      <c r="B173" s="2" t="s">
        <v>691</v>
      </c>
      <c r="C173" s="3" t="s">
        <v>692</v>
      </c>
      <c r="D173" s="2">
        <v>3.4960211109892137E-4</v>
      </c>
      <c r="E173" s="8" t="s">
        <v>693</v>
      </c>
      <c r="F173" s="9" t="s">
        <v>15</v>
      </c>
      <c r="G173" s="9" t="s">
        <v>16</v>
      </c>
      <c r="H173" s="9" t="s">
        <v>16</v>
      </c>
      <c r="I173" s="9"/>
      <c r="J173" s="9"/>
      <c r="K173" s="9"/>
    </row>
    <row r="174" hidden="1">
      <c r="A174" s="3" t="s">
        <v>694</v>
      </c>
      <c r="B174" s="2" t="s">
        <v>695</v>
      </c>
      <c r="C174" s="3" t="s">
        <v>696</v>
      </c>
      <c r="D174" s="2">
        <v>3.4960211109892137E-4</v>
      </c>
      <c r="E174" s="8" t="s">
        <v>697</v>
      </c>
      <c r="F174" s="9" t="s">
        <v>15</v>
      </c>
      <c r="G174" s="9" t="s">
        <v>16</v>
      </c>
      <c r="H174" s="9" t="s">
        <v>16</v>
      </c>
      <c r="I174" s="9"/>
      <c r="J174" s="9"/>
      <c r="K174" s="9"/>
    </row>
    <row r="175" hidden="1">
      <c r="A175" s="3" t="s">
        <v>698</v>
      </c>
      <c r="B175" s="2" t="s">
        <v>699</v>
      </c>
      <c r="C175" s="3" t="s">
        <v>700</v>
      </c>
      <c r="D175" s="2">
        <v>3.4960211109892137E-4</v>
      </c>
      <c r="E175" s="8" t="s">
        <v>701</v>
      </c>
      <c r="F175" s="9" t="s">
        <v>15</v>
      </c>
      <c r="G175" s="9" t="s">
        <v>16</v>
      </c>
      <c r="H175" s="9" t="s">
        <v>16</v>
      </c>
      <c r="I175" s="9"/>
      <c r="J175" s="9"/>
      <c r="K175" s="9"/>
    </row>
    <row r="176" hidden="1">
      <c r="A176" s="3" t="s">
        <v>702</v>
      </c>
      <c r="B176" s="2" t="s">
        <v>703</v>
      </c>
      <c r="C176" s="3" t="s">
        <v>704</v>
      </c>
      <c r="D176" s="2">
        <v>3.4487694810887096E-4</v>
      </c>
      <c r="E176" s="8" t="s">
        <v>705</v>
      </c>
      <c r="F176" s="9" t="s">
        <v>15</v>
      </c>
      <c r="G176" s="9" t="s">
        <v>16</v>
      </c>
      <c r="H176" s="9" t="s">
        <v>16</v>
      </c>
      <c r="I176" s="9"/>
      <c r="J176" s="9"/>
      <c r="K176" s="9"/>
    </row>
    <row r="177" hidden="1">
      <c r="A177" s="3" t="s">
        <v>706</v>
      </c>
      <c r="B177" s="2" t="s">
        <v>706</v>
      </c>
      <c r="C177" s="3" t="s">
        <v>707</v>
      </c>
      <c r="D177" s="2">
        <v>3.4320924352414727E-4</v>
      </c>
      <c r="E177" s="8" t="s">
        <v>708</v>
      </c>
      <c r="F177" s="9" t="s">
        <v>15</v>
      </c>
      <c r="G177" s="9" t="s">
        <v>16</v>
      </c>
      <c r="H177" s="9" t="s">
        <v>16</v>
      </c>
      <c r="I177" s="9"/>
      <c r="J177" s="9"/>
      <c r="K177" s="9"/>
    </row>
    <row r="178" hidden="1">
      <c r="A178" s="3" t="s">
        <v>709</v>
      </c>
      <c r="B178" s="2" t="s">
        <v>710</v>
      </c>
      <c r="C178" s="3" t="s">
        <v>711</v>
      </c>
      <c r="D178" s="2">
        <v>3.3826897752608576E-4</v>
      </c>
      <c r="E178" s="8" t="s">
        <v>712</v>
      </c>
      <c r="F178" s="9" t="s">
        <v>15</v>
      </c>
      <c r="G178" s="9" t="s">
        <v>16</v>
      </c>
      <c r="H178" s="9" t="s">
        <v>16</v>
      </c>
      <c r="I178" s="9"/>
      <c r="J178" s="9"/>
      <c r="K178" s="9"/>
    </row>
    <row r="179" hidden="1">
      <c r="A179" s="3" t="s">
        <v>713</v>
      </c>
      <c r="B179" s="2" t="s">
        <v>714</v>
      </c>
      <c r="C179" s="3" t="s">
        <v>715</v>
      </c>
      <c r="D179" s="2">
        <v>3.381544179999072E-4</v>
      </c>
      <c r="E179" s="8" t="s">
        <v>716</v>
      </c>
      <c r="F179" s="9" t="s">
        <v>15</v>
      </c>
      <c r="G179" s="9" t="s">
        <v>16</v>
      </c>
      <c r="H179" s="9" t="s">
        <v>16</v>
      </c>
      <c r="I179" s="9"/>
      <c r="J179" s="9"/>
      <c r="K179" s="9"/>
    </row>
    <row r="180" hidden="1">
      <c r="A180" s="3" t="s">
        <v>717</v>
      </c>
      <c r="B180" s="2" t="s">
        <v>718</v>
      </c>
      <c r="C180" s="3" t="s">
        <v>719</v>
      </c>
      <c r="D180" s="2">
        <v>3.359862445507629E-4</v>
      </c>
      <c r="E180" s="8" t="s">
        <v>720</v>
      </c>
      <c r="F180" s="9" t="s">
        <v>15</v>
      </c>
      <c r="G180" s="9" t="s">
        <v>16</v>
      </c>
      <c r="H180" s="9" t="s">
        <v>16</v>
      </c>
      <c r="I180" s="9"/>
      <c r="J180" s="9"/>
      <c r="K180" s="9"/>
    </row>
    <row r="181" hidden="1">
      <c r="A181" s="3" t="s">
        <v>721</v>
      </c>
      <c r="B181" s="2" t="s">
        <v>722</v>
      </c>
      <c r="C181" s="3" t="s">
        <v>723</v>
      </c>
      <c r="D181" s="2">
        <v>3.3468542009111514E-4</v>
      </c>
      <c r="E181" s="8" t="s">
        <v>724</v>
      </c>
      <c r="F181" s="9" t="s">
        <v>15</v>
      </c>
      <c r="G181" s="9" t="s">
        <v>16</v>
      </c>
      <c r="H181" s="9" t="s">
        <v>16</v>
      </c>
      <c r="I181" s="9"/>
      <c r="J181" s="9"/>
      <c r="K181" s="9"/>
    </row>
    <row r="182" hidden="1">
      <c r="A182" s="3" t="s">
        <v>725</v>
      </c>
      <c r="B182" s="2" t="s">
        <v>726</v>
      </c>
      <c r="C182" s="3" t="s">
        <v>727</v>
      </c>
      <c r="D182" s="2">
        <v>3.3468542009111514E-4</v>
      </c>
      <c r="E182" s="8" t="s">
        <v>728</v>
      </c>
      <c r="F182" s="9" t="s">
        <v>15</v>
      </c>
      <c r="G182" s="9" t="s">
        <v>16</v>
      </c>
      <c r="H182" s="9" t="s">
        <v>16</v>
      </c>
      <c r="I182" s="9"/>
      <c r="J182" s="9"/>
      <c r="K182" s="9"/>
    </row>
    <row r="183" hidden="1">
      <c r="A183" s="3" t="s">
        <v>729</v>
      </c>
      <c r="B183" s="2" t="s">
        <v>730</v>
      </c>
      <c r="C183" s="3" t="s">
        <v>731</v>
      </c>
      <c r="D183" s="2">
        <v>3.3375891754391083E-4</v>
      </c>
      <c r="E183" s="8" t="s">
        <v>732</v>
      </c>
      <c r="F183" s="9" t="s">
        <v>15</v>
      </c>
      <c r="G183" s="9" t="s">
        <v>16</v>
      </c>
      <c r="H183" s="9" t="s">
        <v>16</v>
      </c>
      <c r="I183" s="9"/>
      <c r="J183" s="9"/>
      <c r="K183" s="9"/>
    </row>
    <row r="184" hidden="1">
      <c r="A184" s="3" t="s">
        <v>733</v>
      </c>
      <c r="B184" s="2" t="s">
        <v>734</v>
      </c>
      <c r="C184" s="3" t="s">
        <v>735</v>
      </c>
      <c r="D184" s="2">
        <v>3.304235083745991E-4</v>
      </c>
      <c r="E184" s="8" t="s">
        <v>736</v>
      </c>
      <c r="F184" s="9" t="s">
        <v>15</v>
      </c>
      <c r="G184" s="9" t="s">
        <v>16</v>
      </c>
      <c r="H184" s="9" t="s">
        <v>16</v>
      </c>
      <c r="I184" s="9"/>
      <c r="J184" s="9"/>
      <c r="K184" s="9"/>
    </row>
    <row r="185" hidden="1">
      <c r="A185" s="3" t="s">
        <v>737</v>
      </c>
      <c r="B185" s="2" t="s">
        <v>738</v>
      </c>
      <c r="C185" s="3" t="s">
        <v>739</v>
      </c>
      <c r="D185" s="2">
        <v>3.304235083745991E-4</v>
      </c>
      <c r="E185" s="8" t="s">
        <v>740</v>
      </c>
      <c r="F185" s="9" t="s">
        <v>15</v>
      </c>
      <c r="G185" s="9" t="s">
        <v>16</v>
      </c>
      <c r="H185" s="9" t="s">
        <v>16</v>
      </c>
      <c r="I185" s="9"/>
      <c r="J185" s="9"/>
      <c r="K185" s="9"/>
    </row>
    <row r="186" hidden="1">
      <c r="A186" s="3" t="s">
        <v>741</v>
      </c>
      <c r="B186" s="2" t="s">
        <v>742</v>
      </c>
      <c r="C186" s="3"/>
      <c r="D186" s="2">
        <v>3.304235083745991E-4</v>
      </c>
      <c r="E186" s="8" t="s">
        <v>743</v>
      </c>
      <c r="F186" s="9" t="s">
        <v>15</v>
      </c>
      <c r="G186" s="9" t="s">
        <v>16</v>
      </c>
      <c r="H186" s="9" t="s">
        <v>16</v>
      </c>
      <c r="I186" s="9"/>
      <c r="J186" s="9"/>
      <c r="K186" s="9"/>
    </row>
    <row r="187" hidden="1">
      <c r="A187" s="3" t="s">
        <v>744</v>
      </c>
      <c r="B187" s="2" t="s">
        <v>745</v>
      </c>
      <c r="C187" s="3" t="s">
        <v>746</v>
      </c>
      <c r="D187" s="2">
        <v>3.304235083745991E-4</v>
      </c>
      <c r="E187" s="8" t="s">
        <v>747</v>
      </c>
      <c r="F187" s="9" t="s">
        <v>15</v>
      </c>
      <c r="G187" s="9" t="s">
        <v>16</v>
      </c>
      <c r="H187" s="9" t="s">
        <v>16</v>
      </c>
      <c r="I187" s="9"/>
      <c r="J187" s="9"/>
      <c r="K187" s="9"/>
    </row>
    <row r="188" hidden="1">
      <c r="A188" s="3" t="s">
        <v>748</v>
      </c>
      <c r="B188" s="2" t="s">
        <v>749</v>
      </c>
      <c r="C188" s="3" t="s">
        <v>750</v>
      </c>
      <c r="D188" s="2">
        <v>3.304235083745991E-4</v>
      </c>
      <c r="E188" s="8" t="s">
        <v>751</v>
      </c>
      <c r="F188" s="9" t="s">
        <v>15</v>
      </c>
      <c r="G188" s="9" t="s">
        <v>16</v>
      </c>
      <c r="H188" s="9" t="s">
        <v>16</v>
      </c>
      <c r="I188" s="9"/>
      <c r="J188" s="9"/>
      <c r="K188" s="9"/>
    </row>
    <row r="189" hidden="1">
      <c r="A189" s="3" t="s">
        <v>752</v>
      </c>
      <c r="B189" s="2" t="s">
        <v>753</v>
      </c>
      <c r="C189" s="3" t="s">
        <v>754</v>
      </c>
      <c r="D189" s="2">
        <v>3.2758223389692167E-4</v>
      </c>
      <c r="E189" s="8" t="s">
        <v>755</v>
      </c>
      <c r="F189" s="9" t="s">
        <v>15</v>
      </c>
      <c r="G189" s="9" t="s">
        <v>16</v>
      </c>
      <c r="H189" s="9" t="s">
        <v>16</v>
      </c>
      <c r="I189" s="9"/>
      <c r="J189" s="9"/>
      <c r="K189" s="9"/>
    </row>
    <row r="190" hidden="1">
      <c r="A190" s="3" t="s">
        <v>756</v>
      </c>
      <c r="B190" s="2" t="s">
        <v>757</v>
      </c>
      <c r="C190" s="3" t="s">
        <v>758</v>
      </c>
      <c r="D190" s="2">
        <v>3.233203221804056E-4</v>
      </c>
      <c r="E190" s="8" t="s">
        <v>759</v>
      </c>
      <c r="F190" s="9" t="s">
        <v>15</v>
      </c>
      <c r="G190" s="9" t="s">
        <v>16</v>
      </c>
      <c r="H190" s="9" t="s">
        <v>16</v>
      </c>
      <c r="I190" s="9"/>
      <c r="J190" s="9"/>
      <c r="K190" s="9"/>
    </row>
    <row r="191" hidden="1">
      <c r="A191" s="3" t="s">
        <v>760</v>
      </c>
      <c r="B191" s="2" t="s">
        <v>761</v>
      </c>
      <c r="C191" s="3" t="s">
        <v>762</v>
      </c>
      <c r="D191" s="2">
        <v>3.226408869792219E-4</v>
      </c>
      <c r="E191" s="8" t="s">
        <v>763</v>
      </c>
      <c r="F191" s="9" t="s">
        <v>15</v>
      </c>
      <c r="G191" s="9" t="s">
        <v>16</v>
      </c>
      <c r="H191" s="9" t="s">
        <v>16</v>
      </c>
      <c r="I191" s="9"/>
      <c r="J191" s="9"/>
      <c r="K191" s="9"/>
    </row>
    <row r="192" hidden="1">
      <c r="A192" s="3" t="s">
        <v>764</v>
      </c>
      <c r="B192" s="2" t="s">
        <v>765</v>
      </c>
      <c r="C192" s="3" t="s">
        <v>766</v>
      </c>
      <c r="D192" s="2">
        <v>3.169274546056315E-4</v>
      </c>
      <c r="E192" s="8" t="s">
        <v>767</v>
      </c>
      <c r="F192" s="9" t="s">
        <v>15</v>
      </c>
      <c r="G192" s="9" t="s">
        <v>16</v>
      </c>
      <c r="H192" s="9" t="s">
        <v>16</v>
      </c>
      <c r="I192" s="9"/>
      <c r="J192" s="9"/>
      <c r="K192" s="9"/>
    </row>
    <row r="193" hidden="1">
      <c r="A193" s="3" t="s">
        <v>768</v>
      </c>
      <c r="B193" s="2" t="s">
        <v>769</v>
      </c>
      <c r="C193" s="3" t="s">
        <v>770</v>
      </c>
      <c r="D193" s="2">
        <v>3.1337586150853477E-4</v>
      </c>
      <c r="E193" s="8" t="s">
        <v>771</v>
      </c>
      <c r="F193" s="9" t="s">
        <v>15</v>
      </c>
      <c r="G193" s="9" t="s">
        <v>16</v>
      </c>
      <c r="H193" s="9" t="s">
        <v>16</v>
      </c>
      <c r="I193" s="9"/>
      <c r="J193" s="9"/>
      <c r="K193" s="9"/>
    </row>
    <row r="194" hidden="1">
      <c r="A194" s="3" t="s">
        <v>772</v>
      </c>
      <c r="B194" s="2" t="s">
        <v>773</v>
      </c>
      <c r="C194" s="3" t="s">
        <v>774</v>
      </c>
      <c r="D194" s="2">
        <v>3.0905218295554745E-4</v>
      </c>
      <c r="E194" s="8" t="s">
        <v>775</v>
      </c>
      <c r="F194" s="9" t="s">
        <v>15</v>
      </c>
      <c r="G194" s="9" t="s">
        <v>16</v>
      </c>
      <c r="H194" s="9" t="s">
        <v>16</v>
      </c>
      <c r="I194" s="9"/>
      <c r="J194" s="9"/>
      <c r="K194" s="9"/>
    </row>
    <row r="195" hidden="1">
      <c r="A195" s="3" t="s">
        <v>776</v>
      </c>
      <c r="B195" s="2" t="s">
        <v>777</v>
      </c>
      <c r="C195" s="3" t="s">
        <v>778</v>
      </c>
      <c r="D195" s="2">
        <v>3.048520380755026E-4</v>
      </c>
      <c r="E195" s="8" t="s">
        <v>779</v>
      </c>
      <c r="F195" s="9" t="s">
        <v>15</v>
      </c>
      <c r="G195" s="9" t="s">
        <v>16</v>
      </c>
      <c r="H195" s="9" t="s">
        <v>16</v>
      </c>
      <c r="I195" s="9"/>
      <c r="J195" s="9"/>
      <c r="K195" s="9"/>
    </row>
    <row r="196" hidden="1">
      <c r="A196" s="3" t="s">
        <v>780</v>
      </c>
      <c r="B196" s="2" t="s">
        <v>781</v>
      </c>
      <c r="C196" s="3" t="s">
        <v>782</v>
      </c>
      <c r="D196" s="2">
        <v>3.005901263589866E-4</v>
      </c>
      <c r="E196" s="8" t="s">
        <v>783</v>
      </c>
      <c r="F196" s="9" t="s">
        <v>15</v>
      </c>
      <c r="G196" s="9" t="s">
        <v>16</v>
      </c>
      <c r="H196" s="9" t="s">
        <v>16</v>
      </c>
      <c r="I196" s="9"/>
      <c r="J196" s="9"/>
      <c r="K196" s="9"/>
    </row>
    <row r="197" hidden="1">
      <c r="A197" s="3" t="s">
        <v>784</v>
      </c>
      <c r="B197" s="2" t="s">
        <v>785</v>
      </c>
      <c r="C197" s="3" t="s">
        <v>786</v>
      </c>
      <c r="D197" s="2">
        <v>3.005901263589866E-4</v>
      </c>
      <c r="E197" s="8" t="s">
        <v>787</v>
      </c>
      <c r="F197" s="9" t="s">
        <v>15</v>
      </c>
      <c r="G197" s="9" t="s">
        <v>16</v>
      </c>
      <c r="H197" s="9" t="s">
        <v>16</v>
      </c>
      <c r="I197" s="9"/>
      <c r="J197" s="9"/>
      <c r="K197" s="9"/>
    </row>
    <row r="198" hidden="1">
      <c r="A198" s="3" t="s">
        <v>788</v>
      </c>
      <c r="B198" s="2" t="s">
        <v>789</v>
      </c>
      <c r="C198" s="3" t="s">
        <v>790</v>
      </c>
      <c r="D198" s="2">
        <v>2.991694891201479E-4</v>
      </c>
      <c r="E198" s="8" t="s">
        <v>791</v>
      </c>
      <c r="F198" s="9" t="s">
        <v>15</v>
      </c>
      <c r="G198" s="9" t="s">
        <v>16</v>
      </c>
      <c r="H198" s="9" t="s">
        <v>16</v>
      </c>
      <c r="I198" s="9"/>
      <c r="J198" s="9"/>
      <c r="K198" s="9"/>
    </row>
    <row r="199" hidden="1">
      <c r="A199" s="3" t="s">
        <v>792</v>
      </c>
      <c r="B199" s="2" t="s">
        <v>793</v>
      </c>
      <c r="C199" s="3" t="s">
        <v>794</v>
      </c>
      <c r="D199" s="2">
        <v>2.991694891201479E-4</v>
      </c>
      <c r="E199" s="8" t="s">
        <v>795</v>
      </c>
      <c r="F199" s="9" t="s">
        <v>15</v>
      </c>
      <c r="G199" s="9" t="s">
        <v>16</v>
      </c>
      <c r="H199" s="9" t="s">
        <v>16</v>
      </c>
      <c r="I199" s="9"/>
      <c r="J199" s="9"/>
      <c r="K199" s="9"/>
    </row>
    <row r="200" hidden="1">
      <c r="A200" s="3" t="s">
        <v>796</v>
      </c>
      <c r="B200" s="2" t="s">
        <v>797</v>
      </c>
      <c r="C200" s="3" t="s">
        <v>798</v>
      </c>
      <c r="D200" s="2">
        <v>2.9714385288652956E-4</v>
      </c>
      <c r="E200" s="8" t="s">
        <v>799</v>
      </c>
      <c r="F200" s="9" t="s">
        <v>15</v>
      </c>
      <c r="G200" s="9" t="s">
        <v>16</v>
      </c>
      <c r="H200" s="9" t="s">
        <v>16</v>
      </c>
      <c r="I200" s="9"/>
      <c r="J200" s="9"/>
      <c r="K200" s="9"/>
    </row>
    <row r="201" hidden="1">
      <c r="A201" s="3" t="s">
        <v>800</v>
      </c>
      <c r="B201" s="2" t="s">
        <v>801</v>
      </c>
      <c r="C201" s="3" t="s">
        <v>802</v>
      </c>
      <c r="D201" s="2">
        <v>2.9490757740363176E-4</v>
      </c>
      <c r="E201" s="8" t="s">
        <v>803</v>
      </c>
      <c r="F201" s="9" t="s">
        <v>15</v>
      </c>
      <c r="G201" s="9" t="s">
        <v>16</v>
      </c>
      <c r="H201" s="9" t="s">
        <v>16</v>
      </c>
      <c r="I201" s="9"/>
      <c r="J201" s="9"/>
      <c r="K201" s="9"/>
    </row>
    <row r="202" hidden="1">
      <c r="A202" s="3" t="s">
        <v>804</v>
      </c>
      <c r="B202" s="2" t="s">
        <v>805</v>
      </c>
      <c r="C202" s="3"/>
      <c r="D202" s="2">
        <v>2.9490757740363176E-4</v>
      </c>
      <c r="E202" s="8" t="s">
        <v>806</v>
      </c>
      <c r="F202" s="9" t="s">
        <v>15</v>
      </c>
      <c r="G202" s="9" t="s">
        <v>16</v>
      </c>
      <c r="H202" s="9" t="s">
        <v>16</v>
      </c>
      <c r="I202" s="9"/>
      <c r="J202" s="9"/>
      <c r="K202" s="9"/>
    </row>
    <row r="203" hidden="1">
      <c r="A203" s="3" t="s">
        <v>807</v>
      </c>
      <c r="B203" s="2" t="s">
        <v>808</v>
      </c>
      <c r="C203" s="3" t="s">
        <v>809</v>
      </c>
      <c r="D203" s="2">
        <v>2.9206630292595445E-4</v>
      </c>
      <c r="E203" s="8" t="s">
        <v>810</v>
      </c>
      <c r="F203" s="9" t="s">
        <v>15</v>
      </c>
      <c r="G203" s="9" t="s">
        <v>16</v>
      </c>
      <c r="H203" s="9" t="s">
        <v>16</v>
      </c>
      <c r="I203" s="9"/>
      <c r="J203" s="9"/>
      <c r="K203" s="9"/>
    </row>
    <row r="204" hidden="1">
      <c r="A204" s="3" t="s">
        <v>811</v>
      </c>
      <c r="B204" s="2" t="s">
        <v>812</v>
      </c>
      <c r="C204" s="3" t="s">
        <v>813</v>
      </c>
      <c r="D204" s="2">
        <v>2.904399373975199E-4</v>
      </c>
      <c r="E204" s="8" t="s">
        <v>814</v>
      </c>
      <c r="F204" s="9" t="s">
        <v>15</v>
      </c>
      <c r="G204" s="9" t="s">
        <v>16</v>
      </c>
      <c r="H204" s="9" t="s">
        <v>16</v>
      </c>
      <c r="I204" s="9"/>
      <c r="J204" s="9"/>
      <c r="K204" s="9"/>
    </row>
    <row r="205" hidden="1">
      <c r="A205" s="3" t="s">
        <v>815</v>
      </c>
      <c r="B205" s="2" t="s">
        <v>816</v>
      </c>
      <c r="C205" s="3" t="s">
        <v>817</v>
      </c>
      <c r="D205" s="2">
        <v>2.8673891327972E-4</v>
      </c>
      <c r="E205" s="8" t="s">
        <v>818</v>
      </c>
      <c r="F205" s="9" t="s">
        <v>15</v>
      </c>
      <c r="G205" s="9" t="s">
        <v>16</v>
      </c>
      <c r="H205" s="9" t="s">
        <v>16</v>
      </c>
      <c r="I205" s="9"/>
      <c r="J205" s="9"/>
      <c r="K205" s="9"/>
    </row>
    <row r="206" hidden="1">
      <c r="A206" s="3" t="s">
        <v>819</v>
      </c>
      <c r="B206" s="2" t="s">
        <v>820</v>
      </c>
      <c r="C206" s="3" t="s">
        <v>821</v>
      </c>
      <c r="D206" s="2">
        <v>2.856734353511803E-4</v>
      </c>
      <c r="E206" s="8" t="s">
        <v>822</v>
      </c>
      <c r="F206" s="9" t="s">
        <v>15</v>
      </c>
      <c r="G206" s="9" t="s">
        <v>16</v>
      </c>
      <c r="H206" s="9" t="s">
        <v>16</v>
      </c>
      <c r="I206" s="9"/>
      <c r="J206" s="9"/>
      <c r="K206" s="9"/>
    </row>
    <row r="207" hidden="1">
      <c r="A207" s="3" t="s">
        <v>823</v>
      </c>
      <c r="B207" s="2" t="s">
        <v>824</v>
      </c>
      <c r="C207" s="3" t="s">
        <v>825</v>
      </c>
      <c r="D207" s="2">
        <v>2.8031052977456426E-4</v>
      </c>
      <c r="E207" s="8" t="s">
        <v>826</v>
      </c>
      <c r="F207" s="9" t="s">
        <v>15</v>
      </c>
      <c r="G207" s="9" t="s">
        <v>16</v>
      </c>
      <c r="H207" s="9" t="s">
        <v>16</v>
      </c>
      <c r="I207" s="9"/>
      <c r="J207" s="9"/>
      <c r="K207" s="9"/>
    </row>
    <row r="208">
      <c r="A208" s="3" t="s">
        <v>827</v>
      </c>
      <c r="B208" s="2" t="s">
        <v>828</v>
      </c>
      <c r="C208" s="3" t="s">
        <v>829</v>
      </c>
      <c r="D208" s="2">
        <v>2.792805677764062E-4</v>
      </c>
      <c r="E208" s="8" t="s">
        <v>830</v>
      </c>
      <c r="F208" s="9" t="s">
        <v>16</v>
      </c>
      <c r="G208" s="9" t="s">
        <v>16</v>
      </c>
      <c r="H208" s="9" t="s">
        <v>16</v>
      </c>
      <c r="I208" s="9" t="s">
        <v>16</v>
      </c>
      <c r="J208" s="9" t="s">
        <v>16</v>
      </c>
      <c r="K208" s="9" t="s">
        <v>16</v>
      </c>
    </row>
    <row r="209" hidden="1">
      <c r="A209" s="3" t="s">
        <v>831</v>
      </c>
      <c r="B209" s="2" t="s">
        <v>832</v>
      </c>
      <c r="C209" s="3" t="s">
        <v>833</v>
      </c>
      <c r="D209" s="2">
        <v>2.7324285951134175E-4</v>
      </c>
      <c r="E209" s="8" t="s">
        <v>834</v>
      </c>
      <c r="F209" s="9" t="s">
        <v>15</v>
      </c>
      <c r="G209" s="9" t="s">
        <v>16</v>
      </c>
      <c r="H209" s="9" t="s">
        <v>16</v>
      </c>
      <c r="I209" s="9"/>
      <c r="J209" s="9"/>
      <c r="K209" s="9"/>
    </row>
    <row r="210" hidden="1">
      <c r="A210" s="3" t="s">
        <v>835</v>
      </c>
      <c r="B210" s="2" t="s">
        <v>836</v>
      </c>
      <c r="C210" s="3" t="s">
        <v>837</v>
      </c>
      <c r="D210" s="2">
        <v>2.7322741780222393E-4</v>
      </c>
      <c r="E210" s="8" t="s">
        <v>838</v>
      </c>
      <c r="F210" s="9" t="s">
        <v>15</v>
      </c>
      <c r="G210" s="9" t="s">
        <v>16</v>
      </c>
      <c r="H210" s="9" t="s">
        <v>16</v>
      </c>
      <c r="I210" s="9"/>
      <c r="J210" s="9"/>
      <c r="K210" s="9"/>
    </row>
    <row r="211" hidden="1">
      <c r="A211" s="3" t="s">
        <v>839</v>
      </c>
      <c r="B211" s="2" t="s">
        <v>840</v>
      </c>
      <c r="C211" s="3" t="s">
        <v>841</v>
      </c>
      <c r="D211" s="2">
        <v>2.7322741780222393E-4</v>
      </c>
      <c r="E211" s="8" t="s">
        <v>842</v>
      </c>
      <c r="F211" s="9" t="s">
        <v>15</v>
      </c>
      <c r="G211" s="9" t="s">
        <v>16</v>
      </c>
      <c r="H211" s="9" t="s">
        <v>16</v>
      </c>
      <c r="I211" s="9"/>
      <c r="J211" s="9"/>
      <c r="K211" s="9"/>
    </row>
    <row r="212" hidden="1">
      <c r="A212" s="3" t="s">
        <v>843</v>
      </c>
      <c r="B212" s="2" t="s">
        <v>843</v>
      </c>
      <c r="C212" s="3" t="s">
        <v>844</v>
      </c>
      <c r="D212" s="2">
        <v>2.707567443433741E-4</v>
      </c>
      <c r="E212" s="8" t="s">
        <v>845</v>
      </c>
      <c r="F212" s="9" t="s">
        <v>15</v>
      </c>
      <c r="G212" s="9" t="s">
        <v>16</v>
      </c>
      <c r="H212" s="9" t="s">
        <v>16</v>
      </c>
      <c r="I212" s="9"/>
      <c r="J212" s="9"/>
      <c r="K212" s="9"/>
    </row>
    <row r="213" hidden="1">
      <c r="A213" s="3" t="s">
        <v>846</v>
      </c>
      <c r="B213" s="2" t="s">
        <v>847</v>
      </c>
      <c r="C213" s="3" t="s">
        <v>848</v>
      </c>
      <c r="D213" s="2">
        <v>2.707567443433741E-4</v>
      </c>
      <c r="E213" s="8" t="s">
        <v>849</v>
      </c>
      <c r="F213" s="9" t="s">
        <v>15</v>
      </c>
      <c r="G213" s="9" t="s">
        <v>16</v>
      </c>
      <c r="H213" s="9" t="s">
        <v>16</v>
      </c>
      <c r="I213" s="9"/>
      <c r="J213" s="9"/>
      <c r="K213" s="9"/>
    </row>
    <row r="214" hidden="1">
      <c r="A214" s="3" t="s">
        <v>850</v>
      </c>
      <c r="B214" s="2" t="s">
        <v>851</v>
      </c>
      <c r="C214" s="3" t="s">
        <v>852</v>
      </c>
      <c r="D214" s="2">
        <v>2.707567443433741E-4</v>
      </c>
      <c r="E214" s="8" t="s">
        <v>853</v>
      </c>
      <c r="F214" s="9" t="s">
        <v>15</v>
      </c>
      <c r="G214" s="9" t="s">
        <v>16</v>
      </c>
      <c r="H214" s="9" t="s">
        <v>16</v>
      </c>
      <c r="I214" s="9"/>
      <c r="J214" s="9"/>
      <c r="K214" s="9"/>
    </row>
    <row r="215" hidden="1">
      <c r="A215" s="3" t="s">
        <v>854</v>
      </c>
      <c r="B215" s="2" t="s">
        <v>855</v>
      </c>
      <c r="C215" s="3" t="s">
        <v>856</v>
      </c>
      <c r="D215" s="2">
        <v>2.707567443433741E-4</v>
      </c>
      <c r="E215" s="8" t="s">
        <v>857</v>
      </c>
      <c r="F215" s="9" t="s">
        <v>15</v>
      </c>
      <c r="G215" s="9" t="s">
        <v>16</v>
      </c>
      <c r="H215" s="9" t="s">
        <v>16</v>
      </c>
      <c r="I215" s="9"/>
      <c r="J215" s="9"/>
      <c r="K215" s="9"/>
    </row>
    <row r="216" hidden="1">
      <c r="A216" s="3" t="s">
        <v>858</v>
      </c>
      <c r="B216" s="2" t="s">
        <v>859</v>
      </c>
      <c r="C216" s="3" t="s">
        <v>860</v>
      </c>
      <c r="D216" s="2">
        <v>2.707567443433741E-4</v>
      </c>
      <c r="E216" s="8" t="s">
        <v>861</v>
      </c>
      <c r="F216" s="9" t="s">
        <v>15</v>
      </c>
      <c r="G216" s="9" t="s">
        <v>16</v>
      </c>
      <c r="H216" s="9" t="s">
        <v>16</v>
      </c>
      <c r="I216" s="9"/>
      <c r="J216" s="9"/>
      <c r="K216" s="9"/>
    </row>
    <row r="217" hidden="1">
      <c r="A217" s="3" t="s">
        <v>862</v>
      </c>
      <c r="B217" s="2" t="s">
        <v>863</v>
      </c>
      <c r="C217" s="3" t="s">
        <v>864</v>
      </c>
      <c r="D217" s="2">
        <v>2.707567443433741E-4</v>
      </c>
      <c r="E217" s="8" t="s">
        <v>865</v>
      </c>
      <c r="F217" s="9" t="s">
        <v>15</v>
      </c>
      <c r="G217" s="9" t="s">
        <v>16</v>
      </c>
      <c r="H217" s="9" t="s">
        <v>16</v>
      </c>
      <c r="I217" s="9"/>
      <c r="J217" s="9"/>
      <c r="K217" s="9"/>
    </row>
    <row r="218">
      <c r="A218" s="3" t="s">
        <v>866</v>
      </c>
      <c r="B218" s="2" t="s">
        <v>867</v>
      </c>
      <c r="C218" s="3" t="s">
        <v>868</v>
      </c>
      <c r="D218" s="2">
        <v>2.707567443433741E-4</v>
      </c>
      <c r="E218" s="8" t="s">
        <v>869</v>
      </c>
      <c r="F218" s="9" t="s">
        <v>16</v>
      </c>
      <c r="G218" s="9" t="s">
        <v>16</v>
      </c>
      <c r="H218" s="9" t="s">
        <v>16</v>
      </c>
      <c r="I218" s="9" t="s">
        <v>16</v>
      </c>
      <c r="J218" s="9" t="s">
        <v>16</v>
      </c>
      <c r="K218" s="9" t="s">
        <v>16</v>
      </c>
    </row>
    <row r="219" hidden="1">
      <c r="A219" s="3" t="s">
        <v>870</v>
      </c>
      <c r="B219" s="2" t="s">
        <v>871</v>
      </c>
      <c r="C219" s="3" t="s">
        <v>872</v>
      </c>
      <c r="D219" s="2">
        <v>2.707567443433741E-4</v>
      </c>
      <c r="E219" s="8" t="s">
        <v>873</v>
      </c>
      <c r="F219" s="9" t="s">
        <v>15</v>
      </c>
      <c r="G219" s="9" t="s">
        <v>16</v>
      </c>
      <c r="H219" s="9" t="s">
        <v>16</v>
      </c>
      <c r="I219" s="9"/>
      <c r="J219" s="9"/>
      <c r="K219" s="9"/>
    </row>
    <row r="220" hidden="1">
      <c r="A220" s="3" t="s">
        <v>874</v>
      </c>
      <c r="B220" s="2" t="s">
        <v>875</v>
      </c>
      <c r="C220" s="3" t="s">
        <v>876</v>
      </c>
      <c r="D220" s="2">
        <v>2.707567443433741E-4</v>
      </c>
      <c r="E220" s="8" t="s">
        <v>877</v>
      </c>
      <c r="F220" s="9" t="s">
        <v>15</v>
      </c>
      <c r="G220" s="9" t="s">
        <v>16</v>
      </c>
      <c r="H220" s="9" t="s">
        <v>16</v>
      </c>
      <c r="I220" s="9"/>
      <c r="J220" s="9"/>
      <c r="K220" s="9"/>
    </row>
    <row r="221" hidden="1">
      <c r="A221" s="3" t="s">
        <v>878</v>
      </c>
      <c r="B221" s="2" t="s">
        <v>879</v>
      </c>
      <c r="C221" s="3" t="s">
        <v>880</v>
      </c>
      <c r="D221" s="2">
        <v>2.707567443433741E-4</v>
      </c>
      <c r="E221" s="8" t="s">
        <v>881</v>
      </c>
      <c r="F221" s="9" t="s">
        <v>15</v>
      </c>
      <c r="G221" s="9" t="s">
        <v>16</v>
      </c>
      <c r="H221" s="9" t="s">
        <v>16</v>
      </c>
      <c r="I221" s="9"/>
      <c r="J221" s="9"/>
      <c r="K221" s="9"/>
    </row>
    <row r="222" hidden="1">
      <c r="A222" s="3" t="s">
        <v>882</v>
      </c>
      <c r="B222" s="2" t="s">
        <v>883</v>
      </c>
      <c r="C222" s="3" t="s">
        <v>884</v>
      </c>
      <c r="D222" s="2">
        <v>2.707567443433741E-4</v>
      </c>
      <c r="E222" s="8" t="s">
        <v>885</v>
      </c>
      <c r="F222" s="9" t="s">
        <v>15</v>
      </c>
      <c r="G222" s="9" t="s">
        <v>16</v>
      </c>
      <c r="H222" s="9" t="s">
        <v>16</v>
      </c>
      <c r="I222" s="9"/>
      <c r="J222" s="9"/>
      <c r="K222" s="9"/>
    </row>
    <row r="223">
      <c r="A223" s="3" t="s">
        <v>886</v>
      </c>
      <c r="B223" s="2" t="s">
        <v>887</v>
      </c>
      <c r="C223" s="3" t="s">
        <v>888</v>
      </c>
      <c r="D223" s="2">
        <v>2.707567443433741E-4</v>
      </c>
      <c r="E223" s="8" t="s">
        <v>889</v>
      </c>
      <c r="F223" s="9" t="s">
        <v>16</v>
      </c>
      <c r="G223" s="9" t="s">
        <v>16</v>
      </c>
      <c r="H223" s="9" t="s">
        <v>16</v>
      </c>
      <c r="I223" s="9" t="s">
        <v>16</v>
      </c>
      <c r="J223" s="9" t="s">
        <v>16</v>
      </c>
      <c r="K223" s="9" t="s">
        <v>16</v>
      </c>
    </row>
    <row r="224" hidden="1">
      <c r="A224" s="3" t="s">
        <v>890</v>
      </c>
      <c r="B224" s="2" t="s">
        <v>891</v>
      </c>
      <c r="C224" s="3" t="s">
        <v>892</v>
      </c>
      <c r="D224" s="2">
        <v>2.707567443433741E-4</v>
      </c>
      <c r="E224" s="8" t="s">
        <v>893</v>
      </c>
      <c r="F224" s="9" t="s">
        <v>15</v>
      </c>
      <c r="G224" s="9" t="s">
        <v>16</v>
      </c>
      <c r="H224" s="9" t="s">
        <v>16</v>
      </c>
      <c r="I224" s="9"/>
      <c r="J224" s="9"/>
      <c r="K224" s="9"/>
    </row>
    <row r="225" hidden="1">
      <c r="A225" s="3" t="s">
        <v>894</v>
      </c>
      <c r="B225" s="2" t="s">
        <v>895</v>
      </c>
      <c r="C225" s="3" t="s">
        <v>896</v>
      </c>
      <c r="D225" s="2">
        <v>2.707567443433741E-4</v>
      </c>
      <c r="E225" s="8" t="s">
        <v>897</v>
      </c>
      <c r="F225" s="9" t="s">
        <v>15</v>
      </c>
      <c r="G225" s="9" t="s">
        <v>16</v>
      </c>
      <c r="H225" s="9" t="s">
        <v>16</v>
      </c>
      <c r="I225" s="9"/>
      <c r="J225" s="9"/>
      <c r="K225" s="9"/>
    </row>
    <row r="226" hidden="1">
      <c r="A226" s="3" t="s">
        <v>898</v>
      </c>
      <c r="B226" s="2" t="s">
        <v>899</v>
      </c>
      <c r="C226" s="3" t="s">
        <v>900</v>
      </c>
      <c r="D226" s="2">
        <v>2.707567443433741E-4</v>
      </c>
      <c r="E226" s="8" t="s">
        <v>901</v>
      </c>
      <c r="F226" s="9" t="s">
        <v>15</v>
      </c>
      <c r="G226" s="9" t="s">
        <v>16</v>
      </c>
      <c r="H226" s="9" t="s">
        <v>16</v>
      </c>
      <c r="I226" s="9"/>
      <c r="J226" s="9"/>
      <c r="K226" s="9"/>
    </row>
    <row r="227" hidden="1">
      <c r="A227" s="3" t="s">
        <v>902</v>
      </c>
      <c r="B227" s="2" t="s">
        <v>903</v>
      </c>
      <c r="C227" s="3" t="s">
        <v>904</v>
      </c>
      <c r="D227" s="2">
        <v>2.707567443433741E-4</v>
      </c>
      <c r="E227" s="8" t="s">
        <v>905</v>
      </c>
      <c r="F227" s="9" t="s">
        <v>15</v>
      </c>
      <c r="G227" s="9" t="s">
        <v>16</v>
      </c>
      <c r="H227" s="9" t="s">
        <v>16</v>
      </c>
      <c r="I227" s="9"/>
      <c r="J227" s="9"/>
      <c r="K227" s="9"/>
    </row>
    <row r="228" hidden="1">
      <c r="A228" s="3" t="s">
        <v>906</v>
      </c>
      <c r="B228" s="2" t="s">
        <v>907</v>
      </c>
      <c r="C228" s="3" t="s">
        <v>908</v>
      </c>
      <c r="D228" s="2">
        <v>2.707567443433741E-4</v>
      </c>
      <c r="E228" s="8" t="s">
        <v>909</v>
      </c>
      <c r="F228" s="9" t="s">
        <v>15</v>
      </c>
      <c r="G228" s="9" t="s">
        <v>16</v>
      </c>
      <c r="H228" s="9" t="s">
        <v>16</v>
      </c>
      <c r="I228" s="9"/>
      <c r="J228" s="9"/>
      <c r="K228" s="9"/>
    </row>
    <row r="229" hidden="1">
      <c r="A229" s="3" t="s">
        <v>910</v>
      </c>
      <c r="B229" s="2" t="s">
        <v>911</v>
      </c>
      <c r="C229" s="3" t="s">
        <v>912</v>
      </c>
      <c r="D229" s="2">
        <v>2.707567443433741E-4</v>
      </c>
      <c r="E229" s="8" t="s">
        <v>913</v>
      </c>
      <c r="F229" s="9" t="s">
        <v>15</v>
      </c>
      <c r="G229" s="9" t="s">
        <v>16</v>
      </c>
      <c r="H229" s="9" t="s">
        <v>16</v>
      </c>
      <c r="I229" s="9"/>
      <c r="J229" s="9"/>
      <c r="K229" s="9"/>
    </row>
    <row r="230" hidden="1">
      <c r="A230" s="3" t="s">
        <v>914</v>
      </c>
      <c r="B230" s="2" t="s">
        <v>915</v>
      </c>
      <c r="C230" s="3" t="s">
        <v>916</v>
      </c>
      <c r="D230" s="2">
        <v>2.707567443433741E-4</v>
      </c>
      <c r="E230" s="8" t="s">
        <v>917</v>
      </c>
      <c r="F230" s="9" t="s">
        <v>15</v>
      </c>
      <c r="G230" s="9" t="s">
        <v>16</v>
      </c>
      <c r="H230" s="9" t="s">
        <v>16</v>
      </c>
      <c r="I230" s="9"/>
      <c r="J230" s="9"/>
      <c r="K230" s="9"/>
    </row>
    <row r="231" hidden="1">
      <c r="A231" s="3" t="s">
        <v>918</v>
      </c>
      <c r="B231" s="2" t="s">
        <v>919</v>
      </c>
      <c r="C231" s="3" t="s">
        <v>920</v>
      </c>
      <c r="D231" s="2">
        <v>2.707567443433741E-4</v>
      </c>
      <c r="E231" s="8" t="s">
        <v>921</v>
      </c>
      <c r="F231" s="9" t="s">
        <v>15</v>
      </c>
      <c r="G231" s="9" t="s">
        <v>16</v>
      </c>
      <c r="H231" s="9" t="s">
        <v>16</v>
      </c>
      <c r="I231" s="9"/>
      <c r="J231" s="9"/>
      <c r="K231" s="9"/>
    </row>
    <row r="232" hidden="1">
      <c r="A232" s="3" t="s">
        <v>922</v>
      </c>
      <c r="B232" s="2" t="s">
        <v>923</v>
      </c>
      <c r="C232" s="3" t="s">
        <v>924</v>
      </c>
      <c r="D232" s="2">
        <v>2.707567443433741E-4</v>
      </c>
      <c r="E232" s="8" t="s">
        <v>925</v>
      </c>
      <c r="F232" s="9" t="s">
        <v>15</v>
      </c>
      <c r="G232" s="9" t="s">
        <v>16</v>
      </c>
      <c r="H232" s="9" t="s">
        <v>16</v>
      </c>
      <c r="I232" s="9"/>
      <c r="J232" s="9"/>
      <c r="K232" s="9"/>
    </row>
    <row r="233" hidden="1">
      <c r="A233" s="3" t="s">
        <v>926</v>
      </c>
      <c r="B233" s="2" t="s">
        <v>927</v>
      </c>
      <c r="C233" s="3" t="s">
        <v>928</v>
      </c>
      <c r="D233" s="2">
        <v>2.707567443433741E-4</v>
      </c>
      <c r="E233" s="8" t="s">
        <v>929</v>
      </c>
      <c r="F233" s="9" t="s">
        <v>15</v>
      </c>
      <c r="G233" s="9" t="s">
        <v>16</v>
      </c>
      <c r="H233" s="9" t="s">
        <v>16</v>
      </c>
      <c r="I233" s="9"/>
      <c r="J233" s="9"/>
      <c r="K233" s="9"/>
    </row>
    <row r="234" hidden="1">
      <c r="A234" s="3" t="s">
        <v>930</v>
      </c>
      <c r="B234" s="2" t="s">
        <v>931</v>
      </c>
      <c r="C234" s="3"/>
      <c r="D234" s="2">
        <v>2.707567443433741E-4</v>
      </c>
      <c r="E234" s="8" t="s">
        <v>932</v>
      </c>
      <c r="F234" s="9" t="s">
        <v>15</v>
      </c>
      <c r="G234" s="9" t="s">
        <v>16</v>
      </c>
      <c r="H234" s="9" t="s">
        <v>16</v>
      </c>
      <c r="I234" s="9"/>
      <c r="J234" s="9"/>
      <c r="K234" s="9"/>
    </row>
    <row r="235" hidden="1">
      <c r="A235" s="3" t="s">
        <v>933</v>
      </c>
      <c r="B235" s="2" t="s">
        <v>934</v>
      </c>
      <c r="C235" s="3" t="s">
        <v>935</v>
      </c>
      <c r="D235" s="2">
        <v>2.707567443433741E-4</v>
      </c>
      <c r="E235" s="8" t="s">
        <v>936</v>
      </c>
      <c r="F235" s="9" t="s">
        <v>15</v>
      </c>
      <c r="G235" s="9" t="s">
        <v>16</v>
      </c>
      <c r="H235" s="9" t="s">
        <v>16</v>
      </c>
      <c r="I235" s="9"/>
      <c r="J235" s="9"/>
      <c r="K235" s="9"/>
    </row>
    <row r="236" hidden="1">
      <c r="A236" s="3" t="s">
        <v>937</v>
      </c>
      <c r="B236" s="2" t="s">
        <v>938</v>
      </c>
      <c r="C236" s="3" t="s">
        <v>939</v>
      </c>
      <c r="D236" s="2">
        <v>2.707567443433741E-4</v>
      </c>
      <c r="E236" s="8" t="s">
        <v>940</v>
      </c>
      <c r="F236" s="9" t="s">
        <v>15</v>
      </c>
      <c r="G236" s="9" t="s">
        <v>16</v>
      </c>
      <c r="H236" s="9" t="s">
        <v>16</v>
      </c>
      <c r="I236" s="9"/>
      <c r="J236" s="9"/>
      <c r="K236" s="9"/>
    </row>
    <row r="237" hidden="1">
      <c r="A237" s="3" t="s">
        <v>941</v>
      </c>
      <c r="B237" s="2" t="s">
        <v>942</v>
      </c>
      <c r="C237" s="3" t="s">
        <v>943</v>
      </c>
      <c r="D237" s="2">
        <v>2.707567443433741E-4</v>
      </c>
      <c r="E237" s="8" t="s">
        <v>944</v>
      </c>
      <c r="F237" s="9" t="s">
        <v>15</v>
      </c>
      <c r="G237" s="9" t="s">
        <v>16</v>
      </c>
      <c r="H237" s="9" t="s">
        <v>16</v>
      </c>
      <c r="I237" s="9"/>
      <c r="J237" s="9"/>
      <c r="K237" s="9"/>
    </row>
    <row r="238" hidden="1">
      <c r="A238" s="3" t="s">
        <v>945</v>
      </c>
      <c r="B238" s="2" t="s">
        <v>946</v>
      </c>
      <c r="C238" s="3" t="s">
        <v>947</v>
      </c>
      <c r="D238" s="2">
        <v>2.707567443433741E-4</v>
      </c>
      <c r="E238" s="8" t="s">
        <v>948</v>
      </c>
      <c r="F238" s="9" t="s">
        <v>15</v>
      </c>
      <c r="G238" s="9" t="s">
        <v>16</v>
      </c>
      <c r="H238" s="9" t="s">
        <v>16</v>
      </c>
      <c r="I238" s="9"/>
      <c r="J238" s="9"/>
      <c r="K238" s="9"/>
    </row>
    <row r="239" hidden="1">
      <c r="A239" s="3" t="s">
        <v>949</v>
      </c>
      <c r="B239" s="2" t="s">
        <v>950</v>
      </c>
      <c r="C239" s="3" t="s">
        <v>951</v>
      </c>
      <c r="D239" s="2">
        <v>2.707567443433741E-4</v>
      </c>
      <c r="E239" s="8" t="s">
        <v>952</v>
      </c>
      <c r="F239" s="9" t="s">
        <v>15</v>
      </c>
      <c r="G239" s="9" t="s">
        <v>16</v>
      </c>
      <c r="H239" s="9" t="s">
        <v>16</v>
      </c>
      <c r="I239" s="9"/>
      <c r="J239" s="9"/>
      <c r="K239" s="9"/>
    </row>
    <row r="240" hidden="1">
      <c r="A240" s="3" t="s">
        <v>953</v>
      </c>
      <c r="B240" s="2" t="s">
        <v>954</v>
      </c>
      <c r="C240" s="3" t="s">
        <v>955</v>
      </c>
      <c r="D240" s="2">
        <v>2.707567443433741E-4</v>
      </c>
      <c r="E240" s="8" t="s">
        <v>956</v>
      </c>
      <c r="F240" s="9" t="s">
        <v>15</v>
      </c>
      <c r="G240" s="9" t="s">
        <v>16</v>
      </c>
      <c r="H240" s="9" t="s">
        <v>16</v>
      </c>
      <c r="I240" s="9"/>
      <c r="J240" s="9"/>
      <c r="K240" s="9"/>
    </row>
    <row r="241" hidden="1">
      <c r="A241" s="3" t="s">
        <v>957</v>
      </c>
      <c r="B241" s="2" t="s">
        <v>958</v>
      </c>
      <c r="C241" s="3" t="s">
        <v>959</v>
      </c>
      <c r="D241" s="2">
        <v>2.6436387676859993E-4</v>
      </c>
      <c r="E241" s="8" t="s">
        <v>960</v>
      </c>
      <c r="F241" s="9" t="s">
        <v>15</v>
      </c>
      <c r="G241" s="9" t="s">
        <v>16</v>
      </c>
      <c r="H241" s="9" t="s">
        <v>16</v>
      </c>
      <c r="I241" s="9"/>
      <c r="J241" s="9"/>
      <c r="K241" s="9"/>
    </row>
    <row r="242" hidden="1">
      <c r="A242" s="3" t="s">
        <v>961</v>
      </c>
      <c r="B242" s="2" t="s">
        <v>962</v>
      </c>
      <c r="C242" s="3" t="s">
        <v>963</v>
      </c>
      <c r="D242" s="2">
        <v>2.6436387676859993E-4</v>
      </c>
      <c r="E242" s="8" t="s">
        <v>964</v>
      </c>
      <c r="F242" s="9" t="s">
        <v>15</v>
      </c>
      <c r="G242" s="9" t="s">
        <v>16</v>
      </c>
      <c r="H242" s="9" t="s">
        <v>16</v>
      </c>
      <c r="I242" s="9"/>
      <c r="J242" s="9"/>
      <c r="K242" s="9"/>
    </row>
    <row r="243" hidden="1">
      <c r="A243" s="3" t="s">
        <v>965</v>
      </c>
      <c r="B243" s="2" t="s">
        <v>966</v>
      </c>
      <c r="C243" s="3" t="s">
        <v>967</v>
      </c>
      <c r="D243" s="2">
        <v>2.6436387676859993E-4</v>
      </c>
      <c r="E243" s="8" t="s">
        <v>968</v>
      </c>
      <c r="F243" s="9" t="s">
        <v>15</v>
      </c>
      <c r="G243" s="9" t="s">
        <v>16</v>
      </c>
      <c r="H243" s="9" t="s">
        <v>16</v>
      </c>
      <c r="I243" s="9"/>
      <c r="J243" s="9"/>
      <c r="K243" s="9"/>
    </row>
    <row r="244" hidden="1">
      <c r="A244" s="3" t="s">
        <v>969</v>
      </c>
      <c r="B244" s="2" t="s">
        <v>970</v>
      </c>
      <c r="C244" s="3" t="s">
        <v>971</v>
      </c>
      <c r="D244" s="2">
        <v>2.6436387676859993E-4</v>
      </c>
      <c r="E244" s="8" t="s">
        <v>972</v>
      </c>
      <c r="F244" s="9" t="s">
        <v>15</v>
      </c>
      <c r="G244" s="9" t="s">
        <v>16</v>
      </c>
      <c r="H244" s="9" t="s">
        <v>16</v>
      </c>
      <c r="I244" s="9"/>
      <c r="J244" s="9"/>
      <c r="K244" s="9"/>
    </row>
    <row r="245" hidden="1">
      <c r="A245" s="3" t="s">
        <v>973</v>
      </c>
      <c r="B245" s="2" t="s">
        <v>974</v>
      </c>
      <c r="C245" s="3" t="s">
        <v>975</v>
      </c>
      <c r="D245" s="2">
        <v>2.6436387676859993E-4</v>
      </c>
      <c r="E245" s="8" t="s">
        <v>976</v>
      </c>
      <c r="F245" s="9" t="s">
        <v>15</v>
      </c>
      <c r="G245" s="9" t="s">
        <v>16</v>
      </c>
      <c r="H245" s="9" t="s">
        <v>16</v>
      </c>
      <c r="I245" s="9"/>
      <c r="J245" s="9"/>
      <c r="K245" s="9"/>
    </row>
    <row r="246" hidden="1">
      <c r="A246" s="3" t="s">
        <v>977</v>
      </c>
      <c r="B246" s="2" t="s">
        <v>978</v>
      </c>
      <c r="C246" s="3" t="s">
        <v>979</v>
      </c>
      <c r="D246" s="2">
        <v>2.6436387676859993E-4</v>
      </c>
      <c r="E246" s="8" t="s">
        <v>980</v>
      </c>
      <c r="F246" s="9" t="s">
        <v>15</v>
      </c>
      <c r="G246" s="9" t="s">
        <v>16</v>
      </c>
      <c r="H246" s="9" t="s">
        <v>16</v>
      </c>
      <c r="I246" s="9"/>
      <c r="J246" s="9"/>
      <c r="K246" s="9"/>
    </row>
    <row r="247" hidden="1">
      <c r="A247" s="3" t="s">
        <v>981</v>
      </c>
      <c r="B247" s="2" t="s">
        <v>982</v>
      </c>
      <c r="C247" s="3" t="s">
        <v>983</v>
      </c>
      <c r="D247" s="2">
        <v>2.6436387676859993E-4</v>
      </c>
      <c r="E247" s="8" t="s">
        <v>984</v>
      </c>
      <c r="F247" s="9" t="s">
        <v>15</v>
      </c>
      <c r="G247" s="9" t="s">
        <v>16</v>
      </c>
      <c r="H247" s="9" t="s">
        <v>16</v>
      </c>
      <c r="I247" s="9"/>
      <c r="J247" s="9"/>
      <c r="K247" s="9"/>
    </row>
    <row r="248" hidden="1">
      <c r="A248" s="3" t="s">
        <v>985</v>
      </c>
      <c r="B248" s="2" t="s">
        <v>986</v>
      </c>
      <c r="C248" s="3" t="s">
        <v>987</v>
      </c>
      <c r="D248" s="2">
        <v>2.6436387676859993E-4</v>
      </c>
      <c r="E248" s="8" t="s">
        <v>988</v>
      </c>
      <c r="F248" s="9" t="s">
        <v>15</v>
      </c>
      <c r="G248" s="9" t="s">
        <v>16</v>
      </c>
      <c r="H248" s="9" t="s">
        <v>16</v>
      </c>
      <c r="I248" s="9"/>
      <c r="J248" s="9"/>
      <c r="K248" s="9"/>
    </row>
    <row r="249" hidden="1">
      <c r="A249" s="3" t="s">
        <v>989</v>
      </c>
      <c r="B249" s="2" t="s">
        <v>990</v>
      </c>
      <c r="C249" s="3" t="s">
        <v>991</v>
      </c>
      <c r="D249" s="2">
        <v>2.5963871377854953E-4</v>
      </c>
      <c r="E249" s="8" t="s">
        <v>992</v>
      </c>
      <c r="F249" s="9" t="s">
        <v>15</v>
      </c>
      <c r="G249" s="9" t="s">
        <v>16</v>
      </c>
      <c r="H249" s="9" t="s">
        <v>16</v>
      </c>
      <c r="I249" s="9"/>
      <c r="J249" s="9"/>
      <c r="K249" s="9"/>
    </row>
    <row r="250" hidden="1">
      <c r="A250" s="3" t="s">
        <v>993</v>
      </c>
      <c r="B250" s="2" t="s">
        <v>994</v>
      </c>
      <c r="C250" s="3" t="s">
        <v>995</v>
      </c>
      <c r="D250" s="2">
        <v>2.5963871377854953E-4</v>
      </c>
      <c r="E250" s="8" t="s">
        <v>996</v>
      </c>
      <c r="F250" s="9" t="s">
        <v>15</v>
      </c>
      <c r="G250" s="9" t="s">
        <v>16</v>
      </c>
      <c r="H250" s="9" t="s">
        <v>16</v>
      </c>
      <c r="I250" s="9"/>
      <c r="J250" s="9"/>
      <c r="K250" s="9"/>
    </row>
    <row r="251">
      <c r="A251" s="3" t="s">
        <v>997</v>
      </c>
      <c r="B251" s="2" t="s">
        <v>998</v>
      </c>
      <c r="C251" s="3" t="s">
        <v>999</v>
      </c>
      <c r="D251" s="2">
        <v>2.5963871377854953E-4</v>
      </c>
      <c r="E251" s="8" t="s">
        <v>1000</v>
      </c>
      <c r="F251" s="9" t="s">
        <v>16</v>
      </c>
      <c r="G251" s="9" t="s">
        <v>16</v>
      </c>
      <c r="H251" s="9" t="s">
        <v>16</v>
      </c>
      <c r="I251" s="9" t="s">
        <v>16</v>
      </c>
      <c r="J251" s="9" t="s">
        <v>16</v>
      </c>
      <c r="K251" s="9" t="s">
        <v>16</v>
      </c>
    </row>
    <row r="252" hidden="1">
      <c r="A252" s="3" t="s">
        <v>1001</v>
      </c>
      <c r="B252" s="2" t="s">
        <v>1002</v>
      </c>
      <c r="C252" s="3" t="s">
        <v>1003</v>
      </c>
      <c r="D252" s="2">
        <v>2.5797100919382584E-4</v>
      </c>
      <c r="E252" s="8" t="s">
        <v>1004</v>
      </c>
      <c r="F252" s="9" t="s">
        <v>15</v>
      </c>
      <c r="G252" s="9" t="s">
        <v>16</v>
      </c>
      <c r="H252" s="9" t="s">
        <v>16</v>
      </c>
      <c r="I252" s="9"/>
      <c r="J252" s="9"/>
      <c r="K252" s="9"/>
    </row>
    <row r="253" hidden="1">
      <c r="A253" s="3" t="s">
        <v>1005</v>
      </c>
      <c r="B253" s="2" t="s">
        <v>1006</v>
      </c>
      <c r="C253" s="3" t="s">
        <v>1007</v>
      </c>
      <c r="D253" s="2">
        <v>2.5797100919382584E-4</v>
      </c>
      <c r="E253" s="8" t="s">
        <v>1008</v>
      </c>
      <c r="F253" s="9" t="s">
        <v>15</v>
      </c>
      <c r="G253" s="9" t="s">
        <v>16</v>
      </c>
      <c r="H253" s="9" t="s">
        <v>16</v>
      </c>
      <c r="I253" s="9"/>
      <c r="J253" s="9"/>
      <c r="K253" s="9"/>
    </row>
    <row r="254" hidden="1">
      <c r="A254" s="3" t="s">
        <v>1009</v>
      </c>
      <c r="B254" s="2" t="s">
        <v>1010</v>
      </c>
      <c r="C254" s="3" t="s">
        <v>1011</v>
      </c>
      <c r="D254" s="2">
        <v>2.5797100919382584E-4</v>
      </c>
      <c r="E254" s="8" t="s">
        <v>1012</v>
      </c>
      <c r="F254" s="9" t="s">
        <v>15</v>
      </c>
      <c r="G254" s="9" t="s">
        <v>16</v>
      </c>
      <c r="H254" s="9" t="s">
        <v>16</v>
      </c>
      <c r="I254" s="9"/>
      <c r="J254" s="9"/>
      <c r="K254" s="9"/>
    </row>
    <row r="255" hidden="1">
      <c r="A255" s="3" t="s">
        <v>1013</v>
      </c>
      <c r="B255" s="2" t="s">
        <v>1014</v>
      </c>
      <c r="C255" s="3" t="s">
        <v>1015</v>
      </c>
      <c r="D255" s="2">
        <v>2.5797100919382584E-4</v>
      </c>
      <c r="E255" s="8" t="s">
        <v>1016</v>
      </c>
      <c r="F255" s="9" t="s">
        <v>15</v>
      </c>
      <c r="G255" s="9" t="s">
        <v>16</v>
      </c>
      <c r="H255" s="9" t="s">
        <v>16</v>
      </c>
      <c r="I255" s="9"/>
      <c r="J255" s="9"/>
      <c r="K255" s="9"/>
    </row>
    <row r="256" hidden="1">
      <c r="A256" s="3" t="s">
        <v>1017</v>
      </c>
      <c r="B256" s="2" t="s">
        <v>1018</v>
      </c>
      <c r="C256" s="3" t="s">
        <v>1019</v>
      </c>
      <c r="D256" s="2">
        <v>2.5797100919382584E-4</v>
      </c>
      <c r="E256" s="8" t="s">
        <v>1020</v>
      </c>
      <c r="F256" s="9" t="s">
        <v>15</v>
      </c>
      <c r="G256" s="9" t="s">
        <v>16</v>
      </c>
      <c r="H256" s="9" t="s">
        <v>16</v>
      </c>
      <c r="I256" s="9"/>
      <c r="J256" s="9"/>
      <c r="K256" s="9"/>
    </row>
    <row r="257" hidden="1">
      <c r="A257" s="3" t="s">
        <v>1021</v>
      </c>
      <c r="B257" s="2" t="s">
        <v>1022</v>
      </c>
      <c r="C257" s="3" t="s">
        <v>1023</v>
      </c>
      <c r="D257" s="2">
        <v>2.5797100919382584E-4</v>
      </c>
      <c r="E257" s="8" t="s">
        <v>1024</v>
      </c>
      <c r="F257" s="9" t="s">
        <v>15</v>
      </c>
      <c r="G257" s="9" t="s">
        <v>16</v>
      </c>
      <c r="H257" s="9" t="s">
        <v>16</v>
      </c>
      <c r="I257" s="9"/>
      <c r="J257" s="9"/>
      <c r="K257" s="9"/>
    </row>
    <row r="258" hidden="1">
      <c r="A258" s="3" t="s">
        <v>1025</v>
      </c>
      <c r="B258" s="2" t="s">
        <v>1026</v>
      </c>
      <c r="C258" s="3" t="s">
        <v>1027</v>
      </c>
      <c r="D258" s="2">
        <v>2.5797100919382584E-4</v>
      </c>
      <c r="E258" s="8" t="s">
        <v>1028</v>
      </c>
      <c r="F258" s="9" t="s">
        <v>15</v>
      </c>
      <c r="G258" s="9" t="s">
        <v>16</v>
      </c>
      <c r="H258" s="9" t="s">
        <v>16</v>
      </c>
      <c r="I258" s="9"/>
      <c r="J258" s="9"/>
      <c r="K258" s="9"/>
    </row>
    <row r="259" hidden="1">
      <c r="A259" s="3" t="s">
        <v>1029</v>
      </c>
      <c r="B259" s="2" t="s">
        <v>1030</v>
      </c>
      <c r="C259" s="3" t="s">
        <v>1031</v>
      </c>
      <c r="D259" s="2">
        <v>2.5797100919382584E-4</v>
      </c>
      <c r="E259" s="8" t="s">
        <v>1032</v>
      </c>
      <c r="F259" s="9" t="s">
        <v>15</v>
      </c>
      <c r="G259" s="9" t="s">
        <v>16</v>
      </c>
      <c r="H259" s="9" t="s">
        <v>16</v>
      </c>
      <c r="I259" s="9"/>
      <c r="J259" s="9"/>
      <c r="K259" s="9"/>
    </row>
    <row r="260" hidden="1">
      <c r="A260" s="3" t="s">
        <v>1033</v>
      </c>
      <c r="B260" s="2" t="s">
        <v>1034</v>
      </c>
      <c r="C260" s="3" t="s">
        <v>1035</v>
      </c>
      <c r="D260" s="2">
        <v>2.565503719549872E-4</v>
      </c>
      <c r="E260" s="8" t="s">
        <v>1036</v>
      </c>
      <c r="F260" s="9" t="s">
        <v>15</v>
      </c>
      <c r="G260" s="9" t="s">
        <v>16</v>
      </c>
      <c r="H260" s="9" t="s">
        <v>16</v>
      </c>
      <c r="I260" s="9"/>
      <c r="J260" s="9"/>
      <c r="K260" s="9"/>
    </row>
    <row r="261" hidden="1">
      <c r="A261" s="3" t="s">
        <v>1037</v>
      </c>
      <c r="B261" s="2" t="s">
        <v>1038</v>
      </c>
      <c r="C261" s="3" t="s">
        <v>1039</v>
      </c>
      <c r="D261" s="2">
        <v>2.5655037195498713E-4</v>
      </c>
      <c r="E261" s="8" t="s">
        <v>1040</v>
      </c>
      <c r="F261" s="9" t="s">
        <v>15</v>
      </c>
      <c r="G261" s="9" t="s">
        <v>16</v>
      </c>
      <c r="H261" s="9" t="s">
        <v>16</v>
      </c>
      <c r="I261" s="9"/>
      <c r="J261" s="9"/>
      <c r="K261" s="9"/>
    </row>
    <row r="262" hidden="1">
      <c r="A262" s="3" t="s">
        <v>1041</v>
      </c>
      <c r="B262" s="2" t="s">
        <v>1042</v>
      </c>
      <c r="C262" s="3" t="s">
        <v>1043</v>
      </c>
      <c r="D262" s="2">
        <v>2.5655037195498713E-4</v>
      </c>
      <c r="E262" s="8" t="s">
        <v>1044</v>
      </c>
      <c r="F262" s="9" t="s">
        <v>15</v>
      </c>
      <c r="G262" s="9" t="s">
        <v>16</v>
      </c>
      <c r="H262" s="9" t="s">
        <v>16</v>
      </c>
      <c r="I262" s="9"/>
      <c r="J262" s="9"/>
      <c r="K262" s="9"/>
    </row>
    <row r="263" hidden="1">
      <c r="A263" s="3" t="s">
        <v>1045</v>
      </c>
      <c r="B263" s="2" t="s">
        <v>1046</v>
      </c>
      <c r="C263" s="3" t="s">
        <v>1047</v>
      </c>
      <c r="D263" s="2">
        <v>2.560627390354411E-4</v>
      </c>
      <c r="E263" s="8" t="s">
        <v>1048</v>
      </c>
      <c r="F263" s="9" t="s">
        <v>15</v>
      </c>
      <c r="G263" s="9" t="s">
        <v>16</v>
      </c>
      <c r="H263" s="9" t="s">
        <v>16</v>
      </c>
      <c r="I263" s="9"/>
      <c r="J263" s="9"/>
      <c r="K263" s="9"/>
    </row>
    <row r="264" hidden="1">
      <c r="A264" s="3" t="s">
        <v>1049</v>
      </c>
      <c r="B264" s="2" t="s">
        <v>1050</v>
      </c>
      <c r="C264" s="3" t="s">
        <v>1051</v>
      </c>
      <c r="D264" s="2">
        <v>2.5350061105271416E-4</v>
      </c>
      <c r="E264" s="8" t="s">
        <v>1052</v>
      </c>
      <c r="F264" s="9" t="s">
        <v>15</v>
      </c>
      <c r="G264" s="9" t="s">
        <v>16</v>
      </c>
      <c r="H264" s="9" t="s">
        <v>16</v>
      </c>
      <c r="I264" s="9"/>
      <c r="J264" s="9"/>
      <c r="K264" s="9"/>
    </row>
    <row r="265" hidden="1">
      <c r="A265" s="3" t="s">
        <v>1053</v>
      </c>
      <c r="B265" s="2" t="s">
        <v>1054</v>
      </c>
      <c r="C265" s="3" t="s">
        <v>1055</v>
      </c>
      <c r="D265" s="2">
        <v>2.494471857607937E-4</v>
      </c>
      <c r="E265" s="8" t="s">
        <v>1056</v>
      </c>
      <c r="F265" s="9" t="s">
        <v>15</v>
      </c>
      <c r="G265" s="9" t="s">
        <v>16</v>
      </c>
      <c r="H265" s="9" t="s">
        <v>16</v>
      </c>
      <c r="I265" s="9"/>
      <c r="J265" s="9"/>
      <c r="K265" s="9"/>
    </row>
    <row r="266" hidden="1">
      <c r="A266" s="3" t="s">
        <v>1057</v>
      </c>
      <c r="B266" s="2" t="s">
        <v>1058</v>
      </c>
      <c r="C266" s="3" t="s">
        <v>1059</v>
      </c>
      <c r="D266" s="2">
        <v>2.494471857607937E-4</v>
      </c>
      <c r="E266" s="8" t="s">
        <v>1060</v>
      </c>
      <c r="F266" s="9" t="s">
        <v>15</v>
      </c>
      <c r="G266" s="9" t="s">
        <v>16</v>
      </c>
      <c r="H266" s="9" t="s">
        <v>16</v>
      </c>
      <c r="I266" s="9"/>
      <c r="J266" s="9"/>
      <c r="K266" s="9"/>
    </row>
    <row r="267" hidden="1">
      <c r="A267" s="3" t="s">
        <v>1061</v>
      </c>
      <c r="B267" s="2" t="s">
        <v>1062</v>
      </c>
      <c r="C267" s="3" t="s">
        <v>1063</v>
      </c>
      <c r="D267" s="2">
        <v>2.485206832135894E-4</v>
      </c>
      <c r="E267" s="8" t="s">
        <v>1064</v>
      </c>
      <c r="F267" s="9" t="s">
        <v>15</v>
      </c>
      <c r="G267" s="9" t="s">
        <v>16</v>
      </c>
      <c r="H267" s="9" t="s">
        <v>16</v>
      </c>
      <c r="I267" s="9"/>
      <c r="J267" s="9"/>
      <c r="K267" s="9"/>
    </row>
    <row r="268" hidden="1">
      <c r="A268" s="3" t="s">
        <v>1065</v>
      </c>
      <c r="B268" s="2" t="s">
        <v>1066</v>
      </c>
      <c r="C268" s="3" t="s">
        <v>1067</v>
      </c>
      <c r="D268" s="2">
        <v>2.485206832135894E-4</v>
      </c>
      <c r="E268" s="8" t="s">
        <v>1068</v>
      </c>
      <c r="F268" s="9" t="s">
        <v>15</v>
      </c>
      <c r="G268" s="9" t="s">
        <v>16</v>
      </c>
      <c r="H268" s="9" t="s">
        <v>16</v>
      </c>
      <c r="I268" s="9"/>
      <c r="J268" s="9"/>
      <c r="K268" s="9"/>
    </row>
    <row r="269" hidden="1">
      <c r="A269" s="3" t="s">
        <v>1069</v>
      </c>
      <c r="B269" s="2" t="s">
        <v>1070</v>
      </c>
      <c r="C269" s="3"/>
      <c r="D269" s="2">
        <v>2.485206832135894E-4</v>
      </c>
      <c r="E269" s="8" t="s">
        <v>1071</v>
      </c>
      <c r="F269" s="9" t="s">
        <v>15</v>
      </c>
      <c r="G269" s="9" t="s">
        <v>16</v>
      </c>
      <c r="H269" s="9" t="s">
        <v>16</v>
      </c>
      <c r="I269" s="9"/>
      <c r="J269" s="9"/>
      <c r="K269" s="9"/>
    </row>
    <row r="270" hidden="1">
      <c r="A270" s="3" t="s">
        <v>1072</v>
      </c>
      <c r="B270" s="2" t="s">
        <v>1073</v>
      </c>
      <c r="C270" s="3" t="s">
        <v>1074</v>
      </c>
      <c r="D270" s="2">
        <v>2.48026548521955E-4</v>
      </c>
      <c r="E270" s="8" t="s">
        <v>1075</v>
      </c>
      <c r="F270" s="9" t="s">
        <v>15</v>
      </c>
      <c r="G270" s="9" t="s">
        <v>16</v>
      </c>
      <c r="H270" s="9" t="s">
        <v>16</v>
      </c>
      <c r="I270" s="9"/>
      <c r="J270" s="9"/>
      <c r="K270" s="9"/>
    </row>
    <row r="271" hidden="1">
      <c r="A271" s="3" t="s">
        <v>1076</v>
      </c>
      <c r="B271" s="2" t="s">
        <v>1076</v>
      </c>
      <c r="C271" s="3" t="s">
        <v>1077</v>
      </c>
      <c r="D271" s="2">
        <v>2.4655374789625106E-4</v>
      </c>
      <c r="E271" s="8" t="s">
        <v>1078</v>
      </c>
      <c r="F271" s="9" t="s">
        <v>15</v>
      </c>
      <c r="G271" s="9" t="s">
        <v>16</v>
      </c>
      <c r="H271" s="9" t="s">
        <v>16</v>
      </c>
      <c r="I271" s="9"/>
      <c r="J271" s="9"/>
      <c r="K271" s="9"/>
    </row>
    <row r="272" hidden="1">
      <c r="A272" s="3" t="s">
        <v>1079</v>
      </c>
      <c r="B272" s="2" t="s">
        <v>1080</v>
      </c>
      <c r="C272" s="3" t="s">
        <v>1081</v>
      </c>
      <c r="D272" s="2">
        <v>2.4592755700157085E-4</v>
      </c>
      <c r="E272" s="8" t="s">
        <v>1082</v>
      </c>
      <c r="F272" s="9" t="s">
        <v>15</v>
      </c>
      <c r="G272" s="9" t="s">
        <v>16</v>
      </c>
      <c r="H272" s="9" t="s">
        <v>16</v>
      </c>
      <c r="I272" s="9"/>
      <c r="J272" s="9"/>
      <c r="K272" s="9"/>
    </row>
    <row r="273" hidden="1">
      <c r="A273" s="3" t="s">
        <v>1083</v>
      </c>
      <c r="B273" s="2" t="s">
        <v>1084</v>
      </c>
      <c r="C273" s="3" t="s">
        <v>1085</v>
      </c>
      <c r="D273" s="2">
        <v>2.451852740442776E-4</v>
      </c>
      <c r="E273" s="8" t="s">
        <v>1086</v>
      </c>
      <c r="F273" s="9" t="s">
        <v>15</v>
      </c>
      <c r="G273" s="9" t="s">
        <v>16</v>
      </c>
      <c r="H273" s="9" t="s">
        <v>16</v>
      </c>
      <c r="I273" s="9"/>
      <c r="J273" s="9"/>
      <c r="K273" s="9"/>
    </row>
    <row r="274" hidden="1">
      <c r="A274" s="3" t="s">
        <v>1087</v>
      </c>
      <c r="B274" s="2" t="s">
        <v>1088</v>
      </c>
      <c r="C274" s="3" t="s">
        <v>1089</v>
      </c>
      <c r="D274" s="2">
        <v>2.423439995666002E-4</v>
      </c>
      <c r="E274" s="8" t="s">
        <v>1090</v>
      </c>
      <c r="F274" s="9" t="s">
        <v>15</v>
      </c>
      <c r="G274" s="9" t="s">
        <v>16</v>
      </c>
      <c r="H274" s="9" t="s">
        <v>16</v>
      </c>
      <c r="I274" s="9"/>
      <c r="J274" s="9"/>
      <c r="K274" s="9"/>
    </row>
    <row r="275" hidden="1">
      <c r="A275" s="3" t="s">
        <v>1091</v>
      </c>
      <c r="B275" s="2" t="s">
        <v>1092</v>
      </c>
      <c r="C275" s="3" t="s">
        <v>1093</v>
      </c>
      <c r="D275" s="2">
        <v>2.4099101172008716E-4</v>
      </c>
      <c r="E275" s="8" t="s">
        <v>1094</v>
      </c>
      <c r="F275" s="9" t="s">
        <v>15</v>
      </c>
      <c r="G275" s="9" t="s">
        <v>16</v>
      </c>
      <c r="H275" s="9" t="s">
        <v>16</v>
      </c>
      <c r="I275" s="9"/>
      <c r="J275" s="9"/>
      <c r="K275" s="9"/>
    </row>
    <row r="276" hidden="1">
      <c r="A276" s="3" t="s">
        <v>1095</v>
      </c>
      <c r="B276" s="2" t="s">
        <v>1096</v>
      </c>
      <c r="C276" s="3" t="s">
        <v>1097</v>
      </c>
      <c r="D276" s="2">
        <v>2.396380238735485E-4</v>
      </c>
      <c r="E276" s="8" t="s">
        <v>1098</v>
      </c>
      <c r="F276" s="9" t="s">
        <v>15</v>
      </c>
      <c r="G276" s="9" t="s">
        <v>16</v>
      </c>
      <c r="H276" s="9" t="s">
        <v>16</v>
      </c>
      <c r="I276" s="9"/>
      <c r="J276" s="9"/>
      <c r="K276" s="9"/>
    </row>
    <row r="277" hidden="1">
      <c r="A277" s="3" t="s">
        <v>1099</v>
      </c>
      <c r="B277" s="2" t="s">
        <v>1100</v>
      </c>
      <c r="C277" s="3" t="s">
        <v>1101</v>
      </c>
      <c r="D277" s="2">
        <v>2.3808208785008414E-4</v>
      </c>
      <c r="E277" s="8" t="s">
        <v>1102</v>
      </c>
      <c r="F277" s="9" t="s">
        <v>15</v>
      </c>
      <c r="G277" s="9" t="s">
        <v>16</v>
      </c>
      <c r="H277" s="9" t="s">
        <v>16</v>
      </c>
      <c r="I277" s="9"/>
      <c r="J277" s="9"/>
      <c r="K277" s="9"/>
    </row>
    <row r="278" hidden="1">
      <c r="A278" s="3" t="s">
        <v>1103</v>
      </c>
      <c r="B278" s="2" t="s">
        <v>1104</v>
      </c>
      <c r="C278" s="3" t="s">
        <v>1105</v>
      </c>
      <c r="D278" s="2">
        <v>2.3740265264890045E-4</v>
      </c>
      <c r="E278" s="8" t="s">
        <v>1106</v>
      </c>
      <c r="F278" s="9" t="s">
        <v>15</v>
      </c>
      <c r="G278" s="9" t="s">
        <v>16</v>
      </c>
      <c r="H278" s="9" t="s">
        <v>16</v>
      </c>
      <c r="I278" s="9"/>
      <c r="J278" s="9"/>
      <c r="K278" s="9"/>
    </row>
    <row r="279" hidden="1">
      <c r="A279" s="3" t="s">
        <v>1107</v>
      </c>
      <c r="B279" s="2" t="s">
        <v>1108</v>
      </c>
      <c r="C279" s="3"/>
      <c r="D279" s="2">
        <v>2.3737176923066482E-4</v>
      </c>
      <c r="E279" s="8" t="s">
        <v>1109</v>
      </c>
      <c r="F279" s="9" t="s">
        <v>15</v>
      </c>
      <c r="G279" s="9" t="s">
        <v>16</v>
      </c>
      <c r="H279" s="9" t="s">
        <v>16</v>
      </c>
      <c r="I279" s="9"/>
      <c r="J279" s="9"/>
      <c r="K279" s="9"/>
    </row>
    <row r="280" hidden="1">
      <c r="A280" s="3" t="s">
        <v>1110</v>
      </c>
      <c r="B280" s="2" t="s">
        <v>1111</v>
      </c>
      <c r="C280" s="3" t="s">
        <v>1112</v>
      </c>
      <c r="D280" s="2">
        <v>2.3337229746149522E-4</v>
      </c>
      <c r="E280" s="8" t="s">
        <v>1113</v>
      </c>
      <c r="F280" s="9" t="s">
        <v>15</v>
      </c>
      <c r="G280" s="9" t="s">
        <v>16</v>
      </c>
      <c r="H280" s="9" t="s">
        <v>16</v>
      </c>
      <c r="I280" s="9"/>
      <c r="J280" s="9"/>
      <c r="K280" s="9"/>
    </row>
    <row r="281" hidden="1">
      <c r="A281" s="3" t="s">
        <v>1114</v>
      </c>
      <c r="B281" s="2" t="s">
        <v>1115</v>
      </c>
      <c r="C281" s="3" t="s">
        <v>1116</v>
      </c>
      <c r="D281" s="2">
        <v>2.281376271782133E-4</v>
      </c>
      <c r="E281" s="8" t="s">
        <v>1117</v>
      </c>
      <c r="F281" s="9" t="s">
        <v>15</v>
      </c>
      <c r="G281" s="9" t="s">
        <v>16</v>
      </c>
      <c r="H281" s="9" t="s">
        <v>16</v>
      </c>
      <c r="I281" s="9"/>
      <c r="J281" s="9"/>
      <c r="K281" s="9"/>
    </row>
    <row r="282" hidden="1">
      <c r="A282" s="3" t="s">
        <v>1118</v>
      </c>
      <c r="B282" s="2" t="s">
        <v>1119</v>
      </c>
      <c r="C282" s="3" t="s">
        <v>1120</v>
      </c>
      <c r="D282" s="2">
        <v>2.281376271782133E-4</v>
      </c>
      <c r="E282" s="8" t="s">
        <v>1121</v>
      </c>
      <c r="F282" s="9" t="s">
        <v>15</v>
      </c>
      <c r="G282" s="9" t="s">
        <v>16</v>
      </c>
      <c r="H282" s="9" t="s">
        <v>16</v>
      </c>
      <c r="I282" s="9"/>
      <c r="J282" s="9"/>
      <c r="K282" s="9"/>
    </row>
    <row r="283" hidden="1">
      <c r="A283" s="3" t="s">
        <v>1122</v>
      </c>
      <c r="B283" s="2" t="s">
        <v>1123</v>
      </c>
      <c r="C283" s="3" t="s">
        <v>1124</v>
      </c>
      <c r="D283" s="2">
        <v>2.281376271782133E-4</v>
      </c>
      <c r="E283" s="8" t="s">
        <v>1125</v>
      </c>
      <c r="F283" s="9" t="s">
        <v>15</v>
      </c>
      <c r="G283" s="9" t="s">
        <v>16</v>
      </c>
      <c r="H283" s="9" t="s">
        <v>16</v>
      </c>
      <c r="I283" s="9"/>
      <c r="J283" s="9"/>
      <c r="K283" s="9"/>
    </row>
    <row r="284" hidden="1">
      <c r="A284" s="3" t="s">
        <v>1126</v>
      </c>
      <c r="B284" s="2" t="s">
        <v>1127</v>
      </c>
      <c r="C284" s="3" t="s">
        <v>1128</v>
      </c>
      <c r="D284" s="2">
        <v>2.281376271782133E-4</v>
      </c>
      <c r="E284" s="8" t="s">
        <v>1129</v>
      </c>
      <c r="F284" s="9" t="s">
        <v>15</v>
      </c>
      <c r="G284" s="9" t="s">
        <v>16</v>
      </c>
      <c r="H284" s="9" t="s">
        <v>16</v>
      </c>
      <c r="I284" s="9"/>
      <c r="J284" s="9"/>
      <c r="K284" s="9"/>
    </row>
    <row r="285" hidden="1">
      <c r="A285" s="3" t="s">
        <v>1130</v>
      </c>
      <c r="B285" s="2" t="s">
        <v>1131</v>
      </c>
      <c r="C285" s="3" t="s">
        <v>1132</v>
      </c>
      <c r="D285" s="2">
        <v>2.281376271782133E-4</v>
      </c>
      <c r="E285" s="8" t="s">
        <v>1133</v>
      </c>
      <c r="F285" s="9" t="s">
        <v>16</v>
      </c>
      <c r="G285" s="9" t="s">
        <v>16</v>
      </c>
      <c r="H285" s="9" t="s">
        <v>16</v>
      </c>
      <c r="I285" s="9" t="s">
        <v>15</v>
      </c>
      <c r="J285" s="9" t="s">
        <v>16</v>
      </c>
      <c r="K285" s="9" t="s">
        <v>16</v>
      </c>
    </row>
    <row r="286" hidden="1">
      <c r="A286" s="3" t="s">
        <v>1134</v>
      </c>
      <c r="B286" s="2" t="s">
        <v>1135</v>
      </c>
      <c r="C286" s="3" t="s">
        <v>1136</v>
      </c>
      <c r="D286" s="2">
        <v>2.281376271782133E-4</v>
      </c>
      <c r="E286" s="8" t="s">
        <v>1137</v>
      </c>
      <c r="F286" s="9" t="s">
        <v>15</v>
      </c>
      <c r="G286" s="9" t="s">
        <v>16</v>
      </c>
      <c r="H286" s="9" t="s">
        <v>16</v>
      </c>
      <c r="I286" s="9"/>
      <c r="J286" s="9"/>
      <c r="K286" s="9"/>
    </row>
    <row r="287" hidden="1">
      <c r="A287" s="3" t="s">
        <v>1138</v>
      </c>
      <c r="B287" s="2" t="s">
        <v>1139</v>
      </c>
      <c r="C287" s="3" t="s">
        <v>1140</v>
      </c>
      <c r="D287" s="2">
        <v>2.281376271782133E-4</v>
      </c>
      <c r="E287" s="8" t="s">
        <v>1141</v>
      </c>
      <c r="F287" s="9" t="s">
        <v>15</v>
      </c>
      <c r="G287" s="9" t="s">
        <v>16</v>
      </c>
      <c r="H287" s="9" t="s">
        <v>16</v>
      </c>
      <c r="I287" s="9"/>
      <c r="J287" s="9"/>
      <c r="K287" s="9"/>
    </row>
    <row r="288" hidden="1">
      <c r="A288" s="3" t="s">
        <v>1142</v>
      </c>
      <c r="B288" s="2" t="s">
        <v>1143</v>
      </c>
      <c r="C288" s="3" t="s">
        <v>1144</v>
      </c>
      <c r="D288" s="2">
        <v>2.281376271782133E-4</v>
      </c>
      <c r="E288" s="8" t="s">
        <v>1145</v>
      </c>
      <c r="F288" s="9" t="s">
        <v>15</v>
      </c>
      <c r="G288" s="9" t="s">
        <v>16</v>
      </c>
      <c r="H288" s="9" t="s">
        <v>16</v>
      </c>
      <c r="I288" s="9"/>
      <c r="J288" s="9"/>
      <c r="K288" s="9"/>
    </row>
    <row r="289" hidden="1">
      <c r="A289" s="3" t="s">
        <v>1146</v>
      </c>
      <c r="B289" s="2" t="s">
        <v>1147</v>
      </c>
      <c r="C289" s="3" t="s">
        <v>1148</v>
      </c>
      <c r="D289" s="2">
        <v>2.281376271782133E-4</v>
      </c>
      <c r="E289" s="8" t="s">
        <v>1149</v>
      </c>
      <c r="F289" s="9" t="s">
        <v>15</v>
      </c>
      <c r="G289" s="9" t="s">
        <v>16</v>
      </c>
      <c r="H289" s="9" t="s">
        <v>16</v>
      </c>
      <c r="I289" s="9"/>
      <c r="J289" s="9"/>
      <c r="K289" s="9"/>
    </row>
    <row r="290" hidden="1">
      <c r="A290" s="3" t="s">
        <v>1150</v>
      </c>
      <c r="B290" s="2" t="s">
        <v>1151</v>
      </c>
      <c r="C290" s="3" t="s">
        <v>1152</v>
      </c>
      <c r="D290" s="2">
        <v>2.281376271782133E-4</v>
      </c>
      <c r="E290" s="8" t="s">
        <v>1153</v>
      </c>
      <c r="F290" s="9" t="s">
        <v>15</v>
      </c>
      <c r="G290" s="9" t="s">
        <v>16</v>
      </c>
      <c r="H290" s="9" t="s">
        <v>16</v>
      </c>
      <c r="I290" s="9"/>
      <c r="J290" s="9"/>
      <c r="K290" s="9"/>
    </row>
    <row r="291" hidden="1">
      <c r="A291" s="3" t="s">
        <v>1154</v>
      </c>
      <c r="B291" s="2" t="s">
        <v>1155</v>
      </c>
      <c r="C291" s="3" t="s">
        <v>1156</v>
      </c>
      <c r="D291" s="2">
        <v>2.281376271782133E-4</v>
      </c>
      <c r="E291" s="8" t="s">
        <v>1157</v>
      </c>
      <c r="F291" s="9" t="s">
        <v>15</v>
      </c>
      <c r="G291" s="9" t="s">
        <v>16</v>
      </c>
      <c r="H291" s="9" t="s">
        <v>16</v>
      </c>
      <c r="I291" s="9"/>
      <c r="J291" s="9"/>
      <c r="K291" s="9"/>
    </row>
    <row r="292" hidden="1">
      <c r="A292" s="3" t="s">
        <v>1158</v>
      </c>
      <c r="B292" s="2" t="s">
        <v>1159</v>
      </c>
      <c r="C292" s="3" t="s">
        <v>1160</v>
      </c>
      <c r="D292" s="2">
        <v>2.281376271782133E-4</v>
      </c>
      <c r="E292" s="8" t="s">
        <v>1161</v>
      </c>
      <c r="F292" s="9" t="s">
        <v>15</v>
      </c>
      <c r="G292" s="9" t="s">
        <v>16</v>
      </c>
      <c r="H292" s="9" t="s">
        <v>16</v>
      </c>
      <c r="I292" s="9"/>
      <c r="J292" s="9"/>
      <c r="K292" s="9"/>
    </row>
    <row r="293" hidden="1">
      <c r="A293" s="3" t="s">
        <v>1162</v>
      </c>
      <c r="B293" s="2" t="s">
        <v>1163</v>
      </c>
      <c r="C293" s="3" t="s">
        <v>1164</v>
      </c>
      <c r="D293" s="2">
        <v>2.281376271782133E-4</v>
      </c>
      <c r="E293" s="8" t="s">
        <v>1165</v>
      </c>
      <c r="F293" s="9" t="s">
        <v>15</v>
      </c>
      <c r="G293" s="9" t="s">
        <v>16</v>
      </c>
      <c r="H293" s="9" t="s">
        <v>16</v>
      </c>
      <c r="I293" s="9"/>
      <c r="J293" s="9"/>
      <c r="K293" s="9"/>
    </row>
    <row r="294" hidden="1">
      <c r="A294" s="3" t="s">
        <v>1166</v>
      </c>
      <c r="B294" s="2" t="s">
        <v>1167</v>
      </c>
      <c r="C294" s="3" t="s">
        <v>1168</v>
      </c>
      <c r="D294" s="2">
        <v>2.281376271782133E-4</v>
      </c>
      <c r="E294" s="8" t="s">
        <v>1169</v>
      </c>
      <c r="F294" s="9" t="s">
        <v>15</v>
      </c>
      <c r="G294" s="9" t="s">
        <v>16</v>
      </c>
      <c r="H294" s="9" t="s">
        <v>16</v>
      </c>
      <c r="I294" s="9"/>
      <c r="J294" s="9"/>
      <c r="K294" s="9"/>
    </row>
    <row r="295" hidden="1">
      <c r="A295" s="3" t="s">
        <v>1170</v>
      </c>
      <c r="B295" s="2" t="s">
        <v>1171</v>
      </c>
      <c r="C295" s="3" t="s">
        <v>1172</v>
      </c>
      <c r="D295" s="2">
        <v>2.281376271782133E-4</v>
      </c>
      <c r="E295" s="8" t="s">
        <v>1173</v>
      </c>
      <c r="F295" s="9" t="s">
        <v>15</v>
      </c>
      <c r="G295" s="9" t="s">
        <v>16</v>
      </c>
      <c r="H295" s="9" t="s">
        <v>16</v>
      </c>
      <c r="I295" s="9"/>
      <c r="J295" s="9"/>
      <c r="K295" s="9"/>
    </row>
    <row r="296" hidden="1">
      <c r="A296" s="3" t="s">
        <v>1174</v>
      </c>
      <c r="B296" s="2" t="s">
        <v>1175</v>
      </c>
      <c r="C296" s="3" t="s">
        <v>1176</v>
      </c>
      <c r="D296" s="2">
        <v>2.281376271782133E-4</v>
      </c>
      <c r="E296" s="8" t="s">
        <v>1177</v>
      </c>
      <c r="F296" s="9" t="s">
        <v>15</v>
      </c>
      <c r="G296" s="9" t="s">
        <v>16</v>
      </c>
      <c r="H296" s="9" t="s">
        <v>16</v>
      </c>
      <c r="I296" s="9"/>
      <c r="J296" s="9"/>
      <c r="K296" s="9"/>
    </row>
    <row r="297" hidden="1">
      <c r="A297" s="3" t="s">
        <v>1178</v>
      </c>
      <c r="B297" s="2" t="s">
        <v>1179</v>
      </c>
      <c r="C297" s="3" t="s">
        <v>1180</v>
      </c>
      <c r="D297" s="2">
        <v>2.2600667131995528E-4</v>
      </c>
      <c r="E297" s="8" t="s">
        <v>1181</v>
      </c>
      <c r="F297" s="9" t="s">
        <v>15</v>
      </c>
      <c r="G297" s="9" t="s">
        <v>16</v>
      </c>
      <c r="H297" s="9" t="s">
        <v>16</v>
      </c>
      <c r="I297" s="9"/>
      <c r="J297" s="9"/>
      <c r="K297" s="9"/>
    </row>
    <row r="298" hidden="1">
      <c r="A298" s="3" t="s">
        <v>1182</v>
      </c>
      <c r="B298" s="2" t="s">
        <v>1183</v>
      </c>
      <c r="C298" s="3" t="s">
        <v>1184</v>
      </c>
      <c r="D298" s="2">
        <v>2.2450343889281202E-4</v>
      </c>
      <c r="E298" s="8" t="s">
        <v>1185</v>
      </c>
      <c r="F298" s="9" t="s">
        <v>15</v>
      </c>
      <c r="G298" s="9" t="s">
        <v>16</v>
      </c>
      <c r="H298" s="9" t="s">
        <v>16</v>
      </c>
      <c r="I298" s="9"/>
      <c r="J298" s="9"/>
      <c r="K298" s="9"/>
    </row>
    <row r="299" hidden="1">
      <c r="A299" s="3" t="s">
        <v>1186</v>
      </c>
      <c r="B299" s="2" t="s">
        <v>1187</v>
      </c>
      <c r="C299" s="3" t="s">
        <v>1188</v>
      </c>
      <c r="D299" s="2">
        <v>2.23813948625226E-4</v>
      </c>
      <c r="E299" s="8" t="s">
        <v>1189</v>
      </c>
      <c r="F299" s="9" t="s">
        <v>15</v>
      </c>
      <c r="G299" s="9" t="s">
        <v>16</v>
      </c>
      <c r="H299" s="9" t="s">
        <v>16</v>
      </c>
      <c r="I299" s="9"/>
      <c r="J299" s="9"/>
      <c r="K299" s="9"/>
    </row>
    <row r="300" hidden="1">
      <c r="A300" s="3" t="s">
        <v>1190</v>
      </c>
      <c r="B300" s="2" t="s">
        <v>1191</v>
      </c>
      <c r="C300" s="3" t="s">
        <v>1192</v>
      </c>
      <c r="D300" s="2">
        <v>2.2371724907667705E-4</v>
      </c>
      <c r="E300" s="8" t="s">
        <v>1193</v>
      </c>
      <c r="F300" s="9" t="s">
        <v>15</v>
      </c>
      <c r="G300" s="9" t="s">
        <v>16</v>
      </c>
      <c r="H300" s="9" t="s">
        <v>16</v>
      </c>
      <c r="I300" s="9"/>
      <c r="J300" s="9"/>
      <c r="K300" s="9"/>
    </row>
    <row r="301" hidden="1">
      <c r="A301" s="3" t="s">
        <v>1194</v>
      </c>
      <c r="B301" s="2" t="s">
        <v>1195</v>
      </c>
      <c r="C301" s="3" t="s">
        <v>1196</v>
      </c>
      <c r="D301" s="2">
        <v>2.2371724907622206E-4</v>
      </c>
      <c r="E301" s="8" t="s">
        <v>1197</v>
      </c>
      <c r="F301" s="9" t="s">
        <v>15</v>
      </c>
      <c r="G301" s="9" t="s">
        <v>16</v>
      </c>
      <c r="H301" s="9" t="s">
        <v>16</v>
      </c>
      <c r="I301" s="9"/>
      <c r="J301" s="9"/>
      <c r="K301" s="9"/>
    </row>
    <row r="302" hidden="1">
      <c r="A302" s="3" t="s">
        <v>1198</v>
      </c>
      <c r="B302" s="2" t="s">
        <v>1199</v>
      </c>
      <c r="C302" s="3" t="s">
        <v>1200</v>
      </c>
      <c r="D302" s="2">
        <v>2.217447596034392E-4</v>
      </c>
      <c r="E302" s="8" t="s">
        <v>1201</v>
      </c>
      <c r="F302" s="9" t="s">
        <v>15</v>
      </c>
      <c r="G302" s="9" t="s">
        <v>16</v>
      </c>
      <c r="H302" s="9" t="s">
        <v>16</v>
      </c>
      <c r="I302" s="9"/>
      <c r="J302" s="9"/>
      <c r="K302" s="9"/>
    </row>
    <row r="303" hidden="1">
      <c r="A303" s="3" t="s">
        <v>1202</v>
      </c>
      <c r="B303" s="2" t="s">
        <v>1203</v>
      </c>
      <c r="C303" s="3" t="s">
        <v>1204</v>
      </c>
      <c r="D303" s="2">
        <v>2.217447596034392E-4</v>
      </c>
      <c r="E303" s="8" t="s">
        <v>1205</v>
      </c>
      <c r="F303" s="9" t="s">
        <v>15</v>
      </c>
      <c r="G303" s="9" t="s">
        <v>16</v>
      </c>
      <c r="H303" s="9" t="s">
        <v>16</v>
      </c>
      <c r="I303" s="9"/>
      <c r="J303" s="9"/>
      <c r="K303" s="9"/>
    </row>
    <row r="304" hidden="1">
      <c r="A304" s="3" t="s">
        <v>1206</v>
      </c>
      <c r="B304" s="2" t="s">
        <v>1207</v>
      </c>
      <c r="C304" s="3" t="s">
        <v>1208</v>
      </c>
      <c r="D304" s="2">
        <v>2.217447596034392E-4</v>
      </c>
      <c r="E304" s="8" t="s">
        <v>1209</v>
      </c>
      <c r="F304" s="9" t="s">
        <v>15</v>
      </c>
      <c r="G304" s="9" t="s">
        <v>16</v>
      </c>
      <c r="H304" s="9" t="s">
        <v>16</v>
      </c>
      <c r="I304" s="9"/>
      <c r="J304" s="9"/>
      <c r="K304" s="9"/>
    </row>
    <row r="305" hidden="1">
      <c r="A305" s="3" t="s">
        <v>1210</v>
      </c>
      <c r="B305" s="2" t="s">
        <v>1211</v>
      </c>
      <c r="C305" s="3" t="s">
        <v>1212</v>
      </c>
      <c r="D305" s="2">
        <v>2.217447596034392E-4</v>
      </c>
      <c r="E305" s="8" t="s">
        <v>1213</v>
      </c>
      <c r="F305" s="9" t="s">
        <v>15</v>
      </c>
      <c r="G305" s="9" t="s">
        <v>16</v>
      </c>
      <c r="H305" s="9" t="s">
        <v>16</v>
      </c>
      <c r="I305" s="9"/>
      <c r="J305" s="9"/>
      <c r="K305" s="9"/>
    </row>
    <row r="306" hidden="1">
      <c r="A306" s="3" t="s">
        <v>1214</v>
      </c>
      <c r="B306" s="2" t="s">
        <v>1215</v>
      </c>
      <c r="C306" s="3" t="s">
        <v>1216</v>
      </c>
      <c r="D306" s="2">
        <v>2.217447596034392E-4</v>
      </c>
      <c r="E306" s="8" t="s">
        <v>1217</v>
      </c>
      <c r="F306" s="9" t="s">
        <v>15</v>
      </c>
      <c r="G306" s="9" t="s">
        <v>16</v>
      </c>
      <c r="H306" s="9" t="s">
        <v>16</v>
      </c>
      <c r="I306" s="9"/>
      <c r="J306" s="9"/>
      <c r="K306" s="9"/>
    </row>
    <row r="307" hidden="1">
      <c r="A307" s="3" t="s">
        <v>1218</v>
      </c>
      <c r="B307" s="2" t="s">
        <v>1219</v>
      </c>
      <c r="C307" s="3" t="s">
        <v>1220</v>
      </c>
      <c r="D307" s="2">
        <v>2.217447596034392E-4</v>
      </c>
      <c r="E307" s="8" t="s">
        <v>1221</v>
      </c>
      <c r="F307" s="9" t="s">
        <v>15</v>
      </c>
      <c r="G307" s="9" t="s">
        <v>16</v>
      </c>
      <c r="H307" s="9" t="s">
        <v>16</v>
      </c>
      <c r="I307" s="9"/>
      <c r="J307" s="9"/>
      <c r="K307" s="9"/>
    </row>
    <row r="308" hidden="1">
      <c r="A308" s="3" t="s">
        <v>1222</v>
      </c>
      <c r="B308" s="2" t="s">
        <v>1223</v>
      </c>
      <c r="C308" s="3" t="s">
        <v>1224</v>
      </c>
      <c r="D308" s="2">
        <v>2.2103444098401983E-4</v>
      </c>
      <c r="E308" s="8" t="s">
        <v>1225</v>
      </c>
      <c r="F308" s="9" t="s">
        <v>15</v>
      </c>
      <c r="G308" s="9" t="s">
        <v>16</v>
      </c>
      <c r="H308" s="9" t="s">
        <v>16</v>
      </c>
      <c r="I308" s="9"/>
      <c r="J308" s="9"/>
      <c r="K308" s="9"/>
    </row>
    <row r="309" hidden="1">
      <c r="A309" s="3" t="s">
        <v>1226</v>
      </c>
      <c r="B309" s="2" t="s">
        <v>1227</v>
      </c>
      <c r="C309" s="3" t="s">
        <v>1228</v>
      </c>
      <c r="D309" s="2">
        <v>2.1705665671527155E-4</v>
      </c>
      <c r="E309" s="8" t="s">
        <v>1229</v>
      </c>
      <c r="F309" s="9" t="s">
        <v>15</v>
      </c>
      <c r="G309" s="9" t="s">
        <v>16</v>
      </c>
      <c r="H309" s="9" t="s">
        <v>16</v>
      </c>
      <c r="I309" s="9"/>
      <c r="J309" s="9"/>
      <c r="K309" s="9"/>
    </row>
    <row r="310" hidden="1">
      <c r="A310" s="3" t="s">
        <v>1230</v>
      </c>
      <c r="B310" s="2" t="s">
        <v>1231</v>
      </c>
      <c r="C310" s="3" t="s">
        <v>1232</v>
      </c>
      <c r="D310" s="2">
        <v>2.1474304749773425E-4</v>
      </c>
      <c r="E310" s="8" t="s">
        <v>1233</v>
      </c>
      <c r="F310" s="9" t="s">
        <v>15</v>
      </c>
      <c r="G310" s="9" t="s">
        <v>16</v>
      </c>
      <c r="H310" s="9" t="s">
        <v>16</v>
      </c>
      <c r="I310" s="9"/>
      <c r="J310" s="9"/>
      <c r="K310" s="9"/>
    </row>
    <row r="311" hidden="1">
      <c r="A311" s="3" t="s">
        <v>1234</v>
      </c>
      <c r="B311" s="2" t="s">
        <v>1235</v>
      </c>
      <c r="C311" s="3" t="s">
        <v>1236</v>
      </c>
      <c r="D311" s="2">
        <v>2.139312547898264E-4</v>
      </c>
      <c r="E311" s="8" t="s">
        <v>1237</v>
      </c>
      <c r="F311" s="9" t="s">
        <v>15</v>
      </c>
      <c r="G311" s="9" t="s">
        <v>16</v>
      </c>
      <c r="H311" s="9" t="s">
        <v>16</v>
      </c>
      <c r="I311" s="9"/>
      <c r="J311" s="9"/>
      <c r="K311" s="9"/>
    </row>
    <row r="312" hidden="1">
      <c r="A312" s="3" t="s">
        <v>1238</v>
      </c>
      <c r="B312" s="2" t="s">
        <v>1239</v>
      </c>
      <c r="C312" s="3" t="s">
        <v>1240</v>
      </c>
      <c r="D312" s="2">
        <v>2.139312547898264E-4</v>
      </c>
      <c r="E312" s="8" t="s">
        <v>1241</v>
      </c>
      <c r="F312" s="9" t="s">
        <v>15</v>
      </c>
      <c r="G312" s="9" t="s">
        <v>16</v>
      </c>
      <c r="H312" s="9" t="s">
        <v>16</v>
      </c>
      <c r="I312" s="9"/>
      <c r="J312" s="9"/>
      <c r="K312" s="9"/>
    </row>
    <row r="313" hidden="1">
      <c r="A313" s="3" t="s">
        <v>1242</v>
      </c>
      <c r="B313" s="2" t="s">
        <v>1243</v>
      </c>
      <c r="C313" s="3" t="s">
        <v>1244</v>
      </c>
      <c r="D313" s="2">
        <v>2.139312547898264E-4</v>
      </c>
      <c r="E313" s="8" t="s">
        <v>1245</v>
      </c>
      <c r="F313" s="9" t="s">
        <v>15</v>
      </c>
      <c r="G313" s="9" t="s">
        <v>16</v>
      </c>
      <c r="H313" s="9" t="s">
        <v>16</v>
      </c>
      <c r="I313" s="9"/>
      <c r="J313" s="9"/>
      <c r="K313" s="9"/>
    </row>
    <row r="314" hidden="1">
      <c r="A314" s="3" t="s">
        <v>1246</v>
      </c>
      <c r="B314" s="2" t="s">
        <v>1247</v>
      </c>
      <c r="C314" s="3" t="s">
        <v>1248</v>
      </c>
      <c r="D314" s="2">
        <v>2.139312547898264E-4</v>
      </c>
      <c r="E314" s="8" t="s">
        <v>1249</v>
      </c>
      <c r="F314" s="9" t="s">
        <v>15</v>
      </c>
      <c r="G314" s="9" t="s">
        <v>16</v>
      </c>
      <c r="H314" s="9" t="s">
        <v>16</v>
      </c>
      <c r="I314" s="9"/>
      <c r="J314" s="9"/>
      <c r="K314" s="9"/>
    </row>
    <row r="315" hidden="1">
      <c r="A315" s="3" t="s">
        <v>1250</v>
      </c>
      <c r="B315" s="2" t="s">
        <v>1251</v>
      </c>
      <c r="C315" s="3" t="s">
        <v>1252</v>
      </c>
      <c r="D315" s="2">
        <v>2.139312547898264E-4</v>
      </c>
      <c r="E315" s="8" t="s">
        <v>1253</v>
      </c>
      <c r="F315" s="9" t="s">
        <v>15</v>
      </c>
      <c r="G315" s="9" t="s">
        <v>16</v>
      </c>
      <c r="H315" s="9" t="s">
        <v>16</v>
      </c>
      <c r="I315" s="9"/>
      <c r="J315" s="9"/>
      <c r="K315" s="9"/>
    </row>
    <row r="316" hidden="1">
      <c r="A316" s="3" t="s">
        <v>1254</v>
      </c>
      <c r="B316" s="2" t="s">
        <v>1255</v>
      </c>
      <c r="C316" s="3" t="s">
        <v>1256</v>
      </c>
      <c r="D316" s="2">
        <v>2.1257826694331334E-4</v>
      </c>
      <c r="E316" s="8" t="s">
        <v>1257</v>
      </c>
      <c r="F316" s="9" t="s">
        <v>15</v>
      </c>
      <c r="G316" s="9" t="s">
        <v>16</v>
      </c>
      <c r="H316" s="9" t="s">
        <v>16</v>
      </c>
      <c r="I316" s="9"/>
      <c r="J316" s="9"/>
      <c r="K316" s="9"/>
    </row>
    <row r="317" hidden="1">
      <c r="A317" s="3" t="s">
        <v>1258</v>
      </c>
      <c r="B317" s="2" t="s">
        <v>1259</v>
      </c>
      <c r="C317" s="3" t="s">
        <v>1260</v>
      </c>
      <c r="D317" s="2">
        <v>2.1180029893156838E-4</v>
      </c>
      <c r="E317" s="8" t="s">
        <v>1261</v>
      </c>
      <c r="F317" s="9" t="s">
        <v>15</v>
      </c>
      <c r="G317" s="9" t="s">
        <v>16</v>
      </c>
      <c r="H317" s="9" t="s">
        <v>16</v>
      </c>
      <c r="I317" s="9"/>
      <c r="J317" s="9"/>
      <c r="K317" s="9"/>
    </row>
    <row r="318">
      <c r="A318" s="3" t="s">
        <v>1262</v>
      </c>
      <c r="B318" s="2" t="s">
        <v>1263</v>
      </c>
      <c r="C318" s="3"/>
      <c r="D318" s="2">
        <v>2.1180029893156838E-4</v>
      </c>
      <c r="E318" s="8" t="s">
        <v>1264</v>
      </c>
      <c r="F318" s="9" t="s">
        <v>16</v>
      </c>
      <c r="G318" s="9" t="s">
        <v>16</v>
      </c>
      <c r="H318" s="9" t="s">
        <v>16</v>
      </c>
      <c r="I318" s="9" t="s">
        <v>16</v>
      </c>
      <c r="J318" s="9" t="s">
        <v>16</v>
      </c>
      <c r="K318" s="9" t="s">
        <v>16</v>
      </c>
    </row>
    <row r="319" hidden="1">
      <c r="A319" s="3" t="s">
        <v>1265</v>
      </c>
      <c r="B319" s="2" t="s">
        <v>1266</v>
      </c>
      <c r="C319" s="3" t="s">
        <v>1267</v>
      </c>
      <c r="D319" s="2">
        <v>2.0966934307331032E-4</v>
      </c>
      <c r="E319" s="8" t="s">
        <v>1268</v>
      </c>
      <c r="F319" s="9" t="s">
        <v>15</v>
      </c>
      <c r="G319" s="9" t="s">
        <v>16</v>
      </c>
      <c r="H319" s="9" t="s">
        <v>16</v>
      </c>
      <c r="I319" s="9"/>
      <c r="J319" s="9"/>
      <c r="K319" s="9"/>
    </row>
    <row r="320" hidden="1">
      <c r="A320" s="3" t="s">
        <v>1269</v>
      </c>
      <c r="B320" s="2" t="s">
        <v>1270</v>
      </c>
      <c r="C320" s="3" t="s">
        <v>1271</v>
      </c>
      <c r="D320" s="2">
        <v>2.0966934307331032E-4</v>
      </c>
      <c r="E320" s="8" t="s">
        <v>1272</v>
      </c>
      <c r="F320" s="9" t="s">
        <v>15</v>
      </c>
      <c r="G320" s="9" t="s">
        <v>16</v>
      </c>
      <c r="H320" s="9" t="s">
        <v>16</v>
      </c>
      <c r="I320" s="9"/>
      <c r="J320" s="9"/>
      <c r="K320" s="9"/>
    </row>
    <row r="321" hidden="1">
      <c r="A321" s="3" t="s">
        <v>1273</v>
      </c>
      <c r="B321" s="2" t="s">
        <v>1274</v>
      </c>
      <c r="C321" s="3" t="s">
        <v>1275</v>
      </c>
      <c r="D321" s="2">
        <v>2.0849366649519275E-4</v>
      </c>
      <c r="E321" s="8" t="s">
        <v>1276</v>
      </c>
      <c r="F321" s="9" t="s">
        <v>15</v>
      </c>
      <c r="G321" s="9" t="s">
        <v>16</v>
      </c>
      <c r="H321" s="9" t="s">
        <v>16</v>
      </c>
      <c r="I321" s="9"/>
      <c r="J321" s="9"/>
      <c r="K321" s="9"/>
    </row>
    <row r="322" hidden="1">
      <c r="A322" s="3" t="s">
        <v>1277</v>
      </c>
      <c r="B322" s="2" t="s">
        <v>1278</v>
      </c>
      <c r="C322" s="3" t="s">
        <v>1279</v>
      </c>
      <c r="D322" s="2">
        <v>2.07984401231897E-4</v>
      </c>
      <c r="E322" s="8" t="s">
        <v>1280</v>
      </c>
      <c r="F322" s="9" t="s">
        <v>15</v>
      </c>
      <c r="G322" s="9" t="s">
        <v>16</v>
      </c>
      <c r="H322" s="9" t="s">
        <v>16</v>
      </c>
      <c r="I322" s="9"/>
      <c r="J322" s="9"/>
      <c r="K322" s="9"/>
    </row>
    <row r="323" hidden="1">
      <c r="A323" s="3" t="s">
        <v>1281</v>
      </c>
      <c r="B323" s="2" t="s">
        <v>1282</v>
      </c>
      <c r="C323" s="3" t="s">
        <v>1283</v>
      </c>
      <c r="D323" s="2">
        <v>2.0682806859563294E-4</v>
      </c>
      <c r="E323" s="8" t="s">
        <v>1284</v>
      </c>
      <c r="F323" s="9" t="s">
        <v>15</v>
      </c>
      <c r="G323" s="9" t="s">
        <v>16</v>
      </c>
      <c r="H323" s="9" t="s">
        <v>16</v>
      </c>
      <c r="I323" s="9"/>
      <c r="J323" s="9"/>
      <c r="K323" s="9"/>
    </row>
    <row r="324" hidden="1">
      <c r="A324" s="3" t="s">
        <v>1285</v>
      </c>
      <c r="B324" s="2" t="s">
        <v>1286</v>
      </c>
      <c r="C324" s="3"/>
      <c r="D324" s="2">
        <v>2.0256615687911687E-4</v>
      </c>
      <c r="E324" s="8" t="s">
        <v>1287</v>
      </c>
      <c r="F324" s="9" t="s">
        <v>15</v>
      </c>
      <c r="G324" s="9" t="s">
        <v>16</v>
      </c>
      <c r="H324" s="9" t="s">
        <v>16</v>
      </c>
      <c r="I324" s="9"/>
      <c r="J324" s="9"/>
      <c r="K324" s="9"/>
    </row>
    <row r="325" hidden="1">
      <c r="A325" s="3" t="s">
        <v>1288</v>
      </c>
      <c r="B325" s="2" t="s">
        <v>1289</v>
      </c>
      <c r="C325" s="3" t="s">
        <v>1290</v>
      </c>
      <c r="D325" s="2">
        <v>1.9972488240143952E-4</v>
      </c>
      <c r="E325" s="8" t="s">
        <v>1291</v>
      </c>
      <c r="F325" s="9" t="s">
        <v>15</v>
      </c>
      <c r="G325" s="9" t="s">
        <v>16</v>
      </c>
      <c r="H325" s="9" t="s">
        <v>16</v>
      </c>
      <c r="I325" s="9"/>
      <c r="J325" s="9"/>
      <c r="K325" s="9"/>
    </row>
    <row r="326" hidden="1">
      <c r="A326" s="3" t="s">
        <v>1292</v>
      </c>
      <c r="B326" s="2" t="s">
        <v>1293</v>
      </c>
      <c r="C326" s="3" t="s">
        <v>1294</v>
      </c>
      <c r="D326" s="2">
        <v>1.9946350210386658E-4</v>
      </c>
      <c r="E326" s="8" t="s">
        <v>1295</v>
      </c>
      <c r="F326" s="9" t="s">
        <v>15</v>
      </c>
      <c r="G326" s="9" t="s">
        <v>16</v>
      </c>
      <c r="H326" s="9" t="s">
        <v>16</v>
      </c>
      <c r="I326" s="9"/>
      <c r="J326" s="9"/>
      <c r="K326" s="9"/>
    </row>
    <row r="327" hidden="1">
      <c r="A327" s="3" t="s">
        <v>1296</v>
      </c>
      <c r="B327" s="2" t="s">
        <v>1297</v>
      </c>
      <c r="C327" s="3" t="s">
        <v>1298</v>
      </c>
      <c r="D327" s="2">
        <v>1.865406790177121E-4</v>
      </c>
      <c r="E327" s="8" t="s">
        <v>1299</v>
      </c>
      <c r="F327" s="9" t="s">
        <v>15</v>
      </c>
      <c r="G327" s="9" t="s">
        <v>16</v>
      </c>
      <c r="H327" s="9" t="s">
        <v>16</v>
      </c>
      <c r="I327" s="9"/>
      <c r="J327" s="9"/>
      <c r="K327" s="9"/>
    </row>
    <row r="328" hidden="1">
      <c r="A328" s="3" t="s">
        <v>1300</v>
      </c>
      <c r="B328" s="2" t="s">
        <v>1301</v>
      </c>
      <c r="C328" s="3" t="s">
        <v>1302</v>
      </c>
      <c r="D328" s="2">
        <v>1.865406790177121E-4</v>
      </c>
      <c r="E328" s="8" t="s">
        <v>1303</v>
      </c>
      <c r="F328" s="9" t="s">
        <v>15</v>
      </c>
      <c r="G328" s="9" t="s">
        <v>16</v>
      </c>
      <c r="H328" s="9" t="s">
        <v>16</v>
      </c>
      <c r="I328" s="9"/>
      <c r="J328" s="9"/>
      <c r="K328" s="9"/>
    </row>
    <row r="329" hidden="1">
      <c r="A329" s="3" t="s">
        <v>1304</v>
      </c>
      <c r="B329" s="2" t="s">
        <v>1305</v>
      </c>
      <c r="C329" s="3" t="s">
        <v>1306</v>
      </c>
      <c r="D329" s="2">
        <v>1.865406790177121E-4</v>
      </c>
      <c r="E329" s="8" t="s">
        <v>1307</v>
      </c>
      <c r="F329" s="9" t="s">
        <v>15</v>
      </c>
      <c r="G329" s="9" t="s">
        <v>16</v>
      </c>
      <c r="H329" s="9" t="s">
        <v>16</v>
      </c>
      <c r="I329" s="9"/>
      <c r="J329" s="9"/>
      <c r="K329" s="9"/>
    </row>
    <row r="330" hidden="1">
      <c r="A330" s="3" t="s">
        <v>1308</v>
      </c>
      <c r="B330" s="2" t="s">
        <v>1309</v>
      </c>
      <c r="C330" s="3" t="s">
        <v>1310</v>
      </c>
      <c r="D330" s="2">
        <v>1.855185100130526E-4</v>
      </c>
      <c r="E330" s="8" t="s">
        <v>1261</v>
      </c>
      <c r="F330" s="9" t="s">
        <v>15</v>
      </c>
      <c r="G330" s="9" t="s">
        <v>16</v>
      </c>
      <c r="H330" s="9" t="s">
        <v>16</v>
      </c>
      <c r="I330" s="9"/>
      <c r="J330" s="9"/>
      <c r="K330" s="9"/>
    </row>
    <row r="331" hidden="1">
      <c r="A331" s="3" t="s">
        <v>1311</v>
      </c>
      <c r="B331" s="2" t="s">
        <v>1312</v>
      </c>
      <c r="C331" s="3" t="s">
        <v>1313</v>
      </c>
      <c r="D331" s="2">
        <v>1.855185100130526E-4</v>
      </c>
      <c r="E331" s="8" t="s">
        <v>1314</v>
      </c>
      <c r="F331" s="9" t="s">
        <v>15</v>
      </c>
      <c r="G331" s="9" t="s">
        <v>16</v>
      </c>
      <c r="H331" s="9" t="s">
        <v>16</v>
      </c>
      <c r="I331" s="9"/>
      <c r="J331" s="9"/>
      <c r="K331" s="9"/>
    </row>
    <row r="332" hidden="1">
      <c r="A332" s="3" t="s">
        <v>1315</v>
      </c>
      <c r="B332" s="2" t="s">
        <v>1316</v>
      </c>
      <c r="C332" s="3" t="s">
        <v>1317</v>
      </c>
      <c r="D332" s="2">
        <v>1.855185100130526E-4</v>
      </c>
      <c r="E332" s="8" t="s">
        <v>1318</v>
      </c>
      <c r="F332" s="9" t="s">
        <v>15</v>
      </c>
      <c r="G332" s="9" t="s">
        <v>16</v>
      </c>
      <c r="H332" s="9" t="s">
        <v>16</v>
      </c>
      <c r="I332" s="9"/>
      <c r="J332" s="9"/>
      <c r="K332" s="9"/>
    </row>
    <row r="333" hidden="1">
      <c r="A333" s="3" t="s">
        <v>1319</v>
      </c>
      <c r="B333" s="2" t="s">
        <v>1320</v>
      </c>
      <c r="C333" s="3" t="s">
        <v>1321</v>
      </c>
      <c r="D333" s="2">
        <v>1.855185100130526E-4</v>
      </c>
      <c r="E333" s="8" t="s">
        <v>1322</v>
      </c>
      <c r="F333" s="9" t="s">
        <v>15</v>
      </c>
      <c r="G333" s="9" t="s">
        <v>16</v>
      </c>
      <c r="H333" s="9" t="s">
        <v>16</v>
      </c>
      <c r="I333" s="9"/>
      <c r="J333" s="9"/>
      <c r="K333" s="9"/>
    </row>
    <row r="334" hidden="1">
      <c r="A334" s="3" t="s">
        <v>1323</v>
      </c>
      <c r="B334" s="2" t="s">
        <v>1324</v>
      </c>
      <c r="C334" s="3" t="s">
        <v>1325</v>
      </c>
      <c r="D334" s="2">
        <v>1.855185100130526E-4</v>
      </c>
      <c r="E334" s="8" t="s">
        <v>1326</v>
      </c>
      <c r="F334" s="9" t="s">
        <v>16</v>
      </c>
      <c r="G334" s="9" t="s">
        <v>16</v>
      </c>
      <c r="H334" s="9" t="s">
        <v>16</v>
      </c>
      <c r="I334" s="9" t="s">
        <v>15</v>
      </c>
      <c r="J334" s="9" t="s">
        <v>16</v>
      </c>
      <c r="K334" s="9" t="s">
        <v>16</v>
      </c>
    </row>
    <row r="335">
      <c r="A335" s="3" t="s">
        <v>1327</v>
      </c>
      <c r="B335" s="2" t="s">
        <v>1328</v>
      </c>
      <c r="C335" s="3" t="s">
        <v>1329</v>
      </c>
      <c r="D335" s="2">
        <v>1.855185100130526E-4</v>
      </c>
      <c r="E335" s="8" t="s">
        <v>1330</v>
      </c>
      <c r="F335" s="9" t="s">
        <v>16</v>
      </c>
      <c r="G335" s="9" t="s">
        <v>16</v>
      </c>
      <c r="H335" s="9" t="s">
        <v>16</v>
      </c>
      <c r="I335" s="9" t="s">
        <v>16</v>
      </c>
      <c r="J335" s="9" t="s">
        <v>16</v>
      </c>
      <c r="K335" s="9" t="s">
        <v>16</v>
      </c>
    </row>
    <row r="336" hidden="1">
      <c r="A336" s="3" t="s">
        <v>1331</v>
      </c>
      <c r="B336" s="2" t="s">
        <v>1332</v>
      </c>
      <c r="C336" s="3" t="s">
        <v>1333</v>
      </c>
      <c r="D336" s="2">
        <v>1.855185100130526E-4</v>
      </c>
      <c r="E336" s="8" t="s">
        <v>1334</v>
      </c>
      <c r="F336" s="9" t="s">
        <v>15</v>
      </c>
      <c r="G336" s="9" t="s">
        <v>16</v>
      </c>
      <c r="H336" s="9" t="s">
        <v>16</v>
      </c>
      <c r="I336" s="9"/>
      <c r="J336" s="9"/>
      <c r="K336" s="9"/>
    </row>
    <row r="337" hidden="1">
      <c r="A337" s="3" t="s">
        <v>1335</v>
      </c>
      <c r="B337" s="2" t="s">
        <v>1336</v>
      </c>
      <c r="C337" s="3" t="s">
        <v>1337</v>
      </c>
      <c r="D337" s="2">
        <v>1.855185100130526E-4</v>
      </c>
      <c r="E337" s="8" t="s">
        <v>1338</v>
      </c>
      <c r="F337" s="9" t="s">
        <v>15</v>
      </c>
      <c r="G337" s="9" t="s">
        <v>16</v>
      </c>
      <c r="H337" s="9" t="s">
        <v>16</v>
      </c>
      <c r="I337" s="9"/>
      <c r="J337" s="9"/>
      <c r="K337" s="9"/>
    </row>
    <row r="338" hidden="1">
      <c r="A338" s="3" t="s">
        <v>1339</v>
      </c>
      <c r="B338" s="2" t="s">
        <v>1340</v>
      </c>
      <c r="C338" s="3" t="s">
        <v>1341</v>
      </c>
      <c r="D338" s="2">
        <v>1.855185100130526E-4</v>
      </c>
      <c r="E338" s="8" t="s">
        <v>1342</v>
      </c>
      <c r="F338" s="9" t="s">
        <v>15</v>
      </c>
      <c r="G338" s="9" t="s">
        <v>16</v>
      </c>
      <c r="H338" s="9" t="s">
        <v>16</v>
      </c>
      <c r="I338" s="9"/>
      <c r="J338" s="9"/>
      <c r="K338" s="9"/>
    </row>
    <row r="339" hidden="1">
      <c r="A339" s="3" t="s">
        <v>1343</v>
      </c>
      <c r="B339" s="2" t="s">
        <v>1344</v>
      </c>
      <c r="C339" s="3" t="s">
        <v>1345</v>
      </c>
      <c r="D339" s="2">
        <v>1.855185100130526E-4</v>
      </c>
      <c r="E339" s="8" t="s">
        <v>1346</v>
      </c>
      <c r="F339" s="9" t="s">
        <v>15</v>
      </c>
      <c r="G339" s="9" t="s">
        <v>16</v>
      </c>
      <c r="H339" s="9" t="s">
        <v>16</v>
      </c>
      <c r="I339" s="9"/>
      <c r="J339" s="9"/>
      <c r="K339" s="9"/>
    </row>
    <row r="340" hidden="1">
      <c r="A340" s="3" t="s">
        <v>1347</v>
      </c>
      <c r="B340" s="2" t="s">
        <v>1348</v>
      </c>
      <c r="C340" s="3" t="s">
        <v>1349</v>
      </c>
      <c r="D340" s="2">
        <v>1.855185100130526E-4</v>
      </c>
      <c r="E340" s="8" t="s">
        <v>1350</v>
      </c>
      <c r="F340" s="9" t="s">
        <v>15</v>
      </c>
      <c r="G340" s="9" t="s">
        <v>16</v>
      </c>
      <c r="H340" s="9" t="s">
        <v>16</v>
      </c>
      <c r="I340" s="9"/>
      <c r="J340" s="9"/>
      <c r="K340" s="9"/>
    </row>
    <row r="341" hidden="1">
      <c r="A341" s="3" t="s">
        <v>1351</v>
      </c>
      <c r="B341" s="2" t="s">
        <v>1352</v>
      </c>
      <c r="C341" s="3" t="s">
        <v>1353</v>
      </c>
      <c r="D341" s="2">
        <v>1.855185100130526E-4</v>
      </c>
      <c r="E341" s="8" t="s">
        <v>1354</v>
      </c>
      <c r="F341" s="9" t="s">
        <v>15</v>
      </c>
      <c r="G341" s="9" t="s">
        <v>16</v>
      </c>
      <c r="H341" s="9" t="s">
        <v>16</v>
      </c>
      <c r="I341" s="9"/>
      <c r="J341" s="9"/>
      <c r="K341" s="9"/>
    </row>
    <row r="342" hidden="1">
      <c r="A342" s="3" t="s">
        <v>1355</v>
      </c>
      <c r="B342" s="2" t="s">
        <v>1356</v>
      </c>
      <c r="C342" s="3" t="s">
        <v>1357</v>
      </c>
      <c r="D342" s="2">
        <v>1.855185100130526E-4</v>
      </c>
      <c r="E342" s="8" t="s">
        <v>1358</v>
      </c>
      <c r="F342" s="9" t="s">
        <v>15</v>
      </c>
      <c r="G342" s="9" t="s">
        <v>16</v>
      </c>
      <c r="H342" s="9" t="s">
        <v>16</v>
      </c>
      <c r="I342" s="9"/>
      <c r="J342" s="9"/>
      <c r="K342" s="9"/>
    </row>
    <row r="343" hidden="1">
      <c r="A343" s="3" t="s">
        <v>1359</v>
      </c>
      <c r="B343" s="2" t="s">
        <v>1360</v>
      </c>
      <c r="C343" s="3" t="s">
        <v>1361</v>
      </c>
      <c r="D343" s="2">
        <v>1.855185100130526E-4</v>
      </c>
      <c r="E343" s="8" t="s">
        <v>1362</v>
      </c>
      <c r="F343" s="9" t="s">
        <v>15</v>
      </c>
      <c r="G343" s="9" t="s">
        <v>16</v>
      </c>
      <c r="H343" s="9" t="s">
        <v>16</v>
      </c>
      <c r="I343" s="9"/>
      <c r="J343" s="9"/>
      <c r="K343" s="9"/>
    </row>
    <row r="344" hidden="1">
      <c r="A344" s="3" t="s">
        <v>1363</v>
      </c>
      <c r="B344" s="2" t="s">
        <v>1364</v>
      </c>
      <c r="C344" s="3" t="s">
        <v>1365</v>
      </c>
      <c r="D344" s="2">
        <v>1.855185100130526E-4</v>
      </c>
      <c r="E344" s="8" t="s">
        <v>1366</v>
      </c>
      <c r="F344" s="9" t="s">
        <v>15</v>
      </c>
      <c r="G344" s="9" t="s">
        <v>16</v>
      </c>
      <c r="H344" s="9" t="s">
        <v>16</v>
      </c>
      <c r="I344" s="9"/>
      <c r="J344" s="9"/>
      <c r="K344" s="9"/>
    </row>
    <row r="345" hidden="1">
      <c r="A345" s="3" t="s">
        <v>1367</v>
      </c>
      <c r="B345" s="2" t="s">
        <v>1368</v>
      </c>
      <c r="C345" s="3" t="s">
        <v>1369</v>
      </c>
      <c r="D345" s="2">
        <v>1.855185100130526E-4</v>
      </c>
      <c r="E345" s="8" t="s">
        <v>1370</v>
      </c>
      <c r="F345" s="9" t="s">
        <v>15</v>
      </c>
      <c r="G345" s="9" t="s">
        <v>16</v>
      </c>
      <c r="H345" s="9" t="s">
        <v>16</v>
      </c>
      <c r="I345" s="9"/>
      <c r="J345" s="9"/>
      <c r="K345" s="9"/>
    </row>
    <row r="346" hidden="1">
      <c r="A346" s="3" t="s">
        <v>1371</v>
      </c>
      <c r="B346" s="2" t="s">
        <v>1372</v>
      </c>
      <c r="C346" s="3" t="s">
        <v>1373</v>
      </c>
      <c r="D346" s="2">
        <v>1.855185100130526E-4</v>
      </c>
      <c r="E346" s="8" t="s">
        <v>1374</v>
      </c>
      <c r="F346" s="9" t="s">
        <v>15</v>
      </c>
      <c r="G346" s="9" t="s">
        <v>16</v>
      </c>
      <c r="H346" s="9" t="s">
        <v>16</v>
      </c>
      <c r="I346" s="9"/>
      <c r="J346" s="9"/>
      <c r="K346" s="9"/>
    </row>
    <row r="347" hidden="1">
      <c r="A347" s="3" t="s">
        <v>1375</v>
      </c>
      <c r="B347" s="2" t="s">
        <v>1376</v>
      </c>
      <c r="C347" s="3" t="s">
        <v>1377</v>
      </c>
      <c r="D347" s="2">
        <v>1.855185100130526E-4</v>
      </c>
      <c r="E347" s="8" t="s">
        <v>1378</v>
      </c>
      <c r="F347" s="9" t="s">
        <v>15</v>
      </c>
      <c r="G347" s="9" t="s">
        <v>16</v>
      </c>
      <c r="H347" s="9" t="s">
        <v>16</v>
      </c>
      <c r="I347" s="9"/>
      <c r="J347" s="9"/>
      <c r="K347" s="9"/>
    </row>
    <row r="348" hidden="1">
      <c r="A348" s="3" t="s">
        <v>1379</v>
      </c>
      <c r="B348" s="2" t="s">
        <v>1380</v>
      </c>
      <c r="C348" s="3" t="s">
        <v>1381</v>
      </c>
      <c r="D348" s="2">
        <v>1.855185100130526E-4</v>
      </c>
      <c r="E348" s="8" t="s">
        <v>1382</v>
      </c>
      <c r="F348" s="9" t="s">
        <v>15</v>
      </c>
      <c r="G348" s="9" t="s">
        <v>16</v>
      </c>
      <c r="H348" s="9" t="s">
        <v>16</v>
      </c>
      <c r="I348" s="9"/>
      <c r="J348" s="9"/>
      <c r="K348" s="9"/>
    </row>
    <row r="349" hidden="1">
      <c r="A349" s="3" t="s">
        <v>1383</v>
      </c>
      <c r="B349" s="2" t="s">
        <v>1384</v>
      </c>
      <c r="C349" s="3" t="s">
        <v>1385</v>
      </c>
      <c r="D349" s="2">
        <v>1.855185100130526E-4</v>
      </c>
      <c r="E349" s="8" t="s">
        <v>1386</v>
      </c>
      <c r="F349" s="9" t="s">
        <v>15</v>
      </c>
      <c r="G349" s="9" t="s">
        <v>16</v>
      </c>
      <c r="H349" s="9" t="s">
        <v>16</v>
      </c>
      <c r="I349" s="9"/>
      <c r="J349" s="9"/>
      <c r="K349" s="9"/>
    </row>
    <row r="350" hidden="1">
      <c r="A350" s="3" t="s">
        <v>1387</v>
      </c>
      <c r="B350" s="2" t="s">
        <v>1388</v>
      </c>
      <c r="C350" s="3" t="s">
        <v>1389</v>
      </c>
      <c r="D350" s="2">
        <v>1.855185100130526E-4</v>
      </c>
      <c r="E350" s="8" t="s">
        <v>1390</v>
      </c>
      <c r="F350" s="9" t="s">
        <v>15</v>
      </c>
      <c r="G350" s="9" t="s">
        <v>16</v>
      </c>
      <c r="H350" s="9" t="s">
        <v>16</v>
      </c>
      <c r="I350" s="9"/>
      <c r="J350" s="9"/>
      <c r="K350" s="9"/>
    </row>
    <row r="351" hidden="1">
      <c r="A351" s="3" t="s">
        <v>1391</v>
      </c>
      <c r="B351" s="2" t="s">
        <v>1392</v>
      </c>
      <c r="C351" s="3" t="s">
        <v>1393</v>
      </c>
      <c r="D351" s="2">
        <v>1.855185100130526E-4</v>
      </c>
      <c r="E351" s="8" t="s">
        <v>1394</v>
      </c>
      <c r="F351" s="9" t="s">
        <v>15</v>
      </c>
      <c r="G351" s="9" t="s">
        <v>16</v>
      </c>
      <c r="H351" s="9" t="s">
        <v>16</v>
      </c>
      <c r="I351" s="9"/>
      <c r="J351" s="9"/>
      <c r="K351" s="9"/>
    </row>
    <row r="352" hidden="1">
      <c r="A352" s="3" t="s">
        <v>1395</v>
      </c>
      <c r="B352" s="2" t="s">
        <v>1395</v>
      </c>
      <c r="C352" s="3" t="s">
        <v>1396</v>
      </c>
      <c r="D352" s="2">
        <v>1.855185100130526E-4</v>
      </c>
      <c r="E352" s="8" t="s">
        <v>1397</v>
      </c>
      <c r="F352" s="9" t="s">
        <v>15</v>
      </c>
      <c r="G352" s="9" t="s">
        <v>16</v>
      </c>
      <c r="H352" s="9" t="s">
        <v>16</v>
      </c>
      <c r="I352" s="9"/>
      <c r="J352" s="9"/>
      <c r="K352" s="9"/>
    </row>
    <row r="353" hidden="1">
      <c r="A353" s="3" t="s">
        <v>1398</v>
      </c>
      <c r="B353" s="2" t="s">
        <v>1399</v>
      </c>
      <c r="C353" s="3" t="s">
        <v>1400</v>
      </c>
      <c r="D353" s="2">
        <v>1.855185100130526E-4</v>
      </c>
      <c r="E353" s="8" t="s">
        <v>1401</v>
      </c>
      <c r="F353" s="9" t="s">
        <v>15</v>
      </c>
      <c r="G353" s="9" t="s">
        <v>16</v>
      </c>
      <c r="H353" s="9" t="s">
        <v>16</v>
      </c>
      <c r="I353" s="9"/>
      <c r="J353" s="9"/>
      <c r="K353" s="9"/>
    </row>
    <row r="354" hidden="1">
      <c r="A354" s="3" t="s">
        <v>1402</v>
      </c>
      <c r="B354" s="2" t="s">
        <v>1403</v>
      </c>
      <c r="C354" s="3" t="s">
        <v>1404</v>
      </c>
      <c r="D354" s="2">
        <v>1.855185100130526E-4</v>
      </c>
      <c r="E354" s="8" t="s">
        <v>1405</v>
      </c>
      <c r="F354" s="9" t="s">
        <v>15</v>
      </c>
      <c r="G354" s="9" t="s">
        <v>16</v>
      </c>
      <c r="H354" s="9" t="s">
        <v>16</v>
      </c>
      <c r="I354" s="9"/>
      <c r="J354" s="9"/>
      <c r="K354" s="9"/>
    </row>
    <row r="355" hidden="1">
      <c r="A355" s="3" t="s">
        <v>1406</v>
      </c>
      <c r="B355" s="2" t="s">
        <v>1407</v>
      </c>
      <c r="C355" s="3" t="s">
        <v>1408</v>
      </c>
      <c r="D355" s="2">
        <v>1.855185100130526E-4</v>
      </c>
      <c r="E355" s="8" t="s">
        <v>1409</v>
      </c>
      <c r="F355" s="9" t="s">
        <v>15</v>
      </c>
      <c r="G355" s="9" t="s">
        <v>16</v>
      </c>
      <c r="H355" s="9" t="s">
        <v>16</v>
      </c>
      <c r="I355" s="9"/>
      <c r="J355" s="9"/>
      <c r="K355" s="9"/>
    </row>
    <row r="356" hidden="1">
      <c r="A356" s="3" t="s">
        <v>1410</v>
      </c>
      <c r="B356" s="2" t="s">
        <v>1411</v>
      </c>
      <c r="C356" s="3" t="s">
        <v>1412</v>
      </c>
      <c r="D356" s="2">
        <v>1.855185100130526E-4</v>
      </c>
      <c r="E356" s="8" t="s">
        <v>1413</v>
      </c>
      <c r="F356" s="9" t="s">
        <v>15</v>
      </c>
      <c r="G356" s="9" t="s">
        <v>16</v>
      </c>
      <c r="H356" s="9" t="s">
        <v>16</v>
      </c>
      <c r="I356" s="9"/>
      <c r="J356" s="9"/>
      <c r="K356" s="9"/>
    </row>
    <row r="357" hidden="1">
      <c r="A357" s="3" t="s">
        <v>1414</v>
      </c>
      <c r="B357" s="2" t="s">
        <v>1415</v>
      </c>
      <c r="C357" s="3" t="s">
        <v>1416</v>
      </c>
      <c r="D357" s="2">
        <v>1.855185100130526E-4</v>
      </c>
      <c r="E357" s="8" t="s">
        <v>1417</v>
      </c>
      <c r="F357" s="9" t="s">
        <v>15</v>
      </c>
      <c r="G357" s="9" t="s">
        <v>16</v>
      </c>
      <c r="H357" s="9" t="s">
        <v>16</v>
      </c>
      <c r="I357" s="9"/>
      <c r="J357" s="9"/>
      <c r="K357" s="9"/>
    </row>
    <row r="358" hidden="1">
      <c r="A358" s="3" t="s">
        <v>1418</v>
      </c>
      <c r="B358" s="2" t="s">
        <v>1419</v>
      </c>
      <c r="C358" s="3" t="s">
        <v>1420</v>
      </c>
      <c r="D358" s="2">
        <v>1.855185100130526E-4</v>
      </c>
      <c r="E358" s="8" t="s">
        <v>1421</v>
      </c>
      <c r="F358" s="9" t="s">
        <v>15</v>
      </c>
      <c r="G358" s="9" t="s">
        <v>16</v>
      </c>
      <c r="H358" s="9" t="s">
        <v>16</v>
      </c>
      <c r="I358" s="9"/>
      <c r="J358" s="9"/>
      <c r="K358" s="9"/>
    </row>
    <row r="359" hidden="1">
      <c r="A359" s="3" t="s">
        <v>1422</v>
      </c>
      <c r="B359" s="2" t="s">
        <v>1423</v>
      </c>
      <c r="C359" s="3" t="s">
        <v>1424</v>
      </c>
      <c r="D359" s="2">
        <v>1.855185100130526E-4</v>
      </c>
      <c r="E359" s="8" t="s">
        <v>1425</v>
      </c>
      <c r="F359" s="9" t="s">
        <v>15</v>
      </c>
      <c r="G359" s="9" t="s">
        <v>16</v>
      </c>
      <c r="H359" s="9" t="s">
        <v>16</v>
      </c>
      <c r="I359" s="9"/>
      <c r="J359" s="9"/>
      <c r="K359" s="9"/>
    </row>
    <row r="360" hidden="1">
      <c r="A360" s="3" t="s">
        <v>1426</v>
      </c>
      <c r="B360" s="2" t="s">
        <v>1427</v>
      </c>
      <c r="C360" s="3" t="s">
        <v>1428</v>
      </c>
      <c r="D360" s="2">
        <v>1.855185100130526E-4</v>
      </c>
      <c r="E360" s="8" t="s">
        <v>1429</v>
      </c>
      <c r="F360" s="9" t="s">
        <v>15</v>
      </c>
      <c r="G360" s="9" t="s">
        <v>16</v>
      </c>
      <c r="H360" s="9" t="s">
        <v>16</v>
      </c>
      <c r="I360" s="9"/>
      <c r="J360" s="9"/>
      <c r="K360" s="9"/>
    </row>
    <row r="361" hidden="1">
      <c r="A361" s="3" t="s">
        <v>1430</v>
      </c>
      <c r="B361" s="2" t="s">
        <v>1431</v>
      </c>
      <c r="C361" s="3" t="s">
        <v>1432</v>
      </c>
      <c r="D361" s="2">
        <v>1.855185100130526E-4</v>
      </c>
      <c r="E361" s="8" t="s">
        <v>1433</v>
      </c>
      <c r="F361" s="9" t="s">
        <v>15</v>
      </c>
      <c r="G361" s="9" t="s">
        <v>16</v>
      </c>
      <c r="H361" s="9" t="s">
        <v>16</v>
      </c>
      <c r="I361" s="9"/>
      <c r="J361" s="9"/>
      <c r="K361" s="9"/>
    </row>
    <row r="362" hidden="1">
      <c r="A362" s="3" t="s">
        <v>1434</v>
      </c>
      <c r="B362" s="2" t="s">
        <v>1435</v>
      </c>
      <c r="C362" s="3" t="s">
        <v>1436</v>
      </c>
      <c r="D362" s="2">
        <v>1.855185100130526E-4</v>
      </c>
      <c r="E362" s="8" t="s">
        <v>1437</v>
      </c>
      <c r="F362" s="9" t="s">
        <v>15</v>
      </c>
      <c r="G362" s="9" t="s">
        <v>16</v>
      </c>
      <c r="H362" s="9" t="s">
        <v>16</v>
      </c>
      <c r="I362" s="9"/>
      <c r="J362" s="9"/>
      <c r="K362" s="9"/>
    </row>
    <row r="363" hidden="1">
      <c r="A363" s="3" t="s">
        <v>1438</v>
      </c>
      <c r="B363" s="2" t="s">
        <v>1439</v>
      </c>
      <c r="C363" s="3" t="s">
        <v>1440</v>
      </c>
      <c r="D363" s="2">
        <v>1.855185100130526E-4</v>
      </c>
      <c r="E363" s="8" t="s">
        <v>1441</v>
      </c>
      <c r="F363" s="9" t="s">
        <v>15</v>
      </c>
      <c r="G363" s="9" t="s">
        <v>16</v>
      </c>
      <c r="H363" s="9" t="s">
        <v>16</v>
      </c>
      <c r="I363" s="9"/>
      <c r="J363" s="9"/>
      <c r="K363" s="9"/>
    </row>
    <row r="364" hidden="1">
      <c r="A364" s="3" t="s">
        <v>1442</v>
      </c>
      <c r="B364" s="2" t="s">
        <v>1443</v>
      </c>
      <c r="C364" s="3" t="s">
        <v>1444</v>
      </c>
      <c r="D364" s="2">
        <v>1.855185100130526E-4</v>
      </c>
      <c r="E364" s="8" t="s">
        <v>1445</v>
      </c>
      <c r="F364" s="9" t="s">
        <v>15</v>
      </c>
      <c r="G364" s="9" t="s">
        <v>16</v>
      </c>
      <c r="H364" s="9" t="s">
        <v>16</v>
      </c>
      <c r="I364" s="9"/>
      <c r="J364" s="9"/>
      <c r="K364" s="9"/>
    </row>
    <row r="365" hidden="1">
      <c r="A365" s="3" t="s">
        <v>1446</v>
      </c>
      <c r="B365" s="2" t="s">
        <v>1447</v>
      </c>
      <c r="C365" s="3" t="s">
        <v>1448</v>
      </c>
      <c r="D365" s="2">
        <v>1.855185100130526E-4</v>
      </c>
      <c r="E365" s="8" t="s">
        <v>1449</v>
      </c>
      <c r="F365" s="9" t="s">
        <v>15</v>
      </c>
      <c r="G365" s="9" t="s">
        <v>16</v>
      </c>
      <c r="H365" s="9" t="s">
        <v>16</v>
      </c>
      <c r="I365" s="9"/>
      <c r="J365" s="9"/>
      <c r="K365" s="9"/>
    </row>
    <row r="366" hidden="1">
      <c r="A366" s="3" t="s">
        <v>1450</v>
      </c>
      <c r="B366" s="2" t="s">
        <v>1451</v>
      </c>
      <c r="C366" s="3" t="s">
        <v>1452</v>
      </c>
      <c r="D366" s="2">
        <v>1.855185100130526E-4</v>
      </c>
      <c r="E366" s="8" t="s">
        <v>1453</v>
      </c>
      <c r="F366" s="9" t="s">
        <v>15</v>
      </c>
      <c r="G366" s="9" t="s">
        <v>16</v>
      </c>
      <c r="H366" s="9" t="s">
        <v>16</v>
      </c>
      <c r="I366" s="9"/>
      <c r="J366" s="9"/>
      <c r="K366" s="9"/>
    </row>
    <row r="367" hidden="1">
      <c r="A367" s="3" t="s">
        <v>1454</v>
      </c>
      <c r="B367" s="2" t="s">
        <v>1455</v>
      </c>
      <c r="C367" s="3" t="s">
        <v>1456</v>
      </c>
      <c r="D367" s="2">
        <v>1.855185100130526E-4</v>
      </c>
      <c r="E367" s="8" t="s">
        <v>1457</v>
      </c>
      <c r="F367" s="9" t="s">
        <v>15</v>
      </c>
      <c r="G367" s="9" t="s">
        <v>16</v>
      </c>
      <c r="H367" s="9" t="s">
        <v>16</v>
      </c>
      <c r="I367" s="9"/>
      <c r="J367" s="9"/>
      <c r="K367" s="9"/>
    </row>
    <row r="368" hidden="1">
      <c r="A368" s="3" t="s">
        <v>1458</v>
      </c>
      <c r="B368" s="2" t="s">
        <v>1459</v>
      </c>
      <c r="C368" s="3" t="s">
        <v>1460</v>
      </c>
      <c r="D368" s="2">
        <v>1.855185100130526E-4</v>
      </c>
      <c r="E368" s="8" t="s">
        <v>1461</v>
      </c>
      <c r="F368" s="9" t="s">
        <v>15</v>
      </c>
      <c r="G368" s="9" t="s">
        <v>16</v>
      </c>
      <c r="H368" s="9" t="s">
        <v>16</v>
      </c>
      <c r="I368" s="9"/>
      <c r="J368" s="9"/>
      <c r="K368" s="9"/>
    </row>
    <row r="369" hidden="1">
      <c r="A369" s="3" t="s">
        <v>1462</v>
      </c>
      <c r="B369" s="2" t="s">
        <v>1463</v>
      </c>
      <c r="C369" s="3" t="s">
        <v>1464</v>
      </c>
      <c r="D369" s="2">
        <v>1.855185100130526E-4</v>
      </c>
      <c r="E369" s="8" t="s">
        <v>1465</v>
      </c>
      <c r="F369" s="9" t="s">
        <v>15</v>
      </c>
      <c r="G369" s="9" t="s">
        <v>16</v>
      </c>
      <c r="H369" s="9" t="s">
        <v>16</v>
      </c>
      <c r="I369" s="9"/>
      <c r="J369" s="9"/>
      <c r="K369" s="9"/>
    </row>
    <row r="370" hidden="1">
      <c r="A370" s="3" t="s">
        <v>1466</v>
      </c>
      <c r="B370" s="2" t="s">
        <v>1467</v>
      </c>
      <c r="C370" s="3"/>
      <c r="D370" s="2">
        <v>1.855185100130526E-4</v>
      </c>
      <c r="E370" s="8" t="s">
        <v>1468</v>
      </c>
      <c r="F370" s="9" t="s">
        <v>15</v>
      </c>
      <c r="G370" s="9" t="s">
        <v>16</v>
      </c>
      <c r="H370" s="9" t="s">
        <v>16</v>
      </c>
      <c r="I370" s="9"/>
      <c r="J370" s="9"/>
      <c r="K370" s="9"/>
    </row>
    <row r="371" hidden="1">
      <c r="A371" s="3" t="s">
        <v>1469</v>
      </c>
      <c r="B371" s="2" t="s">
        <v>1470</v>
      </c>
      <c r="C371" s="3" t="s">
        <v>1471</v>
      </c>
      <c r="D371" s="2">
        <v>1.855185100130526E-4</v>
      </c>
      <c r="E371" s="8" t="s">
        <v>1472</v>
      </c>
      <c r="F371" s="9" t="s">
        <v>15</v>
      </c>
      <c r="G371" s="9" t="s">
        <v>16</v>
      </c>
      <c r="H371" s="9" t="s">
        <v>16</v>
      </c>
      <c r="I371" s="9"/>
      <c r="J371" s="9"/>
      <c r="K371" s="9"/>
    </row>
    <row r="372">
      <c r="A372" s="3" t="s">
        <v>1473</v>
      </c>
      <c r="B372" s="2" t="s">
        <v>1474</v>
      </c>
      <c r="C372" s="3" t="s">
        <v>1475</v>
      </c>
      <c r="D372" s="2">
        <v>1.855185100130526E-4</v>
      </c>
      <c r="E372" s="8" t="s">
        <v>1476</v>
      </c>
      <c r="F372" s="9" t="s">
        <v>16</v>
      </c>
      <c r="G372" s="9" t="s">
        <v>16</v>
      </c>
      <c r="H372" s="9" t="s">
        <v>16</v>
      </c>
      <c r="I372" s="9" t="s">
        <v>16</v>
      </c>
      <c r="J372" s="9" t="s">
        <v>16</v>
      </c>
      <c r="K372" s="9" t="s">
        <v>16</v>
      </c>
    </row>
    <row r="373" hidden="1">
      <c r="A373" s="3" t="s">
        <v>1477</v>
      </c>
      <c r="B373" s="2" t="s">
        <v>1478</v>
      </c>
      <c r="C373" s="3" t="s">
        <v>1479</v>
      </c>
      <c r="D373" s="2">
        <v>1.855185100130526E-4</v>
      </c>
      <c r="E373" s="8" t="s">
        <v>1480</v>
      </c>
      <c r="F373" s="9" t="s">
        <v>15</v>
      </c>
      <c r="G373" s="9" t="s">
        <v>16</v>
      </c>
      <c r="H373" s="9" t="s">
        <v>16</v>
      </c>
      <c r="I373" s="9"/>
      <c r="J373" s="9"/>
      <c r="K373" s="9"/>
    </row>
    <row r="374" hidden="1">
      <c r="A374" s="3" t="s">
        <v>1481</v>
      </c>
      <c r="B374" s="2" t="s">
        <v>1482</v>
      </c>
      <c r="C374" s="3" t="s">
        <v>1483</v>
      </c>
      <c r="D374" s="2">
        <v>1.855185100130526E-4</v>
      </c>
      <c r="E374" s="8" t="s">
        <v>1484</v>
      </c>
      <c r="F374" s="9" t="s">
        <v>15</v>
      </c>
      <c r="G374" s="9" t="s">
        <v>16</v>
      </c>
      <c r="H374" s="9" t="s">
        <v>16</v>
      </c>
      <c r="I374" s="9"/>
      <c r="J374" s="9"/>
      <c r="K374" s="9"/>
    </row>
    <row r="375" hidden="1">
      <c r="A375" s="3" t="s">
        <v>1485</v>
      </c>
      <c r="B375" s="2" t="s">
        <v>1486</v>
      </c>
      <c r="C375" s="3" t="s">
        <v>1487</v>
      </c>
      <c r="D375" s="2">
        <v>1.855185100130526E-4</v>
      </c>
      <c r="E375" s="8" t="s">
        <v>1488</v>
      </c>
      <c r="F375" s="9" t="s">
        <v>15</v>
      </c>
      <c r="G375" s="9" t="s">
        <v>16</v>
      </c>
      <c r="H375" s="9" t="s">
        <v>16</v>
      </c>
      <c r="I375" s="9"/>
      <c r="J375" s="9"/>
      <c r="K375" s="9"/>
    </row>
    <row r="376" hidden="1">
      <c r="A376" s="3" t="s">
        <v>1489</v>
      </c>
      <c r="B376" s="2" t="s">
        <v>1490</v>
      </c>
      <c r="C376" s="3" t="s">
        <v>1491</v>
      </c>
      <c r="D376" s="2">
        <v>1.855185100130526E-4</v>
      </c>
      <c r="E376" s="8" t="s">
        <v>1492</v>
      </c>
      <c r="F376" s="9" t="s">
        <v>15</v>
      </c>
      <c r="G376" s="9" t="s">
        <v>16</v>
      </c>
      <c r="H376" s="9" t="s">
        <v>16</v>
      </c>
      <c r="I376" s="9"/>
      <c r="J376" s="9"/>
      <c r="K376" s="9"/>
    </row>
    <row r="377" hidden="1">
      <c r="A377" s="3" t="s">
        <v>1493</v>
      </c>
      <c r="B377" s="2" t="s">
        <v>1494</v>
      </c>
      <c r="C377" s="3" t="s">
        <v>1495</v>
      </c>
      <c r="D377" s="2">
        <v>1.855185100130526E-4</v>
      </c>
      <c r="E377" s="8" t="s">
        <v>1496</v>
      </c>
      <c r="F377" s="9" t="s">
        <v>15</v>
      </c>
      <c r="G377" s="9" t="s">
        <v>16</v>
      </c>
      <c r="H377" s="9" t="s">
        <v>16</v>
      </c>
      <c r="I377" s="9"/>
      <c r="J377" s="9"/>
      <c r="K377" s="9"/>
    </row>
    <row r="378" hidden="1">
      <c r="A378" s="3" t="s">
        <v>1497</v>
      </c>
      <c r="B378" s="2" t="s">
        <v>1498</v>
      </c>
      <c r="C378" s="3" t="s">
        <v>1499</v>
      </c>
      <c r="D378" s="2">
        <v>1.855185100130526E-4</v>
      </c>
      <c r="E378" s="8" t="s">
        <v>1500</v>
      </c>
      <c r="F378" s="9" t="s">
        <v>15</v>
      </c>
      <c r="G378" s="9" t="s">
        <v>16</v>
      </c>
      <c r="H378" s="9" t="s">
        <v>16</v>
      </c>
      <c r="I378" s="9"/>
      <c r="J378" s="9"/>
      <c r="K378" s="9"/>
    </row>
    <row r="379" hidden="1">
      <c r="A379" s="3" t="s">
        <v>1501</v>
      </c>
      <c r="B379" s="2" t="s">
        <v>1502</v>
      </c>
      <c r="C379" s="3" t="s">
        <v>1503</v>
      </c>
      <c r="D379" s="2">
        <v>1.855185100130526E-4</v>
      </c>
      <c r="E379" s="8" t="s">
        <v>1504</v>
      </c>
      <c r="F379" s="9" t="s">
        <v>15</v>
      </c>
      <c r="G379" s="9" t="s">
        <v>16</v>
      </c>
      <c r="H379" s="9" t="s">
        <v>16</v>
      </c>
      <c r="I379" s="9"/>
      <c r="J379" s="9"/>
      <c r="K379" s="9"/>
    </row>
    <row r="380" hidden="1">
      <c r="A380" s="3" t="s">
        <v>1505</v>
      </c>
      <c r="B380" s="2" t="s">
        <v>1506</v>
      </c>
      <c r="C380" s="3" t="s">
        <v>1507</v>
      </c>
      <c r="D380" s="2">
        <v>1.855185100130526E-4</v>
      </c>
      <c r="E380" s="8" t="s">
        <v>1508</v>
      </c>
      <c r="F380" s="9" t="s">
        <v>15</v>
      </c>
      <c r="G380" s="9" t="s">
        <v>16</v>
      </c>
      <c r="H380" s="9" t="s">
        <v>16</v>
      </c>
      <c r="I380" s="9"/>
      <c r="J380" s="9"/>
      <c r="K380" s="9"/>
    </row>
    <row r="381" hidden="1">
      <c r="A381" s="3" t="s">
        <v>1509</v>
      </c>
      <c r="B381" s="2" t="s">
        <v>1510</v>
      </c>
      <c r="C381" s="3" t="s">
        <v>1511</v>
      </c>
      <c r="D381" s="2">
        <v>1.855185100130526E-4</v>
      </c>
      <c r="E381" s="8" t="s">
        <v>1512</v>
      </c>
      <c r="F381" s="9" t="s">
        <v>15</v>
      </c>
      <c r="G381" s="9" t="s">
        <v>16</v>
      </c>
      <c r="H381" s="9" t="s">
        <v>16</v>
      </c>
      <c r="I381" s="9"/>
      <c r="J381" s="9"/>
      <c r="K381" s="9"/>
    </row>
    <row r="382" hidden="1">
      <c r="A382" s="3" t="s">
        <v>1513</v>
      </c>
      <c r="B382" s="2" t="s">
        <v>1514</v>
      </c>
      <c r="C382" s="3" t="s">
        <v>1515</v>
      </c>
      <c r="D382" s="2">
        <v>1.855185100130526E-4</v>
      </c>
      <c r="E382" s="8" t="s">
        <v>1516</v>
      </c>
      <c r="F382" s="9" t="s">
        <v>15</v>
      </c>
      <c r="G382" s="9" t="s">
        <v>16</v>
      </c>
      <c r="H382" s="9" t="s">
        <v>16</v>
      </c>
      <c r="I382" s="9"/>
      <c r="J382" s="9"/>
      <c r="K382" s="9"/>
    </row>
    <row r="383" hidden="1">
      <c r="A383" s="3" t="s">
        <v>1517</v>
      </c>
      <c r="B383" s="2" t="s">
        <v>1518</v>
      </c>
      <c r="C383" s="3" t="s">
        <v>1519</v>
      </c>
      <c r="D383" s="2">
        <v>1.855185100130526E-4</v>
      </c>
      <c r="E383" s="8" t="s">
        <v>1520</v>
      </c>
      <c r="F383" s="9" t="s">
        <v>15</v>
      </c>
      <c r="G383" s="9" t="s">
        <v>16</v>
      </c>
      <c r="H383" s="9" t="s">
        <v>16</v>
      </c>
      <c r="I383" s="9"/>
      <c r="J383" s="9"/>
      <c r="K383" s="9"/>
    </row>
    <row r="384" hidden="1">
      <c r="A384" s="3" t="s">
        <v>1521</v>
      </c>
      <c r="B384" s="2" t="s">
        <v>1522</v>
      </c>
      <c r="C384" s="3" t="s">
        <v>1523</v>
      </c>
      <c r="D384" s="2">
        <v>1.855185100130526E-4</v>
      </c>
      <c r="E384" s="8" t="s">
        <v>1524</v>
      </c>
      <c r="F384" s="9" t="s">
        <v>15</v>
      </c>
      <c r="G384" s="9" t="s">
        <v>16</v>
      </c>
      <c r="H384" s="9" t="s">
        <v>16</v>
      </c>
      <c r="I384" s="9"/>
      <c r="J384" s="9"/>
      <c r="K384" s="9"/>
    </row>
    <row r="385" hidden="1">
      <c r="A385" s="3" t="s">
        <v>1525</v>
      </c>
      <c r="B385" s="2" t="s">
        <v>1526</v>
      </c>
      <c r="C385" s="3" t="s">
        <v>1527</v>
      </c>
      <c r="D385" s="2">
        <v>1.855185100130526E-4</v>
      </c>
      <c r="E385" s="8" t="s">
        <v>1528</v>
      </c>
      <c r="F385" s="9" t="s">
        <v>15</v>
      </c>
      <c r="G385" s="9" t="s">
        <v>16</v>
      </c>
      <c r="H385" s="9" t="s">
        <v>16</v>
      </c>
      <c r="I385" s="9"/>
      <c r="J385" s="9"/>
      <c r="K385" s="9"/>
    </row>
    <row r="386" hidden="1">
      <c r="A386" s="3" t="s">
        <v>1529</v>
      </c>
      <c r="B386" s="2" t="s">
        <v>1530</v>
      </c>
      <c r="C386" s="3" t="s">
        <v>1531</v>
      </c>
      <c r="D386" s="2">
        <v>1.855185100130526E-4</v>
      </c>
      <c r="E386" s="8" t="s">
        <v>1532</v>
      </c>
      <c r="F386" s="9" t="s">
        <v>15</v>
      </c>
      <c r="G386" s="9" t="s">
        <v>16</v>
      </c>
      <c r="H386" s="9" t="s">
        <v>16</v>
      </c>
      <c r="I386" s="9"/>
      <c r="J386" s="9"/>
      <c r="K386" s="9"/>
    </row>
    <row r="387" hidden="1">
      <c r="A387" s="3" t="s">
        <v>1533</v>
      </c>
      <c r="B387" s="2" t="s">
        <v>1534</v>
      </c>
      <c r="C387" s="3" t="s">
        <v>1535</v>
      </c>
      <c r="D387" s="2">
        <v>1.855185100130526E-4</v>
      </c>
      <c r="E387" s="8" t="s">
        <v>1536</v>
      </c>
      <c r="F387" s="9" t="s">
        <v>15</v>
      </c>
      <c r="G387" s="9" t="s">
        <v>16</v>
      </c>
      <c r="H387" s="9" t="s">
        <v>16</v>
      </c>
      <c r="I387" s="9"/>
      <c r="J387" s="9"/>
      <c r="K387" s="9"/>
    </row>
    <row r="388" hidden="1">
      <c r="A388" s="3" t="s">
        <v>1537</v>
      </c>
      <c r="B388" s="2" t="s">
        <v>1538</v>
      </c>
      <c r="C388" s="3" t="s">
        <v>1539</v>
      </c>
      <c r="D388" s="2">
        <v>1.855185100130526E-4</v>
      </c>
      <c r="E388" s="8" t="s">
        <v>1540</v>
      </c>
      <c r="F388" s="9" t="s">
        <v>15</v>
      </c>
      <c r="G388" s="9" t="s">
        <v>16</v>
      </c>
      <c r="H388" s="9" t="s">
        <v>16</v>
      </c>
      <c r="I388" s="9"/>
      <c r="J388" s="9"/>
      <c r="K388" s="9"/>
    </row>
    <row r="389" hidden="1">
      <c r="A389" s="3" t="s">
        <v>1541</v>
      </c>
      <c r="B389" s="2" t="s">
        <v>1542</v>
      </c>
      <c r="C389" s="3" t="s">
        <v>1543</v>
      </c>
      <c r="D389" s="2">
        <v>1.855185100130526E-4</v>
      </c>
      <c r="E389" s="8" t="s">
        <v>1544</v>
      </c>
      <c r="F389" s="9" t="s">
        <v>15</v>
      </c>
      <c r="G389" s="9" t="s">
        <v>16</v>
      </c>
      <c r="H389" s="9" t="s">
        <v>16</v>
      </c>
      <c r="I389" s="9"/>
      <c r="J389" s="9"/>
      <c r="K389" s="9"/>
    </row>
    <row r="390" hidden="1">
      <c r="A390" s="3" t="s">
        <v>1545</v>
      </c>
      <c r="B390" s="2" t="s">
        <v>1546</v>
      </c>
      <c r="C390" s="3" t="s">
        <v>1547</v>
      </c>
      <c r="D390" s="2">
        <v>1.855185100130526E-4</v>
      </c>
      <c r="E390" s="8" t="s">
        <v>1548</v>
      </c>
      <c r="F390" s="9" t="s">
        <v>15</v>
      </c>
      <c r="G390" s="9" t="s">
        <v>16</v>
      </c>
      <c r="H390" s="9" t="s">
        <v>16</v>
      </c>
      <c r="I390" s="9"/>
      <c r="J390" s="9"/>
      <c r="K390" s="9"/>
    </row>
    <row r="391" hidden="1">
      <c r="A391" s="3" t="s">
        <v>1549</v>
      </c>
      <c r="B391" s="2" t="s">
        <v>1550</v>
      </c>
      <c r="C391" s="3" t="s">
        <v>1551</v>
      </c>
      <c r="D391" s="2">
        <v>1.855185100130526E-4</v>
      </c>
      <c r="E391" s="8" t="s">
        <v>1552</v>
      </c>
      <c r="F391" s="9" t="s">
        <v>15</v>
      </c>
      <c r="G391" s="9" t="s">
        <v>16</v>
      </c>
      <c r="H391" s="9" t="s">
        <v>16</v>
      </c>
      <c r="I391" s="9"/>
      <c r="J391" s="9"/>
      <c r="K391" s="9"/>
    </row>
    <row r="392" hidden="1">
      <c r="A392" s="3" t="s">
        <v>1553</v>
      </c>
      <c r="B392" s="2" t="s">
        <v>1554</v>
      </c>
      <c r="C392" s="3" t="s">
        <v>1555</v>
      </c>
      <c r="D392" s="2">
        <v>1.855185100130526E-4</v>
      </c>
      <c r="E392" s="8" t="s">
        <v>1556</v>
      </c>
      <c r="F392" s="9" t="s">
        <v>15</v>
      </c>
      <c r="G392" s="9" t="s">
        <v>16</v>
      </c>
      <c r="H392" s="9" t="s">
        <v>16</v>
      </c>
      <c r="I392" s="9"/>
      <c r="J392" s="9"/>
      <c r="K392" s="9"/>
    </row>
    <row r="393" hidden="1">
      <c r="A393" s="3" t="s">
        <v>1557</v>
      </c>
      <c r="B393" s="2" t="s">
        <v>1558</v>
      </c>
      <c r="C393" s="3" t="s">
        <v>1559</v>
      </c>
      <c r="D393" s="2">
        <v>1.855185100130526E-4</v>
      </c>
      <c r="E393" s="8" t="s">
        <v>1560</v>
      </c>
      <c r="F393" s="9" t="s">
        <v>15</v>
      </c>
      <c r="G393" s="9" t="s">
        <v>16</v>
      </c>
      <c r="H393" s="9" t="s">
        <v>16</v>
      </c>
      <c r="I393" s="9"/>
      <c r="J393" s="9"/>
      <c r="K393" s="9"/>
    </row>
    <row r="394" hidden="1">
      <c r="A394" s="3" t="s">
        <v>1561</v>
      </c>
      <c r="B394" s="2" t="s">
        <v>1562</v>
      </c>
      <c r="C394" s="3" t="s">
        <v>1563</v>
      </c>
      <c r="D394" s="2">
        <v>1.855185100130526E-4</v>
      </c>
      <c r="E394" s="8" t="s">
        <v>1564</v>
      </c>
      <c r="F394" s="9" t="s">
        <v>15</v>
      </c>
      <c r="G394" s="9" t="s">
        <v>16</v>
      </c>
      <c r="H394" s="9" t="s">
        <v>16</v>
      </c>
      <c r="I394" s="9"/>
      <c r="J394" s="9"/>
      <c r="K394" s="9"/>
    </row>
    <row r="395" hidden="1">
      <c r="A395" s="3" t="s">
        <v>1565</v>
      </c>
      <c r="B395" s="2" t="s">
        <v>1566</v>
      </c>
      <c r="C395" s="3" t="s">
        <v>1567</v>
      </c>
      <c r="D395" s="2">
        <v>1.855185100130526E-4</v>
      </c>
      <c r="E395" s="8" t="s">
        <v>1568</v>
      </c>
      <c r="F395" s="9" t="s">
        <v>15</v>
      </c>
      <c r="G395" s="9" t="s">
        <v>16</v>
      </c>
      <c r="H395" s="9" t="s">
        <v>16</v>
      </c>
      <c r="I395" s="9"/>
      <c r="J395" s="9"/>
      <c r="K395" s="9"/>
    </row>
    <row r="396" hidden="1">
      <c r="A396" s="3" t="s">
        <v>1569</v>
      </c>
      <c r="B396" s="2" t="s">
        <v>1570</v>
      </c>
      <c r="C396" s="3" t="s">
        <v>1571</v>
      </c>
      <c r="D396" s="2">
        <v>1.855185100130526E-4</v>
      </c>
      <c r="E396" s="8" t="s">
        <v>1572</v>
      </c>
      <c r="F396" s="9" t="s">
        <v>15</v>
      </c>
      <c r="G396" s="9" t="s">
        <v>16</v>
      </c>
      <c r="H396" s="9" t="s">
        <v>16</v>
      </c>
      <c r="I396" s="9"/>
      <c r="J396" s="9"/>
      <c r="K396" s="9"/>
    </row>
    <row r="397" hidden="1">
      <c r="A397" s="3" t="s">
        <v>1573</v>
      </c>
      <c r="B397" s="2" t="s">
        <v>1574</v>
      </c>
      <c r="C397" s="3" t="s">
        <v>1575</v>
      </c>
      <c r="D397" s="2">
        <v>1.855185100130526E-4</v>
      </c>
      <c r="E397" s="8" t="s">
        <v>1576</v>
      </c>
      <c r="F397" s="9" t="s">
        <v>15</v>
      </c>
      <c r="G397" s="9" t="s">
        <v>16</v>
      </c>
      <c r="H397" s="9" t="s">
        <v>16</v>
      </c>
      <c r="I397" s="9"/>
      <c r="J397" s="9"/>
      <c r="K397" s="9"/>
    </row>
    <row r="398" hidden="1">
      <c r="A398" s="3" t="s">
        <v>1577</v>
      </c>
      <c r="B398" s="2" t="s">
        <v>1578</v>
      </c>
      <c r="C398" s="3" t="s">
        <v>1579</v>
      </c>
      <c r="D398" s="2">
        <v>1.855185100130526E-4</v>
      </c>
      <c r="E398" s="8" t="s">
        <v>1580</v>
      </c>
      <c r="F398" s="9" t="s">
        <v>15</v>
      </c>
      <c r="G398" s="9" t="s">
        <v>16</v>
      </c>
      <c r="H398" s="9" t="s">
        <v>16</v>
      </c>
      <c r="I398" s="9"/>
      <c r="J398" s="9"/>
      <c r="K398" s="9"/>
    </row>
    <row r="399" hidden="1">
      <c r="A399" s="3" t="s">
        <v>1581</v>
      </c>
      <c r="B399" s="2" t="s">
        <v>1582</v>
      </c>
      <c r="C399" s="3" t="s">
        <v>1583</v>
      </c>
      <c r="D399" s="2">
        <v>1.855185100130526E-4</v>
      </c>
      <c r="E399" s="8" t="s">
        <v>1584</v>
      </c>
      <c r="F399" s="9" t="s">
        <v>15</v>
      </c>
      <c r="G399" s="9" t="s">
        <v>16</v>
      </c>
      <c r="H399" s="9" t="s">
        <v>16</v>
      </c>
      <c r="I399" s="9"/>
      <c r="J399" s="9"/>
      <c r="K399" s="9"/>
    </row>
    <row r="400" hidden="1">
      <c r="A400" s="3" t="s">
        <v>1585</v>
      </c>
      <c r="B400" s="2" t="s">
        <v>1586</v>
      </c>
      <c r="C400" s="3" t="s">
        <v>1587</v>
      </c>
      <c r="D400" s="2">
        <v>1.855185100130526E-4</v>
      </c>
      <c r="E400" s="8" t="s">
        <v>1588</v>
      </c>
      <c r="F400" s="9" t="s">
        <v>15</v>
      </c>
      <c r="G400" s="9" t="s">
        <v>16</v>
      </c>
      <c r="H400" s="9" t="s">
        <v>16</v>
      </c>
      <c r="I400" s="9"/>
      <c r="J400" s="9"/>
      <c r="K400" s="9"/>
    </row>
    <row r="401" hidden="1">
      <c r="A401" s="3" t="s">
        <v>1589</v>
      </c>
      <c r="B401" s="2" t="s">
        <v>1590</v>
      </c>
      <c r="C401" s="3" t="s">
        <v>1591</v>
      </c>
      <c r="D401" s="2">
        <v>1.855185100130526E-4</v>
      </c>
      <c r="E401" s="8" t="s">
        <v>1592</v>
      </c>
      <c r="F401" s="9" t="s">
        <v>15</v>
      </c>
      <c r="G401" s="9" t="s">
        <v>16</v>
      </c>
      <c r="H401" s="9" t="s">
        <v>16</v>
      </c>
      <c r="I401" s="9"/>
      <c r="J401" s="9"/>
      <c r="K401" s="9"/>
    </row>
    <row r="402" hidden="1">
      <c r="A402" s="3" t="s">
        <v>1593</v>
      </c>
      <c r="B402" s="2" t="s">
        <v>1594</v>
      </c>
      <c r="C402" s="3" t="s">
        <v>1595</v>
      </c>
      <c r="D402" s="2">
        <v>1.855185100130526E-4</v>
      </c>
      <c r="E402" s="8" t="s">
        <v>1596</v>
      </c>
      <c r="F402" s="9" t="s">
        <v>15</v>
      </c>
      <c r="G402" s="9" t="s">
        <v>16</v>
      </c>
      <c r="H402" s="9" t="s">
        <v>16</v>
      </c>
      <c r="I402" s="9"/>
      <c r="J402" s="9"/>
      <c r="K402" s="9"/>
    </row>
    <row r="403">
      <c r="A403" s="3" t="s">
        <v>1597</v>
      </c>
      <c r="B403" s="2" t="s">
        <v>1598</v>
      </c>
      <c r="C403" s="3" t="s">
        <v>1599</v>
      </c>
      <c r="D403" s="2">
        <v>1.855185100130526E-4</v>
      </c>
      <c r="E403" s="8" t="s">
        <v>1600</v>
      </c>
      <c r="F403" s="9" t="s">
        <v>16</v>
      </c>
      <c r="G403" s="9" t="s">
        <v>16</v>
      </c>
      <c r="H403" s="9" t="s">
        <v>16</v>
      </c>
      <c r="I403" s="9" t="s">
        <v>16</v>
      </c>
      <c r="J403" s="9" t="s">
        <v>16</v>
      </c>
      <c r="K403" s="9" t="s">
        <v>16</v>
      </c>
    </row>
    <row r="404" hidden="1">
      <c r="A404" s="3" t="s">
        <v>1601</v>
      </c>
      <c r="B404" s="2" t="s">
        <v>1602</v>
      </c>
      <c r="C404" s="3" t="s">
        <v>1603</v>
      </c>
      <c r="D404" s="2">
        <v>1.855185100130526E-4</v>
      </c>
      <c r="E404" s="8" t="s">
        <v>1604</v>
      </c>
      <c r="F404" s="9" t="s">
        <v>15</v>
      </c>
      <c r="G404" s="9" t="s">
        <v>16</v>
      </c>
      <c r="H404" s="9" t="s">
        <v>16</v>
      </c>
      <c r="I404" s="9"/>
      <c r="J404" s="9"/>
      <c r="K404" s="9"/>
    </row>
    <row r="405" hidden="1">
      <c r="A405" s="3" t="s">
        <v>1605</v>
      </c>
      <c r="B405" s="2" t="s">
        <v>1606</v>
      </c>
      <c r="C405" s="3" t="s">
        <v>1607</v>
      </c>
      <c r="D405" s="2">
        <v>1.855185100130526E-4</v>
      </c>
      <c r="E405" s="8" t="s">
        <v>1608</v>
      </c>
      <c r="F405" s="9" t="s">
        <v>15</v>
      </c>
      <c r="G405" s="9" t="s">
        <v>16</v>
      </c>
      <c r="H405" s="9" t="s">
        <v>16</v>
      </c>
      <c r="I405" s="9"/>
      <c r="J405" s="9"/>
      <c r="K405" s="9"/>
    </row>
    <row r="406" hidden="1">
      <c r="A406" s="3" t="s">
        <v>1609</v>
      </c>
      <c r="B406" s="2" t="s">
        <v>1610</v>
      </c>
      <c r="C406" s="3" t="s">
        <v>1611</v>
      </c>
      <c r="D406" s="2">
        <v>1.855185100130526E-4</v>
      </c>
      <c r="E406" s="8" t="s">
        <v>1612</v>
      </c>
      <c r="F406" s="9" t="s">
        <v>15</v>
      </c>
      <c r="G406" s="9" t="s">
        <v>16</v>
      </c>
      <c r="H406" s="9" t="s">
        <v>16</v>
      </c>
      <c r="I406" s="9"/>
      <c r="J406" s="9"/>
      <c r="K406" s="9"/>
    </row>
    <row r="407" hidden="1">
      <c r="A407" s="3" t="s">
        <v>1613</v>
      </c>
      <c r="B407" s="2" t="s">
        <v>1614</v>
      </c>
      <c r="C407" s="3" t="s">
        <v>1615</v>
      </c>
      <c r="D407" s="2">
        <v>1.855185100130526E-4</v>
      </c>
      <c r="E407" s="8" t="s">
        <v>1616</v>
      </c>
      <c r="F407" s="9" t="s">
        <v>15</v>
      </c>
      <c r="G407" s="9" t="s">
        <v>16</v>
      </c>
      <c r="H407" s="9" t="s">
        <v>16</v>
      </c>
      <c r="I407" s="9"/>
      <c r="J407" s="9"/>
      <c r="K407" s="9"/>
    </row>
    <row r="408" hidden="1">
      <c r="A408" s="3" t="s">
        <v>1617</v>
      </c>
      <c r="B408" s="2" t="s">
        <v>1618</v>
      </c>
      <c r="C408" s="3" t="s">
        <v>1619</v>
      </c>
      <c r="D408" s="2">
        <v>1.855185100130526E-4</v>
      </c>
      <c r="E408" s="8" t="s">
        <v>1620</v>
      </c>
      <c r="F408" s="9" t="s">
        <v>15</v>
      </c>
      <c r="G408" s="9" t="s">
        <v>16</v>
      </c>
      <c r="H408" s="9" t="s">
        <v>16</v>
      </c>
      <c r="I408" s="9"/>
      <c r="J408" s="9"/>
      <c r="K408" s="9"/>
    </row>
    <row r="409" hidden="1">
      <c r="A409" s="3" t="s">
        <v>1621</v>
      </c>
      <c r="B409" s="2" t="s">
        <v>1622</v>
      </c>
      <c r="C409" s="3" t="s">
        <v>1623</v>
      </c>
      <c r="D409" s="2">
        <v>1.855185100130526E-4</v>
      </c>
      <c r="E409" s="8" t="s">
        <v>1624</v>
      </c>
      <c r="F409" s="9" t="s">
        <v>15</v>
      </c>
      <c r="G409" s="9" t="s">
        <v>16</v>
      </c>
      <c r="H409" s="9" t="s">
        <v>16</v>
      </c>
      <c r="I409" s="9"/>
      <c r="J409" s="9"/>
      <c r="K409" s="9"/>
    </row>
    <row r="410" hidden="1">
      <c r="A410" s="3" t="s">
        <v>1625</v>
      </c>
      <c r="B410" s="2" t="s">
        <v>1626</v>
      </c>
      <c r="C410" s="3" t="s">
        <v>1627</v>
      </c>
      <c r="D410" s="2">
        <v>1.855185100130526E-4</v>
      </c>
      <c r="E410" s="8" t="s">
        <v>1628</v>
      </c>
      <c r="F410" s="9" t="s">
        <v>15</v>
      </c>
      <c r="G410" s="9" t="s">
        <v>16</v>
      </c>
      <c r="H410" s="9" t="s">
        <v>16</v>
      </c>
      <c r="I410" s="9"/>
      <c r="J410" s="9"/>
      <c r="K410" s="9"/>
    </row>
    <row r="411" hidden="1">
      <c r="A411" s="3" t="s">
        <v>1629</v>
      </c>
      <c r="B411" s="2" t="s">
        <v>1630</v>
      </c>
      <c r="C411" s="3" t="s">
        <v>1631</v>
      </c>
      <c r="D411" s="2">
        <v>1.855185100130526E-4</v>
      </c>
      <c r="E411" s="8" t="s">
        <v>1632</v>
      </c>
      <c r="F411" s="9" t="s">
        <v>15</v>
      </c>
      <c r="G411" s="9" t="s">
        <v>16</v>
      </c>
      <c r="H411" s="9" t="s">
        <v>16</v>
      </c>
      <c r="I411" s="9"/>
      <c r="J411" s="9"/>
      <c r="K411" s="9"/>
    </row>
    <row r="412" hidden="1">
      <c r="A412" s="3" t="s">
        <v>1633</v>
      </c>
      <c r="B412" s="2" t="s">
        <v>1634</v>
      </c>
      <c r="C412" s="3" t="s">
        <v>1635</v>
      </c>
      <c r="D412" s="2">
        <v>1.855185100130526E-4</v>
      </c>
      <c r="E412" s="8" t="s">
        <v>1636</v>
      </c>
      <c r="F412" s="9" t="s">
        <v>15</v>
      </c>
      <c r="G412" s="9" t="s">
        <v>16</v>
      </c>
      <c r="H412" s="9" t="s">
        <v>16</v>
      </c>
      <c r="I412" s="9"/>
      <c r="J412" s="9"/>
      <c r="K412" s="9"/>
    </row>
    <row r="413" hidden="1">
      <c r="A413" s="3" t="s">
        <v>1637</v>
      </c>
      <c r="B413" s="2" t="s">
        <v>1638</v>
      </c>
      <c r="C413" s="3" t="s">
        <v>1639</v>
      </c>
      <c r="D413" s="2">
        <v>1.855185100130526E-4</v>
      </c>
      <c r="E413" s="8" t="s">
        <v>1640</v>
      </c>
      <c r="F413" s="9" t="s">
        <v>15</v>
      </c>
      <c r="G413" s="9" t="s">
        <v>16</v>
      </c>
      <c r="H413" s="9" t="s">
        <v>16</v>
      </c>
      <c r="I413" s="9"/>
      <c r="J413" s="9"/>
      <c r="K413" s="9"/>
    </row>
    <row r="414" hidden="1">
      <c r="A414" s="3" t="s">
        <v>1641</v>
      </c>
      <c r="B414" s="2" t="s">
        <v>1642</v>
      </c>
      <c r="C414" s="3" t="s">
        <v>1643</v>
      </c>
      <c r="D414" s="2">
        <v>1.855185100130526E-4</v>
      </c>
      <c r="E414" s="8" t="s">
        <v>1644</v>
      </c>
      <c r="F414" s="9" t="s">
        <v>15</v>
      </c>
      <c r="G414" s="9" t="s">
        <v>16</v>
      </c>
      <c r="H414" s="9" t="s">
        <v>16</v>
      </c>
      <c r="I414" s="9"/>
      <c r="J414" s="9"/>
      <c r="K414" s="9"/>
    </row>
    <row r="415" hidden="1">
      <c r="A415" s="3" t="s">
        <v>1645</v>
      </c>
      <c r="B415" s="2" t="s">
        <v>1646</v>
      </c>
      <c r="C415" s="3" t="s">
        <v>1647</v>
      </c>
      <c r="D415" s="2">
        <v>1.855185100130526E-4</v>
      </c>
      <c r="E415" s="8" t="s">
        <v>1648</v>
      </c>
      <c r="F415" s="9" t="s">
        <v>15</v>
      </c>
      <c r="G415" s="9" t="s">
        <v>16</v>
      </c>
      <c r="H415" s="9" t="s">
        <v>16</v>
      </c>
      <c r="I415" s="9"/>
      <c r="J415" s="9"/>
      <c r="K415" s="9"/>
    </row>
    <row r="416" hidden="1">
      <c r="A416" s="3" t="s">
        <v>1649</v>
      </c>
      <c r="B416" s="2" t="s">
        <v>1650</v>
      </c>
      <c r="C416" s="3" t="s">
        <v>1651</v>
      </c>
      <c r="D416" s="2">
        <v>1.855185100130526E-4</v>
      </c>
      <c r="E416" s="8" t="s">
        <v>1652</v>
      </c>
      <c r="F416" s="9" t="s">
        <v>15</v>
      </c>
      <c r="G416" s="9" t="s">
        <v>16</v>
      </c>
      <c r="H416" s="9" t="s">
        <v>16</v>
      </c>
      <c r="I416" s="9"/>
      <c r="J416" s="9"/>
      <c r="K416" s="9"/>
    </row>
    <row r="417" hidden="1">
      <c r="A417" s="3" t="s">
        <v>1653</v>
      </c>
      <c r="B417" s="2" t="s">
        <v>1654</v>
      </c>
      <c r="C417" s="3" t="s">
        <v>1655</v>
      </c>
      <c r="D417" s="2">
        <v>1.855185100130526E-4</v>
      </c>
      <c r="E417" s="8" t="s">
        <v>1656</v>
      </c>
      <c r="F417" s="9" t="s">
        <v>15</v>
      </c>
      <c r="G417" s="9" t="s">
        <v>16</v>
      </c>
      <c r="H417" s="9" t="s">
        <v>16</v>
      </c>
      <c r="I417" s="9"/>
      <c r="J417" s="9"/>
      <c r="K417" s="9"/>
    </row>
    <row r="418" hidden="1">
      <c r="A418" s="3" t="s">
        <v>1657</v>
      </c>
      <c r="B418" s="2" t="s">
        <v>1658</v>
      </c>
      <c r="C418" s="3" t="s">
        <v>1659</v>
      </c>
      <c r="D418" s="2">
        <v>1.855185100130526E-4</v>
      </c>
      <c r="E418" s="8" t="s">
        <v>1660</v>
      </c>
      <c r="F418" s="9" t="s">
        <v>15</v>
      </c>
      <c r="G418" s="9" t="s">
        <v>16</v>
      </c>
      <c r="H418" s="9" t="s">
        <v>16</v>
      </c>
      <c r="I418" s="9"/>
      <c r="J418" s="9"/>
      <c r="K418" s="9"/>
    </row>
    <row r="419" hidden="1">
      <c r="A419" s="3" t="s">
        <v>1661</v>
      </c>
      <c r="B419" s="2" t="s">
        <v>1662</v>
      </c>
      <c r="C419" s="3" t="s">
        <v>1663</v>
      </c>
      <c r="D419" s="2">
        <v>1.855185100130526E-4</v>
      </c>
      <c r="E419" s="8" t="s">
        <v>1664</v>
      </c>
      <c r="F419" s="9" t="s">
        <v>15</v>
      </c>
      <c r="G419" s="9" t="s">
        <v>16</v>
      </c>
      <c r="H419" s="9" t="s">
        <v>16</v>
      </c>
      <c r="I419" s="9"/>
      <c r="J419" s="9"/>
      <c r="K419" s="9"/>
    </row>
    <row r="420" hidden="1">
      <c r="A420" s="3" t="s">
        <v>1665</v>
      </c>
      <c r="B420" s="2" t="s">
        <v>1666</v>
      </c>
      <c r="C420" s="3" t="s">
        <v>1667</v>
      </c>
      <c r="D420" s="2">
        <v>1.855185100130526E-4</v>
      </c>
      <c r="E420" s="8" t="s">
        <v>1668</v>
      </c>
      <c r="F420" s="9" t="s">
        <v>15</v>
      </c>
      <c r="G420" s="9" t="s">
        <v>16</v>
      </c>
      <c r="H420" s="9" t="s">
        <v>16</v>
      </c>
      <c r="I420" s="9"/>
      <c r="J420" s="9"/>
      <c r="K420" s="9"/>
    </row>
    <row r="421" hidden="1">
      <c r="A421" s="3" t="s">
        <v>1669</v>
      </c>
      <c r="B421" s="2" t="s">
        <v>1670</v>
      </c>
      <c r="C421" s="3" t="s">
        <v>1671</v>
      </c>
      <c r="D421" s="2">
        <v>1.855185100130526E-4</v>
      </c>
      <c r="E421" s="8" t="s">
        <v>1672</v>
      </c>
      <c r="F421" s="9" t="s">
        <v>15</v>
      </c>
      <c r="G421" s="9" t="s">
        <v>16</v>
      </c>
      <c r="H421" s="9" t="s">
        <v>16</v>
      </c>
      <c r="I421" s="9"/>
      <c r="J421" s="9"/>
      <c r="K421" s="9"/>
    </row>
    <row r="422" hidden="1">
      <c r="A422" s="3" t="s">
        <v>1673</v>
      </c>
      <c r="B422" s="2" t="s">
        <v>1674</v>
      </c>
      <c r="C422" s="3" t="s">
        <v>1675</v>
      </c>
      <c r="D422" s="2">
        <v>1.855185100130526E-4</v>
      </c>
      <c r="E422" s="8" t="s">
        <v>1676</v>
      </c>
      <c r="F422" s="9" t="s">
        <v>15</v>
      </c>
      <c r="G422" s="9" t="s">
        <v>16</v>
      </c>
      <c r="H422" s="9" t="s">
        <v>16</v>
      </c>
      <c r="I422" s="9"/>
      <c r="J422" s="9"/>
      <c r="K422" s="9"/>
    </row>
    <row r="423" hidden="1">
      <c r="A423" s="3" t="s">
        <v>1677</v>
      </c>
      <c r="B423" s="2" t="s">
        <v>1678</v>
      </c>
      <c r="C423" s="3" t="s">
        <v>1679</v>
      </c>
      <c r="D423" s="2">
        <v>1.855185100130526E-4</v>
      </c>
      <c r="E423" s="8" t="s">
        <v>1680</v>
      </c>
      <c r="F423" s="9" t="s">
        <v>15</v>
      </c>
      <c r="G423" s="9" t="s">
        <v>16</v>
      </c>
      <c r="H423" s="9" t="s">
        <v>16</v>
      </c>
      <c r="I423" s="9"/>
      <c r="J423" s="9"/>
      <c r="K423" s="9"/>
    </row>
    <row r="424" hidden="1">
      <c r="A424" s="3" t="s">
        <v>1681</v>
      </c>
      <c r="B424" s="2" t="s">
        <v>1682</v>
      </c>
      <c r="C424" s="3" t="s">
        <v>1683</v>
      </c>
      <c r="D424" s="2">
        <v>1.855185100130526E-4</v>
      </c>
      <c r="E424" s="8" t="s">
        <v>1684</v>
      </c>
      <c r="F424" s="9" t="s">
        <v>15</v>
      </c>
      <c r="G424" s="9" t="s">
        <v>16</v>
      </c>
      <c r="H424" s="9" t="s">
        <v>16</v>
      </c>
      <c r="I424" s="9"/>
      <c r="J424" s="9"/>
      <c r="K424" s="9"/>
    </row>
    <row r="425" hidden="1">
      <c r="A425" s="3" t="s">
        <v>1685</v>
      </c>
      <c r="B425" s="2" t="s">
        <v>1686</v>
      </c>
      <c r="C425" s="3" t="s">
        <v>1687</v>
      </c>
      <c r="D425" s="2">
        <v>1.855185100130526E-4</v>
      </c>
      <c r="E425" s="8" t="s">
        <v>1688</v>
      </c>
      <c r="F425" s="9" t="s">
        <v>15</v>
      </c>
      <c r="G425" s="9" t="s">
        <v>16</v>
      </c>
      <c r="H425" s="9" t="s">
        <v>16</v>
      </c>
      <c r="I425" s="9"/>
      <c r="J425" s="9"/>
      <c r="K425" s="9"/>
    </row>
    <row r="426" hidden="1">
      <c r="A426" s="3" t="s">
        <v>1689</v>
      </c>
      <c r="B426" s="2" t="s">
        <v>1690</v>
      </c>
      <c r="C426" s="3" t="s">
        <v>1691</v>
      </c>
      <c r="D426" s="2">
        <v>1.855185100130526E-4</v>
      </c>
      <c r="E426" s="8" t="s">
        <v>1692</v>
      </c>
      <c r="F426" s="9" t="s">
        <v>15</v>
      </c>
      <c r="G426" s="9" t="s">
        <v>16</v>
      </c>
      <c r="H426" s="9" t="s">
        <v>16</v>
      </c>
      <c r="I426" s="9"/>
      <c r="J426" s="9"/>
      <c r="K426" s="9"/>
    </row>
    <row r="427" hidden="1">
      <c r="A427" s="3" t="s">
        <v>1693</v>
      </c>
      <c r="B427" s="2" t="s">
        <v>1694</v>
      </c>
      <c r="C427" s="3" t="s">
        <v>1695</v>
      </c>
      <c r="D427" s="2">
        <v>1.855185100130526E-4</v>
      </c>
      <c r="E427" s="8" t="s">
        <v>1696</v>
      </c>
      <c r="F427" s="9" t="s">
        <v>15</v>
      </c>
      <c r="G427" s="9" t="s">
        <v>16</v>
      </c>
      <c r="H427" s="9" t="s">
        <v>16</v>
      </c>
      <c r="I427" s="9"/>
      <c r="J427" s="9"/>
      <c r="K427" s="9"/>
    </row>
    <row r="428" hidden="1">
      <c r="A428" s="3" t="s">
        <v>1697</v>
      </c>
      <c r="B428" s="2" t="s">
        <v>1698</v>
      </c>
      <c r="C428" s="3" t="s">
        <v>1699</v>
      </c>
      <c r="D428" s="2">
        <v>1.855185100130526E-4</v>
      </c>
      <c r="E428" s="8" t="s">
        <v>1700</v>
      </c>
      <c r="F428" s="9" t="s">
        <v>15</v>
      </c>
      <c r="G428" s="9" t="s">
        <v>16</v>
      </c>
      <c r="H428" s="9" t="s">
        <v>16</v>
      </c>
      <c r="I428" s="9"/>
      <c r="J428" s="9"/>
      <c r="K428" s="9"/>
    </row>
    <row r="429" hidden="1">
      <c r="A429" s="3" t="s">
        <v>1701</v>
      </c>
      <c r="B429" s="2" t="s">
        <v>1702</v>
      </c>
      <c r="C429" s="3" t="s">
        <v>1703</v>
      </c>
      <c r="D429" s="2">
        <v>1.855185100130526E-4</v>
      </c>
      <c r="E429" s="8" t="s">
        <v>1704</v>
      </c>
      <c r="F429" s="9" t="s">
        <v>15</v>
      </c>
      <c r="G429" s="9" t="s">
        <v>16</v>
      </c>
      <c r="H429" s="9" t="s">
        <v>16</v>
      </c>
      <c r="I429" s="9"/>
      <c r="J429" s="9"/>
      <c r="K429" s="9"/>
    </row>
    <row r="430" hidden="1">
      <c r="A430" s="3" t="s">
        <v>1705</v>
      </c>
      <c r="B430" s="2" t="s">
        <v>1706</v>
      </c>
      <c r="C430" s="3" t="s">
        <v>1707</v>
      </c>
      <c r="D430" s="2">
        <v>1.855185100130526E-4</v>
      </c>
      <c r="E430" s="8" t="s">
        <v>1708</v>
      </c>
      <c r="F430" s="9" t="s">
        <v>15</v>
      </c>
      <c r="G430" s="9" t="s">
        <v>16</v>
      </c>
      <c r="H430" s="9" t="s">
        <v>16</v>
      </c>
      <c r="I430" s="9"/>
      <c r="J430" s="9"/>
      <c r="K430" s="9"/>
    </row>
    <row r="431" hidden="1">
      <c r="A431" s="3" t="s">
        <v>1709</v>
      </c>
      <c r="B431" s="2" t="s">
        <v>1710</v>
      </c>
      <c r="C431" s="3" t="s">
        <v>1711</v>
      </c>
      <c r="D431" s="2">
        <v>1.855185100130526E-4</v>
      </c>
      <c r="E431" s="8" t="s">
        <v>1712</v>
      </c>
      <c r="F431" s="9" t="s">
        <v>15</v>
      </c>
      <c r="G431" s="9" t="s">
        <v>16</v>
      </c>
      <c r="H431" s="9" t="s">
        <v>16</v>
      </c>
      <c r="I431" s="9"/>
      <c r="J431" s="9"/>
      <c r="K431" s="9"/>
    </row>
    <row r="432" hidden="1">
      <c r="A432" s="3" t="s">
        <v>1713</v>
      </c>
      <c r="B432" s="2" t="s">
        <v>1714</v>
      </c>
      <c r="C432" s="3" t="s">
        <v>1715</v>
      </c>
      <c r="D432" s="2">
        <v>1.855185100130526E-4</v>
      </c>
      <c r="E432" s="8" t="s">
        <v>1716</v>
      </c>
      <c r="F432" s="9" t="s">
        <v>15</v>
      </c>
      <c r="G432" s="9" t="s">
        <v>16</v>
      </c>
      <c r="H432" s="9" t="s">
        <v>16</v>
      </c>
      <c r="I432" s="9"/>
      <c r="J432" s="9"/>
      <c r="K432" s="9"/>
    </row>
    <row r="433" hidden="1">
      <c r="A433" s="3" t="s">
        <v>1717</v>
      </c>
      <c r="B433" s="2" t="s">
        <v>1718</v>
      </c>
      <c r="C433" s="3" t="s">
        <v>1719</v>
      </c>
      <c r="D433" s="2">
        <v>1.855185100130526E-4</v>
      </c>
      <c r="E433" s="8" t="s">
        <v>1720</v>
      </c>
      <c r="F433" s="9" t="s">
        <v>15</v>
      </c>
      <c r="G433" s="9" t="s">
        <v>16</v>
      </c>
      <c r="H433" s="9" t="s">
        <v>16</v>
      </c>
      <c r="I433" s="9"/>
      <c r="J433" s="9"/>
      <c r="K433" s="9"/>
    </row>
    <row r="434" hidden="1">
      <c r="A434" s="3" t="s">
        <v>1721</v>
      </c>
      <c r="B434" s="2" t="s">
        <v>1722</v>
      </c>
      <c r="C434" s="3" t="s">
        <v>1723</v>
      </c>
      <c r="D434" s="2">
        <v>1.855185100130526E-4</v>
      </c>
      <c r="E434" s="8" t="s">
        <v>1724</v>
      </c>
      <c r="F434" s="9" t="s">
        <v>15</v>
      </c>
      <c r="G434" s="9" t="s">
        <v>16</v>
      </c>
      <c r="H434" s="9" t="s">
        <v>16</v>
      </c>
      <c r="I434" s="9"/>
      <c r="J434" s="9"/>
      <c r="K434" s="9"/>
    </row>
    <row r="435" hidden="1">
      <c r="A435" s="3" t="s">
        <v>1725</v>
      </c>
      <c r="B435" s="2" t="s">
        <v>1726</v>
      </c>
      <c r="C435" s="3" t="s">
        <v>1727</v>
      </c>
      <c r="D435" s="2">
        <v>1.855185100130526E-4</v>
      </c>
      <c r="E435" s="8" t="s">
        <v>1728</v>
      </c>
      <c r="F435" s="9" t="s">
        <v>15</v>
      </c>
      <c r="G435" s="9" t="s">
        <v>16</v>
      </c>
      <c r="H435" s="9" t="s">
        <v>16</v>
      </c>
      <c r="I435" s="9"/>
      <c r="J435" s="9"/>
      <c r="K435" s="9"/>
    </row>
    <row r="436" hidden="1">
      <c r="A436" s="3" t="s">
        <v>1729</v>
      </c>
      <c r="B436" s="2" t="s">
        <v>1730</v>
      </c>
      <c r="C436" s="3" t="s">
        <v>1731</v>
      </c>
      <c r="D436" s="2">
        <v>1.855185100130526E-4</v>
      </c>
      <c r="E436" s="8" t="s">
        <v>1732</v>
      </c>
      <c r="F436" s="9" t="s">
        <v>15</v>
      </c>
      <c r="G436" s="9" t="s">
        <v>16</v>
      </c>
      <c r="H436" s="9" t="s">
        <v>16</v>
      </c>
      <c r="I436" s="9"/>
      <c r="J436" s="9"/>
      <c r="K436" s="9"/>
    </row>
    <row r="437" hidden="1">
      <c r="A437" s="3" t="s">
        <v>1733</v>
      </c>
      <c r="B437" s="2" t="s">
        <v>1734</v>
      </c>
      <c r="C437" s="3" t="s">
        <v>1735</v>
      </c>
      <c r="D437" s="2">
        <v>1.855185100130526E-4</v>
      </c>
      <c r="E437" s="8" t="s">
        <v>1736</v>
      </c>
      <c r="F437" s="9" t="s">
        <v>15</v>
      </c>
      <c r="G437" s="9" t="s">
        <v>16</v>
      </c>
      <c r="H437" s="9" t="s">
        <v>16</v>
      </c>
      <c r="I437" s="9"/>
      <c r="J437" s="9"/>
      <c r="K437" s="9"/>
    </row>
    <row r="438" hidden="1">
      <c r="A438" s="3" t="s">
        <v>1737</v>
      </c>
      <c r="B438" s="2" t="s">
        <v>1738</v>
      </c>
      <c r="C438" s="3" t="s">
        <v>1739</v>
      </c>
      <c r="D438" s="2">
        <v>1.855185100130526E-4</v>
      </c>
      <c r="E438" s="8" t="s">
        <v>1740</v>
      </c>
      <c r="F438" s="9" t="s">
        <v>15</v>
      </c>
      <c r="G438" s="9" t="s">
        <v>16</v>
      </c>
      <c r="H438" s="9" t="s">
        <v>16</v>
      </c>
      <c r="I438" s="9"/>
      <c r="J438" s="9"/>
      <c r="K438" s="9"/>
    </row>
    <row r="439" hidden="1">
      <c r="A439" s="3" t="s">
        <v>1741</v>
      </c>
      <c r="B439" s="2" t="s">
        <v>1742</v>
      </c>
      <c r="C439" s="3" t="s">
        <v>1743</v>
      </c>
      <c r="D439" s="2">
        <v>1.855185100130526E-4</v>
      </c>
      <c r="E439" s="8" t="s">
        <v>1744</v>
      </c>
      <c r="F439" s="9" t="s">
        <v>15</v>
      </c>
      <c r="G439" s="9" t="s">
        <v>16</v>
      </c>
      <c r="H439" s="9" t="s">
        <v>16</v>
      </c>
      <c r="I439" s="9"/>
      <c r="J439" s="9"/>
      <c r="K439" s="9"/>
    </row>
    <row r="440" hidden="1">
      <c r="A440" s="3" t="s">
        <v>1745</v>
      </c>
      <c r="B440" s="2" t="s">
        <v>1746</v>
      </c>
      <c r="C440" s="3" t="s">
        <v>1747</v>
      </c>
      <c r="D440" s="2">
        <v>1.855185100130526E-4</v>
      </c>
      <c r="E440" s="8" t="s">
        <v>1748</v>
      </c>
      <c r="F440" s="9" t="s">
        <v>15</v>
      </c>
      <c r="G440" s="9" t="s">
        <v>16</v>
      </c>
      <c r="H440" s="9" t="s">
        <v>16</v>
      </c>
      <c r="I440" s="9"/>
      <c r="J440" s="9"/>
      <c r="K440" s="9"/>
    </row>
    <row r="441" hidden="1">
      <c r="A441" s="3" t="s">
        <v>1749</v>
      </c>
      <c r="B441" s="2" t="s">
        <v>1750</v>
      </c>
      <c r="C441" s="3" t="s">
        <v>1751</v>
      </c>
      <c r="D441" s="2">
        <v>1.855185100130526E-4</v>
      </c>
      <c r="E441" s="8" t="s">
        <v>1752</v>
      </c>
      <c r="F441" s="9" t="s">
        <v>15</v>
      </c>
      <c r="G441" s="9" t="s">
        <v>16</v>
      </c>
      <c r="H441" s="9" t="s">
        <v>16</v>
      </c>
      <c r="I441" s="9"/>
      <c r="J441" s="9"/>
      <c r="K441" s="9"/>
    </row>
    <row r="442" hidden="1">
      <c r="A442" s="3" t="s">
        <v>1753</v>
      </c>
      <c r="B442" s="2" t="s">
        <v>1754</v>
      </c>
      <c r="C442" s="3" t="s">
        <v>1755</v>
      </c>
      <c r="D442" s="2">
        <v>1.855185100130526E-4</v>
      </c>
      <c r="E442" s="8" t="s">
        <v>1756</v>
      </c>
      <c r="F442" s="9" t="s">
        <v>15</v>
      </c>
      <c r="G442" s="9" t="s">
        <v>16</v>
      </c>
      <c r="H442" s="9" t="s">
        <v>16</v>
      </c>
      <c r="I442" s="9"/>
      <c r="J442" s="9"/>
      <c r="K442" s="9"/>
    </row>
    <row r="443" hidden="1">
      <c r="A443" s="3" t="s">
        <v>1757</v>
      </c>
      <c r="B443" s="2" t="s">
        <v>1758</v>
      </c>
      <c r="C443" s="3" t="s">
        <v>1759</v>
      </c>
      <c r="D443" s="2">
        <v>1.855185100130526E-4</v>
      </c>
      <c r="E443" s="8" t="s">
        <v>1760</v>
      </c>
      <c r="F443" s="9" t="s">
        <v>15</v>
      </c>
      <c r="G443" s="9" t="s">
        <v>16</v>
      </c>
      <c r="H443" s="9" t="s">
        <v>16</v>
      </c>
      <c r="I443" s="9"/>
      <c r="J443" s="9"/>
      <c r="K443" s="9"/>
    </row>
    <row r="444" hidden="1">
      <c r="A444" s="3" t="s">
        <v>1761</v>
      </c>
      <c r="B444" s="2" t="s">
        <v>1762</v>
      </c>
      <c r="C444" s="3" t="s">
        <v>1763</v>
      </c>
      <c r="D444" s="2">
        <v>1.855185100130526E-4</v>
      </c>
      <c r="E444" s="8" t="s">
        <v>1764</v>
      </c>
      <c r="F444" s="9" t="s">
        <v>15</v>
      </c>
      <c r="G444" s="9" t="s">
        <v>16</v>
      </c>
      <c r="H444" s="9" t="s">
        <v>16</v>
      </c>
      <c r="I444" s="9"/>
      <c r="J444" s="9"/>
      <c r="K444" s="9"/>
    </row>
    <row r="445" hidden="1">
      <c r="A445" s="3" t="s">
        <v>1765</v>
      </c>
      <c r="B445" s="2" t="s">
        <v>1766</v>
      </c>
      <c r="C445" s="3" t="s">
        <v>1767</v>
      </c>
      <c r="D445" s="2">
        <v>1.855185100130526E-4</v>
      </c>
      <c r="E445" s="8" t="s">
        <v>1768</v>
      </c>
      <c r="F445" s="9" t="s">
        <v>15</v>
      </c>
      <c r="G445" s="9" t="s">
        <v>16</v>
      </c>
      <c r="H445" s="9" t="s">
        <v>16</v>
      </c>
      <c r="I445" s="9"/>
      <c r="J445" s="9"/>
      <c r="K445" s="9"/>
    </row>
    <row r="446" hidden="1">
      <c r="A446" s="3" t="s">
        <v>1769</v>
      </c>
      <c r="B446" s="2" t="s">
        <v>1770</v>
      </c>
      <c r="C446" s="3" t="s">
        <v>1771</v>
      </c>
      <c r="D446" s="2">
        <v>1.855185100130526E-4</v>
      </c>
      <c r="E446" s="8" t="s">
        <v>1772</v>
      </c>
      <c r="F446" s="9" t="s">
        <v>15</v>
      </c>
      <c r="G446" s="9" t="s">
        <v>16</v>
      </c>
      <c r="H446" s="9" t="s">
        <v>16</v>
      </c>
      <c r="I446" s="9"/>
      <c r="J446" s="9"/>
      <c r="K446" s="9"/>
    </row>
    <row r="447" hidden="1">
      <c r="A447" s="3" t="s">
        <v>1773</v>
      </c>
      <c r="B447" s="2" t="s">
        <v>1774</v>
      </c>
      <c r="C447" s="3" t="s">
        <v>1775</v>
      </c>
      <c r="D447" s="2">
        <v>1.855185100130526E-4</v>
      </c>
      <c r="E447" s="8" t="s">
        <v>1776</v>
      </c>
      <c r="F447" s="9" t="s">
        <v>15</v>
      </c>
      <c r="G447" s="9" t="s">
        <v>16</v>
      </c>
      <c r="H447" s="9" t="s">
        <v>16</v>
      </c>
      <c r="I447" s="9"/>
      <c r="J447" s="9"/>
      <c r="K447" s="9"/>
    </row>
    <row r="448" hidden="1">
      <c r="A448" s="3" t="s">
        <v>1777</v>
      </c>
      <c r="B448" s="2" t="s">
        <v>1778</v>
      </c>
      <c r="C448" s="3" t="s">
        <v>1779</v>
      </c>
      <c r="D448" s="2">
        <v>1.855185100130526E-4</v>
      </c>
      <c r="E448" s="8" t="s">
        <v>1780</v>
      </c>
      <c r="F448" s="9" t="s">
        <v>15</v>
      </c>
      <c r="G448" s="9" t="s">
        <v>16</v>
      </c>
      <c r="H448" s="9" t="s">
        <v>16</v>
      </c>
      <c r="I448" s="9"/>
      <c r="J448" s="9"/>
      <c r="K448" s="9"/>
    </row>
    <row r="449" hidden="1">
      <c r="A449" s="3" t="s">
        <v>1781</v>
      </c>
      <c r="B449" s="2" t="s">
        <v>1782</v>
      </c>
      <c r="C449" s="3" t="s">
        <v>1783</v>
      </c>
      <c r="D449" s="2">
        <v>1.855185100130526E-4</v>
      </c>
      <c r="E449" s="8" t="s">
        <v>1784</v>
      </c>
      <c r="F449" s="9" t="s">
        <v>15</v>
      </c>
      <c r="G449" s="9" t="s">
        <v>16</v>
      </c>
      <c r="H449" s="9" t="s">
        <v>16</v>
      </c>
      <c r="I449" s="9"/>
      <c r="J449" s="9"/>
      <c r="K449" s="9"/>
    </row>
    <row r="450" hidden="1">
      <c r="A450" s="3" t="s">
        <v>1785</v>
      </c>
      <c r="B450" s="2" t="s">
        <v>1786</v>
      </c>
      <c r="C450" s="3" t="s">
        <v>1787</v>
      </c>
      <c r="D450" s="2">
        <v>1.855185100130526E-4</v>
      </c>
      <c r="E450" s="8" t="s">
        <v>1788</v>
      </c>
      <c r="F450" s="9" t="s">
        <v>15</v>
      </c>
      <c r="G450" s="9" t="s">
        <v>16</v>
      </c>
      <c r="H450" s="9" t="s">
        <v>16</v>
      </c>
      <c r="I450" s="9"/>
      <c r="J450" s="9"/>
      <c r="K450" s="9"/>
    </row>
    <row r="451" hidden="1">
      <c r="A451" s="3" t="s">
        <v>1789</v>
      </c>
      <c r="B451" s="2" t="s">
        <v>1790</v>
      </c>
      <c r="C451" s="3" t="s">
        <v>1791</v>
      </c>
      <c r="D451" s="2">
        <v>1.855185100130526E-4</v>
      </c>
      <c r="E451" s="8" t="s">
        <v>1792</v>
      </c>
      <c r="F451" s="9" t="s">
        <v>15</v>
      </c>
      <c r="G451" s="9" t="s">
        <v>16</v>
      </c>
      <c r="H451" s="9" t="s">
        <v>16</v>
      </c>
      <c r="I451" s="9"/>
      <c r="J451" s="9"/>
      <c r="K451" s="9"/>
    </row>
    <row r="452" hidden="1">
      <c r="A452" s="3" t="s">
        <v>1793</v>
      </c>
      <c r="B452" s="2" t="s">
        <v>1794</v>
      </c>
      <c r="C452" s="3" t="s">
        <v>1795</v>
      </c>
      <c r="D452" s="2">
        <v>1.855185100130526E-4</v>
      </c>
      <c r="E452" s="8" t="s">
        <v>1796</v>
      </c>
      <c r="F452" s="9" t="s">
        <v>15</v>
      </c>
      <c r="G452" s="9" t="s">
        <v>16</v>
      </c>
      <c r="H452" s="9" t="s">
        <v>16</v>
      </c>
      <c r="I452" s="9"/>
      <c r="J452" s="9"/>
      <c r="K452" s="9"/>
    </row>
    <row r="453" hidden="1">
      <c r="A453" s="3" t="s">
        <v>1797</v>
      </c>
      <c r="B453" s="2" t="s">
        <v>1798</v>
      </c>
      <c r="C453" s="3" t="s">
        <v>1799</v>
      </c>
      <c r="D453" s="2">
        <v>1.855185100130526E-4</v>
      </c>
      <c r="E453" s="8" t="s">
        <v>1800</v>
      </c>
      <c r="F453" s="9" t="s">
        <v>15</v>
      </c>
      <c r="G453" s="9" t="s">
        <v>16</v>
      </c>
      <c r="H453" s="9" t="s">
        <v>16</v>
      </c>
      <c r="I453" s="9"/>
      <c r="J453" s="9"/>
      <c r="K453" s="9"/>
    </row>
    <row r="454" hidden="1">
      <c r="A454" s="3" t="s">
        <v>1801</v>
      </c>
      <c r="B454" s="2" t="s">
        <v>1802</v>
      </c>
      <c r="C454" s="3" t="s">
        <v>1803</v>
      </c>
      <c r="D454" s="2">
        <v>1.855185100130526E-4</v>
      </c>
      <c r="E454" s="8" t="s">
        <v>1804</v>
      </c>
      <c r="F454" s="9" t="s">
        <v>15</v>
      </c>
      <c r="G454" s="9" t="s">
        <v>16</v>
      </c>
      <c r="H454" s="9" t="s">
        <v>16</v>
      </c>
      <c r="I454" s="9"/>
      <c r="J454" s="9"/>
      <c r="K454" s="9"/>
    </row>
    <row r="455" hidden="1">
      <c r="A455" s="3" t="s">
        <v>1805</v>
      </c>
      <c r="B455" s="2" t="s">
        <v>1806</v>
      </c>
      <c r="C455" s="3" t="s">
        <v>1807</v>
      </c>
      <c r="D455" s="2">
        <v>1.855185100130526E-4</v>
      </c>
      <c r="E455" s="8" t="s">
        <v>1808</v>
      </c>
      <c r="F455" s="9" t="s">
        <v>15</v>
      </c>
      <c r="G455" s="9" t="s">
        <v>16</v>
      </c>
      <c r="H455" s="9" t="s">
        <v>16</v>
      </c>
      <c r="I455" s="9"/>
      <c r="J455" s="9"/>
      <c r="K455" s="9"/>
    </row>
    <row r="456" hidden="1">
      <c r="A456" s="3" t="s">
        <v>1809</v>
      </c>
      <c r="B456" s="2" t="s">
        <v>1810</v>
      </c>
      <c r="C456" s="3" t="s">
        <v>1811</v>
      </c>
      <c r="D456" s="2">
        <v>1.855185100130526E-4</v>
      </c>
      <c r="E456" s="8" t="s">
        <v>1812</v>
      </c>
      <c r="F456" s="9" t="s">
        <v>15</v>
      </c>
      <c r="G456" s="9" t="s">
        <v>16</v>
      </c>
      <c r="H456" s="9" t="s">
        <v>16</v>
      </c>
      <c r="I456" s="9"/>
      <c r="J456" s="9"/>
      <c r="K456" s="9"/>
    </row>
    <row r="457" hidden="1">
      <c r="A457" s="3" t="s">
        <v>1813</v>
      </c>
      <c r="B457" s="2" t="s">
        <v>1814</v>
      </c>
      <c r="C457" s="3" t="s">
        <v>1815</v>
      </c>
      <c r="D457" s="2">
        <v>1.855185100130526E-4</v>
      </c>
      <c r="E457" s="8" t="s">
        <v>1816</v>
      </c>
      <c r="F457" s="9" t="s">
        <v>15</v>
      </c>
      <c r="G457" s="9" t="s">
        <v>16</v>
      </c>
      <c r="H457" s="9" t="s">
        <v>16</v>
      </c>
      <c r="I457" s="9"/>
      <c r="J457" s="9"/>
      <c r="K457" s="9"/>
    </row>
    <row r="458" hidden="1">
      <c r="A458" s="3" t="s">
        <v>1817</v>
      </c>
      <c r="B458" s="2" t="s">
        <v>1818</v>
      </c>
      <c r="C458" s="3" t="s">
        <v>1819</v>
      </c>
      <c r="D458" s="2">
        <v>1.855185100130526E-4</v>
      </c>
      <c r="E458" s="8" t="s">
        <v>1820</v>
      </c>
      <c r="F458" s="9" t="s">
        <v>15</v>
      </c>
      <c r="G458" s="9" t="s">
        <v>16</v>
      </c>
      <c r="H458" s="9" t="s">
        <v>16</v>
      </c>
      <c r="I458" s="9"/>
      <c r="J458" s="9"/>
      <c r="K458" s="9"/>
    </row>
    <row r="459" hidden="1">
      <c r="A459" s="3" t="s">
        <v>1821</v>
      </c>
      <c r="B459" s="2" t="s">
        <v>1822</v>
      </c>
      <c r="C459" s="3" t="s">
        <v>1823</v>
      </c>
      <c r="D459" s="2">
        <v>1.855185100130526E-4</v>
      </c>
      <c r="E459" s="8" t="s">
        <v>1824</v>
      </c>
      <c r="F459" s="9" t="s">
        <v>15</v>
      </c>
      <c r="G459" s="9" t="s">
        <v>16</v>
      </c>
      <c r="H459" s="9" t="s">
        <v>16</v>
      </c>
      <c r="I459" s="9"/>
      <c r="J459" s="9"/>
      <c r="K459" s="9"/>
    </row>
    <row r="460" hidden="1">
      <c r="A460" s="3" t="s">
        <v>1825</v>
      </c>
      <c r="B460" s="2" t="s">
        <v>1826</v>
      </c>
      <c r="C460" s="3" t="s">
        <v>1827</v>
      </c>
      <c r="D460" s="2">
        <v>1.855185100130526E-4</v>
      </c>
      <c r="E460" s="8" t="s">
        <v>1828</v>
      </c>
      <c r="F460" s="9" t="s">
        <v>15</v>
      </c>
      <c r="G460" s="9" t="s">
        <v>16</v>
      </c>
      <c r="H460" s="9" t="s">
        <v>16</v>
      </c>
      <c r="I460" s="9"/>
      <c r="J460" s="9"/>
      <c r="K460" s="9"/>
    </row>
    <row r="461" hidden="1">
      <c r="A461" s="3" t="s">
        <v>1829</v>
      </c>
      <c r="B461" s="2" t="s">
        <v>1830</v>
      </c>
      <c r="C461" s="3" t="s">
        <v>1831</v>
      </c>
      <c r="D461" s="2">
        <v>1.855185100130526E-4</v>
      </c>
      <c r="E461" s="8" t="s">
        <v>1832</v>
      </c>
      <c r="F461" s="9" t="s">
        <v>15</v>
      </c>
      <c r="G461" s="9" t="s">
        <v>16</v>
      </c>
      <c r="H461" s="9" t="s">
        <v>16</v>
      </c>
      <c r="I461" s="9"/>
      <c r="J461" s="9"/>
      <c r="K461" s="9"/>
    </row>
    <row r="462" hidden="1">
      <c r="A462" s="3" t="s">
        <v>1833</v>
      </c>
      <c r="B462" s="2" t="s">
        <v>1834</v>
      </c>
      <c r="C462" s="3" t="s">
        <v>1835</v>
      </c>
      <c r="D462" s="2">
        <v>1.855185100130526E-4</v>
      </c>
      <c r="E462" s="8" t="s">
        <v>1836</v>
      </c>
      <c r="F462" s="9" t="s">
        <v>15</v>
      </c>
      <c r="G462" s="9" t="s">
        <v>16</v>
      </c>
      <c r="H462" s="9" t="s">
        <v>16</v>
      </c>
      <c r="I462" s="9"/>
      <c r="J462" s="9"/>
      <c r="K462" s="9"/>
    </row>
    <row r="463" hidden="1">
      <c r="A463" s="3" t="s">
        <v>1837</v>
      </c>
      <c r="B463" s="2" t="s">
        <v>1838</v>
      </c>
      <c r="C463" s="3" t="s">
        <v>1839</v>
      </c>
      <c r="D463" s="2">
        <v>1.855185100130526E-4</v>
      </c>
      <c r="E463" s="8" t="s">
        <v>1840</v>
      </c>
      <c r="F463" s="9" t="s">
        <v>15</v>
      </c>
      <c r="G463" s="9" t="s">
        <v>16</v>
      </c>
      <c r="H463" s="9" t="s">
        <v>16</v>
      </c>
      <c r="I463" s="9"/>
      <c r="J463" s="9"/>
      <c r="K463" s="9"/>
    </row>
    <row r="464" hidden="1">
      <c r="A464" s="3" t="s">
        <v>1841</v>
      </c>
      <c r="B464" s="2" t="s">
        <v>1842</v>
      </c>
      <c r="C464" s="3" t="s">
        <v>1843</v>
      </c>
      <c r="D464" s="2">
        <v>1.855185100130526E-4</v>
      </c>
      <c r="E464" s="8" t="s">
        <v>1844</v>
      </c>
      <c r="F464" s="9" t="s">
        <v>15</v>
      </c>
      <c r="G464" s="9" t="s">
        <v>16</v>
      </c>
      <c r="H464" s="9" t="s">
        <v>16</v>
      </c>
      <c r="I464" s="9"/>
      <c r="J464" s="9"/>
      <c r="K464" s="9"/>
    </row>
    <row r="465" hidden="1">
      <c r="A465" s="3" t="s">
        <v>1845</v>
      </c>
      <c r="B465" s="2" t="s">
        <v>1846</v>
      </c>
      <c r="C465" s="3" t="s">
        <v>1847</v>
      </c>
      <c r="D465" s="2">
        <v>1.855185100130526E-4</v>
      </c>
      <c r="E465" s="8" t="s">
        <v>1848</v>
      </c>
      <c r="F465" s="9" t="s">
        <v>15</v>
      </c>
      <c r="G465" s="9" t="s">
        <v>16</v>
      </c>
      <c r="H465" s="9" t="s">
        <v>16</v>
      </c>
      <c r="I465" s="9"/>
      <c r="J465" s="9"/>
      <c r="K465" s="9"/>
    </row>
    <row r="466" hidden="1">
      <c r="A466" s="3" t="s">
        <v>1849</v>
      </c>
      <c r="B466" s="2" t="s">
        <v>1850</v>
      </c>
      <c r="C466" s="3" t="s">
        <v>1851</v>
      </c>
      <c r="D466" s="2">
        <v>1.855185100130526E-4</v>
      </c>
      <c r="E466" s="8" t="s">
        <v>1852</v>
      </c>
      <c r="F466" s="9" t="s">
        <v>15</v>
      </c>
      <c r="G466" s="9" t="s">
        <v>16</v>
      </c>
      <c r="H466" s="9" t="s">
        <v>16</v>
      </c>
      <c r="I466" s="9"/>
      <c r="J466" s="9"/>
      <c r="K466" s="9"/>
    </row>
    <row r="467" hidden="1">
      <c r="A467" s="3" t="s">
        <v>1853</v>
      </c>
      <c r="B467" s="2" t="s">
        <v>1854</v>
      </c>
      <c r="C467" s="3" t="s">
        <v>1855</v>
      </c>
      <c r="D467" s="2">
        <v>1.855185100130526E-4</v>
      </c>
      <c r="E467" s="8" t="s">
        <v>1856</v>
      </c>
      <c r="F467" s="9" t="s">
        <v>15</v>
      </c>
      <c r="G467" s="9" t="s">
        <v>16</v>
      </c>
      <c r="H467" s="9" t="s">
        <v>16</v>
      </c>
      <c r="I467" s="9"/>
      <c r="J467" s="9"/>
      <c r="K467" s="9"/>
    </row>
    <row r="468" hidden="1">
      <c r="A468" s="3" t="s">
        <v>1857</v>
      </c>
      <c r="B468" s="2" t="s">
        <v>1858</v>
      </c>
      <c r="C468" s="3" t="s">
        <v>1859</v>
      </c>
      <c r="D468" s="2">
        <v>1.855185100130526E-4</v>
      </c>
      <c r="E468" s="8" t="s">
        <v>1860</v>
      </c>
      <c r="F468" s="9" t="s">
        <v>15</v>
      </c>
      <c r="G468" s="9" t="s">
        <v>16</v>
      </c>
      <c r="H468" s="9" t="s">
        <v>16</v>
      </c>
      <c r="I468" s="9"/>
      <c r="J468" s="9"/>
      <c r="K468" s="9"/>
    </row>
    <row r="469" hidden="1">
      <c r="A469" s="3" t="s">
        <v>1861</v>
      </c>
      <c r="B469" s="2" t="s">
        <v>1862</v>
      </c>
      <c r="C469" s="3" t="s">
        <v>1863</v>
      </c>
      <c r="D469" s="2">
        <v>1.855185100130526E-4</v>
      </c>
      <c r="E469" s="8" t="s">
        <v>1864</v>
      </c>
      <c r="F469" s="9" t="s">
        <v>15</v>
      </c>
      <c r="G469" s="9" t="s">
        <v>16</v>
      </c>
      <c r="H469" s="9" t="s">
        <v>16</v>
      </c>
      <c r="I469" s="9"/>
      <c r="J469" s="9"/>
      <c r="K469" s="9"/>
    </row>
    <row r="470" hidden="1">
      <c r="A470" s="3" t="s">
        <v>1865</v>
      </c>
      <c r="B470" s="2" t="s">
        <v>1866</v>
      </c>
      <c r="C470" s="3" t="s">
        <v>1867</v>
      </c>
      <c r="D470" s="2">
        <v>1.855185100130526E-4</v>
      </c>
      <c r="E470" s="8" t="s">
        <v>1868</v>
      </c>
      <c r="F470" s="9" t="s">
        <v>16</v>
      </c>
      <c r="G470" s="9" t="s">
        <v>16</v>
      </c>
      <c r="H470" s="9" t="s">
        <v>16</v>
      </c>
      <c r="I470" s="9"/>
      <c r="J470" s="9" t="s">
        <v>15</v>
      </c>
      <c r="K470" s="9"/>
    </row>
    <row r="471" hidden="1">
      <c r="A471" s="3" t="s">
        <v>1869</v>
      </c>
      <c r="B471" s="2" t="s">
        <v>1870</v>
      </c>
      <c r="C471" s="3" t="s">
        <v>1871</v>
      </c>
      <c r="D471" s="2">
        <v>1.855185100130526E-4</v>
      </c>
      <c r="E471" s="8" t="s">
        <v>1872</v>
      </c>
      <c r="F471" s="9" t="s">
        <v>15</v>
      </c>
      <c r="G471" s="9" t="s">
        <v>16</v>
      </c>
      <c r="H471" s="9" t="s">
        <v>16</v>
      </c>
      <c r="I471" s="9"/>
      <c r="J471" s="9"/>
      <c r="K471" s="9"/>
    </row>
    <row r="472" hidden="1">
      <c r="A472" s="3" t="s">
        <v>1873</v>
      </c>
      <c r="B472" s="2" t="s">
        <v>1874</v>
      </c>
      <c r="C472" s="3" t="s">
        <v>1875</v>
      </c>
      <c r="D472" s="2">
        <v>1.855185100130526E-4</v>
      </c>
      <c r="E472" s="8" t="s">
        <v>1876</v>
      </c>
      <c r="F472" s="9" t="s">
        <v>15</v>
      </c>
      <c r="G472" s="9" t="s">
        <v>16</v>
      </c>
      <c r="H472" s="9" t="s">
        <v>16</v>
      </c>
      <c r="I472" s="9"/>
      <c r="J472" s="9"/>
      <c r="K472" s="9"/>
    </row>
    <row r="473" hidden="1">
      <c r="A473" s="3" t="s">
        <v>1877</v>
      </c>
      <c r="B473" s="2" t="s">
        <v>1878</v>
      </c>
      <c r="C473" s="3" t="s">
        <v>1879</v>
      </c>
      <c r="D473" s="2">
        <v>1.855185100130526E-4</v>
      </c>
      <c r="E473" s="8" t="s">
        <v>1880</v>
      </c>
      <c r="F473" s="9" t="s">
        <v>15</v>
      </c>
      <c r="G473" s="9" t="s">
        <v>16</v>
      </c>
      <c r="H473" s="9" t="s">
        <v>16</v>
      </c>
      <c r="I473" s="9"/>
      <c r="J473" s="9"/>
      <c r="K473" s="9"/>
    </row>
    <row r="474" hidden="1">
      <c r="A474" s="3" t="s">
        <v>1881</v>
      </c>
      <c r="B474" s="2" t="s">
        <v>1882</v>
      </c>
      <c r="C474" s="3" t="s">
        <v>1883</v>
      </c>
      <c r="D474" s="2">
        <v>1.855185100130526E-4</v>
      </c>
      <c r="E474" s="8" t="s">
        <v>1884</v>
      </c>
      <c r="F474" s="9" t="s">
        <v>15</v>
      </c>
      <c r="G474" s="9" t="s">
        <v>16</v>
      </c>
      <c r="H474" s="9" t="s">
        <v>16</v>
      </c>
      <c r="I474" s="9"/>
      <c r="J474" s="9"/>
      <c r="K474" s="9"/>
    </row>
    <row r="475" hidden="1">
      <c r="A475" s="3" t="s">
        <v>1885</v>
      </c>
      <c r="B475" s="2" t="s">
        <v>1886</v>
      </c>
      <c r="C475" s="3" t="s">
        <v>1887</v>
      </c>
      <c r="D475" s="2">
        <v>1.855185100130526E-4</v>
      </c>
      <c r="E475" s="8" t="s">
        <v>1688</v>
      </c>
      <c r="F475" s="9" t="s">
        <v>15</v>
      </c>
      <c r="G475" s="9" t="s">
        <v>16</v>
      </c>
      <c r="H475" s="9" t="s">
        <v>16</v>
      </c>
      <c r="I475" s="9"/>
      <c r="J475" s="9"/>
      <c r="K475" s="9"/>
    </row>
    <row r="476" hidden="1">
      <c r="A476" s="3" t="s">
        <v>1888</v>
      </c>
      <c r="B476" s="2" t="s">
        <v>1888</v>
      </c>
      <c r="C476" s="3" t="s">
        <v>1889</v>
      </c>
      <c r="D476" s="2">
        <v>1.855185100130526E-4</v>
      </c>
      <c r="E476" s="8" t="s">
        <v>1890</v>
      </c>
      <c r="F476" s="9" t="s">
        <v>15</v>
      </c>
      <c r="G476" s="9" t="s">
        <v>16</v>
      </c>
      <c r="H476" s="9" t="s">
        <v>16</v>
      </c>
      <c r="I476" s="9"/>
      <c r="J476" s="9"/>
      <c r="K476" s="9"/>
    </row>
    <row r="477" hidden="1">
      <c r="A477" s="3" t="s">
        <v>1891</v>
      </c>
      <c r="B477" s="2" t="s">
        <v>1892</v>
      </c>
      <c r="C477" s="3" t="s">
        <v>1893</v>
      </c>
      <c r="D477" s="2">
        <v>1.855185100130526E-4</v>
      </c>
      <c r="E477" s="8" t="s">
        <v>1894</v>
      </c>
      <c r="F477" s="9" t="s">
        <v>15</v>
      </c>
      <c r="G477" s="9" t="s">
        <v>16</v>
      </c>
      <c r="H477" s="9" t="s">
        <v>16</v>
      </c>
      <c r="I477" s="9"/>
      <c r="J477" s="9"/>
      <c r="K477" s="9"/>
    </row>
    <row r="478" hidden="1">
      <c r="A478" s="3" t="s">
        <v>1895</v>
      </c>
      <c r="B478" s="2" t="s">
        <v>1896</v>
      </c>
      <c r="C478" s="3" t="s">
        <v>1897</v>
      </c>
      <c r="D478" s="2">
        <v>1.855185100130526E-4</v>
      </c>
      <c r="E478" s="8" t="s">
        <v>1898</v>
      </c>
      <c r="F478" s="9" t="s">
        <v>15</v>
      </c>
      <c r="G478" s="9" t="s">
        <v>16</v>
      </c>
      <c r="H478" s="9" t="s">
        <v>16</v>
      </c>
      <c r="I478" s="9"/>
      <c r="J478" s="9"/>
      <c r="K478" s="9"/>
    </row>
    <row r="479" hidden="1">
      <c r="A479" s="3" t="s">
        <v>1899</v>
      </c>
      <c r="B479" s="2" t="s">
        <v>1900</v>
      </c>
      <c r="C479" s="3" t="s">
        <v>1901</v>
      </c>
      <c r="D479" s="2">
        <v>1.855185100130526E-4</v>
      </c>
      <c r="E479" s="8" t="s">
        <v>1902</v>
      </c>
      <c r="F479" s="9" t="s">
        <v>15</v>
      </c>
      <c r="G479" s="9" t="s">
        <v>16</v>
      </c>
      <c r="H479" s="9" t="s">
        <v>16</v>
      </c>
      <c r="I479" s="9"/>
      <c r="J479" s="9"/>
      <c r="K479" s="9"/>
    </row>
    <row r="480" hidden="1">
      <c r="A480" s="3" t="s">
        <v>1903</v>
      </c>
      <c r="B480" s="2" t="s">
        <v>1904</v>
      </c>
      <c r="C480" s="3" t="s">
        <v>1905</v>
      </c>
      <c r="D480" s="2">
        <v>1.855185100130526E-4</v>
      </c>
      <c r="E480" s="8" t="s">
        <v>1906</v>
      </c>
      <c r="F480" s="9" t="s">
        <v>15</v>
      </c>
      <c r="G480" s="9" t="s">
        <v>16</v>
      </c>
      <c r="H480" s="9" t="s">
        <v>16</v>
      </c>
      <c r="I480" s="9"/>
      <c r="J480" s="9"/>
      <c r="K480" s="9"/>
    </row>
    <row r="481" hidden="1">
      <c r="A481" s="3" t="s">
        <v>1907</v>
      </c>
      <c r="B481" s="2" t="s">
        <v>1908</v>
      </c>
      <c r="C481" s="3" t="s">
        <v>1909</v>
      </c>
      <c r="D481" s="2">
        <v>1.855185100130526E-4</v>
      </c>
      <c r="E481" s="8" t="s">
        <v>1910</v>
      </c>
      <c r="F481" s="9" t="s">
        <v>15</v>
      </c>
      <c r="G481" s="9" t="s">
        <v>16</v>
      </c>
      <c r="H481" s="9" t="s">
        <v>16</v>
      </c>
      <c r="I481" s="9"/>
      <c r="J481" s="9"/>
      <c r="K481" s="9"/>
    </row>
    <row r="482" hidden="1">
      <c r="A482" s="3" t="s">
        <v>1911</v>
      </c>
      <c r="B482" s="2" t="s">
        <v>1912</v>
      </c>
      <c r="C482" s="3" t="s">
        <v>1913</v>
      </c>
      <c r="D482" s="2">
        <v>1.855185100130526E-4</v>
      </c>
      <c r="E482" s="8" t="s">
        <v>1914</v>
      </c>
      <c r="F482" s="9" t="s">
        <v>15</v>
      </c>
      <c r="G482" s="9" t="s">
        <v>16</v>
      </c>
      <c r="H482" s="9" t="s">
        <v>16</v>
      </c>
      <c r="I482" s="9"/>
      <c r="J482" s="9"/>
      <c r="K482" s="9"/>
    </row>
    <row r="483" hidden="1">
      <c r="A483" s="3" t="s">
        <v>1915</v>
      </c>
      <c r="B483" s="2" t="s">
        <v>1916</v>
      </c>
      <c r="C483" s="3" t="s">
        <v>1917</v>
      </c>
      <c r="D483" s="2">
        <v>1.855185100130526E-4</v>
      </c>
      <c r="E483" s="8" t="s">
        <v>1918</v>
      </c>
      <c r="F483" s="9" t="s">
        <v>15</v>
      </c>
      <c r="G483" s="9" t="s">
        <v>16</v>
      </c>
      <c r="H483" s="9" t="s">
        <v>16</v>
      </c>
      <c r="I483" s="9"/>
      <c r="J483" s="9"/>
      <c r="K483" s="9"/>
    </row>
    <row r="484" hidden="1">
      <c r="A484" s="3" t="s">
        <v>1919</v>
      </c>
      <c r="B484" s="2" t="s">
        <v>1920</v>
      </c>
      <c r="C484" s="3"/>
      <c r="D484" s="2">
        <v>1.855185100130526E-4</v>
      </c>
      <c r="E484" s="8" t="s">
        <v>1921</v>
      </c>
      <c r="F484" s="9" t="s">
        <v>15</v>
      </c>
      <c r="G484" s="9" t="s">
        <v>16</v>
      </c>
      <c r="H484" s="9" t="s">
        <v>16</v>
      </c>
      <c r="I484" s="9"/>
      <c r="J484" s="9"/>
      <c r="K484" s="9"/>
    </row>
    <row r="485" hidden="1">
      <c r="A485" s="3" t="s">
        <v>1922</v>
      </c>
      <c r="B485" s="2" t="s">
        <v>1923</v>
      </c>
      <c r="C485" s="3" t="s">
        <v>1924</v>
      </c>
      <c r="D485" s="2">
        <v>1.855185100130526E-4</v>
      </c>
      <c r="E485" s="8" t="s">
        <v>1925</v>
      </c>
      <c r="F485" s="9" t="s">
        <v>15</v>
      </c>
      <c r="G485" s="9" t="s">
        <v>16</v>
      </c>
      <c r="H485" s="9" t="s">
        <v>16</v>
      </c>
      <c r="I485" s="9"/>
      <c r="J485" s="9"/>
      <c r="K485" s="9"/>
    </row>
    <row r="486" hidden="1">
      <c r="A486" s="3" t="s">
        <v>1926</v>
      </c>
      <c r="B486" s="2" t="s">
        <v>1927</v>
      </c>
      <c r="C486" s="3" t="s">
        <v>1928</v>
      </c>
      <c r="D486" s="2">
        <v>1.855185100130526E-4</v>
      </c>
      <c r="E486" s="8" t="s">
        <v>1929</v>
      </c>
      <c r="F486" s="9" t="s">
        <v>15</v>
      </c>
      <c r="G486" s="9" t="s">
        <v>16</v>
      </c>
      <c r="H486" s="9" t="s">
        <v>16</v>
      </c>
      <c r="I486" s="9"/>
      <c r="J486" s="9"/>
      <c r="K486" s="9"/>
    </row>
    <row r="487" hidden="1">
      <c r="A487" s="3" t="s">
        <v>1930</v>
      </c>
      <c r="B487" s="2" t="s">
        <v>1931</v>
      </c>
      <c r="C487" s="3" t="s">
        <v>1932</v>
      </c>
      <c r="D487" s="2">
        <v>1.855185100130526E-4</v>
      </c>
      <c r="E487" s="8" t="s">
        <v>1933</v>
      </c>
      <c r="F487" s="9" t="s">
        <v>15</v>
      </c>
      <c r="G487" s="9" t="s">
        <v>16</v>
      </c>
      <c r="H487" s="9" t="s">
        <v>16</v>
      </c>
      <c r="I487" s="9"/>
      <c r="J487" s="9"/>
      <c r="K487" s="9"/>
    </row>
    <row r="488" hidden="1">
      <c r="A488" s="3" t="s">
        <v>1934</v>
      </c>
      <c r="B488" s="2" t="s">
        <v>1935</v>
      </c>
      <c r="C488" s="3" t="s">
        <v>1936</v>
      </c>
      <c r="D488" s="2">
        <v>1.855185100130526E-4</v>
      </c>
      <c r="E488" s="8" t="s">
        <v>1937</v>
      </c>
      <c r="F488" s="9" t="s">
        <v>15</v>
      </c>
      <c r="G488" s="9" t="s">
        <v>16</v>
      </c>
      <c r="H488" s="9" t="s">
        <v>16</v>
      </c>
      <c r="I488" s="9"/>
      <c r="J488" s="9"/>
      <c r="K488" s="9"/>
    </row>
    <row r="489" hidden="1">
      <c r="A489" s="3" t="s">
        <v>1938</v>
      </c>
      <c r="B489" s="2" t="s">
        <v>1939</v>
      </c>
      <c r="C489" s="3" t="s">
        <v>1940</v>
      </c>
      <c r="D489" s="2">
        <v>1.855185100130526E-4</v>
      </c>
      <c r="E489" s="8" t="s">
        <v>1941</v>
      </c>
      <c r="F489" s="9" t="s">
        <v>15</v>
      </c>
      <c r="G489" s="9" t="s">
        <v>16</v>
      </c>
      <c r="H489" s="9" t="s">
        <v>16</v>
      </c>
      <c r="I489" s="9"/>
      <c r="J489" s="9"/>
      <c r="K489" s="9"/>
    </row>
    <row r="490" hidden="1">
      <c r="A490" s="3" t="s">
        <v>1942</v>
      </c>
      <c r="B490" s="2" t="s">
        <v>1943</v>
      </c>
      <c r="C490" s="3" t="s">
        <v>1944</v>
      </c>
      <c r="D490" s="2">
        <v>1.855185100130526E-4</v>
      </c>
      <c r="E490" s="8" t="s">
        <v>1945</v>
      </c>
      <c r="F490" s="9" t="s">
        <v>15</v>
      </c>
      <c r="G490" s="9" t="s">
        <v>16</v>
      </c>
      <c r="H490" s="9" t="s">
        <v>16</v>
      </c>
      <c r="I490" s="9"/>
      <c r="J490" s="9"/>
      <c r="K490" s="9"/>
    </row>
    <row r="491" hidden="1">
      <c r="A491" s="3" t="s">
        <v>1946</v>
      </c>
      <c r="B491" s="2" t="s">
        <v>1947</v>
      </c>
      <c r="C491" s="3" t="s">
        <v>1948</v>
      </c>
      <c r="D491" s="2">
        <v>1.855185100130526E-4</v>
      </c>
      <c r="E491" s="8" t="s">
        <v>1949</v>
      </c>
      <c r="F491" s="9" t="s">
        <v>15</v>
      </c>
      <c r="G491" s="9" t="s">
        <v>16</v>
      </c>
      <c r="H491" s="9" t="s">
        <v>16</v>
      </c>
      <c r="I491" s="9"/>
      <c r="J491" s="9"/>
      <c r="K491" s="9"/>
    </row>
    <row r="492" hidden="1">
      <c r="A492" s="3" t="s">
        <v>1950</v>
      </c>
      <c r="B492" s="2" t="s">
        <v>1951</v>
      </c>
      <c r="C492" s="3" t="s">
        <v>1952</v>
      </c>
      <c r="D492" s="2">
        <v>1.855185100130526E-4</v>
      </c>
      <c r="E492" s="8" t="s">
        <v>1953</v>
      </c>
      <c r="F492" s="9" t="s">
        <v>15</v>
      </c>
      <c r="G492" s="9" t="s">
        <v>16</v>
      </c>
      <c r="H492" s="9" t="s">
        <v>16</v>
      </c>
      <c r="I492" s="9"/>
      <c r="J492" s="9"/>
      <c r="K492" s="9"/>
    </row>
    <row r="493" hidden="1">
      <c r="A493" s="3" t="s">
        <v>1954</v>
      </c>
      <c r="B493" s="2" t="s">
        <v>1955</v>
      </c>
      <c r="C493" s="3" t="s">
        <v>1956</v>
      </c>
      <c r="D493" s="2">
        <v>1.855185100130526E-4</v>
      </c>
      <c r="E493" s="8" t="s">
        <v>1957</v>
      </c>
      <c r="F493" s="9" t="s">
        <v>15</v>
      </c>
      <c r="G493" s="9" t="s">
        <v>16</v>
      </c>
      <c r="H493" s="9" t="s">
        <v>16</v>
      </c>
      <c r="I493" s="9"/>
      <c r="J493" s="9"/>
      <c r="K493" s="9"/>
    </row>
    <row r="494" hidden="1">
      <c r="A494" s="3" t="s">
        <v>1958</v>
      </c>
      <c r="B494" s="2" t="s">
        <v>1959</v>
      </c>
      <c r="C494" s="3" t="s">
        <v>1960</v>
      </c>
      <c r="D494" s="2">
        <v>1.855185100130526E-4</v>
      </c>
      <c r="E494" s="8" t="s">
        <v>1961</v>
      </c>
      <c r="F494" s="9" t="s">
        <v>15</v>
      </c>
      <c r="G494" s="9" t="s">
        <v>16</v>
      </c>
      <c r="H494" s="9" t="s">
        <v>16</v>
      </c>
      <c r="I494" s="9"/>
      <c r="J494" s="9"/>
      <c r="K494" s="9"/>
    </row>
    <row r="495" hidden="1">
      <c r="A495" s="3" t="s">
        <v>1962</v>
      </c>
      <c r="B495" s="2" t="s">
        <v>1963</v>
      </c>
      <c r="C495" s="3" t="s">
        <v>1964</v>
      </c>
      <c r="D495" s="2">
        <v>1.855185100130526E-4</v>
      </c>
      <c r="E495" s="8" t="s">
        <v>1965</v>
      </c>
      <c r="F495" s="9" t="s">
        <v>15</v>
      </c>
      <c r="G495" s="9" t="s">
        <v>16</v>
      </c>
      <c r="H495" s="9" t="s">
        <v>16</v>
      </c>
      <c r="I495" s="9"/>
      <c r="J495" s="9"/>
      <c r="K495" s="9"/>
    </row>
    <row r="496" hidden="1">
      <c r="A496" s="3" t="s">
        <v>1966</v>
      </c>
      <c r="B496" s="2" t="s">
        <v>1967</v>
      </c>
      <c r="C496" s="3"/>
      <c r="D496" s="2">
        <v>1.855185100130526E-4</v>
      </c>
      <c r="E496" s="8" t="s">
        <v>1968</v>
      </c>
      <c r="F496" s="9" t="s">
        <v>15</v>
      </c>
      <c r="G496" s="9" t="s">
        <v>16</v>
      </c>
      <c r="H496" s="9" t="s">
        <v>16</v>
      </c>
      <c r="I496" s="9"/>
      <c r="J496" s="9"/>
      <c r="K496" s="9"/>
    </row>
    <row r="497" hidden="1">
      <c r="A497" s="3" t="s">
        <v>1969</v>
      </c>
      <c r="B497" s="2" t="s">
        <v>1970</v>
      </c>
      <c r="C497" s="3" t="s">
        <v>1971</v>
      </c>
      <c r="D497" s="2">
        <v>1.855185100130526E-4</v>
      </c>
      <c r="E497" s="8" t="s">
        <v>1972</v>
      </c>
      <c r="F497" s="9" t="s">
        <v>15</v>
      </c>
      <c r="G497" s="9" t="s">
        <v>16</v>
      </c>
      <c r="H497" s="9" t="s">
        <v>16</v>
      </c>
      <c r="I497" s="9"/>
      <c r="J497" s="9"/>
      <c r="K497" s="9"/>
    </row>
    <row r="498" hidden="1">
      <c r="A498" s="3" t="s">
        <v>1973</v>
      </c>
      <c r="B498" s="2" t="s">
        <v>1974</v>
      </c>
      <c r="C498" s="3" t="s">
        <v>1975</v>
      </c>
      <c r="D498" s="2">
        <v>1.855185100130526E-4</v>
      </c>
      <c r="E498" s="8" t="s">
        <v>1976</v>
      </c>
      <c r="F498" s="9" t="s">
        <v>15</v>
      </c>
      <c r="G498" s="9" t="s">
        <v>16</v>
      </c>
      <c r="H498" s="9" t="s">
        <v>16</v>
      </c>
      <c r="I498" s="9"/>
      <c r="J498" s="9"/>
      <c r="K498" s="9"/>
    </row>
    <row r="499" hidden="1">
      <c r="A499" s="3" t="s">
        <v>1977</v>
      </c>
      <c r="B499" s="2" t="s">
        <v>1978</v>
      </c>
      <c r="C499" s="3" t="s">
        <v>1979</v>
      </c>
      <c r="D499" s="2">
        <v>1.855185100130526E-4</v>
      </c>
      <c r="E499" s="8" t="s">
        <v>1980</v>
      </c>
      <c r="F499" s="9" t="s">
        <v>15</v>
      </c>
      <c r="G499" s="9" t="s">
        <v>16</v>
      </c>
      <c r="H499" s="9" t="s">
        <v>16</v>
      </c>
      <c r="I499" s="9"/>
      <c r="J499" s="9"/>
      <c r="K499" s="9"/>
    </row>
    <row r="500" hidden="1">
      <c r="A500" s="3" t="s">
        <v>1981</v>
      </c>
      <c r="B500" s="2" t="s">
        <v>1982</v>
      </c>
      <c r="C500" s="3"/>
      <c r="D500" s="2">
        <v>1.855185100130526E-4</v>
      </c>
      <c r="E500" s="8" t="s">
        <v>1983</v>
      </c>
      <c r="F500" s="9" t="s">
        <v>15</v>
      </c>
      <c r="G500" s="9" t="s">
        <v>16</v>
      </c>
      <c r="H500" s="9" t="s">
        <v>16</v>
      </c>
      <c r="I500" s="9"/>
      <c r="J500" s="9"/>
      <c r="K500" s="9"/>
    </row>
    <row r="501" hidden="1">
      <c r="A501" s="3" t="s">
        <v>1984</v>
      </c>
      <c r="B501" s="2" t="s">
        <v>1985</v>
      </c>
      <c r="C501" s="3" t="s">
        <v>1986</v>
      </c>
      <c r="D501" s="2">
        <v>1.855185100130526E-4</v>
      </c>
      <c r="E501" s="8" t="s">
        <v>1987</v>
      </c>
      <c r="F501" s="9" t="s">
        <v>15</v>
      </c>
      <c r="G501" s="9" t="s">
        <v>16</v>
      </c>
      <c r="H501" s="9" t="s">
        <v>16</v>
      </c>
      <c r="I501" s="9"/>
      <c r="J501" s="9"/>
      <c r="K501" s="9"/>
    </row>
    <row r="502" hidden="1">
      <c r="A502" s="3" t="s">
        <v>1988</v>
      </c>
      <c r="B502" s="2" t="s">
        <v>1989</v>
      </c>
      <c r="C502" s="3" t="s">
        <v>1990</v>
      </c>
      <c r="D502" s="2">
        <v>1.855185100130526E-4</v>
      </c>
      <c r="E502" s="8" t="s">
        <v>1991</v>
      </c>
      <c r="F502" s="9" t="s">
        <v>15</v>
      </c>
      <c r="G502" s="9" t="s">
        <v>16</v>
      </c>
      <c r="H502" s="9" t="s">
        <v>16</v>
      </c>
      <c r="I502" s="9"/>
      <c r="J502" s="9"/>
      <c r="K502" s="9"/>
    </row>
    <row r="503" hidden="1">
      <c r="A503" s="3" t="s">
        <v>1992</v>
      </c>
      <c r="B503" s="2" t="s">
        <v>1993</v>
      </c>
      <c r="C503" s="3" t="s">
        <v>1994</v>
      </c>
      <c r="D503" s="2">
        <v>1.855185100130526E-4</v>
      </c>
      <c r="E503" s="8" t="s">
        <v>1995</v>
      </c>
      <c r="F503" s="9" t="s">
        <v>15</v>
      </c>
      <c r="G503" s="9" t="s">
        <v>16</v>
      </c>
      <c r="H503" s="9" t="s">
        <v>16</v>
      </c>
      <c r="I503" s="9"/>
      <c r="J503" s="9"/>
      <c r="K503" s="9"/>
    </row>
    <row r="504" hidden="1">
      <c r="A504" s="3" t="s">
        <v>1996</v>
      </c>
      <c r="B504" s="2" t="s">
        <v>1997</v>
      </c>
      <c r="C504" s="3" t="s">
        <v>1998</v>
      </c>
      <c r="D504" s="2">
        <v>1.855185100130526E-4</v>
      </c>
      <c r="E504" s="8" t="s">
        <v>1999</v>
      </c>
      <c r="F504" s="9" t="s">
        <v>15</v>
      </c>
      <c r="G504" s="9" t="s">
        <v>16</v>
      </c>
      <c r="H504" s="9" t="s">
        <v>16</v>
      </c>
      <c r="I504" s="9"/>
      <c r="J504" s="9"/>
      <c r="K504" s="9"/>
    </row>
    <row r="505" hidden="1">
      <c r="A505" s="3" t="s">
        <v>2000</v>
      </c>
      <c r="B505" s="2" t="s">
        <v>2001</v>
      </c>
      <c r="C505" s="3" t="s">
        <v>2002</v>
      </c>
      <c r="D505" s="2">
        <v>1.855185100130526E-4</v>
      </c>
      <c r="E505" s="8" t="s">
        <v>2003</v>
      </c>
      <c r="F505" s="9" t="s">
        <v>15</v>
      </c>
      <c r="G505" s="9" t="s">
        <v>16</v>
      </c>
      <c r="H505" s="9" t="s">
        <v>16</v>
      </c>
      <c r="I505" s="9"/>
      <c r="J505" s="9"/>
      <c r="K505" s="9"/>
    </row>
    <row r="506" hidden="1">
      <c r="A506" s="3" t="s">
        <v>2004</v>
      </c>
      <c r="B506" s="2" t="s">
        <v>2005</v>
      </c>
      <c r="C506" s="3" t="s">
        <v>2006</v>
      </c>
      <c r="D506" s="2">
        <v>1.855185100130526E-4</v>
      </c>
      <c r="E506" s="8" t="s">
        <v>2007</v>
      </c>
      <c r="F506" s="9" t="s">
        <v>15</v>
      </c>
      <c r="G506" s="9" t="s">
        <v>16</v>
      </c>
      <c r="H506" s="9" t="s">
        <v>16</v>
      </c>
      <c r="I506" s="9"/>
      <c r="J506" s="9"/>
      <c r="K506" s="9"/>
    </row>
    <row r="507">
      <c r="A507" s="3" t="s">
        <v>2008</v>
      </c>
      <c r="B507" s="2" t="s">
        <v>2009</v>
      </c>
      <c r="C507" s="3" t="s">
        <v>2010</v>
      </c>
      <c r="D507" s="2">
        <v>1.855185100130526E-4</v>
      </c>
      <c r="E507" s="8" t="s">
        <v>2011</v>
      </c>
      <c r="F507" s="9" t="s">
        <v>16</v>
      </c>
      <c r="G507" s="9" t="s">
        <v>16</v>
      </c>
      <c r="H507" s="9" t="s">
        <v>16</v>
      </c>
      <c r="I507" s="9" t="s">
        <v>16</v>
      </c>
      <c r="J507" s="9" t="s">
        <v>16</v>
      </c>
      <c r="K507" s="9" t="s">
        <v>16</v>
      </c>
    </row>
    <row r="508">
      <c r="A508" s="3" t="s">
        <v>2012</v>
      </c>
      <c r="B508" s="2" t="s">
        <v>2013</v>
      </c>
      <c r="C508" s="3" t="s">
        <v>2014</v>
      </c>
      <c r="D508" s="2">
        <v>1.855185100130526E-4</v>
      </c>
      <c r="E508" s="8" t="s">
        <v>2015</v>
      </c>
      <c r="F508" s="9" t="s">
        <v>16</v>
      </c>
      <c r="G508" s="9" t="s">
        <v>16</v>
      </c>
      <c r="H508" s="9" t="s">
        <v>16</v>
      </c>
      <c r="I508" s="9" t="s">
        <v>16</v>
      </c>
      <c r="J508" s="9" t="s">
        <v>16</v>
      </c>
      <c r="K508" s="9" t="s">
        <v>16</v>
      </c>
    </row>
    <row r="509" hidden="1">
      <c r="A509" s="3" t="s">
        <v>2016</v>
      </c>
      <c r="B509" s="2" t="s">
        <v>2017</v>
      </c>
      <c r="C509" s="3" t="s">
        <v>2018</v>
      </c>
      <c r="D509" s="2">
        <v>1.855185100130526E-4</v>
      </c>
      <c r="E509" s="8" t="s">
        <v>2019</v>
      </c>
      <c r="F509" s="9" t="s">
        <v>15</v>
      </c>
      <c r="G509" s="9" t="s">
        <v>16</v>
      </c>
      <c r="H509" s="9" t="s">
        <v>16</v>
      </c>
      <c r="I509" s="9"/>
      <c r="J509" s="9"/>
      <c r="K509" s="9"/>
    </row>
    <row r="510" hidden="1">
      <c r="A510" s="3" t="s">
        <v>2020</v>
      </c>
      <c r="B510" s="2" t="s">
        <v>2021</v>
      </c>
      <c r="C510" s="3" t="s">
        <v>2022</v>
      </c>
      <c r="D510" s="2">
        <v>1.855185100130526E-4</v>
      </c>
      <c r="E510" s="8" t="s">
        <v>2023</v>
      </c>
      <c r="F510" s="9" t="s">
        <v>15</v>
      </c>
      <c r="G510" s="9" t="s">
        <v>16</v>
      </c>
      <c r="H510" s="9" t="s">
        <v>16</v>
      </c>
      <c r="I510" s="9"/>
      <c r="J510" s="9"/>
      <c r="K510" s="9"/>
    </row>
    <row r="511" hidden="1">
      <c r="A511" s="3" t="s">
        <v>2024</v>
      </c>
      <c r="B511" s="2" t="s">
        <v>2025</v>
      </c>
      <c r="C511" s="3" t="s">
        <v>2026</v>
      </c>
      <c r="D511" s="2">
        <v>1.855185100130526E-4</v>
      </c>
      <c r="E511" s="8" t="s">
        <v>2027</v>
      </c>
      <c r="F511" s="9" t="s">
        <v>15</v>
      </c>
      <c r="G511" s="9" t="s">
        <v>16</v>
      </c>
      <c r="H511" s="9" t="s">
        <v>16</v>
      </c>
      <c r="I511" s="9"/>
      <c r="J511" s="9"/>
      <c r="K511" s="9"/>
    </row>
    <row r="512" hidden="1">
      <c r="A512" s="3" t="s">
        <v>2028</v>
      </c>
      <c r="B512" s="2" t="s">
        <v>2029</v>
      </c>
      <c r="C512" s="3" t="s">
        <v>2030</v>
      </c>
      <c r="D512" s="2">
        <v>1.855185100130526E-4</v>
      </c>
      <c r="E512" s="8" t="s">
        <v>2031</v>
      </c>
      <c r="F512" s="9" t="s">
        <v>15</v>
      </c>
      <c r="G512" s="9" t="s">
        <v>16</v>
      </c>
      <c r="H512" s="9" t="s">
        <v>16</v>
      </c>
      <c r="I512" s="9"/>
      <c r="J512" s="9"/>
      <c r="K512" s="9"/>
    </row>
    <row r="513" hidden="1">
      <c r="A513" s="3" t="s">
        <v>2032</v>
      </c>
      <c r="B513" s="2" t="s">
        <v>2033</v>
      </c>
      <c r="C513" s="3" t="s">
        <v>2034</v>
      </c>
      <c r="D513" s="2">
        <v>1.855185100130526E-4</v>
      </c>
      <c r="E513" s="8" t="s">
        <v>2035</v>
      </c>
      <c r="F513" s="9" t="s">
        <v>15</v>
      </c>
      <c r="G513" s="9" t="s">
        <v>16</v>
      </c>
      <c r="H513" s="9" t="s">
        <v>16</v>
      </c>
      <c r="I513" s="9"/>
      <c r="J513" s="9"/>
      <c r="K513" s="9"/>
    </row>
    <row r="514" hidden="1">
      <c r="A514" s="3" t="s">
        <v>2036</v>
      </c>
      <c r="B514" s="2" t="s">
        <v>2037</v>
      </c>
      <c r="C514" s="3" t="s">
        <v>2038</v>
      </c>
      <c r="D514" s="2">
        <v>1.855185100130526E-4</v>
      </c>
      <c r="E514" s="8" t="s">
        <v>2039</v>
      </c>
      <c r="F514" s="9" t="s">
        <v>15</v>
      </c>
      <c r="G514" s="9" t="s">
        <v>16</v>
      </c>
      <c r="H514" s="9" t="s">
        <v>16</v>
      </c>
      <c r="I514" s="9"/>
      <c r="J514" s="9"/>
      <c r="K514" s="9"/>
    </row>
    <row r="515" hidden="1">
      <c r="A515" s="3" t="s">
        <v>2040</v>
      </c>
      <c r="B515" s="2" t="s">
        <v>2041</v>
      </c>
      <c r="C515" s="3" t="s">
        <v>2042</v>
      </c>
      <c r="D515" s="2">
        <v>1.855185100130526E-4</v>
      </c>
      <c r="E515" s="8" t="s">
        <v>2043</v>
      </c>
      <c r="F515" s="9" t="s">
        <v>15</v>
      </c>
      <c r="G515" s="9" t="s">
        <v>16</v>
      </c>
      <c r="H515" s="9" t="s">
        <v>16</v>
      </c>
      <c r="I515" s="9"/>
      <c r="J515" s="9"/>
      <c r="K515" s="9"/>
    </row>
    <row r="516" hidden="1">
      <c r="A516" s="3" t="s">
        <v>2044</v>
      </c>
      <c r="B516" s="2" t="s">
        <v>2045</v>
      </c>
      <c r="C516" s="3" t="s">
        <v>2046</v>
      </c>
      <c r="D516" s="2">
        <v>1.855185100130526E-4</v>
      </c>
      <c r="E516" s="8" t="s">
        <v>2047</v>
      </c>
      <c r="F516" s="9" t="s">
        <v>15</v>
      </c>
      <c r="G516" s="9" t="s">
        <v>16</v>
      </c>
      <c r="H516" s="9" t="s">
        <v>16</v>
      </c>
      <c r="I516" s="9"/>
      <c r="J516" s="9"/>
      <c r="K516" s="9"/>
    </row>
    <row r="517" hidden="1">
      <c r="A517" s="3" t="s">
        <v>2048</v>
      </c>
      <c r="B517" s="2" t="s">
        <v>2049</v>
      </c>
      <c r="C517" s="3" t="s">
        <v>2050</v>
      </c>
      <c r="D517" s="2">
        <v>1.855185100130526E-4</v>
      </c>
      <c r="E517" s="8" t="s">
        <v>2051</v>
      </c>
      <c r="F517" s="9" t="s">
        <v>15</v>
      </c>
      <c r="G517" s="9" t="s">
        <v>16</v>
      </c>
      <c r="H517" s="9" t="s">
        <v>16</v>
      </c>
      <c r="I517" s="9"/>
      <c r="J517" s="9"/>
      <c r="K517" s="9"/>
    </row>
    <row r="518" hidden="1">
      <c r="A518" s="3" t="s">
        <v>2052</v>
      </c>
      <c r="B518" s="2" t="s">
        <v>2053</v>
      </c>
      <c r="C518" s="3" t="s">
        <v>2054</v>
      </c>
      <c r="D518" s="2">
        <v>1.855185100130526E-4</v>
      </c>
      <c r="E518" s="8" t="s">
        <v>2055</v>
      </c>
      <c r="F518" s="9" t="s">
        <v>15</v>
      </c>
      <c r="G518" s="9" t="s">
        <v>16</v>
      </c>
      <c r="H518" s="9" t="s">
        <v>16</v>
      </c>
      <c r="I518" s="9"/>
      <c r="J518" s="9"/>
      <c r="K518" s="9"/>
    </row>
    <row r="519" hidden="1">
      <c r="A519" s="3" t="s">
        <v>2056</v>
      </c>
      <c r="B519" s="2" t="s">
        <v>2057</v>
      </c>
      <c r="C519" s="3" t="s">
        <v>2058</v>
      </c>
      <c r="D519" s="2">
        <v>1.855185100130526E-4</v>
      </c>
      <c r="E519" s="8" t="s">
        <v>2059</v>
      </c>
      <c r="F519" s="9" t="s">
        <v>15</v>
      </c>
      <c r="G519" s="9" t="s">
        <v>16</v>
      </c>
      <c r="H519" s="9" t="s">
        <v>16</v>
      </c>
      <c r="I519" s="9"/>
      <c r="J519" s="9"/>
      <c r="K519" s="9"/>
    </row>
    <row r="520">
      <c r="A520" s="3" t="s">
        <v>2060</v>
      </c>
      <c r="B520" s="2" t="s">
        <v>2061</v>
      </c>
      <c r="C520" s="3" t="s">
        <v>2062</v>
      </c>
      <c r="D520" s="2">
        <v>1.855185100130526E-4</v>
      </c>
      <c r="E520" s="8" t="s">
        <v>2063</v>
      </c>
      <c r="F520" s="9" t="s">
        <v>16</v>
      </c>
      <c r="G520" s="9" t="s">
        <v>16</v>
      </c>
      <c r="H520" s="9" t="s">
        <v>16</v>
      </c>
      <c r="I520" s="9" t="s">
        <v>16</v>
      </c>
      <c r="J520" s="9" t="s">
        <v>16</v>
      </c>
      <c r="K520" s="9" t="s">
        <v>16</v>
      </c>
    </row>
    <row r="521" hidden="1">
      <c r="A521" s="3" t="s">
        <v>2064</v>
      </c>
      <c r="B521" s="2" t="s">
        <v>2065</v>
      </c>
      <c r="C521" s="3" t="s">
        <v>2066</v>
      </c>
      <c r="D521" s="2">
        <v>1.855185100130526E-4</v>
      </c>
      <c r="E521" s="8" t="s">
        <v>2067</v>
      </c>
      <c r="F521" s="9" t="s">
        <v>15</v>
      </c>
      <c r="G521" s="9" t="s">
        <v>16</v>
      </c>
      <c r="H521" s="9" t="s">
        <v>16</v>
      </c>
      <c r="I521" s="9"/>
      <c r="J521" s="9"/>
      <c r="K521" s="9"/>
    </row>
    <row r="522" hidden="1">
      <c r="A522" s="3" t="s">
        <v>2068</v>
      </c>
      <c r="B522" s="2" t="s">
        <v>2069</v>
      </c>
      <c r="C522" s="3" t="s">
        <v>2070</v>
      </c>
      <c r="D522" s="2">
        <v>1.855185100130526E-4</v>
      </c>
      <c r="E522" s="8" t="s">
        <v>2071</v>
      </c>
      <c r="F522" s="9" t="s">
        <v>15</v>
      </c>
      <c r="G522" s="9" t="s">
        <v>16</v>
      </c>
      <c r="H522" s="9" t="s">
        <v>16</v>
      </c>
      <c r="I522" s="9"/>
      <c r="J522" s="9"/>
      <c r="K522" s="9"/>
    </row>
    <row r="523" hidden="1">
      <c r="A523" s="3" t="s">
        <v>2072</v>
      </c>
      <c r="B523" s="2" t="s">
        <v>2073</v>
      </c>
      <c r="C523" s="3" t="s">
        <v>2074</v>
      </c>
      <c r="D523" s="2">
        <v>1.855185100130526E-4</v>
      </c>
      <c r="E523" s="8" t="s">
        <v>2075</v>
      </c>
      <c r="F523" s="9" t="s">
        <v>15</v>
      </c>
      <c r="G523" s="9" t="s">
        <v>16</v>
      </c>
      <c r="H523" s="9" t="s">
        <v>16</v>
      </c>
      <c r="I523" s="9"/>
      <c r="J523" s="9"/>
      <c r="K523" s="9"/>
    </row>
    <row r="524" hidden="1">
      <c r="A524" s="3" t="s">
        <v>2076</v>
      </c>
      <c r="B524" s="2" t="s">
        <v>2077</v>
      </c>
      <c r="C524" s="3" t="s">
        <v>2078</v>
      </c>
      <c r="D524" s="2">
        <v>1.855185100130526E-4</v>
      </c>
      <c r="E524" s="8" t="s">
        <v>2079</v>
      </c>
      <c r="F524" s="9" t="s">
        <v>15</v>
      </c>
      <c r="G524" s="9" t="s">
        <v>16</v>
      </c>
      <c r="H524" s="9" t="s">
        <v>16</v>
      </c>
      <c r="I524" s="9"/>
      <c r="J524" s="9"/>
      <c r="K524" s="9"/>
    </row>
    <row r="525" hidden="1">
      <c r="A525" s="3" t="s">
        <v>2080</v>
      </c>
      <c r="B525" s="2" t="s">
        <v>2081</v>
      </c>
      <c r="C525" s="3" t="s">
        <v>2082</v>
      </c>
      <c r="D525" s="2">
        <v>1.855185100130526E-4</v>
      </c>
      <c r="E525" s="8" t="s">
        <v>2083</v>
      </c>
      <c r="F525" s="9" t="s">
        <v>15</v>
      </c>
      <c r="G525" s="9" t="s">
        <v>16</v>
      </c>
      <c r="H525" s="9" t="s">
        <v>16</v>
      </c>
      <c r="I525" s="9"/>
      <c r="J525" s="9"/>
      <c r="K525" s="9"/>
    </row>
    <row r="526" hidden="1">
      <c r="A526" s="3" t="s">
        <v>2084</v>
      </c>
      <c r="B526" s="2" t="s">
        <v>2085</v>
      </c>
      <c r="C526" s="3" t="s">
        <v>2086</v>
      </c>
      <c r="D526" s="2">
        <v>1.855185100130526E-4</v>
      </c>
      <c r="E526" s="8" t="s">
        <v>2087</v>
      </c>
      <c r="F526" s="9" t="s">
        <v>15</v>
      </c>
      <c r="G526" s="9" t="s">
        <v>16</v>
      </c>
      <c r="H526" s="9" t="s">
        <v>16</v>
      </c>
      <c r="I526" s="9"/>
      <c r="J526" s="9"/>
      <c r="K526" s="9"/>
    </row>
    <row r="527" hidden="1">
      <c r="A527" s="3" t="s">
        <v>2088</v>
      </c>
      <c r="B527" s="2" t="s">
        <v>2089</v>
      </c>
      <c r="C527" s="3" t="s">
        <v>2090</v>
      </c>
      <c r="D527" s="2">
        <v>1.855185100130526E-4</v>
      </c>
      <c r="E527" s="8" t="s">
        <v>2091</v>
      </c>
      <c r="F527" s="9" t="s">
        <v>15</v>
      </c>
      <c r="G527" s="9" t="s">
        <v>16</v>
      </c>
      <c r="H527" s="9" t="s">
        <v>16</v>
      </c>
      <c r="I527" s="9"/>
      <c r="J527" s="9"/>
      <c r="K527" s="9"/>
    </row>
    <row r="528" hidden="1">
      <c r="A528" s="3" t="s">
        <v>2092</v>
      </c>
      <c r="B528" s="2" t="s">
        <v>2093</v>
      </c>
      <c r="C528" s="3" t="s">
        <v>2094</v>
      </c>
      <c r="D528" s="2">
        <v>1.855185100130526E-4</v>
      </c>
      <c r="E528" s="8" t="s">
        <v>2095</v>
      </c>
      <c r="F528" s="9" t="s">
        <v>15</v>
      </c>
      <c r="G528" s="9" t="s">
        <v>16</v>
      </c>
      <c r="H528" s="9" t="s">
        <v>16</v>
      </c>
      <c r="I528" s="9"/>
      <c r="J528" s="9"/>
      <c r="K528" s="9"/>
    </row>
    <row r="529" hidden="1">
      <c r="A529" s="3" t="s">
        <v>2096</v>
      </c>
      <c r="B529" s="2" t="s">
        <v>2097</v>
      </c>
      <c r="C529" s="3" t="s">
        <v>2098</v>
      </c>
      <c r="D529" s="2">
        <v>1.855185100130526E-4</v>
      </c>
      <c r="E529" s="8" t="s">
        <v>2099</v>
      </c>
      <c r="F529" s="9" t="s">
        <v>15</v>
      </c>
      <c r="G529" s="9" t="s">
        <v>16</v>
      </c>
      <c r="H529" s="9" t="s">
        <v>16</v>
      </c>
      <c r="I529" s="9"/>
      <c r="J529" s="9"/>
      <c r="K529" s="9"/>
    </row>
    <row r="530" hidden="1">
      <c r="A530" s="3" t="s">
        <v>2100</v>
      </c>
      <c r="B530" s="2" t="s">
        <v>2101</v>
      </c>
      <c r="C530" s="3" t="s">
        <v>2102</v>
      </c>
      <c r="D530" s="2">
        <v>1.855185100130526E-4</v>
      </c>
      <c r="E530" s="8" t="s">
        <v>2103</v>
      </c>
      <c r="F530" s="9" t="s">
        <v>15</v>
      </c>
      <c r="G530" s="9" t="s">
        <v>16</v>
      </c>
      <c r="H530" s="9" t="s">
        <v>16</v>
      </c>
      <c r="I530" s="9"/>
      <c r="J530" s="9"/>
      <c r="K530" s="9"/>
    </row>
    <row r="531" hidden="1">
      <c r="A531" s="3" t="s">
        <v>2104</v>
      </c>
      <c r="B531" s="2" t="s">
        <v>2105</v>
      </c>
      <c r="C531" s="3" t="s">
        <v>2106</v>
      </c>
      <c r="D531" s="2">
        <v>1.855185100130526E-4</v>
      </c>
      <c r="E531" s="8" t="s">
        <v>2107</v>
      </c>
      <c r="F531" s="9" t="s">
        <v>15</v>
      </c>
      <c r="G531" s="9" t="s">
        <v>16</v>
      </c>
      <c r="H531" s="9" t="s">
        <v>16</v>
      </c>
      <c r="I531" s="9"/>
      <c r="J531" s="9"/>
      <c r="K531" s="9"/>
    </row>
    <row r="532" hidden="1">
      <c r="A532" s="3" t="s">
        <v>2108</v>
      </c>
      <c r="B532" s="2" t="s">
        <v>2109</v>
      </c>
      <c r="C532" s="3" t="s">
        <v>2110</v>
      </c>
      <c r="D532" s="2">
        <v>1.855185100130526E-4</v>
      </c>
      <c r="E532" s="8" t="s">
        <v>2111</v>
      </c>
      <c r="F532" s="9" t="s">
        <v>15</v>
      </c>
      <c r="G532" s="9" t="s">
        <v>16</v>
      </c>
      <c r="H532" s="9" t="s">
        <v>16</v>
      </c>
      <c r="I532" s="9"/>
      <c r="J532" s="9"/>
      <c r="K532" s="9"/>
    </row>
    <row r="533" hidden="1">
      <c r="A533" s="3" t="s">
        <v>2112</v>
      </c>
      <c r="B533" s="2" t="s">
        <v>2112</v>
      </c>
      <c r="C533" s="3" t="s">
        <v>2113</v>
      </c>
      <c r="D533" s="2">
        <v>1.855185100130526E-4</v>
      </c>
      <c r="E533" s="8" t="s">
        <v>2114</v>
      </c>
      <c r="F533" s="9" t="s">
        <v>15</v>
      </c>
      <c r="G533" s="9" t="s">
        <v>16</v>
      </c>
      <c r="H533" s="9" t="s">
        <v>16</v>
      </c>
      <c r="I533" s="9"/>
      <c r="J533" s="9"/>
      <c r="K533" s="9"/>
    </row>
    <row r="534" hidden="1">
      <c r="A534" s="3" t="s">
        <v>2115</v>
      </c>
      <c r="B534" s="2" t="s">
        <v>2116</v>
      </c>
      <c r="C534" s="3" t="s">
        <v>2117</v>
      </c>
      <c r="D534" s="2">
        <v>1.855185100130526E-4</v>
      </c>
      <c r="E534" s="8" t="s">
        <v>2118</v>
      </c>
      <c r="F534" s="9" t="s">
        <v>15</v>
      </c>
      <c r="G534" s="9" t="s">
        <v>16</v>
      </c>
      <c r="H534" s="9" t="s">
        <v>16</v>
      </c>
      <c r="I534" s="9"/>
      <c r="J534" s="9"/>
      <c r="K534" s="9"/>
    </row>
    <row r="535" hidden="1">
      <c r="A535" s="3" t="s">
        <v>2119</v>
      </c>
      <c r="B535" s="2" t="s">
        <v>2120</v>
      </c>
      <c r="C535" s="3" t="s">
        <v>2121</v>
      </c>
      <c r="D535" s="2">
        <v>1.855185100130526E-4</v>
      </c>
      <c r="E535" s="8" t="s">
        <v>2122</v>
      </c>
      <c r="F535" s="9" t="s">
        <v>15</v>
      </c>
      <c r="G535" s="9" t="s">
        <v>16</v>
      </c>
      <c r="H535" s="9" t="s">
        <v>16</v>
      </c>
      <c r="I535" s="9"/>
      <c r="J535" s="9"/>
      <c r="K535" s="9"/>
    </row>
    <row r="536" hidden="1">
      <c r="A536" s="3" t="s">
        <v>2123</v>
      </c>
      <c r="B536" s="2" t="s">
        <v>2124</v>
      </c>
      <c r="C536" s="3" t="s">
        <v>2125</v>
      </c>
      <c r="D536" s="2">
        <v>1.855185100130526E-4</v>
      </c>
      <c r="E536" s="8" t="s">
        <v>2126</v>
      </c>
      <c r="F536" s="9" t="s">
        <v>15</v>
      </c>
      <c r="G536" s="9" t="s">
        <v>16</v>
      </c>
      <c r="H536" s="9" t="s">
        <v>16</v>
      </c>
      <c r="I536" s="9"/>
      <c r="J536" s="9"/>
      <c r="K536" s="9"/>
    </row>
    <row r="537" hidden="1">
      <c r="A537" s="3" t="s">
        <v>2127</v>
      </c>
      <c r="B537" s="2" t="s">
        <v>2128</v>
      </c>
      <c r="C537" s="3" t="s">
        <v>2129</v>
      </c>
      <c r="D537" s="2">
        <v>1.855185100130526E-4</v>
      </c>
      <c r="E537" s="8" t="s">
        <v>2130</v>
      </c>
      <c r="F537" s="9" t="s">
        <v>15</v>
      </c>
      <c r="G537" s="9" t="s">
        <v>16</v>
      </c>
      <c r="H537" s="9" t="s">
        <v>16</v>
      </c>
      <c r="I537" s="9"/>
      <c r="J537" s="9"/>
      <c r="K537" s="9"/>
    </row>
    <row r="538" hidden="1">
      <c r="A538" s="3" t="s">
        <v>2131</v>
      </c>
      <c r="B538" s="2" t="s">
        <v>2132</v>
      </c>
      <c r="C538" s="3" t="s">
        <v>2133</v>
      </c>
      <c r="D538" s="2">
        <v>1.855185100130526E-4</v>
      </c>
      <c r="E538" s="8" t="s">
        <v>2134</v>
      </c>
      <c r="F538" s="9" t="s">
        <v>15</v>
      </c>
      <c r="G538" s="9" t="s">
        <v>16</v>
      </c>
      <c r="H538" s="9" t="s">
        <v>16</v>
      </c>
      <c r="I538" s="9"/>
      <c r="J538" s="9"/>
      <c r="K538" s="9"/>
    </row>
    <row r="539" hidden="1">
      <c r="A539" s="3" t="s">
        <v>2135</v>
      </c>
      <c r="B539" s="2" t="s">
        <v>2136</v>
      </c>
      <c r="C539" s="3" t="s">
        <v>2137</v>
      </c>
      <c r="D539" s="2">
        <v>1.855185100130526E-4</v>
      </c>
      <c r="E539" s="8" t="s">
        <v>2138</v>
      </c>
      <c r="F539" s="9" t="s">
        <v>15</v>
      </c>
      <c r="G539" s="9" t="s">
        <v>16</v>
      </c>
      <c r="H539" s="9" t="s">
        <v>16</v>
      </c>
      <c r="I539" s="9"/>
      <c r="J539" s="9"/>
      <c r="K539" s="9"/>
    </row>
    <row r="540" hidden="1">
      <c r="A540" s="3" t="s">
        <v>2139</v>
      </c>
      <c r="B540" s="2" t="s">
        <v>2140</v>
      </c>
      <c r="C540" s="3" t="s">
        <v>2141</v>
      </c>
      <c r="D540" s="2">
        <v>1.855185100130526E-4</v>
      </c>
      <c r="E540" s="8" t="s">
        <v>2142</v>
      </c>
      <c r="F540" s="9" t="s">
        <v>15</v>
      </c>
      <c r="G540" s="9" t="s">
        <v>16</v>
      </c>
      <c r="H540" s="9" t="s">
        <v>16</v>
      </c>
      <c r="I540" s="9"/>
      <c r="J540" s="9"/>
      <c r="K540" s="9"/>
    </row>
    <row r="541" hidden="1">
      <c r="A541" s="3" t="s">
        <v>2143</v>
      </c>
      <c r="B541" s="2" t="s">
        <v>2144</v>
      </c>
      <c r="C541" s="3" t="s">
        <v>2145</v>
      </c>
      <c r="D541" s="2">
        <v>1.855185100130526E-4</v>
      </c>
      <c r="E541" s="8" t="s">
        <v>2146</v>
      </c>
      <c r="F541" s="9" t="s">
        <v>15</v>
      </c>
      <c r="G541" s="9" t="s">
        <v>16</v>
      </c>
      <c r="H541" s="9" t="s">
        <v>16</v>
      </c>
      <c r="I541" s="9"/>
      <c r="J541" s="9"/>
      <c r="K541" s="9"/>
    </row>
    <row r="542" hidden="1">
      <c r="A542" s="3" t="s">
        <v>2147</v>
      </c>
      <c r="B542" s="2" t="s">
        <v>2148</v>
      </c>
      <c r="C542" s="3" t="s">
        <v>2149</v>
      </c>
      <c r="D542" s="2">
        <v>1.855185100130526E-4</v>
      </c>
      <c r="E542" s="8" t="s">
        <v>2150</v>
      </c>
      <c r="F542" s="9" t="s">
        <v>15</v>
      </c>
      <c r="G542" s="9" t="s">
        <v>16</v>
      </c>
      <c r="H542" s="9" t="s">
        <v>16</v>
      </c>
      <c r="I542" s="9"/>
      <c r="J542" s="9"/>
      <c r="K542" s="9"/>
    </row>
    <row r="543" hidden="1">
      <c r="A543" s="3" t="s">
        <v>2151</v>
      </c>
      <c r="B543" s="2" t="s">
        <v>2152</v>
      </c>
      <c r="C543" s="3" t="s">
        <v>2153</v>
      </c>
      <c r="D543" s="2">
        <v>1.855185100130526E-4</v>
      </c>
      <c r="E543" s="8" t="s">
        <v>2154</v>
      </c>
      <c r="F543" s="9" t="s">
        <v>15</v>
      </c>
      <c r="G543" s="9" t="s">
        <v>16</v>
      </c>
      <c r="H543" s="9" t="s">
        <v>16</v>
      </c>
      <c r="I543" s="9"/>
      <c r="J543" s="9"/>
      <c r="K543" s="9"/>
    </row>
    <row r="544" hidden="1">
      <c r="A544" s="3" t="s">
        <v>2155</v>
      </c>
      <c r="B544" s="2" t="s">
        <v>2156</v>
      </c>
      <c r="C544" s="3" t="s">
        <v>2157</v>
      </c>
      <c r="D544" s="2">
        <v>1.855185100130526E-4</v>
      </c>
      <c r="E544" s="8" t="s">
        <v>2158</v>
      </c>
      <c r="F544" s="9" t="s">
        <v>15</v>
      </c>
      <c r="G544" s="9" t="s">
        <v>16</v>
      </c>
      <c r="H544" s="9" t="s">
        <v>16</v>
      </c>
      <c r="I544" s="9"/>
      <c r="J544" s="9"/>
      <c r="K544" s="9"/>
    </row>
    <row r="545" hidden="1">
      <c r="A545" s="3" t="s">
        <v>2159</v>
      </c>
      <c r="B545" s="2" t="s">
        <v>2160</v>
      </c>
      <c r="C545" s="3" t="s">
        <v>2161</v>
      </c>
      <c r="D545" s="2">
        <v>1.855185100130526E-4</v>
      </c>
      <c r="E545" s="8" t="s">
        <v>2162</v>
      </c>
      <c r="F545" s="9" t="s">
        <v>15</v>
      </c>
      <c r="G545" s="9" t="s">
        <v>16</v>
      </c>
      <c r="H545" s="9" t="s">
        <v>16</v>
      </c>
      <c r="I545" s="9"/>
      <c r="J545" s="9"/>
      <c r="K545" s="9"/>
    </row>
    <row r="546" hidden="1">
      <c r="A546" s="3" t="s">
        <v>2163</v>
      </c>
      <c r="B546" s="2" t="s">
        <v>2164</v>
      </c>
      <c r="C546" s="3" t="s">
        <v>2165</v>
      </c>
      <c r="D546" s="2">
        <v>1.855185100130526E-4</v>
      </c>
      <c r="E546" s="8" t="s">
        <v>2166</v>
      </c>
      <c r="F546" s="9" t="s">
        <v>15</v>
      </c>
      <c r="G546" s="9" t="s">
        <v>16</v>
      </c>
      <c r="H546" s="9" t="s">
        <v>16</v>
      </c>
      <c r="I546" s="9"/>
      <c r="J546" s="9"/>
      <c r="K546" s="9"/>
    </row>
    <row r="547" hidden="1">
      <c r="A547" s="3" t="s">
        <v>2167</v>
      </c>
      <c r="B547" s="2" t="s">
        <v>2168</v>
      </c>
      <c r="C547" s="3" t="s">
        <v>2169</v>
      </c>
      <c r="D547" s="2">
        <v>1.855185100130526E-4</v>
      </c>
      <c r="E547" s="8" t="s">
        <v>2170</v>
      </c>
      <c r="F547" s="9" t="s">
        <v>15</v>
      </c>
      <c r="G547" s="9" t="s">
        <v>16</v>
      </c>
      <c r="H547" s="9" t="s">
        <v>16</v>
      </c>
      <c r="I547" s="9"/>
      <c r="J547" s="9"/>
      <c r="K547" s="9"/>
    </row>
    <row r="548" hidden="1">
      <c r="A548" s="3" t="s">
        <v>2171</v>
      </c>
      <c r="B548" s="2" t="s">
        <v>2172</v>
      </c>
      <c r="C548" s="3" t="s">
        <v>2173</v>
      </c>
      <c r="D548" s="2">
        <v>1.855185100130526E-4</v>
      </c>
      <c r="E548" s="8" t="s">
        <v>2174</v>
      </c>
      <c r="F548" s="9" t="s">
        <v>15</v>
      </c>
      <c r="G548" s="9" t="s">
        <v>16</v>
      </c>
      <c r="H548" s="9" t="s">
        <v>16</v>
      </c>
      <c r="I548" s="9"/>
      <c r="J548" s="9"/>
      <c r="K548" s="9"/>
    </row>
    <row r="549" hidden="1">
      <c r="A549" s="3" t="s">
        <v>2175</v>
      </c>
      <c r="B549" s="2" t="s">
        <v>2176</v>
      </c>
      <c r="C549" s="3" t="s">
        <v>2177</v>
      </c>
      <c r="D549" s="2">
        <v>1.855185100130526E-4</v>
      </c>
      <c r="E549" s="8" t="s">
        <v>2178</v>
      </c>
      <c r="F549" s="9" t="s">
        <v>15</v>
      </c>
      <c r="G549" s="9" t="s">
        <v>16</v>
      </c>
      <c r="H549" s="9" t="s">
        <v>16</v>
      </c>
      <c r="I549" s="9"/>
      <c r="J549" s="9"/>
      <c r="K549" s="9"/>
    </row>
    <row r="550" hidden="1">
      <c r="A550" s="3" t="s">
        <v>2179</v>
      </c>
      <c r="B550" s="2" t="s">
        <v>2180</v>
      </c>
      <c r="C550" s="3" t="s">
        <v>2181</v>
      </c>
      <c r="D550" s="2">
        <v>1.855185100130526E-4</v>
      </c>
      <c r="E550" s="8" t="s">
        <v>2182</v>
      </c>
      <c r="F550" s="9" t="s">
        <v>15</v>
      </c>
      <c r="G550" s="9" t="s">
        <v>16</v>
      </c>
      <c r="H550" s="9" t="s">
        <v>16</v>
      </c>
      <c r="I550" s="9"/>
      <c r="J550" s="9"/>
      <c r="K550" s="9"/>
    </row>
    <row r="551" hidden="1">
      <c r="A551" s="3" t="s">
        <v>2183</v>
      </c>
      <c r="B551" s="2" t="s">
        <v>2184</v>
      </c>
      <c r="C551" s="3" t="s">
        <v>2185</v>
      </c>
      <c r="D551" s="2">
        <v>1.855185100130526E-4</v>
      </c>
      <c r="E551" s="8" t="s">
        <v>2186</v>
      </c>
      <c r="F551" s="9" t="s">
        <v>15</v>
      </c>
      <c r="G551" s="9" t="s">
        <v>16</v>
      </c>
      <c r="H551" s="9" t="s">
        <v>16</v>
      </c>
      <c r="I551" s="9"/>
      <c r="J551" s="9"/>
      <c r="K551" s="9"/>
    </row>
    <row r="552" hidden="1">
      <c r="A552" s="3" t="s">
        <v>2187</v>
      </c>
      <c r="B552" s="2" t="s">
        <v>2188</v>
      </c>
      <c r="C552" s="3" t="s">
        <v>2189</v>
      </c>
      <c r="D552" s="2">
        <v>1.855185100130526E-4</v>
      </c>
      <c r="E552" s="8" t="s">
        <v>2190</v>
      </c>
      <c r="F552" s="9" t="s">
        <v>15</v>
      </c>
      <c r="G552" s="9" t="s">
        <v>16</v>
      </c>
      <c r="H552" s="9" t="s">
        <v>16</v>
      </c>
      <c r="I552" s="9"/>
      <c r="J552" s="9"/>
      <c r="K552" s="9"/>
    </row>
    <row r="553" hidden="1">
      <c r="A553" s="3" t="s">
        <v>2191</v>
      </c>
      <c r="B553" s="2" t="s">
        <v>2192</v>
      </c>
      <c r="C553" s="3" t="s">
        <v>2193</v>
      </c>
      <c r="D553" s="2">
        <v>1.855185100130526E-4</v>
      </c>
      <c r="E553" s="8" t="s">
        <v>2194</v>
      </c>
      <c r="F553" s="9" t="s">
        <v>15</v>
      </c>
      <c r="G553" s="9" t="s">
        <v>16</v>
      </c>
      <c r="H553" s="9" t="s">
        <v>16</v>
      </c>
      <c r="I553" s="9"/>
      <c r="J553" s="9"/>
      <c r="K553" s="9"/>
    </row>
    <row r="554" hidden="1">
      <c r="A554" s="3" t="s">
        <v>2195</v>
      </c>
      <c r="B554" s="2" t="s">
        <v>2196</v>
      </c>
      <c r="C554" s="3" t="s">
        <v>2197</v>
      </c>
      <c r="D554" s="2">
        <v>1.855185100130526E-4</v>
      </c>
      <c r="E554" s="8" t="s">
        <v>2198</v>
      </c>
      <c r="F554" s="9" t="s">
        <v>15</v>
      </c>
      <c r="G554" s="9" t="s">
        <v>16</v>
      </c>
      <c r="H554" s="9" t="s">
        <v>16</v>
      </c>
      <c r="I554" s="9"/>
      <c r="J554" s="9"/>
      <c r="K554" s="9"/>
    </row>
    <row r="555" hidden="1">
      <c r="A555" s="3" t="s">
        <v>2199</v>
      </c>
      <c r="B555" s="2" t="s">
        <v>2200</v>
      </c>
      <c r="C555" s="3" t="s">
        <v>2201</v>
      </c>
      <c r="D555" s="2">
        <v>1.855185100130526E-4</v>
      </c>
      <c r="E555" s="8" t="s">
        <v>2202</v>
      </c>
      <c r="F555" s="9" t="s">
        <v>15</v>
      </c>
      <c r="G555" s="9" t="s">
        <v>16</v>
      </c>
      <c r="H555" s="9" t="s">
        <v>16</v>
      </c>
      <c r="I555" s="9"/>
      <c r="J555" s="9"/>
      <c r="K555" s="9"/>
    </row>
    <row r="556" hidden="1">
      <c r="A556" s="3" t="s">
        <v>2203</v>
      </c>
      <c r="B556" s="2" t="s">
        <v>2204</v>
      </c>
      <c r="C556" s="3" t="s">
        <v>2205</v>
      </c>
      <c r="D556" s="2">
        <v>1.855185100130526E-4</v>
      </c>
      <c r="E556" s="8" t="s">
        <v>2206</v>
      </c>
      <c r="F556" s="9" t="s">
        <v>15</v>
      </c>
      <c r="G556" s="9" t="s">
        <v>16</v>
      </c>
      <c r="H556" s="9" t="s">
        <v>16</v>
      </c>
      <c r="I556" s="9"/>
      <c r="J556" s="9"/>
      <c r="K556" s="9"/>
    </row>
    <row r="557" hidden="1">
      <c r="A557" s="3" t="s">
        <v>2207</v>
      </c>
      <c r="B557" s="2" t="s">
        <v>2208</v>
      </c>
      <c r="C557" s="3" t="s">
        <v>2209</v>
      </c>
      <c r="D557" s="2">
        <v>1.855185100130526E-4</v>
      </c>
      <c r="E557" s="8" t="s">
        <v>2210</v>
      </c>
      <c r="F557" s="9" t="s">
        <v>15</v>
      </c>
      <c r="G557" s="9" t="s">
        <v>16</v>
      </c>
      <c r="H557" s="9" t="s">
        <v>16</v>
      </c>
      <c r="I557" s="9"/>
      <c r="J557" s="9"/>
      <c r="K557" s="9"/>
    </row>
    <row r="558" hidden="1">
      <c r="A558" s="3" t="s">
        <v>2211</v>
      </c>
      <c r="B558" s="2" t="s">
        <v>2212</v>
      </c>
      <c r="C558" s="3" t="s">
        <v>2213</v>
      </c>
      <c r="D558" s="2">
        <v>1.8551851001305256E-4</v>
      </c>
      <c r="E558" s="8" t="s">
        <v>2214</v>
      </c>
      <c r="F558" s="9" t="s">
        <v>16</v>
      </c>
      <c r="G558" s="9" t="s">
        <v>16</v>
      </c>
      <c r="H558" s="9" t="s">
        <v>16</v>
      </c>
      <c r="I558" s="9" t="s">
        <v>16</v>
      </c>
      <c r="J558" s="9" t="s">
        <v>16</v>
      </c>
      <c r="K558" s="9" t="s">
        <v>15</v>
      </c>
    </row>
    <row r="559" hidden="1">
      <c r="A559" s="3" t="s">
        <v>2215</v>
      </c>
      <c r="B559" s="2" t="s">
        <v>2216</v>
      </c>
      <c r="C559" s="3" t="s">
        <v>2217</v>
      </c>
      <c r="D559" s="2">
        <v>1.8551851001305256E-4</v>
      </c>
      <c r="E559" s="8" t="s">
        <v>2218</v>
      </c>
      <c r="F559" s="9" t="s">
        <v>15</v>
      </c>
      <c r="G559" s="9" t="s">
        <v>16</v>
      </c>
      <c r="H559" s="9" t="s">
        <v>16</v>
      </c>
      <c r="I559" s="9"/>
      <c r="J559" s="9"/>
      <c r="K559" s="9"/>
    </row>
    <row r="560" hidden="1">
      <c r="A560" s="3" t="s">
        <v>2219</v>
      </c>
      <c r="B560" s="2" t="s">
        <v>2220</v>
      </c>
      <c r="C560" s="3" t="s">
        <v>2221</v>
      </c>
      <c r="D560" s="2">
        <v>1.8338755415479453E-4</v>
      </c>
      <c r="E560" s="8" t="s">
        <v>2222</v>
      </c>
      <c r="F560" s="9" t="s">
        <v>15</v>
      </c>
      <c r="G560" s="9" t="s">
        <v>16</v>
      </c>
      <c r="H560" s="9" t="s">
        <v>16</v>
      </c>
      <c r="I560" s="9"/>
      <c r="J560" s="9"/>
      <c r="K560" s="9"/>
    </row>
    <row r="561" hidden="1">
      <c r="A561" s="3" t="s">
        <v>2223</v>
      </c>
      <c r="B561" s="2" t="s">
        <v>2224</v>
      </c>
      <c r="C561" s="3" t="s">
        <v>2225</v>
      </c>
      <c r="D561" s="2">
        <v>1.8338755415479453E-4</v>
      </c>
      <c r="E561" s="8" t="s">
        <v>2226</v>
      </c>
      <c r="F561" s="9" t="s">
        <v>16</v>
      </c>
      <c r="G561" s="9" t="s">
        <v>16</v>
      </c>
      <c r="H561" s="9" t="s">
        <v>16</v>
      </c>
      <c r="I561" s="9"/>
      <c r="J561" s="9" t="s">
        <v>15</v>
      </c>
      <c r="K561" s="9"/>
    </row>
    <row r="562" hidden="1">
      <c r="A562" s="3" t="s">
        <v>2227</v>
      </c>
      <c r="B562" s="2" t="s">
        <v>2228</v>
      </c>
      <c r="C562" s="3" t="s">
        <v>2229</v>
      </c>
      <c r="D562" s="2">
        <v>1.8338755415479453E-4</v>
      </c>
      <c r="E562" s="8" t="s">
        <v>2230</v>
      </c>
      <c r="F562" s="9" t="s">
        <v>15</v>
      </c>
      <c r="G562" s="9" t="s">
        <v>16</v>
      </c>
      <c r="H562" s="9" t="s">
        <v>16</v>
      </c>
      <c r="I562" s="9"/>
      <c r="J562" s="9"/>
      <c r="K562" s="9"/>
    </row>
    <row r="563" hidden="1">
      <c r="A563" s="3" t="s">
        <v>2231</v>
      </c>
      <c r="B563" s="2" t="s">
        <v>2232</v>
      </c>
      <c r="C563" s="3" t="s">
        <v>2233</v>
      </c>
      <c r="D563" s="2">
        <v>1.8338755415479453E-4</v>
      </c>
      <c r="E563" s="8" t="s">
        <v>2234</v>
      </c>
      <c r="F563" s="9" t="s">
        <v>15</v>
      </c>
      <c r="G563" s="9" t="s">
        <v>16</v>
      </c>
      <c r="H563" s="9" t="s">
        <v>16</v>
      </c>
      <c r="I563" s="9"/>
      <c r="J563" s="9"/>
      <c r="K563" s="9"/>
    </row>
    <row r="564" hidden="1">
      <c r="A564" s="3" t="s">
        <v>2235</v>
      </c>
      <c r="B564" s="2" t="s">
        <v>2236</v>
      </c>
      <c r="C564" s="3" t="s">
        <v>2237</v>
      </c>
      <c r="D564" s="2">
        <v>1.8338755415479453E-4</v>
      </c>
      <c r="E564" s="8" t="s">
        <v>2238</v>
      </c>
      <c r="F564" s="9" t="s">
        <v>15</v>
      </c>
      <c r="G564" s="9" t="s">
        <v>16</v>
      </c>
      <c r="H564" s="9" t="s">
        <v>16</v>
      </c>
      <c r="I564" s="9"/>
      <c r="J564" s="9"/>
      <c r="K564" s="9"/>
    </row>
    <row r="565" hidden="1">
      <c r="A565" s="3" t="s">
        <v>2239</v>
      </c>
      <c r="B565" s="2" t="s">
        <v>2240</v>
      </c>
      <c r="C565" s="3" t="s">
        <v>2241</v>
      </c>
      <c r="D565" s="2">
        <v>1.7957165645507775E-4</v>
      </c>
      <c r="E565" s="8" t="s">
        <v>2242</v>
      </c>
      <c r="F565" s="9" t="s">
        <v>15</v>
      </c>
      <c r="G565" s="9" t="s">
        <v>16</v>
      </c>
      <c r="H565" s="9" t="s">
        <v>16</v>
      </c>
      <c r="I565" s="9"/>
      <c r="J565" s="9"/>
      <c r="K565" s="9"/>
    </row>
    <row r="566" hidden="1">
      <c r="A566" s="3" t="s">
        <v>2243</v>
      </c>
      <c r="B566" s="2" t="s">
        <v>2244</v>
      </c>
      <c r="C566" s="3" t="s">
        <v>2245</v>
      </c>
      <c r="D566" s="2">
        <v>1.7957165645507775E-4</v>
      </c>
      <c r="E566" s="8" t="s">
        <v>2246</v>
      </c>
      <c r="F566" s="9" t="s">
        <v>15</v>
      </c>
      <c r="G566" s="9" t="s">
        <v>16</v>
      </c>
      <c r="H566" s="9" t="s">
        <v>16</v>
      </c>
      <c r="I566" s="9"/>
      <c r="J566" s="9"/>
      <c r="K566" s="9"/>
    </row>
    <row r="567" hidden="1">
      <c r="A567" s="3" t="s">
        <v>2247</v>
      </c>
      <c r="B567" s="2" t="s">
        <v>2248</v>
      </c>
      <c r="C567" s="3" t="s">
        <v>2249</v>
      </c>
      <c r="D567" s="2">
        <v>1.7936241531141823E-4</v>
      </c>
      <c r="E567" s="8" t="s">
        <v>2250</v>
      </c>
      <c r="F567" s="9" t="s">
        <v>15</v>
      </c>
      <c r="G567" s="9" t="s">
        <v>16</v>
      </c>
      <c r="H567" s="9" t="s">
        <v>16</v>
      </c>
      <c r="I567" s="9"/>
      <c r="J567" s="9"/>
      <c r="K567" s="9"/>
    </row>
    <row r="568" hidden="1">
      <c r="A568" s="3" t="s">
        <v>2251</v>
      </c>
      <c r="B568" s="2" t="s">
        <v>2252</v>
      </c>
      <c r="C568" s="3" t="s">
        <v>2253</v>
      </c>
      <c r="D568" s="2">
        <v>1.791256424382785E-4</v>
      </c>
      <c r="E568" s="8" t="s">
        <v>2254</v>
      </c>
      <c r="F568" s="9" t="s">
        <v>15</v>
      </c>
      <c r="G568" s="9" t="s">
        <v>16</v>
      </c>
      <c r="H568" s="9" t="s">
        <v>16</v>
      </c>
      <c r="I568" s="9"/>
      <c r="J568" s="9"/>
      <c r="K568" s="9"/>
    </row>
    <row r="569" hidden="1">
      <c r="A569" s="3" t="s">
        <v>2255</v>
      </c>
      <c r="B569" s="2" t="s">
        <v>2256</v>
      </c>
      <c r="C569" s="3" t="s">
        <v>2257</v>
      </c>
      <c r="D569" s="2">
        <v>1.791256424382785E-4</v>
      </c>
      <c r="E569" s="8" t="s">
        <v>2258</v>
      </c>
      <c r="F569" s="9" t="s">
        <v>15</v>
      </c>
      <c r="G569" s="9" t="s">
        <v>16</v>
      </c>
      <c r="H569" s="9" t="s">
        <v>16</v>
      </c>
      <c r="I569" s="9"/>
      <c r="J569" s="9"/>
      <c r="K569" s="9"/>
    </row>
    <row r="570" hidden="1">
      <c r="A570" s="3" t="s">
        <v>2259</v>
      </c>
      <c r="B570" s="2" t="s">
        <v>2260</v>
      </c>
      <c r="C570" s="3" t="s">
        <v>2261</v>
      </c>
      <c r="D570" s="2">
        <v>1.791256424382785E-4</v>
      </c>
      <c r="E570" s="8" t="s">
        <v>2262</v>
      </c>
      <c r="F570" s="9" t="s">
        <v>16</v>
      </c>
      <c r="G570" s="9" t="s">
        <v>16</v>
      </c>
      <c r="H570" s="9" t="s">
        <v>16</v>
      </c>
      <c r="I570" s="9"/>
      <c r="J570" s="9" t="s">
        <v>15</v>
      </c>
      <c r="K570" s="9"/>
    </row>
    <row r="571" hidden="1">
      <c r="A571" s="3" t="s">
        <v>2263</v>
      </c>
      <c r="B571" s="2" t="s">
        <v>2264</v>
      </c>
      <c r="C571" s="3" t="s">
        <v>2265</v>
      </c>
      <c r="D571" s="2">
        <v>1.7440047944822806E-4</v>
      </c>
      <c r="E571" s="8" t="s">
        <v>2266</v>
      </c>
      <c r="F571" s="9" t="s">
        <v>15</v>
      </c>
      <c r="G571" s="9" t="s">
        <v>16</v>
      </c>
      <c r="H571" s="9" t="s">
        <v>16</v>
      </c>
      <c r="I571" s="9"/>
      <c r="J571" s="9"/>
      <c r="K571" s="9"/>
    </row>
    <row r="572" hidden="1">
      <c r="A572" s="3" t="s">
        <v>2267</v>
      </c>
      <c r="B572" s="2" t="s">
        <v>2268</v>
      </c>
      <c r="C572" s="3" t="s">
        <v>2269</v>
      </c>
      <c r="D572" s="2">
        <v>1.7440047944822806E-4</v>
      </c>
      <c r="E572" s="8" t="s">
        <v>2270</v>
      </c>
      <c r="F572" s="9" t="s">
        <v>15</v>
      </c>
      <c r="G572" s="9" t="s">
        <v>16</v>
      </c>
      <c r="H572" s="9" t="s">
        <v>16</v>
      </c>
      <c r="I572" s="9"/>
      <c r="J572" s="9"/>
      <c r="K572" s="9"/>
    </row>
    <row r="573" hidden="1">
      <c r="A573" s="3" t="s">
        <v>2271</v>
      </c>
      <c r="B573" s="2" t="s">
        <v>2272</v>
      </c>
      <c r="C573" s="3" t="s">
        <v>2273</v>
      </c>
      <c r="D573" s="2">
        <v>1.7440047944822806E-4</v>
      </c>
      <c r="E573" s="8" t="s">
        <v>2274</v>
      </c>
      <c r="F573" s="9" t="s">
        <v>15</v>
      </c>
      <c r="G573" s="9" t="s">
        <v>16</v>
      </c>
      <c r="H573" s="9" t="s">
        <v>16</v>
      </c>
      <c r="I573" s="9"/>
      <c r="J573" s="9"/>
      <c r="K573" s="9"/>
    </row>
    <row r="574" hidden="1">
      <c r="A574" s="3" t="s">
        <v>2275</v>
      </c>
      <c r="B574" s="2" t="s">
        <v>2276</v>
      </c>
      <c r="C574" s="3" t="s">
        <v>2277</v>
      </c>
      <c r="D574" s="2">
        <v>1.7440047944822806E-4</v>
      </c>
      <c r="E574" s="8" t="s">
        <v>2278</v>
      </c>
      <c r="F574" s="9" t="s">
        <v>15</v>
      </c>
      <c r="G574" s="9" t="s">
        <v>16</v>
      </c>
      <c r="H574" s="9" t="s">
        <v>16</v>
      </c>
      <c r="I574" s="9"/>
      <c r="J574" s="9"/>
      <c r="K574" s="9"/>
    </row>
    <row r="575" hidden="1">
      <c r="A575" s="3" t="s">
        <v>2279</v>
      </c>
      <c r="B575" s="2" t="s">
        <v>2280</v>
      </c>
      <c r="C575" s="3" t="s">
        <v>2281</v>
      </c>
      <c r="D575" s="2">
        <v>1.7440047944822806E-4</v>
      </c>
      <c r="E575" s="8" t="s">
        <v>2282</v>
      </c>
      <c r="F575" s="9" t="s">
        <v>15</v>
      </c>
      <c r="G575" s="9" t="s">
        <v>16</v>
      </c>
      <c r="H575" s="9" t="s">
        <v>16</v>
      </c>
      <c r="I575" s="9"/>
      <c r="J575" s="9"/>
      <c r="K575" s="9"/>
    </row>
    <row r="576" hidden="1">
      <c r="A576" s="3" t="s">
        <v>2283</v>
      </c>
      <c r="B576" s="2" t="s">
        <v>2284</v>
      </c>
      <c r="C576" s="3" t="s">
        <v>2285</v>
      </c>
      <c r="D576" s="2">
        <v>1.7440047944822806E-4</v>
      </c>
      <c r="E576" s="8" t="s">
        <v>2286</v>
      </c>
      <c r="F576" s="9" t="s">
        <v>15</v>
      </c>
      <c r="G576" s="9" t="s">
        <v>16</v>
      </c>
      <c r="H576" s="9" t="s">
        <v>16</v>
      </c>
      <c r="I576" s="9"/>
      <c r="J576" s="9"/>
      <c r="K576" s="9"/>
    </row>
    <row r="577" hidden="1">
      <c r="A577" s="3" t="s">
        <v>2287</v>
      </c>
      <c r="B577" s="2" t="s">
        <v>2288</v>
      </c>
      <c r="C577" s="3" t="s">
        <v>2289</v>
      </c>
      <c r="D577" s="2">
        <v>1.7440047944822806E-4</v>
      </c>
      <c r="E577" s="8" t="s">
        <v>2290</v>
      </c>
      <c r="F577" s="9" t="s">
        <v>15</v>
      </c>
      <c r="G577" s="9" t="s">
        <v>16</v>
      </c>
      <c r="H577" s="9" t="s">
        <v>16</v>
      </c>
      <c r="I577" s="9"/>
      <c r="J577" s="9"/>
      <c r="K577" s="9"/>
    </row>
    <row r="578" hidden="1">
      <c r="A578" s="3" t="s">
        <v>2291</v>
      </c>
      <c r="B578" s="2" t="s">
        <v>2292</v>
      </c>
      <c r="C578" s="3" t="s">
        <v>2293</v>
      </c>
      <c r="D578" s="2">
        <v>1.7440047944822806E-4</v>
      </c>
      <c r="E578" s="8" t="s">
        <v>2294</v>
      </c>
      <c r="F578" s="9" t="s">
        <v>15</v>
      </c>
      <c r="G578" s="9" t="s">
        <v>16</v>
      </c>
      <c r="H578" s="9" t="s">
        <v>16</v>
      </c>
      <c r="I578" s="9"/>
      <c r="J578" s="9"/>
      <c r="K578" s="9"/>
    </row>
    <row r="579" hidden="1">
      <c r="A579" s="3" t="s">
        <v>2295</v>
      </c>
      <c r="B579" s="2" t="s">
        <v>2296</v>
      </c>
      <c r="C579" s="3" t="s">
        <v>2297</v>
      </c>
      <c r="D579" s="2">
        <v>1.7440047944822806E-4</v>
      </c>
      <c r="E579" s="8" t="s">
        <v>2298</v>
      </c>
      <c r="F579" s="9" t="s">
        <v>15</v>
      </c>
      <c r="G579" s="9" t="s">
        <v>16</v>
      </c>
      <c r="H579" s="9" t="s">
        <v>16</v>
      </c>
      <c r="I579" s="9"/>
      <c r="J579" s="9"/>
      <c r="K579" s="9"/>
    </row>
    <row r="580" hidden="1">
      <c r="A580" s="3" t="s">
        <v>2299</v>
      </c>
      <c r="B580" s="2" t="s">
        <v>2300</v>
      </c>
      <c r="C580" s="3" t="s">
        <v>2301</v>
      </c>
      <c r="D580" s="2">
        <v>1.7440047944822806E-4</v>
      </c>
      <c r="E580" s="8" t="s">
        <v>2302</v>
      </c>
      <c r="F580" s="9" t="s">
        <v>15</v>
      </c>
      <c r="G580" s="9" t="s">
        <v>16</v>
      </c>
      <c r="H580" s="9" t="s">
        <v>16</v>
      </c>
      <c r="I580" s="9"/>
      <c r="J580" s="9"/>
      <c r="K580" s="9"/>
    </row>
    <row r="581" hidden="1">
      <c r="A581" s="3" t="s">
        <v>2303</v>
      </c>
      <c r="B581" s="2" t="s">
        <v>2304</v>
      </c>
      <c r="C581" s="3" t="s">
        <v>2305</v>
      </c>
      <c r="D581" s="2">
        <v>1.7440047944822806E-4</v>
      </c>
      <c r="E581" s="8" t="s">
        <v>2306</v>
      </c>
      <c r="F581" s="9" t="s">
        <v>15</v>
      </c>
      <c r="G581" s="9" t="s">
        <v>16</v>
      </c>
      <c r="H581" s="9" t="s">
        <v>16</v>
      </c>
      <c r="I581" s="9"/>
      <c r="J581" s="9"/>
      <c r="K581" s="9"/>
    </row>
    <row r="582" hidden="1">
      <c r="A582" s="3" t="s">
        <v>2307</v>
      </c>
      <c r="B582" s="2" t="s">
        <v>2308</v>
      </c>
      <c r="C582" s="3" t="s">
        <v>2309</v>
      </c>
      <c r="D582" s="2">
        <v>1.744004794481329E-4</v>
      </c>
      <c r="E582" s="8" t="s">
        <v>2310</v>
      </c>
      <c r="F582" s="9" t="s">
        <v>15</v>
      </c>
      <c r="G582" s="9" t="s">
        <v>16</v>
      </c>
      <c r="H582" s="9" t="s">
        <v>16</v>
      </c>
      <c r="I582" s="9"/>
      <c r="J582" s="9"/>
      <c r="K582" s="9"/>
    </row>
    <row r="583" hidden="1">
      <c r="A583" s="3" t="s">
        <v>2311</v>
      </c>
      <c r="B583" s="2" t="s">
        <v>2312</v>
      </c>
      <c r="C583" s="3" t="s">
        <v>2313</v>
      </c>
      <c r="D583" s="2">
        <v>1.7440047944800418E-4</v>
      </c>
      <c r="E583" s="8" t="s">
        <v>2314</v>
      </c>
      <c r="F583" s="9" t="s">
        <v>15</v>
      </c>
      <c r="G583" s="9" t="s">
        <v>16</v>
      </c>
      <c r="H583" s="9" t="s">
        <v>16</v>
      </c>
      <c r="I583" s="9"/>
      <c r="J583" s="9"/>
      <c r="K583" s="9"/>
    </row>
    <row r="584" hidden="1">
      <c r="A584" s="3" t="s">
        <v>2315</v>
      </c>
      <c r="B584" s="2" t="s">
        <v>2316</v>
      </c>
      <c r="C584" s="3" t="s">
        <v>2317</v>
      </c>
      <c r="D584" s="2">
        <v>1.7440047944800418E-4</v>
      </c>
      <c r="E584" s="8" t="s">
        <v>2318</v>
      </c>
      <c r="F584" s="9" t="s">
        <v>15</v>
      </c>
      <c r="G584" s="9" t="s">
        <v>16</v>
      </c>
      <c r="H584" s="9" t="s">
        <v>16</v>
      </c>
      <c r="I584" s="9"/>
      <c r="J584" s="9"/>
      <c r="K584" s="9"/>
    </row>
    <row r="585" hidden="1">
      <c r="A585" s="3" t="s">
        <v>2319</v>
      </c>
      <c r="B585" s="2" t="s">
        <v>2320</v>
      </c>
      <c r="C585" s="3" t="s">
        <v>2321</v>
      </c>
      <c r="D585" s="2">
        <v>1.7415341210234305E-4</v>
      </c>
      <c r="E585" s="8" t="s">
        <v>2322</v>
      </c>
      <c r="F585" s="9" t="s">
        <v>15</v>
      </c>
      <c r="G585" s="9" t="s">
        <v>16</v>
      </c>
      <c r="H585" s="9" t="s">
        <v>16</v>
      </c>
      <c r="I585" s="9"/>
      <c r="J585" s="9"/>
      <c r="K585" s="9"/>
    </row>
    <row r="586" hidden="1">
      <c r="A586" s="3" t="s">
        <v>2323</v>
      </c>
      <c r="B586" s="2" t="s">
        <v>2324</v>
      </c>
      <c r="C586" s="3" t="s">
        <v>2325</v>
      </c>
      <c r="D586" s="2">
        <v>1.7131213762466567E-4</v>
      </c>
      <c r="E586" s="8" t="s">
        <v>2326</v>
      </c>
      <c r="F586" s="9" t="s">
        <v>15</v>
      </c>
      <c r="G586" s="9" t="s">
        <v>16</v>
      </c>
      <c r="H586" s="9" t="s">
        <v>16</v>
      </c>
      <c r="I586" s="9"/>
      <c r="J586" s="9"/>
      <c r="K586" s="9"/>
    </row>
    <row r="587" hidden="1">
      <c r="A587" s="3" t="s">
        <v>2327</v>
      </c>
      <c r="B587" s="2" t="s">
        <v>2328</v>
      </c>
      <c r="C587" s="3" t="s">
        <v>2329</v>
      </c>
      <c r="D587" s="2">
        <v>1.7131213762466567E-4</v>
      </c>
      <c r="E587" s="8" t="s">
        <v>2330</v>
      </c>
      <c r="F587" s="9" t="s">
        <v>15</v>
      </c>
      <c r="G587" s="9" t="s">
        <v>16</v>
      </c>
      <c r="H587" s="9" t="s">
        <v>16</v>
      </c>
      <c r="I587" s="9"/>
      <c r="J587" s="9"/>
      <c r="K587" s="9"/>
    </row>
    <row r="588" hidden="1">
      <c r="A588" s="3" t="s">
        <v>2331</v>
      </c>
      <c r="B588" s="2" t="s">
        <v>2332</v>
      </c>
      <c r="C588" s="3" t="s">
        <v>2333</v>
      </c>
      <c r="D588" s="2">
        <v>1.7131213762466567E-4</v>
      </c>
      <c r="E588" s="8" t="s">
        <v>2334</v>
      </c>
      <c r="F588" s="9" t="s">
        <v>15</v>
      </c>
      <c r="G588" s="9" t="s">
        <v>16</v>
      </c>
      <c r="H588" s="9" t="s">
        <v>16</v>
      </c>
      <c r="I588" s="9"/>
      <c r="J588" s="9"/>
      <c r="K588" s="9"/>
    </row>
    <row r="589" hidden="1">
      <c r="A589" s="3" t="s">
        <v>2335</v>
      </c>
      <c r="B589" s="2" t="s">
        <v>2336</v>
      </c>
      <c r="C589" s="3" t="s">
        <v>2337</v>
      </c>
      <c r="D589" s="2">
        <v>1.6928265585489612E-4</v>
      </c>
      <c r="E589" s="8" t="s">
        <v>2338</v>
      </c>
      <c r="F589" s="10"/>
      <c r="G589" s="9" t="s">
        <v>16</v>
      </c>
      <c r="H589" s="9" t="s">
        <v>16</v>
      </c>
      <c r="I589" s="9"/>
      <c r="J589" s="9" t="s">
        <v>15</v>
      </c>
      <c r="K589" s="9"/>
    </row>
    <row r="590" hidden="1">
      <c r="A590" s="3" t="s">
        <v>2339</v>
      </c>
      <c r="B590" s="2" t="s">
        <v>2340</v>
      </c>
      <c r="C590" s="3" t="s">
        <v>2341</v>
      </c>
      <c r="D590" s="2">
        <v>1.6420895143047225E-4</v>
      </c>
      <c r="E590" s="8" t="s">
        <v>2342</v>
      </c>
      <c r="F590" s="9" t="s">
        <v>15</v>
      </c>
      <c r="G590" s="9" t="s">
        <v>16</v>
      </c>
      <c r="H590" s="9" t="s">
        <v>16</v>
      </c>
      <c r="I590" s="9"/>
      <c r="J590" s="9"/>
      <c r="K590" s="9"/>
    </row>
    <row r="591" hidden="1">
      <c r="A591" s="3" t="s">
        <v>2343</v>
      </c>
      <c r="B591" s="2" t="s">
        <v>2344</v>
      </c>
      <c r="C591" s="3" t="s">
        <v>2345</v>
      </c>
      <c r="D591" s="2">
        <v>1.6420895143047225E-4</v>
      </c>
      <c r="E591" s="8" t="s">
        <v>2346</v>
      </c>
      <c r="F591" s="9" t="s">
        <v>15</v>
      </c>
      <c r="G591" s="9" t="s">
        <v>16</v>
      </c>
      <c r="H591" s="9" t="s">
        <v>16</v>
      </c>
      <c r="I591" s="9"/>
      <c r="J591" s="9"/>
      <c r="K591" s="9"/>
    </row>
    <row r="592" hidden="1">
      <c r="A592" s="3" t="s">
        <v>2347</v>
      </c>
      <c r="B592" s="2" t="s">
        <v>2348</v>
      </c>
      <c r="C592" s="3" t="s">
        <v>2349</v>
      </c>
      <c r="D592" s="2">
        <v>1.6420895143047225E-4</v>
      </c>
      <c r="E592" s="8" t="s">
        <v>2350</v>
      </c>
      <c r="F592" s="9" t="s">
        <v>15</v>
      </c>
      <c r="G592" s="9" t="s">
        <v>16</v>
      </c>
      <c r="H592" s="9" t="s">
        <v>16</v>
      </c>
      <c r="I592" s="9"/>
      <c r="J592" s="9"/>
      <c r="K592" s="9"/>
    </row>
    <row r="593" hidden="1">
      <c r="A593" s="3" t="s">
        <v>2351</v>
      </c>
      <c r="B593" s="2" t="s">
        <v>2352</v>
      </c>
      <c r="C593" s="3" t="s">
        <v>2353</v>
      </c>
      <c r="D593" s="2">
        <v>1.626685014124427E-4</v>
      </c>
      <c r="E593" s="8" t="s">
        <v>2354</v>
      </c>
      <c r="F593" s="9" t="s">
        <v>15</v>
      </c>
      <c r="G593" s="9" t="s">
        <v>16</v>
      </c>
      <c r="H593" s="9" t="s">
        <v>16</v>
      </c>
      <c r="I593" s="9"/>
      <c r="J593" s="9"/>
      <c r="K593" s="9"/>
    </row>
    <row r="594" hidden="1">
      <c r="A594" s="3" t="s">
        <v>2355</v>
      </c>
      <c r="B594" s="2" t="s">
        <v>2356</v>
      </c>
      <c r="C594" s="3" t="s">
        <v>2357</v>
      </c>
      <c r="D594" s="2">
        <v>1.6068932267124939E-4</v>
      </c>
      <c r="E594" s="8" t="s">
        <v>2358</v>
      </c>
      <c r="F594" s="9" t="s">
        <v>15</v>
      </c>
      <c r="G594" s="9" t="s">
        <v>16</v>
      </c>
      <c r="H594" s="9" t="s">
        <v>16</v>
      </c>
      <c r="I594" s="9"/>
      <c r="J594" s="9"/>
      <c r="K594" s="9"/>
    </row>
    <row r="595" hidden="1">
      <c r="A595" s="3" t="s">
        <v>2359</v>
      </c>
      <c r="B595" s="2" t="s">
        <v>2360</v>
      </c>
      <c r="C595" s="3" t="s">
        <v>2361</v>
      </c>
      <c r="D595" s="2">
        <v>1.5994703971395616E-4</v>
      </c>
      <c r="E595" s="8" t="s">
        <v>2362</v>
      </c>
      <c r="F595" s="9" t="s">
        <v>15</v>
      </c>
      <c r="G595" s="9" t="s">
        <v>16</v>
      </c>
      <c r="H595" s="9" t="s">
        <v>16</v>
      </c>
      <c r="I595" s="9"/>
      <c r="J595" s="9"/>
      <c r="K595" s="9"/>
    </row>
    <row r="596" hidden="1">
      <c r="A596" s="3" t="s">
        <v>2363</v>
      </c>
      <c r="B596" s="2" t="s">
        <v>2364</v>
      </c>
      <c r="C596" s="3" t="s">
        <v>2365</v>
      </c>
      <c r="D596" s="2">
        <v>1.594364777929163E-4</v>
      </c>
      <c r="E596" s="8" t="s">
        <v>2366</v>
      </c>
      <c r="F596" s="9" t="s">
        <v>15</v>
      </c>
      <c r="G596" s="9" t="s">
        <v>16</v>
      </c>
      <c r="H596" s="9" t="s">
        <v>16</v>
      </c>
      <c r="I596" s="9"/>
      <c r="J596" s="9"/>
      <c r="K596" s="9"/>
    </row>
    <row r="597" hidden="1">
      <c r="A597" s="3" t="s">
        <v>2367</v>
      </c>
      <c r="B597" s="2" t="s">
        <v>2368</v>
      </c>
      <c r="C597" s="3" t="s">
        <v>2369</v>
      </c>
      <c r="D597" s="2">
        <v>1.584065896959266E-4</v>
      </c>
      <c r="E597" s="8" t="s">
        <v>2370</v>
      </c>
      <c r="F597" s="9" t="s">
        <v>15</v>
      </c>
      <c r="G597" s="9" t="s">
        <v>16</v>
      </c>
      <c r="H597" s="9" t="s">
        <v>16</v>
      </c>
      <c r="I597" s="9"/>
      <c r="J597" s="9"/>
      <c r="K597" s="9"/>
    </row>
    <row r="598" hidden="1">
      <c r="A598" s="3" t="s">
        <v>2371</v>
      </c>
      <c r="B598" s="2" t="s">
        <v>2372</v>
      </c>
      <c r="C598" s="3" t="s">
        <v>2373</v>
      </c>
      <c r="D598" s="2">
        <v>1.5710576523627877E-4</v>
      </c>
      <c r="E598" s="8" t="s">
        <v>2374</v>
      </c>
      <c r="F598" s="9" t="s">
        <v>15</v>
      </c>
      <c r="G598" s="9" t="s">
        <v>16</v>
      </c>
      <c r="H598" s="9" t="s">
        <v>16</v>
      </c>
      <c r="I598" s="9"/>
      <c r="J598" s="9"/>
      <c r="K598" s="9"/>
    </row>
    <row r="599" hidden="1">
      <c r="A599" s="3" t="s">
        <v>2375</v>
      </c>
      <c r="B599" s="2" t="s">
        <v>2376</v>
      </c>
      <c r="C599" s="3" t="s">
        <v>2377</v>
      </c>
      <c r="D599" s="2">
        <v>1.5710576523627877E-4</v>
      </c>
      <c r="E599" s="8" t="s">
        <v>2378</v>
      </c>
      <c r="F599" s="9" t="s">
        <v>15</v>
      </c>
      <c r="G599" s="9" t="s">
        <v>16</v>
      </c>
      <c r="H599" s="9" t="s">
        <v>16</v>
      </c>
      <c r="I599" s="9"/>
      <c r="J599" s="9"/>
      <c r="K599" s="9"/>
    </row>
    <row r="600" hidden="1">
      <c r="A600" s="3" t="s">
        <v>2379</v>
      </c>
      <c r="B600" s="2" t="s">
        <v>2380</v>
      </c>
      <c r="C600" s="3" t="s">
        <v>2381</v>
      </c>
      <c r="D600" s="2">
        <v>1.5710576523627877E-4</v>
      </c>
      <c r="E600" s="8" t="s">
        <v>2382</v>
      </c>
      <c r="F600" s="9" t="s">
        <v>15</v>
      </c>
      <c r="G600" s="9" t="s">
        <v>16</v>
      </c>
      <c r="H600" s="9" t="s">
        <v>16</v>
      </c>
      <c r="I600" s="9"/>
      <c r="J600" s="9"/>
      <c r="K600" s="9"/>
    </row>
    <row r="601" hidden="1">
      <c r="A601" s="3" t="s">
        <v>2383</v>
      </c>
      <c r="B601" s="2" t="s">
        <v>2384</v>
      </c>
      <c r="C601" s="3" t="s">
        <v>2385</v>
      </c>
      <c r="D601" s="2">
        <v>1.5710576523627877E-4</v>
      </c>
      <c r="E601" s="8" t="s">
        <v>2386</v>
      </c>
      <c r="F601" s="9" t="s">
        <v>15</v>
      </c>
      <c r="G601" s="9" t="s">
        <v>16</v>
      </c>
      <c r="H601" s="9" t="s">
        <v>16</v>
      </c>
      <c r="I601" s="9"/>
      <c r="J601" s="9"/>
      <c r="K601" s="9"/>
    </row>
    <row r="602" hidden="1">
      <c r="A602" s="3" t="s">
        <v>2387</v>
      </c>
      <c r="B602" s="2" t="s">
        <v>2388</v>
      </c>
      <c r="C602" s="3" t="s">
        <v>2389</v>
      </c>
      <c r="D602" s="2">
        <v>1.5710576523627877E-4</v>
      </c>
      <c r="E602" s="8" t="s">
        <v>2390</v>
      </c>
      <c r="F602" s="9" t="s">
        <v>15</v>
      </c>
      <c r="G602" s="9" t="s">
        <v>16</v>
      </c>
      <c r="H602" s="9" t="s">
        <v>16</v>
      </c>
      <c r="I602" s="9"/>
      <c r="J602" s="9"/>
      <c r="K602" s="9"/>
    </row>
    <row r="603" hidden="1">
      <c r="A603" s="3" t="s">
        <v>2391</v>
      </c>
      <c r="B603" s="2" t="s">
        <v>2392</v>
      </c>
      <c r="C603" s="3" t="s">
        <v>2393</v>
      </c>
      <c r="D603" s="2">
        <v>1.5710576523627877E-4</v>
      </c>
      <c r="E603" s="8" t="s">
        <v>2394</v>
      </c>
      <c r="F603" s="9" t="s">
        <v>15</v>
      </c>
      <c r="G603" s="9" t="s">
        <v>16</v>
      </c>
      <c r="H603" s="9" t="s">
        <v>16</v>
      </c>
      <c r="I603" s="9"/>
      <c r="J603" s="9"/>
      <c r="K603" s="9"/>
    </row>
    <row r="604" hidden="1">
      <c r="A604" s="3" t="s">
        <v>2395</v>
      </c>
      <c r="B604" s="2" t="s">
        <v>2396</v>
      </c>
      <c r="C604" s="3" t="s">
        <v>2397</v>
      </c>
      <c r="D604" s="2">
        <v>1.5710576523627877E-4</v>
      </c>
      <c r="E604" s="8" t="s">
        <v>2398</v>
      </c>
      <c r="F604" s="9" t="s">
        <v>15</v>
      </c>
      <c r="G604" s="9" t="s">
        <v>16</v>
      </c>
      <c r="H604" s="9" t="s">
        <v>16</v>
      </c>
      <c r="I604" s="9"/>
      <c r="J604" s="9"/>
      <c r="K604" s="9"/>
    </row>
    <row r="605" hidden="1">
      <c r="A605" s="3" t="s">
        <v>2399</v>
      </c>
      <c r="B605" s="2" t="s">
        <v>2400</v>
      </c>
      <c r="C605" s="3" t="s">
        <v>2401</v>
      </c>
      <c r="D605" s="2">
        <v>1.5710576523627877E-4</v>
      </c>
      <c r="E605" s="8" t="s">
        <v>2402</v>
      </c>
      <c r="F605" s="9" t="s">
        <v>15</v>
      </c>
      <c r="G605" s="9" t="s">
        <v>16</v>
      </c>
      <c r="H605" s="9" t="s">
        <v>16</v>
      </c>
      <c r="I605" s="9"/>
      <c r="J605" s="9"/>
      <c r="K605" s="9"/>
    </row>
    <row r="606" hidden="1">
      <c r="A606" s="3" t="s">
        <v>2403</v>
      </c>
      <c r="B606" s="2" t="s">
        <v>2404</v>
      </c>
      <c r="C606" s="3" t="s">
        <v>2405</v>
      </c>
      <c r="D606" s="2">
        <v>1.5710576523627877E-4</v>
      </c>
      <c r="E606" s="8" t="s">
        <v>2406</v>
      </c>
      <c r="F606" s="9" t="s">
        <v>15</v>
      </c>
      <c r="G606" s="9" t="s">
        <v>16</v>
      </c>
      <c r="H606" s="9" t="s">
        <v>16</v>
      </c>
      <c r="I606" s="9"/>
      <c r="J606" s="9"/>
      <c r="K606" s="9"/>
    </row>
    <row r="607" hidden="1">
      <c r="A607" s="3" t="s">
        <v>2407</v>
      </c>
      <c r="B607" s="2" t="s">
        <v>2408</v>
      </c>
      <c r="C607" s="3" t="s">
        <v>2409</v>
      </c>
      <c r="D607" s="2">
        <v>1.5710576523627877E-4</v>
      </c>
      <c r="E607" s="8" t="s">
        <v>2410</v>
      </c>
      <c r="F607" s="9" t="s">
        <v>15</v>
      </c>
      <c r="G607" s="9" t="s">
        <v>16</v>
      </c>
      <c r="H607" s="9" t="s">
        <v>16</v>
      </c>
      <c r="I607" s="9"/>
      <c r="J607" s="9"/>
      <c r="K607" s="9"/>
    </row>
    <row r="608" hidden="1">
      <c r="A608" s="3" t="s">
        <v>2411</v>
      </c>
      <c r="B608" s="2" t="s">
        <v>2412</v>
      </c>
      <c r="C608" s="3" t="s">
        <v>2413</v>
      </c>
      <c r="D608" s="2">
        <v>1.5604028730714975E-4</v>
      </c>
      <c r="E608" s="8" t="s">
        <v>2414</v>
      </c>
      <c r="F608" s="9" t="s">
        <v>15</v>
      </c>
      <c r="G608" s="9" t="s">
        <v>16</v>
      </c>
      <c r="H608" s="9" t="s">
        <v>16</v>
      </c>
      <c r="I608" s="9"/>
      <c r="J608" s="9"/>
      <c r="K608" s="9"/>
    </row>
    <row r="609" hidden="1">
      <c r="A609" s="3" t="s">
        <v>2415</v>
      </c>
      <c r="B609" s="2" t="s">
        <v>2416</v>
      </c>
      <c r="C609" s="3" t="s">
        <v>2417</v>
      </c>
      <c r="D609" s="2">
        <v>1.5512148226313482E-4</v>
      </c>
      <c r="E609" s="8" t="s">
        <v>2418</v>
      </c>
      <c r="F609" s="9" t="s">
        <v>15</v>
      </c>
      <c r="G609" s="9" t="s">
        <v>16</v>
      </c>
      <c r="H609" s="9" t="s">
        <v>16</v>
      </c>
      <c r="I609" s="9"/>
      <c r="J609" s="9"/>
      <c r="K609" s="9"/>
    </row>
    <row r="610" hidden="1">
      <c r="A610" s="3" t="s">
        <v>2419</v>
      </c>
      <c r="B610" s="2" t="s">
        <v>2420</v>
      </c>
      <c r="C610" s="3" t="s">
        <v>2421</v>
      </c>
      <c r="D610" s="2">
        <v>1.549748093780207E-4</v>
      </c>
      <c r="E610" s="8" t="s">
        <v>2422</v>
      </c>
      <c r="F610" s="9" t="s">
        <v>15</v>
      </c>
      <c r="G610" s="9" t="s">
        <v>16</v>
      </c>
      <c r="H610" s="9" t="s">
        <v>16</v>
      </c>
      <c r="I610" s="9"/>
      <c r="J610" s="9"/>
      <c r="K610" s="9"/>
    </row>
    <row r="611" hidden="1">
      <c r="A611" s="3" t="s">
        <v>2423</v>
      </c>
      <c r="B611" s="2" t="s">
        <v>2424</v>
      </c>
      <c r="C611" s="3" t="s">
        <v>2425</v>
      </c>
      <c r="D611" s="2">
        <v>1.549748093780207E-4</v>
      </c>
      <c r="E611" s="8" t="s">
        <v>2426</v>
      </c>
      <c r="F611" s="9" t="s">
        <v>15</v>
      </c>
      <c r="G611" s="9" t="s">
        <v>16</v>
      </c>
      <c r="H611" s="9" t="s">
        <v>16</v>
      </c>
      <c r="I611" s="9"/>
      <c r="J611" s="9"/>
      <c r="K611" s="9"/>
    </row>
    <row r="612" hidden="1">
      <c r="A612" s="3" t="s">
        <v>2427</v>
      </c>
      <c r="B612" s="2" t="s">
        <v>2428</v>
      </c>
      <c r="C612" s="3" t="s">
        <v>2429</v>
      </c>
      <c r="D612" s="2">
        <v>1.5494719982037545E-4</v>
      </c>
      <c r="E612" s="8" t="s">
        <v>2430</v>
      </c>
      <c r="F612" s="9" t="s">
        <v>15</v>
      </c>
      <c r="G612" s="9" t="s">
        <v>16</v>
      </c>
      <c r="H612" s="9" t="s">
        <v>16</v>
      </c>
      <c r="I612" s="9"/>
      <c r="J612" s="9"/>
      <c r="K612" s="9"/>
    </row>
    <row r="613" hidden="1">
      <c r="A613" s="3" t="s">
        <v>2431</v>
      </c>
      <c r="B613" s="2" t="s">
        <v>2432</v>
      </c>
      <c r="C613" s="3" t="s">
        <v>2433</v>
      </c>
      <c r="D613" s="2">
        <v>1.543997895432527E-4</v>
      </c>
      <c r="E613" s="8" t="s">
        <v>2434</v>
      </c>
      <c r="F613" s="9" t="s">
        <v>15</v>
      </c>
      <c r="G613" s="9" t="s">
        <v>16</v>
      </c>
      <c r="H613" s="9" t="s">
        <v>16</v>
      </c>
      <c r="I613" s="9"/>
      <c r="J613" s="9"/>
      <c r="K613" s="9"/>
    </row>
    <row r="614" hidden="1">
      <c r="A614" s="3" t="s">
        <v>2435</v>
      </c>
      <c r="B614" s="2" t="s">
        <v>2436</v>
      </c>
      <c r="C614" s="3" t="s">
        <v>2437</v>
      </c>
      <c r="D614" s="2">
        <v>1.5439978954322707E-4</v>
      </c>
      <c r="E614" s="8" t="s">
        <v>2438</v>
      </c>
      <c r="F614" s="9" t="s">
        <v>15</v>
      </c>
      <c r="G614" s="9" t="s">
        <v>16</v>
      </c>
      <c r="H614" s="9" t="s">
        <v>16</v>
      </c>
      <c r="I614" s="9"/>
      <c r="J614" s="9"/>
      <c r="K614" s="9"/>
    </row>
    <row r="615" hidden="1">
      <c r="A615" s="3" t="s">
        <v>2439</v>
      </c>
      <c r="B615" s="2" t="s">
        <v>2440</v>
      </c>
      <c r="C615" s="3" t="s">
        <v>2441</v>
      </c>
      <c r="D615" s="2">
        <v>1.5284385351976268E-4</v>
      </c>
      <c r="E615" s="8" t="s">
        <v>2442</v>
      </c>
      <c r="F615" s="9" t="s">
        <v>15</v>
      </c>
      <c r="G615" s="9" t="s">
        <v>16</v>
      </c>
      <c r="H615" s="9" t="s">
        <v>16</v>
      </c>
      <c r="I615" s="9"/>
      <c r="J615" s="9"/>
      <c r="K615" s="9"/>
    </row>
    <row r="616" hidden="1">
      <c r="A616" s="3" t="s">
        <v>2443</v>
      </c>
      <c r="B616" s="2" t="s">
        <v>2444</v>
      </c>
      <c r="C616" s="3" t="s">
        <v>2445</v>
      </c>
      <c r="D616" s="2">
        <v>1.509970251092724E-4</v>
      </c>
      <c r="E616" s="8" t="s">
        <v>2446</v>
      </c>
      <c r="F616" s="9" t="s">
        <v>15</v>
      </c>
      <c r="G616" s="9" t="s">
        <v>16</v>
      </c>
      <c r="H616" s="9" t="s">
        <v>16</v>
      </c>
      <c r="I616" s="9"/>
      <c r="J616" s="9"/>
      <c r="K616" s="9"/>
    </row>
    <row r="617" hidden="1">
      <c r="A617" s="3" t="s">
        <v>2447</v>
      </c>
      <c r="B617" s="2" t="s">
        <v>2448</v>
      </c>
      <c r="C617" s="3" t="s">
        <v>2449</v>
      </c>
      <c r="D617" s="2">
        <v>1.5000257904208532E-4</v>
      </c>
      <c r="E617" s="8" t="s">
        <v>2450</v>
      </c>
      <c r="F617" s="9" t="s">
        <v>15</v>
      </c>
      <c r="G617" s="9" t="s">
        <v>16</v>
      </c>
      <c r="H617" s="9" t="s">
        <v>16</v>
      </c>
      <c r="I617" s="9"/>
      <c r="J617" s="9"/>
      <c r="K617" s="9"/>
    </row>
    <row r="618" hidden="1">
      <c r="A618" s="3" t="s">
        <v>2451</v>
      </c>
      <c r="B618" s="2" t="s">
        <v>2452</v>
      </c>
      <c r="C618" s="3" t="s">
        <v>2453</v>
      </c>
      <c r="D618" s="2">
        <v>1.5000257904208532E-4</v>
      </c>
      <c r="E618" s="8" t="s">
        <v>2454</v>
      </c>
      <c r="F618" s="9" t="s">
        <v>15</v>
      </c>
      <c r="G618" s="9" t="s">
        <v>16</v>
      </c>
      <c r="H618" s="9" t="s">
        <v>16</v>
      </c>
      <c r="I618" s="9"/>
      <c r="J618" s="9"/>
      <c r="K618" s="9"/>
    </row>
    <row r="619" hidden="1">
      <c r="A619" s="3" t="s">
        <v>2455</v>
      </c>
      <c r="B619" s="2" t="s">
        <v>2456</v>
      </c>
      <c r="C619" s="3" t="s">
        <v>2457</v>
      </c>
      <c r="D619" s="2">
        <v>1.5000257904208532E-4</v>
      </c>
      <c r="E619" s="8" t="s">
        <v>2458</v>
      </c>
      <c r="F619" s="9" t="s">
        <v>15</v>
      </c>
      <c r="G619" s="9" t="s">
        <v>16</v>
      </c>
      <c r="H619" s="9" t="s">
        <v>16</v>
      </c>
      <c r="I619" s="9"/>
      <c r="J619" s="9"/>
      <c r="K619" s="9"/>
    </row>
    <row r="620" hidden="1">
      <c r="A620" s="3" t="s">
        <v>2459</v>
      </c>
      <c r="B620" s="2" t="s">
        <v>2460</v>
      </c>
      <c r="C620" s="3" t="s">
        <v>2461</v>
      </c>
      <c r="D620" s="2">
        <v>1.4950535600849178E-4</v>
      </c>
      <c r="E620" s="8" t="s">
        <v>2462</v>
      </c>
      <c r="F620" s="9" t="s">
        <v>15</v>
      </c>
      <c r="G620" s="9" t="s">
        <v>16</v>
      </c>
      <c r="H620" s="9" t="s">
        <v>16</v>
      </c>
      <c r="I620" s="9"/>
      <c r="J620" s="9"/>
      <c r="K620" s="9"/>
    </row>
    <row r="621" hidden="1">
      <c r="A621" s="3" t="s">
        <v>2463</v>
      </c>
      <c r="B621" s="2" t="s">
        <v>2464</v>
      </c>
      <c r="C621" s="3" t="s">
        <v>2465</v>
      </c>
      <c r="D621" s="2">
        <v>1.474171081062154E-4</v>
      </c>
      <c r="E621" s="8" t="s">
        <v>2466</v>
      </c>
      <c r="F621" s="9" t="s">
        <v>15</v>
      </c>
      <c r="G621" s="9" t="s">
        <v>16</v>
      </c>
      <c r="H621" s="9" t="s">
        <v>16</v>
      </c>
      <c r="I621" s="9"/>
      <c r="J621" s="9"/>
      <c r="K621" s="9"/>
    </row>
    <row r="622" hidden="1">
      <c r="A622" s="3" t="s">
        <v>2467</v>
      </c>
      <c r="B622" s="2" t="s">
        <v>2468</v>
      </c>
      <c r="C622" s="3" t="s">
        <v>2469</v>
      </c>
      <c r="D622" s="2">
        <v>1.4289939284789187E-4</v>
      </c>
      <c r="E622" s="8" t="s">
        <v>2470</v>
      </c>
      <c r="F622" s="9" t="s">
        <v>15</v>
      </c>
      <c r="G622" s="9" t="s">
        <v>16</v>
      </c>
      <c r="H622" s="9" t="s">
        <v>16</v>
      </c>
      <c r="I622" s="9"/>
      <c r="J622" s="9"/>
      <c r="K622" s="9"/>
    </row>
    <row r="623" hidden="1">
      <c r="A623" s="3" t="s">
        <v>2471</v>
      </c>
      <c r="B623" s="2" t="s">
        <v>2472</v>
      </c>
      <c r="C623" s="3" t="s">
        <v>2473</v>
      </c>
      <c r="D623" s="2">
        <v>1.4289939284789187E-4</v>
      </c>
      <c r="E623" s="8" t="s">
        <v>2474</v>
      </c>
      <c r="F623" s="9" t="s">
        <v>15</v>
      </c>
      <c r="G623" s="9" t="s">
        <v>16</v>
      </c>
      <c r="H623" s="9" t="s">
        <v>16</v>
      </c>
      <c r="I623" s="9"/>
      <c r="J623" s="9"/>
      <c r="K623" s="9"/>
    </row>
    <row r="624" hidden="1">
      <c r="A624" s="3" t="s">
        <v>2475</v>
      </c>
      <c r="B624" s="2" t="s">
        <v>2476</v>
      </c>
      <c r="C624" s="3"/>
      <c r="D624" s="2">
        <v>1.4289939284789187E-4</v>
      </c>
      <c r="E624" s="8" t="s">
        <v>2477</v>
      </c>
      <c r="F624" s="9" t="s">
        <v>15</v>
      </c>
      <c r="G624" s="9" t="s">
        <v>16</v>
      </c>
      <c r="H624" s="9" t="s">
        <v>16</v>
      </c>
      <c r="I624" s="9"/>
      <c r="J624" s="9"/>
      <c r="K624" s="9"/>
    </row>
    <row r="625" hidden="1">
      <c r="A625" s="3" t="s">
        <v>2478</v>
      </c>
      <c r="B625" s="2" t="s">
        <v>2479</v>
      </c>
      <c r="C625" s="3" t="s">
        <v>2480</v>
      </c>
      <c r="D625" s="2">
        <v>1.4289939284789187E-4</v>
      </c>
      <c r="E625" s="8" t="s">
        <v>2481</v>
      </c>
      <c r="F625" s="9"/>
      <c r="G625" s="9" t="s">
        <v>16</v>
      </c>
      <c r="H625" s="9" t="s">
        <v>16</v>
      </c>
      <c r="I625" s="9"/>
      <c r="J625" s="9" t="s">
        <v>15</v>
      </c>
      <c r="K625" s="9"/>
    </row>
    <row r="626" hidden="1">
      <c r="A626" s="3" t="s">
        <v>2482</v>
      </c>
      <c r="B626" s="2" t="s">
        <v>2483</v>
      </c>
      <c r="C626" s="3" t="s">
        <v>2484</v>
      </c>
      <c r="D626" s="2">
        <v>1.4289939284789187E-4</v>
      </c>
      <c r="E626" s="8" t="s">
        <v>2485</v>
      </c>
      <c r="F626" s="9" t="s">
        <v>15</v>
      </c>
      <c r="G626" s="9" t="s">
        <v>16</v>
      </c>
      <c r="H626" s="9" t="s">
        <v>16</v>
      </c>
      <c r="I626" s="9"/>
      <c r="J626" s="9"/>
      <c r="K626" s="9"/>
    </row>
    <row r="627" hidden="1">
      <c r="A627" s="3" t="s">
        <v>2486</v>
      </c>
      <c r="B627" s="2" t="s">
        <v>2487</v>
      </c>
      <c r="C627" s="3" t="s">
        <v>2488</v>
      </c>
      <c r="D627" s="2">
        <v>1.4289939284789187E-4</v>
      </c>
      <c r="E627" s="8" t="s">
        <v>2489</v>
      </c>
      <c r="F627" s="9" t="s">
        <v>15</v>
      </c>
      <c r="G627" s="9" t="s">
        <v>16</v>
      </c>
      <c r="H627" s="9" t="s">
        <v>16</v>
      </c>
      <c r="I627" s="9"/>
      <c r="J627" s="9"/>
      <c r="K627" s="9"/>
    </row>
    <row r="628" hidden="1">
      <c r="A628" s="3" t="s">
        <v>2490</v>
      </c>
      <c r="B628" s="2" t="s">
        <v>2491</v>
      </c>
      <c r="C628" s="3" t="s">
        <v>2492</v>
      </c>
      <c r="D628" s="2">
        <v>1.4289939284789187E-4</v>
      </c>
      <c r="E628" s="8" t="s">
        <v>2493</v>
      </c>
      <c r="F628" s="9" t="s">
        <v>15</v>
      </c>
      <c r="G628" s="9" t="s">
        <v>16</v>
      </c>
      <c r="H628" s="9" t="s">
        <v>16</v>
      </c>
      <c r="I628" s="9"/>
      <c r="J628" s="9"/>
      <c r="K628" s="9"/>
    </row>
    <row r="629" hidden="1">
      <c r="A629" s="3" t="s">
        <v>2494</v>
      </c>
      <c r="B629" s="2" t="s">
        <v>2495</v>
      </c>
      <c r="C629" s="3" t="s">
        <v>2496</v>
      </c>
      <c r="D629" s="2">
        <v>1.4289939284789187E-4</v>
      </c>
      <c r="E629" s="8" t="s">
        <v>2497</v>
      </c>
      <c r="F629" s="9" t="s">
        <v>15</v>
      </c>
      <c r="G629" s="9" t="s">
        <v>16</v>
      </c>
      <c r="H629" s="9" t="s">
        <v>16</v>
      </c>
      <c r="I629" s="9"/>
      <c r="J629" s="9"/>
      <c r="K629" s="9"/>
    </row>
    <row r="630" hidden="1">
      <c r="A630" s="3" t="s">
        <v>2498</v>
      </c>
      <c r="B630" s="2" t="s">
        <v>2499</v>
      </c>
      <c r="C630" s="3" t="s">
        <v>2500</v>
      </c>
      <c r="D630" s="2">
        <v>1.4289939284789187E-4</v>
      </c>
      <c r="E630" s="8" t="s">
        <v>2501</v>
      </c>
      <c r="F630" s="9" t="s">
        <v>15</v>
      </c>
      <c r="G630" s="9" t="s">
        <v>16</v>
      </c>
      <c r="H630" s="9" t="s">
        <v>16</v>
      </c>
      <c r="I630" s="9"/>
      <c r="J630" s="9"/>
      <c r="K630" s="9"/>
    </row>
    <row r="631" hidden="1">
      <c r="A631" s="3" t="s">
        <v>2502</v>
      </c>
      <c r="B631" s="2" t="s">
        <v>2502</v>
      </c>
      <c r="C631" s="3" t="s">
        <v>2503</v>
      </c>
      <c r="D631" s="2">
        <v>1.4289939284789187E-4</v>
      </c>
      <c r="E631" s="8" t="s">
        <v>2504</v>
      </c>
      <c r="F631" s="9" t="s">
        <v>15</v>
      </c>
      <c r="G631" s="9" t="s">
        <v>16</v>
      </c>
      <c r="H631" s="9" t="s">
        <v>16</v>
      </c>
      <c r="I631" s="9"/>
      <c r="J631" s="9"/>
      <c r="K631" s="9"/>
    </row>
    <row r="632" hidden="1">
      <c r="A632" s="3" t="s">
        <v>2505</v>
      </c>
      <c r="B632" s="2" t="s">
        <v>2506</v>
      </c>
      <c r="C632" s="3" t="s">
        <v>2507</v>
      </c>
      <c r="D632" s="2">
        <v>1.4289939284789187E-4</v>
      </c>
      <c r="E632" s="8" t="s">
        <v>2508</v>
      </c>
      <c r="F632" s="9" t="s">
        <v>15</v>
      </c>
      <c r="G632" s="9" t="s">
        <v>16</v>
      </c>
      <c r="H632" s="9" t="s">
        <v>16</v>
      </c>
      <c r="I632" s="9"/>
      <c r="J632" s="9"/>
      <c r="K632" s="9"/>
    </row>
    <row r="633" hidden="1">
      <c r="A633" s="3" t="s">
        <v>2509</v>
      </c>
      <c r="B633" s="2" t="s">
        <v>2510</v>
      </c>
      <c r="C633" s="3" t="s">
        <v>2511</v>
      </c>
      <c r="D633" s="2">
        <v>1.4289939284789187E-4</v>
      </c>
      <c r="E633" s="8" t="s">
        <v>2302</v>
      </c>
      <c r="F633" s="9" t="s">
        <v>15</v>
      </c>
      <c r="G633" s="9" t="s">
        <v>16</v>
      </c>
      <c r="H633" s="9" t="s">
        <v>16</v>
      </c>
      <c r="I633" s="9"/>
      <c r="J633" s="9"/>
      <c r="K633" s="9"/>
    </row>
    <row r="634" hidden="1">
      <c r="A634" s="3" t="s">
        <v>2512</v>
      </c>
      <c r="B634" s="2" t="s">
        <v>2513</v>
      </c>
      <c r="C634" s="3" t="s">
        <v>2514</v>
      </c>
      <c r="D634" s="2">
        <v>1.4289939284789187E-4</v>
      </c>
      <c r="E634" s="8" t="s">
        <v>2515</v>
      </c>
      <c r="F634" s="9" t="s">
        <v>15</v>
      </c>
      <c r="G634" s="9" t="s">
        <v>16</v>
      </c>
      <c r="H634" s="9" t="s">
        <v>16</v>
      </c>
      <c r="I634" s="9"/>
      <c r="J634" s="9"/>
      <c r="K634" s="9"/>
    </row>
    <row r="635" hidden="1">
      <c r="A635" s="3" t="s">
        <v>2516</v>
      </c>
      <c r="B635" s="2" t="s">
        <v>2517</v>
      </c>
      <c r="C635" s="3" t="s">
        <v>2518</v>
      </c>
      <c r="D635" s="2">
        <v>1.4289939284789187E-4</v>
      </c>
      <c r="E635" s="8" t="s">
        <v>2519</v>
      </c>
      <c r="F635" s="9" t="s">
        <v>15</v>
      </c>
      <c r="G635" s="9" t="s">
        <v>16</v>
      </c>
      <c r="H635" s="9" t="s">
        <v>16</v>
      </c>
      <c r="I635" s="9"/>
      <c r="J635" s="9"/>
      <c r="K635" s="9"/>
    </row>
    <row r="636" hidden="1">
      <c r="A636" s="3" t="s">
        <v>2520</v>
      </c>
      <c r="B636" s="2" t="s">
        <v>2521</v>
      </c>
      <c r="C636" s="3" t="s">
        <v>2522</v>
      </c>
      <c r="D636" s="2">
        <v>1.4289939284789187E-4</v>
      </c>
      <c r="E636" s="8" t="s">
        <v>2523</v>
      </c>
      <c r="F636" s="9" t="s">
        <v>15</v>
      </c>
      <c r="G636" s="9" t="s">
        <v>16</v>
      </c>
      <c r="H636" s="9" t="s">
        <v>16</v>
      </c>
      <c r="I636" s="9"/>
      <c r="J636" s="9"/>
      <c r="K636" s="9"/>
    </row>
    <row r="637" hidden="1">
      <c r="A637" s="3" t="s">
        <v>2524</v>
      </c>
      <c r="B637" s="2" t="s">
        <v>2525</v>
      </c>
      <c r="C637" s="3" t="s">
        <v>2526</v>
      </c>
      <c r="D637" s="2">
        <v>1.4289939284789187E-4</v>
      </c>
      <c r="E637" s="8" t="s">
        <v>2527</v>
      </c>
      <c r="F637" s="9" t="s">
        <v>15</v>
      </c>
      <c r="G637" s="9" t="s">
        <v>16</v>
      </c>
      <c r="H637" s="9" t="s">
        <v>16</v>
      </c>
      <c r="I637" s="9"/>
      <c r="J637" s="9"/>
      <c r="K637" s="9"/>
    </row>
    <row r="638" hidden="1">
      <c r="A638" s="3" t="s">
        <v>2528</v>
      </c>
      <c r="B638" s="2" t="s">
        <v>2529</v>
      </c>
      <c r="C638" s="3" t="s">
        <v>2530</v>
      </c>
      <c r="D638" s="2">
        <v>1.4289939284789187E-4</v>
      </c>
      <c r="E638" s="8" t="s">
        <v>2531</v>
      </c>
      <c r="F638" s="9" t="s">
        <v>15</v>
      </c>
      <c r="G638" s="9" t="s">
        <v>16</v>
      </c>
      <c r="H638" s="9" t="s">
        <v>16</v>
      </c>
      <c r="I638" s="9"/>
      <c r="J638" s="9"/>
      <c r="K638" s="9"/>
    </row>
    <row r="639" hidden="1">
      <c r="A639" s="3" t="s">
        <v>2532</v>
      </c>
      <c r="B639" s="2" t="s">
        <v>2533</v>
      </c>
      <c r="C639" s="3" t="s">
        <v>2534</v>
      </c>
      <c r="D639" s="2">
        <v>1.4289939284789187E-4</v>
      </c>
      <c r="E639" s="8" t="s">
        <v>2535</v>
      </c>
      <c r="F639" s="9" t="s">
        <v>15</v>
      </c>
      <c r="G639" s="9" t="s">
        <v>16</v>
      </c>
      <c r="H639" s="9" t="s">
        <v>16</v>
      </c>
      <c r="I639" s="9"/>
      <c r="J639" s="9"/>
      <c r="K639" s="9"/>
    </row>
    <row r="640" hidden="1">
      <c r="A640" s="3" t="s">
        <v>2536</v>
      </c>
      <c r="B640" s="2" t="s">
        <v>2537</v>
      </c>
      <c r="C640" s="3" t="s">
        <v>2538</v>
      </c>
      <c r="D640" s="2">
        <v>1.4289939284789187E-4</v>
      </c>
      <c r="E640" s="8" t="s">
        <v>2539</v>
      </c>
      <c r="F640" s="10"/>
      <c r="G640" s="9" t="s">
        <v>16</v>
      </c>
      <c r="H640" s="9" t="s">
        <v>16</v>
      </c>
      <c r="I640" s="9"/>
      <c r="J640" s="9" t="s">
        <v>15</v>
      </c>
      <c r="K640" s="9"/>
    </row>
    <row r="641" hidden="1">
      <c r="A641" s="3" t="s">
        <v>2540</v>
      </c>
      <c r="B641" s="2" t="s">
        <v>2541</v>
      </c>
      <c r="C641" s="3" t="s">
        <v>2542</v>
      </c>
      <c r="D641" s="2">
        <v>1.4289939284789187E-4</v>
      </c>
      <c r="E641" s="8" t="s">
        <v>2543</v>
      </c>
      <c r="F641" s="9" t="s">
        <v>15</v>
      </c>
      <c r="G641" s="9" t="s">
        <v>16</v>
      </c>
      <c r="H641" s="9" t="s">
        <v>16</v>
      </c>
      <c r="I641" s="9"/>
      <c r="J641" s="9"/>
      <c r="K641" s="9"/>
    </row>
    <row r="642" hidden="1">
      <c r="A642" s="3" t="s">
        <v>2544</v>
      </c>
      <c r="B642" s="2" t="s">
        <v>2545</v>
      </c>
      <c r="C642" s="3" t="s">
        <v>2546</v>
      </c>
      <c r="D642" s="2">
        <v>1.4289939284789187E-4</v>
      </c>
      <c r="E642" s="8" t="s">
        <v>2547</v>
      </c>
      <c r="F642" s="9" t="s">
        <v>15</v>
      </c>
      <c r="G642" s="9" t="s">
        <v>16</v>
      </c>
      <c r="H642" s="9" t="s">
        <v>16</v>
      </c>
      <c r="I642" s="9"/>
      <c r="J642" s="9"/>
      <c r="K642" s="9"/>
    </row>
    <row r="643" hidden="1">
      <c r="A643" s="3" t="s">
        <v>2548</v>
      </c>
      <c r="B643" s="2" t="s">
        <v>2549</v>
      </c>
      <c r="C643" s="3" t="s">
        <v>2550</v>
      </c>
      <c r="D643" s="2">
        <v>1.4289939284789187E-4</v>
      </c>
      <c r="E643" s="8" t="s">
        <v>2551</v>
      </c>
      <c r="F643" s="9" t="s">
        <v>15</v>
      </c>
      <c r="G643" s="9" t="s">
        <v>16</v>
      </c>
      <c r="H643" s="9" t="s">
        <v>16</v>
      </c>
      <c r="I643" s="9"/>
      <c r="J643" s="9"/>
      <c r="K643" s="9"/>
    </row>
    <row r="644" hidden="1">
      <c r="A644" s="3" t="s">
        <v>2552</v>
      </c>
      <c r="B644" s="2" t="s">
        <v>2553</v>
      </c>
      <c r="C644" s="3" t="s">
        <v>2554</v>
      </c>
      <c r="D644" s="2">
        <v>1.4289939284789187E-4</v>
      </c>
      <c r="E644" s="8" t="s">
        <v>2555</v>
      </c>
      <c r="F644" s="9" t="s">
        <v>15</v>
      </c>
      <c r="G644" s="9" t="s">
        <v>16</v>
      </c>
      <c r="H644" s="9" t="s">
        <v>16</v>
      </c>
      <c r="I644" s="9"/>
      <c r="J644" s="9"/>
      <c r="K644" s="9"/>
    </row>
    <row r="645" hidden="1">
      <c r="A645" s="3" t="s">
        <v>2556</v>
      </c>
      <c r="B645" s="2" t="s">
        <v>2557</v>
      </c>
      <c r="C645" s="3" t="s">
        <v>2558</v>
      </c>
      <c r="D645" s="2">
        <v>1.4289939284789187E-4</v>
      </c>
      <c r="E645" s="8" t="s">
        <v>2559</v>
      </c>
      <c r="F645" s="9" t="s">
        <v>15</v>
      </c>
      <c r="G645" s="9" t="s">
        <v>16</v>
      </c>
      <c r="H645" s="9" t="s">
        <v>16</v>
      </c>
      <c r="I645" s="9"/>
      <c r="J645" s="9"/>
      <c r="K645" s="9"/>
    </row>
    <row r="646" hidden="1">
      <c r="A646" s="3" t="s">
        <v>2560</v>
      </c>
      <c r="B646" s="2" t="s">
        <v>2561</v>
      </c>
      <c r="C646" s="3" t="s">
        <v>2562</v>
      </c>
      <c r="D646" s="2">
        <v>1.4289939284789187E-4</v>
      </c>
      <c r="E646" s="8" t="s">
        <v>2563</v>
      </c>
      <c r="F646" s="9" t="s">
        <v>15</v>
      </c>
      <c r="G646" s="9" t="s">
        <v>16</v>
      </c>
      <c r="H646" s="9" t="s">
        <v>16</v>
      </c>
      <c r="I646" s="9"/>
      <c r="J646" s="9"/>
      <c r="K646" s="9"/>
    </row>
    <row r="647" hidden="1">
      <c r="A647" s="3" t="s">
        <v>2564</v>
      </c>
      <c r="B647" s="2" t="s">
        <v>2565</v>
      </c>
      <c r="C647" s="3" t="s">
        <v>2566</v>
      </c>
      <c r="D647" s="2">
        <v>1.4289939284789187E-4</v>
      </c>
      <c r="E647" s="8" t="s">
        <v>822</v>
      </c>
      <c r="F647" s="9" t="s">
        <v>15</v>
      </c>
      <c r="G647" s="9" t="s">
        <v>16</v>
      </c>
      <c r="H647" s="9" t="s">
        <v>16</v>
      </c>
      <c r="I647" s="9"/>
      <c r="J647" s="9"/>
      <c r="K647" s="9"/>
    </row>
    <row r="648" hidden="1">
      <c r="A648" s="3" t="s">
        <v>2567</v>
      </c>
      <c r="B648" s="2" t="s">
        <v>2568</v>
      </c>
      <c r="C648" s="3" t="s">
        <v>2569</v>
      </c>
      <c r="D648" s="2">
        <v>1.4289939284789187E-4</v>
      </c>
      <c r="E648" s="8" t="s">
        <v>2570</v>
      </c>
      <c r="F648" s="9" t="s">
        <v>15</v>
      </c>
      <c r="G648" s="9" t="s">
        <v>16</v>
      </c>
      <c r="H648" s="9" t="s">
        <v>16</v>
      </c>
      <c r="I648" s="9"/>
      <c r="J648" s="9"/>
      <c r="K648" s="9"/>
    </row>
    <row r="649" hidden="1">
      <c r="A649" s="3" t="s">
        <v>2571</v>
      </c>
      <c r="B649" s="2" t="s">
        <v>2572</v>
      </c>
      <c r="C649" s="3"/>
      <c r="D649" s="2">
        <v>1.4289939284789187E-4</v>
      </c>
      <c r="E649" s="8" t="s">
        <v>2573</v>
      </c>
      <c r="F649" s="9" t="s">
        <v>15</v>
      </c>
      <c r="G649" s="9" t="s">
        <v>16</v>
      </c>
      <c r="H649" s="9" t="s">
        <v>16</v>
      </c>
      <c r="I649" s="9"/>
      <c r="J649" s="9"/>
      <c r="K649" s="9"/>
    </row>
    <row r="650" hidden="1">
      <c r="A650" s="3" t="s">
        <v>2574</v>
      </c>
      <c r="B650" s="2" t="s">
        <v>2575</v>
      </c>
      <c r="C650" s="3" t="s">
        <v>2576</v>
      </c>
      <c r="D650" s="2">
        <v>1.4289939284789187E-4</v>
      </c>
      <c r="E650" s="8" t="s">
        <v>2577</v>
      </c>
      <c r="F650" s="9" t="s">
        <v>15</v>
      </c>
      <c r="G650" s="9" t="s">
        <v>16</v>
      </c>
      <c r="H650" s="9" t="s">
        <v>16</v>
      </c>
      <c r="I650" s="9"/>
      <c r="J650" s="9"/>
      <c r="K650" s="9"/>
    </row>
    <row r="651" hidden="1">
      <c r="A651" s="3" t="s">
        <v>2578</v>
      </c>
      <c r="B651" s="2" t="s">
        <v>2579</v>
      </c>
      <c r="C651" s="3" t="s">
        <v>2580</v>
      </c>
      <c r="D651" s="2">
        <v>1.4289939284789187E-4</v>
      </c>
      <c r="E651" s="8" t="s">
        <v>2581</v>
      </c>
      <c r="F651" s="9" t="s">
        <v>15</v>
      </c>
      <c r="G651" s="9" t="s">
        <v>16</v>
      </c>
      <c r="H651" s="9" t="s">
        <v>16</v>
      </c>
      <c r="I651" s="9"/>
      <c r="J651" s="9"/>
      <c r="K651" s="9"/>
    </row>
    <row r="652" hidden="1">
      <c r="A652" s="3" t="s">
        <v>2582</v>
      </c>
      <c r="B652" s="2" t="s">
        <v>2583</v>
      </c>
      <c r="C652" s="3" t="s">
        <v>2584</v>
      </c>
      <c r="D652" s="2">
        <v>1.4289939284789187E-4</v>
      </c>
      <c r="E652" s="8" t="s">
        <v>2585</v>
      </c>
      <c r="F652" s="9" t="s">
        <v>15</v>
      </c>
      <c r="G652" s="9" t="s">
        <v>16</v>
      </c>
      <c r="H652" s="9" t="s">
        <v>16</v>
      </c>
      <c r="I652" s="9"/>
      <c r="J652" s="9"/>
      <c r="K652" s="9"/>
    </row>
    <row r="653" hidden="1">
      <c r="A653" s="3" t="s">
        <v>2586</v>
      </c>
      <c r="B653" s="2" t="s">
        <v>2587</v>
      </c>
      <c r="C653" s="3"/>
      <c r="D653" s="2">
        <v>1.4289939284789187E-4</v>
      </c>
      <c r="E653" s="8" t="s">
        <v>2588</v>
      </c>
      <c r="F653" s="9" t="s">
        <v>15</v>
      </c>
      <c r="G653" s="9" t="s">
        <v>16</v>
      </c>
      <c r="H653" s="9" t="s">
        <v>16</v>
      </c>
      <c r="I653" s="9"/>
      <c r="J653" s="9"/>
      <c r="K653" s="9"/>
    </row>
    <row r="654" hidden="1">
      <c r="A654" s="3" t="s">
        <v>2589</v>
      </c>
      <c r="B654" s="2" t="s">
        <v>2590</v>
      </c>
      <c r="C654" s="3" t="s">
        <v>2591</v>
      </c>
      <c r="D654" s="2">
        <v>1.4289939284789187E-4</v>
      </c>
      <c r="E654" s="8" t="s">
        <v>2592</v>
      </c>
      <c r="F654" s="9" t="s">
        <v>15</v>
      </c>
      <c r="G654" s="9" t="s">
        <v>16</v>
      </c>
      <c r="H654" s="9" t="s">
        <v>16</v>
      </c>
      <c r="I654" s="9"/>
      <c r="J654" s="9"/>
      <c r="K654" s="9"/>
    </row>
    <row r="655" hidden="1">
      <c r="A655" s="3" t="s">
        <v>2593</v>
      </c>
      <c r="B655" s="2" t="s">
        <v>2593</v>
      </c>
      <c r="C655" s="3" t="s">
        <v>2594</v>
      </c>
      <c r="D655" s="2">
        <v>1.4289939284789187E-4</v>
      </c>
      <c r="E655" s="8" t="s">
        <v>2595</v>
      </c>
      <c r="F655" s="9" t="s">
        <v>15</v>
      </c>
      <c r="G655" s="9" t="s">
        <v>16</v>
      </c>
      <c r="H655" s="9" t="s">
        <v>16</v>
      </c>
      <c r="I655" s="9"/>
      <c r="J655" s="9"/>
      <c r="K655" s="9"/>
    </row>
    <row r="656" hidden="1">
      <c r="A656" s="3" t="s">
        <v>2596</v>
      </c>
      <c r="B656" s="2" t="s">
        <v>2597</v>
      </c>
      <c r="C656" s="3" t="s">
        <v>2598</v>
      </c>
      <c r="D656" s="2">
        <v>1.4289939284789187E-4</v>
      </c>
      <c r="E656" s="8" t="s">
        <v>2599</v>
      </c>
      <c r="F656" s="9" t="s">
        <v>15</v>
      </c>
      <c r="G656" s="9" t="s">
        <v>16</v>
      </c>
      <c r="H656" s="9" t="s">
        <v>16</v>
      </c>
      <c r="I656" s="9"/>
      <c r="J656" s="9"/>
      <c r="K656" s="9"/>
    </row>
    <row r="657" hidden="1">
      <c r="A657" s="3" t="s">
        <v>2600</v>
      </c>
      <c r="B657" s="2" t="s">
        <v>2601</v>
      </c>
      <c r="C657" s="3" t="s">
        <v>2602</v>
      </c>
      <c r="D657" s="2">
        <v>1.4289939284789187E-4</v>
      </c>
      <c r="E657" s="8" t="s">
        <v>2603</v>
      </c>
      <c r="F657" s="9" t="s">
        <v>15</v>
      </c>
      <c r="G657" s="9" t="s">
        <v>16</v>
      </c>
      <c r="H657" s="9" t="s">
        <v>16</v>
      </c>
      <c r="I657" s="9"/>
      <c r="J657" s="9"/>
      <c r="K657" s="9"/>
    </row>
    <row r="658" hidden="1">
      <c r="A658" s="3" t="s">
        <v>2604</v>
      </c>
      <c r="B658" s="2" t="s">
        <v>2605</v>
      </c>
      <c r="C658" s="3" t="s">
        <v>2606</v>
      </c>
      <c r="D658" s="2">
        <v>1.4289939284789187E-4</v>
      </c>
      <c r="E658" s="8" t="s">
        <v>2607</v>
      </c>
      <c r="F658" s="9" t="s">
        <v>15</v>
      </c>
      <c r="G658" s="9" t="s">
        <v>16</v>
      </c>
      <c r="H658" s="9" t="s">
        <v>16</v>
      </c>
      <c r="I658" s="9"/>
      <c r="J658" s="9"/>
      <c r="K658" s="9"/>
    </row>
    <row r="659" hidden="1">
      <c r="A659" s="3" t="s">
        <v>2608</v>
      </c>
      <c r="B659" s="2" t="s">
        <v>2609</v>
      </c>
      <c r="C659" s="3" t="s">
        <v>2610</v>
      </c>
      <c r="D659" s="2">
        <v>1.4289939284789187E-4</v>
      </c>
      <c r="E659" s="8" t="s">
        <v>2611</v>
      </c>
      <c r="F659" s="9" t="s">
        <v>15</v>
      </c>
      <c r="G659" s="9" t="s">
        <v>16</v>
      </c>
      <c r="H659" s="9" t="s">
        <v>16</v>
      </c>
      <c r="I659" s="9"/>
      <c r="J659" s="9"/>
      <c r="K659" s="9"/>
    </row>
    <row r="660" hidden="1">
      <c r="A660" s="3" t="s">
        <v>2612</v>
      </c>
      <c r="B660" s="2" t="s">
        <v>2613</v>
      </c>
      <c r="C660" s="3" t="s">
        <v>2614</v>
      </c>
      <c r="D660" s="2">
        <v>1.4289939284789187E-4</v>
      </c>
      <c r="E660" s="8" t="s">
        <v>2615</v>
      </c>
      <c r="F660" s="9" t="s">
        <v>15</v>
      </c>
      <c r="G660" s="9" t="s">
        <v>16</v>
      </c>
      <c r="H660" s="9" t="s">
        <v>16</v>
      </c>
      <c r="I660" s="9"/>
      <c r="J660" s="9"/>
      <c r="K660" s="9"/>
    </row>
    <row r="661" hidden="1">
      <c r="A661" s="3" t="s">
        <v>2616</v>
      </c>
      <c r="B661" s="2" t="s">
        <v>2617</v>
      </c>
      <c r="C661" s="3" t="s">
        <v>2618</v>
      </c>
      <c r="D661" s="2">
        <v>1.4289939284789187E-4</v>
      </c>
      <c r="E661" s="8" t="s">
        <v>2619</v>
      </c>
      <c r="F661" s="9" t="s">
        <v>15</v>
      </c>
      <c r="G661" s="9" t="s">
        <v>16</v>
      </c>
      <c r="H661" s="9" t="s">
        <v>16</v>
      </c>
      <c r="I661" s="9"/>
      <c r="J661" s="9"/>
      <c r="K661" s="9"/>
    </row>
    <row r="662" hidden="1">
      <c r="A662" s="3" t="s">
        <v>2620</v>
      </c>
      <c r="B662" s="2" t="s">
        <v>2621</v>
      </c>
      <c r="C662" s="3" t="s">
        <v>2622</v>
      </c>
      <c r="D662" s="2">
        <v>1.4289939284789187E-4</v>
      </c>
      <c r="E662" s="8" t="s">
        <v>2623</v>
      </c>
      <c r="F662" s="9" t="s">
        <v>15</v>
      </c>
      <c r="G662" s="9" t="s">
        <v>16</v>
      </c>
      <c r="H662" s="9" t="s">
        <v>16</v>
      </c>
      <c r="I662" s="9"/>
      <c r="J662" s="9"/>
      <c r="K662" s="9"/>
    </row>
    <row r="663" hidden="1">
      <c r="A663" s="3" t="s">
        <v>2624</v>
      </c>
      <c r="B663" s="2" t="s">
        <v>2625</v>
      </c>
      <c r="C663" s="3" t="s">
        <v>2626</v>
      </c>
      <c r="D663" s="2">
        <v>1.4289939284789187E-4</v>
      </c>
      <c r="E663" s="8" t="s">
        <v>2627</v>
      </c>
      <c r="F663" s="9" t="s">
        <v>15</v>
      </c>
      <c r="G663" s="9" t="s">
        <v>16</v>
      </c>
      <c r="H663" s="9" t="s">
        <v>16</v>
      </c>
      <c r="I663" s="9"/>
      <c r="J663" s="9"/>
      <c r="K663" s="9"/>
    </row>
    <row r="664" hidden="1">
      <c r="A664" s="3" t="s">
        <v>2628</v>
      </c>
      <c r="B664" s="2" t="s">
        <v>2629</v>
      </c>
      <c r="C664" s="3" t="s">
        <v>2630</v>
      </c>
      <c r="D664" s="2">
        <v>1.4289939284789187E-4</v>
      </c>
      <c r="E664" s="8" t="s">
        <v>2631</v>
      </c>
      <c r="F664" s="9" t="s">
        <v>15</v>
      </c>
      <c r="G664" s="9" t="s">
        <v>16</v>
      </c>
      <c r="H664" s="9" t="s">
        <v>16</v>
      </c>
      <c r="I664" s="9"/>
      <c r="J664" s="9"/>
      <c r="K664" s="9"/>
    </row>
    <row r="665" hidden="1">
      <c r="A665" s="3" t="s">
        <v>2632</v>
      </c>
      <c r="B665" s="2" t="s">
        <v>2633</v>
      </c>
      <c r="C665" s="3" t="s">
        <v>2634</v>
      </c>
      <c r="D665" s="2">
        <v>1.4289939284789187E-4</v>
      </c>
      <c r="E665" s="8" t="s">
        <v>2635</v>
      </c>
      <c r="F665" s="9" t="s">
        <v>15</v>
      </c>
      <c r="G665" s="9" t="s">
        <v>16</v>
      </c>
      <c r="H665" s="9" t="s">
        <v>16</v>
      </c>
      <c r="I665" s="9"/>
      <c r="J665" s="9"/>
      <c r="K665" s="9"/>
    </row>
    <row r="666" hidden="1">
      <c r="A666" s="3" t="s">
        <v>2636</v>
      </c>
      <c r="B666" s="2" t="s">
        <v>2637</v>
      </c>
      <c r="C666" s="3"/>
      <c r="D666" s="2">
        <v>1.4289939284789187E-4</v>
      </c>
      <c r="E666" s="8" t="s">
        <v>2638</v>
      </c>
      <c r="F666" s="9" t="s">
        <v>15</v>
      </c>
      <c r="G666" s="9" t="s">
        <v>16</v>
      </c>
      <c r="H666" s="9" t="s">
        <v>16</v>
      </c>
      <c r="I666" s="9"/>
      <c r="J666" s="9"/>
      <c r="K666" s="9"/>
    </row>
    <row r="667" hidden="1">
      <c r="A667" s="3" t="s">
        <v>2639</v>
      </c>
      <c r="B667" s="2" t="s">
        <v>2640</v>
      </c>
      <c r="C667" s="3" t="s">
        <v>2641</v>
      </c>
      <c r="D667" s="2">
        <v>1.4289939284789187E-4</v>
      </c>
      <c r="E667" s="8" t="s">
        <v>2642</v>
      </c>
      <c r="F667" s="9" t="s">
        <v>15</v>
      </c>
      <c r="G667" s="9" t="s">
        <v>16</v>
      </c>
      <c r="H667" s="9" t="s">
        <v>16</v>
      </c>
      <c r="I667" s="9"/>
      <c r="J667" s="9"/>
      <c r="K667" s="9"/>
    </row>
    <row r="668" hidden="1">
      <c r="A668" s="3" t="s">
        <v>2643</v>
      </c>
      <c r="B668" s="2" t="s">
        <v>2644</v>
      </c>
      <c r="C668" s="3" t="s">
        <v>2645</v>
      </c>
      <c r="D668" s="2">
        <v>1.4289939284789187E-4</v>
      </c>
      <c r="E668" s="8" t="s">
        <v>2646</v>
      </c>
      <c r="F668" s="9" t="s">
        <v>15</v>
      </c>
      <c r="G668" s="9" t="s">
        <v>16</v>
      </c>
      <c r="H668" s="9" t="s">
        <v>16</v>
      </c>
      <c r="I668" s="9"/>
      <c r="J668" s="9"/>
      <c r="K668" s="9"/>
    </row>
    <row r="669" hidden="1">
      <c r="A669" s="3" t="s">
        <v>2647</v>
      </c>
      <c r="B669" s="2" t="s">
        <v>2648</v>
      </c>
      <c r="C669" s="3" t="s">
        <v>2649</v>
      </c>
      <c r="D669" s="2">
        <v>1.4289939284789187E-4</v>
      </c>
      <c r="E669" s="8" t="s">
        <v>2650</v>
      </c>
      <c r="F669" s="9" t="s">
        <v>15</v>
      </c>
      <c r="G669" s="9" t="s">
        <v>16</v>
      </c>
      <c r="H669" s="9" t="s">
        <v>16</v>
      </c>
      <c r="I669" s="9"/>
      <c r="J669" s="9"/>
      <c r="K669" s="9"/>
    </row>
    <row r="670" hidden="1">
      <c r="A670" s="3" t="s">
        <v>2651</v>
      </c>
      <c r="B670" s="2" t="s">
        <v>2652</v>
      </c>
      <c r="C670" s="3" t="s">
        <v>2653</v>
      </c>
      <c r="D670" s="2">
        <v>1.4289939284789187E-4</v>
      </c>
      <c r="E670" s="8" t="s">
        <v>2654</v>
      </c>
      <c r="F670" s="9" t="s">
        <v>15</v>
      </c>
      <c r="G670" s="9" t="s">
        <v>16</v>
      </c>
      <c r="H670" s="9" t="s">
        <v>16</v>
      </c>
      <c r="I670" s="9"/>
      <c r="J670" s="9"/>
      <c r="K670" s="9"/>
    </row>
    <row r="671" hidden="1">
      <c r="A671" s="3" t="s">
        <v>2655</v>
      </c>
      <c r="B671" s="2" t="s">
        <v>2656</v>
      </c>
      <c r="C671" s="3" t="s">
        <v>2657</v>
      </c>
      <c r="D671" s="2">
        <v>1.4289939284789187E-4</v>
      </c>
      <c r="E671" s="8" t="s">
        <v>2658</v>
      </c>
      <c r="F671" s="9" t="s">
        <v>15</v>
      </c>
      <c r="G671" s="9" t="s">
        <v>16</v>
      </c>
      <c r="H671" s="9" t="s">
        <v>16</v>
      </c>
      <c r="I671" s="9"/>
      <c r="J671" s="9"/>
      <c r="K671" s="9"/>
    </row>
    <row r="672" hidden="1">
      <c r="A672" s="3" t="s">
        <v>2659</v>
      </c>
      <c r="B672" s="2" t="s">
        <v>2660</v>
      </c>
      <c r="C672" s="3"/>
      <c r="D672" s="2">
        <v>1.4289939284789187E-4</v>
      </c>
      <c r="E672" s="8" t="s">
        <v>2661</v>
      </c>
      <c r="F672" s="9" t="s">
        <v>15</v>
      </c>
      <c r="G672" s="9" t="s">
        <v>16</v>
      </c>
      <c r="H672" s="9" t="s">
        <v>16</v>
      </c>
      <c r="I672" s="9"/>
      <c r="J672" s="9"/>
      <c r="K672" s="9"/>
    </row>
    <row r="673" hidden="1">
      <c r="A673" s="3" t="s">
        <v>2662</v>
      </c>
      <c r="B673" s="2" t="s">
        <v>2663</v>
      </c>
      <c r="C673" s="3" t="s">
        <v>2664</v>
      </c>
      <c r="D673" s="2">
        <v>1.4289939284789187E-4</v>
      </c>
      <c r="E673" s="8" t="s">
        <v>2665</v>
      </c>
      <c r="F673" s="9" t="s">
        <v>15</v>
      </c>
      <c r="G673" s="9" t="s">
        <v>16</v>
      </c>
      <c r="H673" s="9" t="s">
        <v>16</v>
      </c>
      <c r="I673" s="9"/>
      <c r="J673" s="9"/>
      <c r="K673" s="9"/>
    </row>
    <row r="674" hidden="1">
      <c r="A674" s="3" t="s">
        <v>2666</v>
      </c>
      <c r="B674" s="2" t="s">
        <v>2667</v>
      </c>
      <c r="C674" s="3" t="s">
        <v>2668</v>
      </c>
      <c r="D674" s="2">
        <v>1.4289939284789187E-4</v>
      </c>
      <c r="E674" s="8" t="s">
        <v>2669</v>
      </c>
      <c r="F674" s="9" t="s">
        <v>15</v>
      </c>
      <c r="G674" s="9" t="s">
        <v>16</v>
      </c>
      <c r="H674" s="9" t="s">
        <v>16</v>
      </c>
      <c r="I674" s="9"/>
      <c r="J674" s="9"/>
      <c r="K674" s="9"/>
    </row>
    <row r="675" hidden="1">
      <c r="A675" s="3" t="s">
        <v>2670</v>
      </c>
      <c r="B675" s="2" t="s">
        <v>2671</v>
      </c>
      <c r="C675" s="3" t="s">
        <v>2672</v>
      </c>
      <c r="D675" s="2">
        <v>1.4289939284789187E-4</v>
      </c>
      <c r="E675" s="8" t="s">
        <v>2673</v>
      </c>
      <c r="F675" s="9" t="s">
        <v>15</v>
      </c>
      <c r="G675" s="9" t="s">
        <v>16</v>
      </c>
      <c r="H675" s="9" t="s">
        <v>16</v>
      </c>
      <c r="I675" s="9"/>
      <c r="J675" s="9"/>
      <c r="K675" s="9"/>
    </row>
    <row r="676">
      <c r="A676" s="3" t="s">
        <v>2674</v>
      </c>
      <c r="B676" s="2" t="s">
        <v>2675</v>
      </c>
      <c r="C676" s="3" t="s">
        <v>2676</v>
      </c>
      <c r="D676" s="2">
        <v>1.4289939284789187E-4</v>
      </c>
      <c r="E676" s="8" t="s">
        <v>2677</v>
      </c>
      <c r="F676" s="9" t="s">
        <v>16</v>
      </c>
      <c r="G676" s="9" t="s">
        <v>16</v>
      </c>
      <c r="H676" s="9" t="s">
        <v>16</v>
      </c>
      <c r="I676" s="9" t="s">
        <v>16</v>
      </c>
      <c r="J676" s="9" t="s">
        <v>16</v>
      </c>
      <c r="K676" s="9" t="s">
        <v>16</v>
      </c>
    </row>
    <row r="677">
      <c r="A677" s="3" t="s">
        <v>2678</v>
      </c>
      <c r="B677" s="2" t="s">
        <v>2679</v>
      </c>
      <c r="C677" s="3" t="s">
        <v>2680</v>
      </c>
      <c r="D677" s="2">
        <v>1.4289939284789187E-4</v>
      </c>
      <c r="E677" s="8" t="s">
        <v>2681</v>
      </c>
      <c r="F677" s="9" t="s">
        <v>16</v>
      </c>
      <c r="G677" s="9" t="s">
        <v>16</v>
      </c>
      <c r="H677" s="9" t="s">
        <v>16</v>
      </c>
      <c r="I677" s="9" t="s">
        <v>16</v>
      </c>
      <c r="J677" s="9" t="s">
        <v>16</v>
      </c>
      <c r="K677" s="9" t="s">
        <v>16</v>
      </c>
    </row>
    <row r="678" hidden="1">
      <c r="A678" s="3" t="s">
        <v>2682</v>
      </c>
      <c r="B678" s="2" t="s">
        <v>2683</v>
      </c>
      <c r="C678" s="3" t="s">
        <v>2684</v>
      </c>
      <c r="D678" s="2">
        <v>1.4289939284789187E-4</v>
      </c>
      <c r="E678" s="8" t="s">
        <v>2685</v>
      </c>
      <c r="F678" s="9" t="s">
        <v>15</v>
      </c>
      <c r="G678" s="9" t="s">
        <v>16</v>
      </c>
      <c r="H678" s="9" t="s">
        <v>16</v>
      </c>
      <c r="I678" s="9"/>
      <c r="J678" s="9"/>
      <c r="K678" s="9"/>
    </row>
    <row r="679" hidden="1">
      <c r="A679" s="3" t="s">
        <v>2686</v>
      </c>
      <c r="B679" s="2" t="s">
        <v>2687</v>
      </c>
      <c r="C679" s="3" t="s">
        <v>2688</v>
      </c>
      <c r="D679" s="2">
        <v>1.4289939284789187E-4</v>
      </c>
      <c r="E679" s="8" t="s">
        <v>2689</v>
      </c>
      <c r="F679" s="9" t="s">
        <v>15</v>
      </c>
      <c r="G679" s="9" t="s">
        <v>16</v>
      </c>
      <c r="H679" s="9" t="s">
        <v>16</v>
      </c>
      <c r="I679" s="9"/>
      <c r="J679" s="9"/>
      <c r="K679" s="9"/>
    </row>
    <row r="680" hidden="1">
      <c r="A680" s="3" t="s">
        <v>2690</v>
      </c>
      <c r="B680" s="2" t="s">
        <v>2691</v>
      </c>
      <c r="C680" s="3" t="s">
        <v>2692</v>
      </c>
      <c r="D680" s="2">
        <v>1.4289939284789187E-4</v>
      </c>
      <c r="E680" s="8" t="s">
        <v>2693</v>
      </c>
      <c r="F680" s="9" t="s">
        <v>15</v>
      </c>
      <c r="G680" s="9" t="s">
        <v>16</v>
      </c>
      <c r="H680" s="9" t="s">
        <v>16</v>
      </c>
      <c r="I680" s="9"/>
      <c r="J680" s="9"/>
      <c r="K680" s="9"/>
    </row>
    <row r="681" hidden="1">
      <c r="A681" s="3" t="s">
        <v>2694</v>
      </c>
      <c r="B681" s="2" t="s">
        <v>2695</v>
      </c>
      <c r="C681" s="3" t="s">
        <v>2696</v>
      </c>
      <c r="D681" s="2">
        <v>1.4289939284789187E-4</v>
      </c>
      <c r="E681" s="8" t="s">
        <v>2697</v>
      </c>
      <c r="F681" s="9" t="s">
        <v>15</v>
      </c>
      <c r="G681" s="9" t="s">
        <v>16</v>
      </c>
      <c r="H681" s="9" t="s">
        <v>16</v>
      </c>
      <c r="I681" s="9"/>
      <c r="J681" s="9"/>
      <c r="K681" s="9"/>
    </row>
    <row r="682" hidden="1">
      <c r="A682" s="3" t="s">
        <v>2698</v>
      </c>
      <c r="B682" s="2" t="s">
        <v>2699</v>
      </c>
      <c r="C682" s="3" t="s">
        <v>2700</v>
      </c>
      <c r="D682" s="2">
        <v>1.4289939284789187E-4</v>
      </c>
      <c r="E682" s="8" t="s">
        <v>2701</v>
      </c>
      <c r="F682" s="9" t="s">
        <v>15</v>
      </c>
      <c r="G682" s="9" t="s">
        <v>16</v>
      </c>
      <c r="H682" s="9" t="s">
        <v>16</v>
      </c>
      <c r="I682" s="9"/>
      <c r="J682" s="9"/>
      <c r="K682" s="9"/>
    </row>
    <row r="683" hidden="1">
      <c r="A683" s="3" t="s">
        <v>2702</v>
      </c>
      <c r="B683" s="2" t="s">
        <v>2703</v>
      </c>
      <c r="C683" s="3" t="s">
        <v>2704</v>
      </c>
      <c r="D683" s="2">
        <v>1.4289939284789187E-4</v>
      </c>
      <c r="E683" s="8" t="s">
        <v>2705</v>
      </c>
      <c r="F683" s="9" t="s">
        <v>15</v>
      </c>
      <c r="G683" s="9" t="s">
        <v>16</v>
      </c>
      <c r="H683" s="9" t="s">
        <v>16</v>
      </c>
      <c r="I683" s="9"/>
      <c r="J683" s="9"/>
      <c r="K683" s="9"/>
    </row>
    <row r="684" hidden="1">
      <c r="A684" s="3" t="s">
        <v>2706</v>
      </c>
      <c r="B684" s="2" t="s">
        <v>2707</v>
      </c>
      <c r="C684" s="3" t="s">
        <v>2708</v>
      </c>
      <c r="D684" s="2">
        <v>1.4289939284789187E-4</v>
      </c>
      <c r="E684" s="8" t="s">
        <v>2709</v>
      </c>
      <c r="F684" s="9" t="s">
        <v>15</v>
      </c>
      <c r="G684" s="9" t="s">
        <v>16</v>
      </c>
      <c r="H684" s="9" t="s">
        <v>16</v>
      </c>
      <c r="I684" s="9"/>
      <c r="J684" s="9"/>
      <c r="K684" s="9"/>
    </row>
    <row r="685" hidden="1">
      <c r="A685" s="3" t="s">
        <v>2710</v>
      </c>
      <c r="B685" s="2" t="s">
        <v>2711</v>
      </c>
      <c r="C685" s="3" t="s">
        <v>2712</v>
      </c>
      <c r="D685" s="2">
        <v>1.4289939284789187E-4</v>
      </c>
      <c r="E685" s="8" t="s">
        <v>2713</v>
      </c>
      <c r="F685" s="9" t="s">
        <v>15</v>
      </c>
      <c r="G685" s="9" t="s">
        <v>16</v>
      </c>
      <c r="H685" s="9" t="s">
        <v>16</v>
      </c>
      <c r="I685" s="9"/>
      <c r="J685" s="9"/>
      <c r="K685" s="9"/>
    </row>
    <row r="686" hidden="1">
      <c r="A686" s="3" t="s">
        <v>2714</v>
      </c>
      <c r="B686" s="2" t="s">
        <v>2715</v>
      </c>
      <c r="C686" s="3" t="s">
        <v>2716</v>
      </c>
      <c r="D686" s="2">
        <v>1.4289939284789187E-4</v>
      </c>
      <c r="E686" s="8" t="s">
        <v>2717</v>
      </c>
      <c r="F686" s="9" t="s">
        <v>15</v>
      </c>
      <c r="G686" s="9" t="s">
        <v>16</v>
      </c>
      <c r="H686" s="9" t="s">
        <v>16</v>
      </c>
      <c r="I686" s="9"/>
      <c r="J686" s="9"/>
      <c r="K686" s="9"/>
    </row>
    <row r="687" hidden="1">
      <c r="A687" s="3" t="s">
        <v>2718</v>
      </c>
      <c r="B687" s="2" t="s">
        <v>2719</v>
      </c>
      <c r="C687" s="3" t="s">
        <v>2720</v>
      </c>
      <c r="D687" s="2">
        <v>1.4289939284789187E-4</v>
      </c>
      <c r="E687" s="8" t="s">
        <v>2721</v>
      </c>
      <c r="F687" s="9" t="s">
        <v>15</v>
      </c>
      <c r="G687" s="9" t="s">
        <v>16</v>
      </c>
      <c r="H687" s="9" t="s">
        <v>16</v>
      </c>
      <c r="I687" s="9"/>
      <c r="J687" s="9"/>
      <c r="K687" s="9"/>
    </row>
    <row r="688" hidden="1">
      <c r="A688" s="3" t="s">
        <v>2722</v>
      </c>
      <c r="B688" s="2" t="s">
        <v>2723</v>
      </c>
      <c r="C688" s="3" t="s">
        <v>2724</v>
      </c>
      <c r="D688" s="2">
        <v>1.4289939284789187E-4</v>
      </c>
      <c r="E688" s="8" t="s">
        <v>2274</v>
      </c>
      <c r="F688" s="9" t="s">
        <v>15</v>
      </c>
      <c r="G688" s="9" t="s">
        <v>16</v>
      </c>
      <c r="H688" s="9" t="s">
        <v>16</v>
      </c>
      <c r="I688" s="9"/>
      <c r="J688" s="9"/>
      <c r="K688" s="9"/>
    </row>
    <row r="689" hidden="1">
      <c r="A689" s="3" t="s">
        <v>2725</v>
      </c>
      <c r="B689" s="2" t="s">
        <v>2726</v>
      </c>
      <c r="C689" s="3" t="s">
        <v>2727</v>
      </c>
      <c r="D689" s="2">
        <v>1.4289939284789187E-4</v>
      </c>
      <c r="E689" s="8" t="s">
        <v>2728</v>
      </c>
      <c r="F689" s="9" t="s">
        <v>15</v>
      </c>
      <c r="G689" s="9" t="s">
        <v>16</v>
      </c>
      <c r="H689" s="9" t="s">
        <v>16</v>
      </c>
      <c r="I689" s="9"/>
      <c r="J689" s="9"/>
      <c r="K689" s="9"/>
    </row>
    <row r="690" hidden="1">
      <c r="A690" s="3" t="s">
        <v>2729</v>
      </c>
      <c r="B690" s="2" t="s">
        <v>2730</v>
      </c>
      <c r="C690" s="3" t="s">
        <v>2731</v>
      </c>
      <c r="D690" s="2">
        <v>1.4289939284789187E-4</v>
      </c>
      <c r="E690" s="8" t="s">
        <v>2732</v>
      </c>
      <c r="F690" s="9" t="s">
        <v>15</v>
      </c>
      <c r="G690" s="9" t="s">
        <v>16</v>
      </c>
      <c r="H690" s="9" t="s">
        <v>16</v>
      </c>
      <c r="I690" s="9"/>
      <c r="J690" s="9"/>
      <c r="K690" s="9"/>
    </row>
    <row r="691" hidden="1">
      <c r="A691" s="3" t="s">
        <v>2733</v>
      </c>
      <c r="B691" s="2" t="s">
        <v>2734</v>
      </c>
      <c r="C691" s="3" t="s">
        <v>2735</v>
      </c>
      <c r="D691" s="2">
        <v>1.4289939284789187E-4</v>
      </c>
      <c r="E691" s="8" t="s">
        <v>2736</v>
      </c>
      <c r="F691" s="9" t="s">
        <v>15</v>
      </c>
      <c r="G691" s="9" t="s">
        <v>16</v>
      </c>
      <c r="H691" s="9" t="s">
        <v>16</v>
      </c>
      <c r="I691" s="9"/>
      <c r="J691" s="9"/>
      <c r="K691" s="9"/>
    </row>
    <row r="692" hidden="1">
      <c r="A692" s="3" t="s">
        <v>2737</v>
      </c>
      <c r="B692" s="2" t="s">
        <v>2738</v>
      </c>
      <c r="C692" s="3" t="s">
        <v>2739</v>
      </c>
      <c r="D692" s="2">
        <v>1.4289939284789187E-4</v>
      </c>
      <c r="E692" s="8" t="s">
        <v>2740</v>
      </c>
      <c r="F692" s="9" t="s">
        <v>15</v>
      </c>
      <c r="G692" s="9" t="s">
        <v>16</v>
      </c>
      <c r="H692" s="9" t="s">
        <v>16</v>
      </c>
      <c r="I692" s="9"/>
      <c r="J692" s="9"/>
      <c r="K692" s="9"/>
    </row>
    <row r="693" hidden="1">
      <c r="A693" s="3" t="s">
        <v>2741</v>
      </c>
      <c r="B693" s="2" t="s">
        <v>2742</v>
      </c>
      <c r="C693" s="3" t="s">
        <v>2743</v>
      </c>
      <c r="D693" s="2">
        <v>1.4289939284789187E-4</v>
      </c>
      <c r="E693" s="8" t="s">
        <v>2744</v>
      </c>
      <c r="F693" s="9" t="s">
        <v>15</v>
      </c>
      <c r="G693" s="9" t="s">
        <v>16</v>
      </c>
      <c r="H693" s="9" t="s">
        <v>16</v>
      </c>
      <c r="I693" s="9"/>
      <c r="J693" s="9"/>
      <c r="K693" s="9"/>
    </row>
    <row r="694" hidden="1">
      <c r="A694" s="3" t="s">
        <v>2745</v>
      </c>
      <c r="B694" s="2" t="s">
        <v>2746</v>
      </c>
      <c r="C694" s="3"/>
      <c r="D694" s="2">
        <v>1.4289939284789187E-4</v>
      </c>
      <c r="E694" s="8" t="s">
        <v>2747</v>
      </c>
      <c r="F694" s="9" t="s">
        <v>15</v>
      </c>
      <c r="G694" s="9" t="s">
        <v>16</v>
      </c>
      <c r="H694" s="9" t="s">
        <v>16</v>
      </c>
      <c r="I694" s="9"/>
      <c r="J694" s="9"/>
      <c r="K694" s="9"/>
    </row>
    <row r="695" hidden="1">
      <c r="A695" s="3" t="s">
        <v>2748</v>
      </c>
      <c r="B695" s="2" t="s">
        <v>2749</v>
      </c>
      <c r="C695" s="3" t="s">
        <v>2750</v>
      </c>
      <c r="D695" s="2">
        <v>1.4289939284789187E-4</v>
      </c>
      <c r="E695" s="8" t="s">
        <v>2751</v>
      </c>
      <c r="F695" s="9" t="s">
        <v>15</v>
      </c>
      <c r="G695" s="9" t="s">
        <v>16</v>
      </c>
      <c r="H695" s="9" t="s">
        <v>16</v>
      </c>
      <c r="I695" s="9"/>
      <c r="J695" s="9"/>
      <c r="K695" s="9"/>
    </row>
    <row r="696" hidden="1">
      <c r="A696" s="3" t="s">
        <v>2752</v>
      </c>
      <c r="B696" s="2" t="s">
        <v>2753</v>
      </c>
      <c r="C696" s="3" t="s">
        <v>2754</v>
      </c>
      <c r="D696" s="2">
        <v>1.4289939284789187E-4</v>
      </c>
      <c r="E696" s="8" t="s">
        <v>2755</v>
      </c>
      <c r="F696" s="9" t="s">
        <v>15</v>
      </c>
      <c r="G696" s="9" t="s">
        <v>16</v>
      </c>
      <c r="H696" s="9" t="s">
        <v>16</v>
      </c>
      <c r="I696" s="9"/>
      <c r="J696" s="9"/>
      <c r="K696" s="9"/>
    </row>
    <row r="697" hidden="1">
      <c r="A697" s="3" t="s">
        <v>2756</v>
      </c>
      <c r="B697" s="2" t="s">
        <v>2757</v>
      </c>
      <c r="C697" s="3" t="s">
        <v>2758</v>
      </c>
      <c r="D697" s="2">
        <v>1.4289939284789187E-4</v>
      </c>
      <c r="E697" s="8" t="s">
        <v>2759</v>
      </c>
      <c r="F697" s="9" t="s">
        <v>15</v>
      </c>
      <c r="G697" s="9" t="s">
        <v>16</v>
      </c>
      <c r="H697" s="9" t="s">
        <v>16</v>
      </c>
      <c r="I697" s="9"/>
      <c r="J697" s="9"/>
      <c r="K697" s="9"/>
    </row>
    <row r="698" hidden="1">
      <c r="A698" s="3" t="s">
        <v>2760</v>
      </c>
      <c r="B698" s="2" t="s">
        <v>2761</v>
      </c>
      <c r="C698" s="3" t="s">
        <v>2762</v>
      </c>
      <c r="D698" s="2">
        <v>1.4289939284789187E-4</v>
      </c>
      <c r="E698" s="8" t="s">
        <v>2763</v>
      </c>
      <c r="F698" s="9" t="s">
        <v>15</v>
      </c>
      <c r="G698" s="9" t="s">
        <v>16</v>
      </c>
      <c r="H698" s="9" t="s">
        <v>16</v>
      </c>
      <c r="I698" s="9"/>
      <c r="J698" s="9"/>
      <c r="K698" s="9"/>
    </row>
    <row r="699" hidden="1">
      <c r="A699" s="3" t="s">
        <v>2764</v>
      </c>
      <c r="B699" s="2" t="s">
        <v>2765</v>
      </c>
      <c r="C699" s="3" t="s">
        <v>2766</v>
      </c>
      <c r="D699" s="2">
        <v>1.4289939284789187E-4</v>
      </c>
      <c r="E699" s="8" t="s">
        <v>2767</v>
      </c>
      <c r="F699" s="9" t="s">
        <v>15</v>
      </c>
      <c r="G699" s="9" t="s">
        <v>16</v>
      </c>
      <c r="H699" s="9" t="s">
        <v>16</v>
      </c>
      <c r="I699" s="9"/>
      <c r="J699" s="9"/>
      <c r="K699" s="9"/>
    </row>
    <row r="700" hidden="1">
      <c r="A700" s="3" t="s">
        <v>2768</v>
      </c>
      <c r="B700" s="2" t="s">
        <v>2769</v>
      </c>
      <c r="C700" s="3" t="s">
        <v>2770</v>
      </c>
      <c r="D700" s="2">
        <v>1.4289939284789187E-4</v>
      </c>
      <c r="E700" s="8" t="s">
        <v>2771</v>
      </c>
      <c r="F700" s="9" t="s">
        <v>15</v>
      </c>
      <c r="G700" s="9" t="s">
        <v>16</v>
      </c>
      <c r="H700" s="9" t="s">
        <v>16</v>
      </c>
      <c r="I700" s="9"/>
      <c r="J700" s="9"/>
      <c r="K700" s="9"/>
    </row>
    <row r="701" hidden="1">
      <c r="A701" s="3" t="s">
        <v>2772</v>
      </c>
      <c r="B701" s="2" t="s">
        <v>2773</v>
      </c>
      <c r="C701" s="3" t="s">
        <v>2774</v>
      </c>
      <c r="D701" s="2">
        <v>1.4289939284789187E-4</v>
      </c>
      <c r="E701" s="8" t="s">
        <v>2775</v>
      </c>
      <c r="F701" s="9" t="s">
        <v>15</v>
      </c>
      <c r="G701" s="9" t="s">
        <v>16</v>
      </c>
      <c r="H701" s="9" t="s">
        <v>16</v>
      </c>
      <c r="I701" s="9"/>
      <c r="J701" s="9"/>
      <c r="K701" s="9"/>
    </row>
    <row r="702" hidden="1">
      <c r="A702" s="3" t="s">
        <v>2776</v>
      </c>
      <c r="B702" s="2" t="s">
        <v>2777</v>
      </c>
      <c r="C702" s="3" t="s">
        <v>2778</v>
      </c>
      <c r="D702" s="2">
        <v>1.4289939284789187E-4</v>
      </c>
      <c r="E702" s="8" t="s">
        <v>2779</v>
      </c>
      <c r="F702" s="9" t="s">
        <v>15</v>
      </c>
      <c r="G702" s="9" t="s">
        <v>16</v>
      </c>
      <c r="H702" s="9" t="s">
        <v>16</v>
      </c>
      <c r="I702" s="9"/>
      <c r="J702" s="9"/>
      <c r="K702" s="9"/>
    </row>
    <row r="703" hidden="1">
      <c r="A703" s="3" t="s">
        <v>2780</v>
      </c>
      <c r="B703" s="2" t="s">
        <v>2781</v>
      </c>
      <c r="C703" s="3" t="s">
        <v>2782</v>
      </c>
      <c r="D703" s="2">
        <v>1.4289939284789187E-4</v>
      </c>
      <c r="E703" s="8" t="s">
        <v>2783</v>
      </c>
      <c r="F703" s="9" t="s">
        <v>15</v>
      </c>
      <c r="G703" s="9" t="s">
        <v>16</v>
      </c>
      <c r="H703" s="9" t="s">
        <v>16</v>
      </c>
      <c r="I703" s="9"/>
      <c r="J703" s="9"/>
      <c r="K703" s="9"/>
    </row>
    <row r="704" hidden="1">
      <c r="A704" s="3" t="s">
        <v>2784</v>
      </c>
      <c r="B704" s="2" t="s">
        <v>2785</v>
      </c>
      <c r="C704" s="3" t="s">
        <v>2786</v>
      </c>
      <c r="D704" s="2">
        <v>1.4289939284789187E-4</v>
      </c>
      <c r="E704" s="8" t="s">
        <v>2787</v>
      </c>
      <c r="F704" s="9" t="s">
        <v>15</v>
      </c>
      <c r="G704" s="9" t="s">
        <v>16</v>
      </c>
      <c r="H704" s="9" t="s">
        <v>16</v>
      </c>
      <c r="I704" s="9"/>
      <c r="J704" s="9"/>
      <c r="K704" s="9"/>
    </row>
    <row r="705" hidden="1">
      <c r="A705" s="3" t="s">
        <v>2788</v>
      </c>
      <c r="B705" s="2" t="s">
        <v>2789</v>
      </c>
      <c r="C705" s="3" t="s">
        <v>2790</v>
      </c>
      <c r="D705" s="2">
        <v>1.4289939284789187E-4</v>
      </c>
      <c r="E705" s="8" t="s">
        <v>2791</v>
      </c>
      <c r="F705" s="9" t="s">
        <v>15</v>
      </c>
      <c r="G705" s="9" t="s">
        <v>16</v>
      </c>
      <c r="H705" s="9" t="s">
        <v>16</v>
      </c>
      <c r="I705" s="9"/>
      <c r="J705" s="9"/>
      <c r="K705" s="9"/>
    </row>
    <row r="706" hidden="1">
      <c r="A706" s="3" t="s">
        <v>2792</v>
      </c>
      <c r="B706" s="2" t="s">
        <v>2793</v>
      </c>
      <c r="C706" s="3" t="s">
        <v>2794</v>
      </c>
      <c r="D706" s="2">
        <v>1.4289939284789187E-4</v>
      </c>
      <c r="E706" s="8" t="s">
        <v>2795</v>
      </c>
      <c r="F706" s="9" t="s">
        <v>15</v>
      </c>
      <c r="G706" s="9" t="s">
        <v>16</v>
      </c>
      <c r="H706" s="9" t="s">
        <v>16</v>
      </c>
      <c r="I706" s="9"/>
      <c r="J706" s="9"/>
      <c r="K706" s="9"/>
    </row>
    <row r="707" hidden="1">
      <c r="A707" s="3" t="s">
        <v>2796</v>
      </c>
      <c r="B707" s="2" t="s">
        <v>2797</v>
      </c>
      <c r="C707" s="3" t="s">
        <v>2798</v>
      </c>
      <c r="D707" s="2">
        <v>1.4289939284789187E-4</v>
      </c>
      <c r="E707" s="8" t="s">
        <v>2799</v>
      </c>
      <c r="F707" s="9" t="s">
        <v>15</v>
      </c>
      <c r="G707" s="9" t="s">
        <v>16</v>
      </c>
      <c r="H707" s="9" t="s">
        <v>16</v>
      </c>
      <c r="I707" s="9"/>
      <c r="J707" s="9"/>
      <c r="K707" s="9"/>
    </row>
    <row r="708" hidden="1">
      <c r="A708" s="3" t="s">
        <v>2800</v>
      </c>
      <c r="B708" s="2" t="s">
        <v>2801</v>
      </c>
      <c r="C708" s="3" t="s">
        <v>2802</v>
      </c>
      <c r="D708" s="2">
        <v>1.4289939284789187E-4</v>
      </c>
      <c r="E708" s="8" t="s">
        <v>2803</v>
      </c>
      <c r="F708" s="9" t="s">
        <v>15</v>
      </c>
      <c r="G708" s="9" t="s">
        <v>16</v>
      </c>
      <c r="H708" s="9" t="s">
        <v>16</v>
      </c>
      <c r="I708" s="9"/>
      <c r="J708" s="9"/>
      <c r="K708" s="9"/>
    </row>
    <row r="709" hidden="1">
      <c r="A709" s="3" t="s">
        <v>2804</v>
      </c>
      <c r="B709" s="2" t="s">
        <v>2805</v>
      </c>
      <c r="C709" s="3" t="s">
        <v>2806</v>
      </c>
      <c r="D709" s="2">
        <v>1.4289939284789187E-4</v>
      </c>
      <c r="E709" s="8" t="s">
        <v>2807</v>
      </c>
      <c r="F709" s="9" t="s">
        <v>15</v>
      </c>
      <c r="G709" s="9" t="s">
        <v>16</v>
      </c>
      <c r="H709" s="9" t="s">
        <v>16</v>
      </c>
      <c r="I709" s="9"/>
      <c r="J709" s="9"/>
      <c r="K709" s="9"/>
    </row>
    <row r="710" hidden="1">
      <c r="A710" s="3" t="s">
        <v>2808</v>
      </c>
      <c r="B710" s="2" t="s">
        <v>2809</v>
      </c>
      <c r="C710" s="3" t="s">
        <v>2810</v>
      </c>
      <c r="D710" s="2">
        <v>1.4289939284789187E-4</v>
      </c>
      <c r="E710" s="8" t="s">
        <v>2811</v>
      </c>
      <c r="F710" s="9" t="s">
        <v>15</v>
      </c>
      <c r="G710" s="9" t="s">
        <v>16</v>
      </c>
      <c r="H710" s="9" t="s">
        <v>16</v>
      </c>
      <c r="I710" s="9"/>
      <c r="J710" s="9"/>
      <c r="K710" s="9"/>
    </row>
    <row r="711" hidden="1">
      <c r="A711" s="3" t="s">
        <v>2812</v>
      </c>
      <c r="B711" s="2" t="s">
        <v>2813</v>
      </c>
      <c r="C711" s="3" t="s">
        <v>2814</v>
      </c>
      <c r="D711" s="2">
        <v>1.4289939284789187E-4</v>
      </c>
      <c r="E711" s="8" t="s">
        <v>2815</v>
      </c>
      <c r="F711" s="9" t="s">
        <v>15</v>
      </c>
      <c r="G711" s="9" t="s">
        <v>16</v>
      </c>
      <c r="H711" s="9" t="s">
        <v>16</v>
      </c>
      <c r="I711" s="9"/>
      <c r="J711" s="9"/>
      <c r="K711" s="9"/>
    </row>
    <row r="712" hidden="1">
      <c r="A712" s="3" t="s">
        <v>2816</v>
      </c>
      <c r="B712" s="2" t="s">
        <v>2817</v>
      </c>
      <c r="C712" s="3" t="s">
        <v>2818</v>
      </c>
      <c r="D712" s="2">
        <v>1.4289939284789187E-4</v>
      </c>
      <c r="E712" s="8" t="s">
        <v>2819</v>
      </c>
      <c r="F712" s="9" t="s">
        <v>15</v>
      </c>
      <c r="G712" s="9" t="s">
        <v>16</v>
      </c>
      <c r="H712" s="9" t="s">
        <v>16</v>
      </c>
      <c r="I712" s="9"/>
      <c r="J712" s="9"/>
      <c r="K712" s="9"/>
    </row>
    <row r="713" hidden="1">
      <c r="A713" s="3" t="s">
        <v>2820</v>
      </c>
      <c r="B713" s="2" t="s">
        <v>2821</v>
      </c>
      <c r="C713" s="3" t="s">
        <v>2822</v>
      </c>
      <c r="D713" s="2">
        <v>1.4289939284789187E-4</v>
      </c>
      <c r="E713" s="8" t="s">
        <v>2823</v>
      </c>
      <c r="F713" s="9" t="s">
        <v>15</v>
      </c>
      <c r="G713" s="9" t="s">
        <v>16</v>
      </c>
      <c r="H713" s="9" t="s">
        <v>16</v>
      </c>
      <c r="I713" s="9"/>
      <c r="J713" s="9"/>
      <c r="K713" s="9"/>
    </row>
    <row r="714" hidden="1">
      <c r="A714" s="3" t="s">
        <v>2824</v>
      </c>
      <c r="B714" s="2" t="s">
        <v>2825</v>
      </c>
      <c r="C714" s="3" t="s">
        <v>2826</v>
      </c>
      <c r="D714" s="2">
        <v>1.4289939284789187E-4</v>
      </c>
      <c r="E714" s="8" t="s">
        <v>2827</v>
      </c>
      <c r="F714" s="9" t="s">
        <v>15</v>
      </c>
      <c r="G714" s="9" t="s">
        <v>16</v>
      </c>
      <c r="H714" s="9" t="s">
        <v>16</v>
      </c>
      <c r="I714" s="9"/>
      <c r="J714" s="9"/>
      <c r="K714" s="9"/>
    </row>
    <row r="715" hidden="1">
      <c r="A715" s="3" t="s">
        <v>2828</v>
      </c>
      <c r="B715" s="2" t="s">
        <v>2829</v>
      </c>
      <c r="C715" s="3" t="s">
        <v>2830</v>
      </c>
      <c r="D715" s="2">
        <v>1.4289939284789187E-4</v>
      </c>
      <c r="E715" s="8" t="s">
        <v>2831</v>
      </c>
      <c r="F715" s="9" t="s">
        <v>15</v>
      </c>
      <c r="G715" s="9" t="s">
        <v>16</v>
      </c>
      <c r="H715" s="9" t="s">
        <v>16</v>
      </c>
      <c r="I715" s="9"/>
      <c r="J715" s="9"/>
      <c r="K715" s="9"/>
    </row>
    <row r="716" hidden="1">
      <c r="A716" s="3" t="s">
        <v>2832</v>
      </c>
      <c r="B716" s="2" t="s">
        <v>2833</v>
      </c>
      <c r="C716" s="3" t="s">
        <v>2834</v>
      </c>
      <c r="D716" s="2">
        <v>1.4289939284789187E-4</v>
      </c>
      <c r="E716" s="8" t="s">
        <v>2835</v>
      </c>
      <c r="F716" s="9" t="s">
        <v>15</v>
      </c>
      <c r="G716" s="9" t="s">
        <v>16</v>
      </c>
      <c r="H716" s="9" t="s">
        <v>16</v>
      </c>
      <c r="I716" s="9"/>
      <c r="J716" s="9"/>
      <c r="K716" s="9"/>
    </row>
    <row r="717" hidden="1">
      <c r="A717" s="3" t="s">
        <v>2836</v>
      </c>
      <c r="B717" s="2" t="s">
        <v>2837</v>
      </c>
      <c r="C717" s="3" t="s">
        <v>2838</v>
      </c>
      <c r="D717" s="2">
        <v>1.4289939284789187E-4</v>
      </c>
      <c r="E717" s="8" t="s">
        <v>2839</v>
      </c>
      <c r="F717" s="9" t="s">
        <v>15</v>
      </c>
      <c r="G717" s="9" t="s">
        <v>16</v>
      </c>
      <c r="H717" s="9" t="s">
        <v>16</v>
      </c>
      <c r="I717" s="9"/>
      <c r="J717" s="9"/>
      <c r="K717" s="9"/>
    </row>
    <row r="718" hidden="1">
      <c r="A718" s="3" t="s">
        <v>2840</v>
      </c>
      <c r="B718" s="2" t="s">
        <v>2841</v>
      </c>
      <c r="C718" s="3" t="s">
        <v>2842</v>
      </c>
      <c r="D718" s="2">
        <v>1.4289939284789187E-4</v>
      </c>
      <c r="E718" s="8" t="s">
        <v>2843</v>
      </c>
      <c r="F718" s="9" t="s">
        <v>15</v>
      </c>
      <c r="G718" s="9" t="s">
        <v>16</v>
      </c>
      <c r="H718" s="9" t="s">
        <v>16</v>
      </c>
      <c r="I718" s="9"/>
      <c r="J718" s="9"/>
      <c r="K718" s="9"/>
    </row>
    <row r="719" hidden="1">
      <c r="A719" s="3" t="s">
        <v>2844</v>
      </c>
      <c r="B719" s="2" t="s">
        <v>2845</v>
      </c>
      <c r="C719" s="3" t="s">
        <v>2846</v>
      </c>
      <c r="D719" s="2">
        <v>1.4289939284789187E-4</v>
      </c>
      <c r="E719" s="8" t="s">
        <v>2847</v>
      </c>
      <c r="F719" s="9" t="s">
        <v>15</v>
      </c>
      <c r="G719" s="9" t="s">
        <v>16</v>
      </c>
      <c r="H719" s="9" t="s">
        <v>16</v>
      </c>
      <c r="I719" s="9"/>
      <c r="J719" s="9"/>
      <c r="K719" s="9"/>
    </row>
    <row r="720" hidden="1">
      <c r="A720" s="3" t="s">
        <v>2848</v>
      </c>
      <c r="B720" s="2" t="s">
        <v>2849</v>
      </c>
      <c r="C720" s="3" t="s">
        <v>2850</v>
      </c>
      <c r="D720" s="2">
        <v>1.4289939284789187E-4</v>
      </c>
      <c r="E720" s="8" t="s">
        <v>2851</v>
      </c>
      <c r="F720" s="9" t="s">
        <v>15</v>
      </c>
      <c r="G720" s="9" t="s">
        <v>16</v>
      </c>
      <c r="H720" s="9" t="s">
        <v>16</v>
      </c>
      <c r="I720" s="9"/>
      <c r="J720" s="9"/>
      <c r="K720" s="9"/>
    </row>
    <row r="721" hidden="1">
      <c r="A721" s="3" t="s">
        <v>2852</v>
      </c>
      <c r="B721" s="2" t="s">
        <v>2853</v>
      </c>
      <c r="C721" s="3" t="s">
        <v>2854</v>
      </c>
      <c r="D721" s="2">
        <v>1.4289939284789187E-4</v>
      </c>
      <c r="E721" s="8" t="s">
        <v>2855</v>
      </c>
      <c r="F721" s="9" t="s">
        <v>15</v>
      </c>
      <c r="G721" s="9" t="s">
        <v>16</v>
      </c>
      <c r="H721" s="9" t="s">
        <v>16</v>
      </c>
      <c r="I721" s="9"/>
      <c r="J721" s="9"/>
      <c r="K721" s="9"/>
    </row>
    <row r="722" hidden="1">
      <c r="A722" s="3" t="s">
        <v>2856</v>
      </c>
      <c r="B722" s="2" t="s">
        <v>2857</v>
      </c>
      <c r="C722" s="3" t="s">
        <v>2858</v>
      </c>
      <c r="D722" s="2">
        <v>1.4289939284789187E-4</v>
      </c>
      <c r="E722" s="8" t="s">
        <v>2859</v>
      </c>
      <c r="F722" s="9" t="s">
        <v>15</v>
      </c>
      <c r="G722" s="9" t="s">
        <v>16</v>
      </c>
      <c r="H722" s="9" t="s">
        <v>16</v>
      </c>
      <c r="I722" s="9"/>
      <c r="J722" s="9"/>
      <c r="K722" s="9"/>
    </row>
    <row r="723" hidden="1">
      <c r="A723" s="3" t="s">
        <v>2860</v>
      </c>
      <c r="B723" s="2" t="s">
        <v>2861</v>
      </c>
      <c r="C723" s="3" t="s">
        <v>2862</v>
      </c>
      <c r="D723" s="2">
        <v>1.4289939284789187E-4</v>
      </c>
      <c r="E723" s="8" t="s">
        <v>2863</v>
      </c>
      <c r="F723" s="9" t="s">
        <v>15</v>
      </c>
      <c r="G723" s="9" t="s">
        <v>16</v>
      </c>
      <c r="H723" s="9" t="s">
        <v>16</v>
      </c>
      <c r="I723" s="9"/>
      <c r="J723" s="9"/>
      <c r="K723" s="9"/>
    </row>
    <row r="724" hidden="1">
      <c r="A724" s="3" t="s">
        <v>2864</v>
      </c>
      <c r="B724" s="2" t="s">
        <v>2865</v>
      </c>
      <c r="C724" s="3" t="s">
        <v>2866</v>
      </c>
      <c r="D724" s="2">
        <v>1.4289939284789187E-4</v>
      </c>
      <c r="E724" s="8" t="s">
        <v>2867</v>
      </c>
      <c r="F724" s="9" t="s">
        <v>15</v>
      </c>
      <c r="G724" s="9" t="s">
        <v>16</v>
      </c>
      <c r="H724" s="9" t="s">
        <v>16</v>
      </c>
      <c r="I724" s="9"/>
      <c r="J724" s="9"/>
      <c r="K724" s="9"/>
    </row>
    <row r="725" hidden="1">
      <c r="A725" s="3" t="s">
        <v>2868</v>
      </c>
      <c r="B725" s="2" t="s">
        <v>2869</v>
      </c>
      <c r="C725" s="3" t="s">
        <v>2870</v>
      </c>
      <c r="D725" s="2">
        <v>1.4289939284789187E-4</v>
      </c>
      <c r="E725" s="8" t="s">
        <v>2871</v>
      </c>
      <c r="F725" s="9" t="s">
        <v>15</v>
      </c>
      <c r="G725" s="9" t="s">
        <v>16</v>
      </c>
      <c r="H725" s="9" t="s">
        <v>16</v>
      </c>
      <c r="I725" s="9"/>
      <c r="J725" s="9"/>
      <c r="K725" s="9"/>
    </row>
    <row r="726" hidden="1">
      <c r="A726" s="3" t="s">
        <v>2872</v>
      </c>
      <c r="B726" s="2" t="s">
        <v>2873</v>
      </c>
      <c r="C726" s="3" t="s">
        <v>2874</v>
      </c>
      <c r="D726" s="2">
        <v>1.4289939284789187E-4</v>
      </c>
      <c r="E726" s="8" t="s">
        <v>2875</v>
      </c>
      <c r="F726" s="9" t="s">
        <v>15</v>
      </c>
      <c r="G726" s="9" t="s">
        <v>16</v>
      </c>
      <c r="H726" s="9" t="s">
        <v>16</v>
      </c>
      <c r="I726" s="9"/>
      <c r="J726" s="9"/>
      <c r="K726" s="9"/>
    </row>
    <row r="727" hidden="1">
      <c r="A727" s="3" t="s">
        <v>2876</v>
      </c>
      <c r="B727" s="2" t="s">
        <v>2877</v>
      </c>
      <c r="C727" s="3" t="s">
        <v>2878</v>
      </c>
      <c r="D727" s="2">
        <v>1.4289939284789187E-4</v>
      </c>
      <c r="E727" s="8" t="s">
        <v>2879</v>
      </c>
      <c r="F727" s="9" t="s">
        <v>15</v>
      </c>
      <c r="G727" s="9" t="s">
        <v>16</v>
      </c>
      <c r="H727" s="9" t="s">
        <v>16</v>
      </c>
      <c r="I727" s="9"/>
      <c r="J727" s="9"/>
      <c r="K727" s="9"/>
    </row>
    <row r="728" hidden="1">
      <c r="A728" s="3" t="s">
        <v>2880</v>
      </c>
      <c r="B728" s="2" t="s">
        <v>2881</v>
      </c>
      <c r="C728" s="3" t="s">
        <v>2882</v>
      </c>
      <c r="D728" s="2">
        <v>1.4289939284789187E-4</v>
      </c>
      <c r="E728" s="8" t="s">
        <v>2883</v>
      </c>
      <c r="F728" s="9" t="s">
        <v>15</v>
      </c>
      <c r="G728" s="9" t="s">
        <v>16</v>
      </c>
      <c r="H728" s="9" t="s">
        <v>16</v>
      </c>
      <c r="I728" s="9"/>
      <c r="J728" s="9"/>
      <c r="K728" s="9"/>
    </row>
    <row r="729" hidden="1">
      <c r="A729" s="3" t="s">
        <v>2884</v>
      </c>
      <c r="B729" s="2" t="s">
        <v>2885</v>
      </c>
      <c r="C729" s="3" t="s">
        <v>2886</v>
      </c>
      <c r="D729" s="2">
        <v>1.4289939284789187E-4</v>
      </c>
      <c r="E729" s="8" t="s">
        <v>2887</v>
      </c>
      <c r="F729" s="9" t="s">
        <v>15</v>
      </c>
      <c r="G729" s="9" t="s">
        <v>16</v>
      </c>
      <c r="H729" s="9" t="s">
        <v>16</v>
      </c>
      <c r="I729" s="9"/>
      <c r="J729" s="9"/>
      <c r="K729" s="9"/>
    </row>
    <row r="730" hidden="1">
      <c r="A730" s="3" t="s">
        <v>2888</v>
      </c>
      <c r="B730" s="2" t="s">
        <v>2889</v>
      </c>
      <c r="C730" s="3" t="s">
        <v>2890</v>
      </c>
      <c r="D730" s="2">
        <v>1.4289939284789187E-4</v>
      </c>
      <c r="E730" s="8" t="s">
        <v>2891</v>
      </c>
      <c r="F730" s="9" t="s">
        <v>15</v>
      </c>
      <c r="G730" s="9" t="s">
        <v>16</v>
      </c>
      <c r="H730" s="9" t="s">
        <v>16</v>
      </c>
      <c r="I730" s="9"/>
      <c r="J730" s="9"/>
      <c r="K730" s="9"/>
    </row>
    <row r="731" hidden="1">
      <c r="A731" s="3" t="s">
        <v>2892</v>
      </c>
      <c r="B731" s="2" t="s">
        <v>2893</v>
      </c>
      <c r="C731" s="3" t="s">
        <v>2894</v>
      </c>
      <c r="D731" s="2">
        <v>1.4289939284789187E-4</v>
      </c>
      <c r="E731" s="8" t="s">
        <v>2895</v>
      </c>
      <c r="F731" s="9" t="s">
        <v>15</v>
      </c>
      <c r="G731" s="9" t="s">
        <v>16</v>
      </c>
      <c r="H731" s="9" t="s">
        <v>16</v>
      </c>
      <c r="I731" s="9"/>
      <c r="J731" s="9"/>
      <c r="K731" s="9"/>
    </row>
    <row r="732" hidden="1">
      <c r="A732" s="3" t="s">
        <v>2896</v>
      </c>
      <c r="B732" s="2" t="s">
        <v>2897</v>
      </c>
      <c r="C732" s="3" t="s">
        <v>2898</v>
      </c>
      <c r="D732" s="2">
        <v>1.4289939284789187E-4</v>
      </c>
      <c r="E732" s="8" t="s">
        <v>2899</v>
      </c>
      <c r="F732" s="9" t="s">
        <v>15</v>
      </c>
      <c r="G732" s="9" t="s">
        <v>16</v>
      </c>
      <c r="H732" s="9" t="s">
        <v>16</v>
      </c>
      <c r="I732" s="9"/>
      <c r="J732" s="9"/>
      <c r="K732" s="9"/>
    </row>
    <row r="733" hidden="1">
      <c r="A733" s="3" t="s">
        <v>2900</v>
      </c>
      <c r="B733" s="2" t="s">
        <v>2901</v>
      </c>
      <c r="C733" s="3" t="s">
        <v>2902</v>
      </c>
      <c r="D733" s="2">
        <v>1.4289939284789187E-4</v>
      </c>
      <c r="E733" s="8" t="s">
        <v>2903</v>
      </c>
      <c r="F733" s="9" t="s">
        <v>15</v>
      </c>
      <c r="G733" s="9" t="s">
        <v>16</v>
      </c>
      <c r="H733" s="9" t="s">
        <v>16</v>
      </c>
      <c r="I733" s="9"/>
      <c r="J733" s="9"/>
      <c r="K733" s="9"/>
    </row>
    <row r="734" hidden="1">
      <c r="A734" s="3" t="s">
        <v>2904</v>
      </c>
      <c r="B734" s="2" t="s">
        <v>2905</v>
      </c>
      <c r="C734" s="3" t="s">
        <v>2906</v>
      </c>
      <c r="D734" s="2">
        <v>1.4289939284789187E-4</v>
      </c>
      <c r="E734" s="8" t="s">
        <v>2907</v>
      </c>
      <c r="F734" s="9" t="s">
        <v>15</v>
      </c>
      <c r="G734" s="9" t="s">
        <v>16</v>
      </c>
      <c r="H734" s="9" t="s">
        <v>16</v>
      </c>
      <c r="I734" s="9"/>
      <c r="J734" s="9"/>
      <c r="K734" s="9"/>
    </row>
    <row r="735" hidden="1">
      <c r="A735" s="3" t="s">
        <v>2908</v>
      </c>
      <c r="B735" s="2" t="s">
        <v>2909</v>
      </c>
      <c r="C735" s="3" t="s">
        <v>2910</v>
      </c>
      <c r="D735" s="2">
        <v>1.4289939284789187E-4</v>
      </c>
      <c r="E735" s="8" t="s">
        <v>2911</v>
      </c>
      <c r="F735" s="9" t="s">
        <v>16</v>
      </c>
      <c r="G735" s="9" t="s">
        <v>16</v>
      </c>
      <c r="H735" s="9" t="s">
        <v>16</v>
      </c>
      <c r="I735" s="9"/>
      <c r="J735" s="9" t="s">
        <v>15</v>
      </c>
      <c r="K735" s="9"/>
    </row>
    <row r="736" hidden="1">
      <c r="A736" s="3" t="s">
        <v>2912</v>
      </c>
      <c r="B736" s="2" t="s">
        <v>2913</v>
      </c>
      <c r="C736" s="3" t="s">
        <v>2914</v>
      </c>
      <c r="D736" s="2">
        <v>1.4289939284789187E-4</v>
      </c>
      <c r="E736" s="8" t="s">
        <v>2915</v>
      </c>
      <c r="F736" s="9" t="s">
        <v>15</v>
      </c>
      <c r="G736" s="9" t="s">
        <v>16</v>
      </c>
      <c r="H736" s="9" t="s">
        <v>16</v>
      </c>
      <c r="I736" s="9"/>
      <c r="J736" s="9"/>
      <c r="K736" s="9"/>
    </row>
    <row r="737" hidden="1">
      <c r="A737" s="3" t="s">
        <v>2916</v>
      </c>
      <c r="B737" s="2" t="s">
        <v>2917</v>
      </c>
      <c r="C737" s="3" t="s">
        <v>2918</v>
      </c>
      <c r="D737" s="2">
        <v>1.4289939284789187E-4</v>
      </c>
      <c r="E737" s="8" t="s">
        <v>2919</v>
      </c>
      <c r="F737" s="9" t="s">
        <v>15</v>
      </c>
      <c r="G737" s="9" t="s">
        <v>16</v>
      </c>
      <c r="H737" s="9" t="s">
        <v>16</v>
      </c>
      <c r="I737" s="9"/>
      <c r="J737" s="9"/>
      <c r="K737" s="9"/>
    </row>
    <row r="738" hidden="1">
      <c r="A738" s="3" t="s">
        <v>2920</v>
      </c>
      <c r="B738" s="2" t="s">
        <v>2921</v>
      </c>
      <c r="C738" s="3" t="s">
        <v>2922</v>
      </c>
      <c r="D738" s="2">
        <v>1.4289939284789187E-4</v>
      </c>
      <c r="E738" s="8" t="s">
        <v>2923</v>
      </c>
      <c r="F738" s="9" t="s">
        <v>15</v>
      </c>
      <c r="G738" s="9" t="s">
        <v>16</v>
      </c>
      <c r="H738" s="9" t="s">
        <v>16</v>
      </c>
      <c r="I738" s="9"/>
      <c r="J738" s="9"/>
      <c r="K738" s="9"/>
    </row>
    <row r="739" hidden="1">
      <c r="A739" s="3" t="s">
        <v>2924</v>
      </c>
      <c r="B739" s="2" t="s">
        <v>2925</v>
      </c>
      <c r="C739" s="3" t="s">
        <v>2926</v>
      </c>
      <c r="D739" s="2">
        <v>1.4289939284789187E-4</v>
      </c>
      <c r="E739" s="8" t="s">
        <v>2927</v>
      </c>
      <c r="F739" s="9" t="s">
        <v>15</v>
      </c>
      <c r="G739" s="9" t="s">
        <v>16</v>
      </c>
      <c r="H739" s="9" t="s">
        <v>16</v>
      </c>
      <c r="I739" s="9"/>
      <c r="J739" s="9"/>
      <c r="K739" s="9"/>
    </row>
    <row r="740" hidden="1">
      <c r="A740" s="3" t="s">
        <v>2928</v>
      </c>
      <c r="B740" s="2" t="s">
        <v>2929</v>
      </c>
      <c r="C740" s="3" t="s">
        <v>2930</v>
      </c>
      <c r="D740" s="2">
        <v>1.4289939284789187E-4</v>
      </c>
      <c r="E740" s="8" t="s">
        <v>2931</v>
      </c>
      <c r="F740" s="9" t="s">
        <v>15</v>
      </c>
      <c r="G740" s="9" t="s">
        <v>16</v>
      </c>
      <c r="H740" s="9" t="s">
        <v>16</v>
      </c>
      <c r="I740" s="9"/>
      <c r="J740" s="9"/>
      <c r="K740" s="9"/>
    </row>
    <row r="741" hidden="1">
      <c r="A741" s="3" t="s">
        <v>2932</v>
      </c>
      <c r="B741" s="2" t="s">
        <v>2933</v>
      </c>
      <c r="C741" s="3" t="s">
        <v>2934</v>
      </c>
      <c r="D741" s="2">
        <v>1.4289939284789187E-4</v>
      </c>
      <c r="E741" s="8" t="s">
        <v>2935</v>
      </c>
      <c r="F741" s="9" t="s">
        <v>15</v>
      </c>
      <c r="G741" s="9" t="s">
        <v>16</v>
      </c>
      <c r="H741" s="9" t="s">
        <v>16</v>
      </c>
      <c r="I741" s="9"/>
      <c r="J741" s="9"/>
      <c r="K741" s="9"/>
    </row>
    <row r="742" hidden="1">
      <c r="A742" s="3" t="s">
        <v>2936</v>
      </c>
      <c r="B742" s="2" t="s">
        <v>2937</v>
      </c>
      <c r="C742" s="3" t="s">
        <v>2938</v>
      </c>
      <c r="D742" s="2">
        <v>1.4289939284789187E-4</v>
      </c>
      <c r="E742" s="8" t="s">
        <v>2939</v>
      </c>
      <c r="F742" s="9" t="s">
        <v>15</v>
      </c>
      <c r="G742" s="9" t="s">
        <v>16</v>
      </c>
      <c r="H742" s="9" t="s">
        <v>16</v>
      </c>
      <c r="I742" s="9"/>
      <c r="J742" s="9"/>
      <c r="K742" s="9"/>
    </row>
    <row r="743" hidden="1">
      <c r="A743" s="3" t="s">
        <v>2940</v>
      </c>
      <c r="B743" s="2" t="s">
        <v>2941</v>
      </c>
      <c r="C743" s="3" t="s">
        <v>2942</v>
      </c>
      <c r="D743" s="2">
        <v>1.4289939284789187E-4</v>
      </c>
      <c r="E743" s="8" t="s">
        <v>2943</v>
      </c>
      <c r="F743" s="9" t="s">
        <v>15</v>
      </c>
      <c r="G743" s="9" t="s">
        <v>16</v>
      </c>
      <c r="H743" s="9" t="s">
        <v>16</v>
      </c>
      <c r="I743" s="9"/>
      <c r="J743" s="9"/>
      <c r="K743" s="9"/>
    </row>
    <row r="744" hidden="1">
      <c r="A744" s="3" t="s">
        <v>2944</v>
      </c>
      <c r="B744" s="2" t="s">
        <v>2945</v>
      </c>
      <c r="C744" s="3" t="s">
        <v>2946</v>
      </c>
      <c r="D744" s="2">
        <v>1.4289939284789187E-4</v>
      </c>
      <c r="E744" s="8" t="s">
        <v>2947</v>
      </c>
      <c r="F744" s="9" t="s">
        <v>15</v>
      </c>
      <c r="G744" s="9" t="s">
        <v>16</v>
      </c>
      <c r="H744" s="9" t="s">
        <v>16</v>
      </c>
      <c r="I744" s="9"/>
      <c r="J744" s="9"/>
      <c r="K744" s="9"/>
    </row>
    <row r="745" hidden="1">
      <c r="A745" s="3" t="s">
        <v>2948</v>
      </c>
      <c r="B745" s="2" t="s">
        <v>2949</v>
      </c>
      <c r="C745" s="3" t="s">
        <v>2950</v>
      </c>
      <c r="D745" s="2">
        <v>1.4289939284789187E-4</v>
      </c>
      <c r="E745" s="8" t="s">
        <v>2951</v>
      </c>
      <c r="F745" s="9" t="s">
        <v>15</v>
      </c>
      <c r="G745" s="9" t="s">
        <v>16</v>
      </c>
      <c r="H745" s="9" t="s">
        <v>16</v>
      </c>
      <c r="I745" s="9"/>
      <c r="J745" s="9"/>
      <c r="K745" s="9"/>
    </row>
    <row r="746" hidden="1">
      <c r="A746" s="3" t="s">
        <v>2952</v>
      </c>
      <c r="B746" s="2" t="s">
        <v>2953</v>
      </c>
      <c r="C746" s="3" t="s">
        <v>2954</v>
      </c>
      <c r="D746" s="2">
        <v>1.4289939284789187E-4</v>
      </c>
      <c r="E746" s="8" t="s">
        <v>2955</v>
      </c>
      <c r="F746" s="9" t="s">
        <v>15</v>
      </c>
      <c r="G746" s="9" t="s">
        <v>16</v>
      </c>
      <c r="H746" s="9" t="s">
        <v>16</v>
      </c>
      <c r="I746" s="9"/>
      <c r="J746" s="9"/>
      <c r="K746" s="9"/>
    </row>
    <row r="747" hidden="1">
      <c r="A747" s="3" t="s">
        <v>2956</v>
      </c>
      <c r="B747" s="2" t="s">
        <v>2957</v>
      </c>
      <c r="C747" s="3" t="s">
        <v>2958</v>
      </c>
      <c r="D747" s="2">
        <v>1.4289939284789187E-4</v>
      </c>
      <c r="E747" s="8" t="s">
        <v>2959</v>
      </c>
      <c r="F747" s="9" t="s">
        <v>15</v>
      </c>
      <c r="G747" s="9" t="s">
        <v>16</v>
      </c>
      <c r="H747" s="9" t="s">
        <v>16</v>
      </c>
      <c r="I747" s="9"/>
      <c r="J747" s="9"/>
      <c r="K747" s="9"/>
    </row>
    <row r="748" hidden="1">
      <c r="A748" s="3" t="s">
        <v>2960</v>
      </c>
      <c r="B748" s="2" t="s">
        <v>2961</v>
      </c>
      <c r="C748" s="3" t="s">
        <v>2962</v>
      </c>
      <c r="D748" s="2">
        <v>1.4289939284789187E-4</v>
      </c>
      <c r="E748" s="8" t="s">
        <v>2963</v>
      </c>
      <c r="F748" s="9" t="s">
        <v>15</v>
      </c>
      <c r="G748" s="9" t="s">
        <v>16</v>
      </c>
      <c r="H748" s="9" t="s">
        <v>16</v>
      </c>
      <c r="I748" s="9"/>
      <c r="J748" s="9"/>
      <c r="K748" s="9"/>
    </row>
    <row r="749" hidden="1">
      <c r="A749" s="3" t="s">
        <v>2964</v>
      </c>
      <c r="B749" s="2" t="s">
        <v>2965</v>
      </c>
      <c r="C749" s="3" t="s">
        <v>2966</v>
      </c>
      <c r="D749" s="2">
        <v>1.4289939284789187E-4</v>
      </c>
      <c r="E749" s="8" t="s">
        <v>2967</v>
      </c>
      <c r="F749" s="9" t="s">
        <v>15</v>
      </c>
      <c r="G749" s="9" t="s">
        <v>16</v>
      </c>
      <c r="H749" s="9" t="s">
        <v>16</v>
      </c>
      <c r="I749" s="9"/>
      <c r="J749" s="9"/>
      <c r="K749" s="9"/>
    </row>
    <row r="750" hidden="1">
      <c r="A750" s="3" t="s">
        <v>2968</v>
      </c>
      <c r="B750" s="2" t="s">
        <v>2969</v>
      </c>
      <c r="C750" s="3" t="s">
        <v>2970</v>
      </c>
      <c r="D750" s="2">
        <v>1.4289939284789187E-4</v>
      </c>
      <c r="E750" s="8" t="s">
        <v>2971</v>
      </c>
      <c r="F750" s="9" t="s">
        <v>15</v>
      </c>
      <c r="G750" s="9" t="s">
        <v>16</v>
      </c>
      <c r="H750" s="9" t="s">
        <v>16</v>
      </c>
      <c r="I750" s="9"/>
      <c r="J750" s="9"/>
      <c r="K750" s="9"/>
    </row>
    <row r="751" hidden="1">
      <c r="A751" s="3" t="s">
        <v>2972</v>
      </c>
      <c r="B751" s="2" t="s">
        <v>2973</v>
      </c>
      <c r="C751" s="3" t="s">
        <v>2974</v>
      </c>
      <c r="D751" s="2">
        <v>1.4289939284789187E-4</v>
      </c>
      <c r="E751" s="8" t="s">
        <v>2975</v>
      </c>
      <c r="F751" s="9" t="s">
        <v>15</v>
      </c>
      <c r="G751" s="9" t="s">
        <v>16</v>
      </c>
      <c r="H751" s="9" t="s">
        <v>16</v>
      </c>
      <c r="I751" s="9"/>
      <c r="J751" s="9"/>
      <c r="K751" s="9"/>
    </row>
    <row r="752" hidden="1">
      <c r="A752" s="3" t="s">
        <v>2976</v>
      </c>
      <c r="B752" s="2" t="s">
        <v>2977</v>
      </c>
      <c r="C752" s="3" t="s">
        <v>2978</v>
      </c>
      <c r="D752" s="2">
        <v>1.4289939284789187E-4</v>
      </c>
      <c r="E752" s="8" t="s">
        <v>2979</v>
      </c>
      <c r="F752" s="9" t="s">
        <v>15</v>
      </c>
      <c r="G752" s="9" t="s">
        <v>16</v>
      </c>
      <c r="H752" s="9" t="s">
        <v>16</v>
      </c>
      <c r="I752" s="9"/>
      <c r="J752" s="9"/>
      <c r="K752" s="9"/>
    </row>
    <row r="753" hidden="1">
      <c r="A753" s="3" t="s">
        <v>2980</v>
      </c>
      <c r="B753" s="2" t="s">
        <v>2981</v>
      </c>
      <c r="C753" s="3" t="s">
        <v>2982</v>
      </c>
      <c r="D753" s="2">
        <v>1.4289939284789187E-4</v>
      </c>
      <c r="E753" s="8" t="s">
        <v>2983</v>
      </c>
      <c r="F753" s="9" t="s">
        <v>15</v>
      </c>
      <c r="G753" s="9" t="s">
        <v>16</v>
      </c>
      <c r="H753" s="9" t="s">
        <v>16</v>
      </c>
      <c r="I753" s="9"/>
      <c r="J753" s="9"/>
      <c r="K753" s="9"/>
    </row>
    <row r="754" hidden="1">
      <c r="A754" s="3" t="s">
        <v>2984</v>
      </c>
      <c r="B754" s="2" t="s">
        <v>2985</v>
      </c>
      <c r="C754" s="3" t="s">
        <v>2986</v>
      </c>
      <c r="D754" s="2">
        <v>1.4289939284789187E-4</v>
      </c>
      <c r="E754" s="8" t="s">
        <v>2987</v>
      </c>
      <c r="F754" s="9" t="s">
        <v>15</v>
      </c>
      <c r="G754" s="9" t="s">
        <v>16</v>
      </c>
      <c r="H754" s="9" t="s">
        <v>16</v>
      </c>
      <c r="I754" s="9"/>
      <c r="J754" s="9"/>
      <c r="K754" s="9"/>
    </row>
    <row r="755" hidden="1">
      <c r="A755" s="3" t="s">
        <v>2988</v>
      </c>
      <c r="B755" s="2" t="s">
        <v>2989</v>
      </c>
      <c r="C755" s="3" t="s">
        <v>2990</v>
      </c>
      <c r="D755" s="2">
        <v>1.4289939284789187E-4</v>
      </c>
      <c r="E755" s="8" t="s">
        <v>2991</v>
      </c>
      <c r="F755" s="9" t="s">
        <v>15</v>
      </c>
      <c r="G755" s="9" t="s">
        <v>16</v>
      </c>
      <c r="H755" s="9" t="s">
        <v>16</v>
      </c>
      <c r="I755" s="9"/>
      <c r="J755" s="9"/>
      <c r="K755" s="9"/>
    </row>
    <row r="756" hidden="1">
      <c r="A756" s="3" t="s">
        <v>2992</v>
      </c>
      <c r="B756" s="2" t="s">
        <v>2993</v>
      </c>
      <c r="C756" s="3" t="s">
        <v>2994</v>
      </c>
      <c r="D756" s="2">
        <v>1.4289939284789187E-4</v>
      </c>
      <c r="E756" s="8" t="s">
        <v>2995</v>
      </c>
      <c r="F756" s="9" t="s">
        <v>15</v>
      </c>
      <c r="G756" s="9" t="s">
        <v>16</v>
      </c>
      <c r="H756" s="9" t="s">
        <v>16</v>
      </c>
      <c r="I756" s="9"/>
      <c r="J756" s="9"/>
      <c r="K756" s="9"/>
    </row>
    <row r="757" hidden="1">
      <c r="A757" s="3" t="s">
        <v>2996</v>
      </c>
      <c r="B757" s="2" t="s">
        <v>2997</v>
      </c>
      <c r="C757" s="3"/>
      <c r="D757" s="2">
        <v>1.4289939284789187E-4</v>
      </c>
      <c r="E757" s="8" t="s">
        <v>2998</v>
      </c>
      <c r="F757" s="9" t="s">
        <v>15</v>
      </c>
      <c r="G757" s="9" t="s">
        <v>16</v>
      </c>
      <c r="H757" s="9" t="s">
        <v>16</v>
      </c>
      <c r="I757" s="9"/>
      <c r="J757" s="9"/>
      <c r="K757" s="9"/>
    </row>
    <row r="758" hidden="1">
      <c r="A758" s="3" t="s">
        <v>2999</v>
      </c>
      <c r="B758" s="2" t="s">
        <v>3000</v>
      </c>
      <c r="C758" s="3" t="s">
        <v>3001</v>
      </c>
      <c r="D758" s="2">
        <v>1.4289939284789187E-4</v>
      </c>
      <c r="E758" s="8" t="s">
        <v>3002</v>
      </c>
      <c r="F758" s="9" t="s">
        <v>15</v>
      </c>
      <c r="G758" s="9" t="s">
        <v>16</v>
      </c>
      <c r="H758" s="9" t="s">
        <v>16</v>
      </c>
      <c r="I758" s="9"/>
      <c r="J758" s="9"/>
      <c r="K758" s="9"/>
    </row>
    <row r="759" hidden="1">
      <c r="A759" s="3" t="s">
        <v>3003</v>
      </c>
      <c r="B759" s="2" t="s">
        <v>3004</v>
      </c>
      <c r="C759" s="3" t="s">
        <v>3005</v>
      </c>
      <c r="D759" s="2">
        <v>1.4289939284789187E-4</v>
      </c>
      <c r="E759" s="8" t="s">
        <v>3006</v>
      </c>
      <c r="F759" s="9" t="s">
        <v>15</v>
      </c>
      <c r="G759" s="9" t="s">
        <v>16</v>
      </c>
      <c r="H759" s="9" t="s">
        <v>16</v>
      </c>
      <c r="I759" s="9"/>
      <c r="J759" s="9"/>
      <c r="K759" s="9"/>
    </row>
    <row r="760" hidden="1">
      <c r="A760" s="3" t="s">
        <v>3007</v>
      </c>
      <c r="B760" s="2" t="s">
        <v>3007</v>
      </c>
      <c r="C760" s="3" t="s">
        <v>3008</v>
      </c>
      <c r="D760" s="2">
        <v>1.4289939284789187E-4</v>
      </c>
      <c r="E760" s="8" t="s">
        <v>3009</v>
      </c>
      <c r="F760" s="9" t="s">
        <v>15</v>
      </c>
      <c r="G760" s="9" t="s">
        <v>16</v>
      </c>
      <c r="H760" s="9" t="s">
        <v>16</v>
      </c>
      <c r="I760" s="9"/>
      <c r="J760" s="9"/>
      <c r="K760" s="9"/>
    </row>
    <row r="761" hidden="1">
      <c r="A761" s="3" t="s">
        <v>3010</v>
      </c>
      <c r="B761" s="2" t="s">
        <v>3011</v>
      </c>
      <c r="C761" s="3" t="s">
        <v>3012</v>
      </c>
      <c r="D761" s="2">
        <v>1.4289939284789187E-4</v>
      </c>
      <c r="E761" s="8" t="s">
        <v>3013</v>
      </c>
      <c r="F761" s="9" t="s">
        <v>15</v>
      </c>
      <c r="G761" s="9" t="s">
        <v>16</v>
      </c>
      <c r="H761" s="9" t="s">
        <v>16</v>
      </c>
      <c r="I761" s="9"/>
      <c r="J761" s="9"/>
      <c r="K761" s="9"/>
    </row>
    <row r="762" hidden="1">
      <c r="A762" s="3" t="s">
        <v>3014</v>
      </c>
      <c r="B762" s="2" t="s">
        <v>3015</v>
      </c>
      <c r="C762" s="3" t="s">
        <v>3016</v>
      </c>
      <c r="D762" s="2">
        <v>1.4289939284789187E-4</v>
      </c>
      <c r="E762" s="8" t="s">
        <v>3017</v>
      </c>
      <c r="F762" s="9" t="s">
        <v>15</v>
      </c>
      <c r="G762" s="9" t="s">
        <v>16</v>
      </c>
      <c r="H762" s="9" t="s">
        <v>16</v>
      </c>
      <c r="I762" s="9"/>
      <c r="J762" s="9"/>
      <c r="K762" s="9"/>
    </row>
    <row r="763" hidden="1">
      <c r="A763" s="3" t="s">
        <v>3018</v>
      </c>
      <c r="B763" s="2" t="s">
        <v>3019</v>
      </c>
      <c r="C763" s="3" t="s">
        <v>3020</v>
      </c>
      <c r="D763" s="2">
        <v>1.4289939284789187E-4</v>
      </c>
      <c r="E763" s="8" t="s">
        <v>3021</v>
      </c>
      <c r="F763" s="9" t="s">
        <v>15</v>
      </c>
      <c r="G763" s="9" t="s">
        <v>16</v>
      </c>
      <c r="H763" s="9" t="s">
        <v>16</v>
      </c>
      <c r="I763" s="9"/>
      <c r="J763" s="9"/>
      <c r="K763" s="9"/>
    </row>
    <row r="764" hidden="1">
      <c r="A764" s="3" t="s">
        <v>3022</v>
      </c>
      <c r="B764" s="2" t="s">
        <v>3023</v>
      </c>
      <c r="C764" s="3" t="s">
        <v>3024</v>
      </c>
      <c r="D764" s="2">
        <v>1.4289939284789187E-4</v>
      </c>
      <c r="E764" s="8" t="s">
        <v>3025</v>
      </c>
      <c r="F764" s="9" t="s">
        <v>15</v>
      </c>
      <c r="G764" s="9" t="s">
        <v>16</v>
      </c>
      <c r="H764" s="9" t="s">
        <v>16</v>
      </c>
      <c r="I764" s="9"/>
      <c r="J764" s="9"/>
      <c r="K764" s="9"/>
    </row>
    <row r="765" hidden="1">
      <c r="A765" s="3" t="s">
        <v>3026</v>
      </c>
      <c r="B765" s="2" t="s">
        <v>3027</v>
      </c>
      <c r="C765" s="3" t="s">
        <v>3028</v>
      </c>
      <c r="D765" s="2">
        <v>1.4168170378603013E-4</v>
      </c>
      <c r="E765" s="8" t="s">
        <v>3029</v>
      </c>
      <c r="F765" s="9" t="s">
        <v>15</v>
      </c>
      <c r="G765" s="9" t="s">
        <v>16</v>
      </c>
      <c r="H765" s="9" t="s">
        <v>16</v>
      </c>
      <c r="I765" s="9"/>
      <c r="J765" s="9"/>
      <c r="K765" s="9"/>
    </row>
    <row r="766" hidden="1">
      <c r="A766" s="3" t="s">
        <v>3030</v>
      </c>
      <c r="B766" s="2" t="s">
        <v>3031</v>
      </c>
      <c r="C766" s="3" t="s">
        <v>3032</v>
      </c>
      <c r="D766" s="2">
        <v>1.4135894282986232E-4</v>
      </c>
      <c r="E766" s="8" t="s">
        <v>3033</v>
      </c>
      <c r="F766" s="9" t="s">
        <v>15</v>
      </c>
      <c r="G766" s="9" t="s">
        <v>16</v>
      </c>
      <c r="H766" s="9" t="s">
        <v>16</v>
      </c>
      <c r="I766" s="9"/>
      <c r="J766" s="9"/>
      <c r="K766" s="9"/>
    </row>
    <row r="767" hidden="1">
      <c r="A767" s="3" t="s">
        <v>3034</v>
      </c>
      <c r="B767" s="2" t="s">
        <v>3035</v>
      </c>
      <c r="C767" s="3" t="s">
        <v>3036</v>
      </c>
      <c r="D767" s="2">
        <v>1.3992596606892717E-4</v>
      </c>
      <c r="E767" s="8" t="s">
        <v>3037</v>
      </c>
      <c r="F767" s="9" t="s">
        <v>15</v>
      </c>
      <c r="G767" s="9" t="s">
        <v>16</v>
      </c>
      <c r="H767" s="9" t="s">
        <v>16</v>
      </c>
      <c r="I767" s="9"/>
      <c r="J767" s="9"/>
      <c r="K767" s="9"/>
    </row>
    <row r="768" hidden="1">
      <c r="A768" s="3" t="s">
        <v>3038</v>
      </c>
      <c r="B768" s="2" t="s">
        <v>3039</v>
      </c>
      <c r="C768" s="3" t="s">
        <v>3040</v>
      </c>
      <c r="D768" s="2">
        <v>1.3992596606892717E-4</v>
      </c>
      <c r="E768" s="8" t="s">
        <v>3041</v>
      </c>
      <c r="F768" s="9" t="s">
        <v>15</v>
      </c>
      <c r="G768" s="9" t="s">
        <v>16</v>
      </c>
      <c r="H768" s="9" t="s">
        <v>16</v>
      </c>
      <c r="I768" s="9"/>
      <c r="J768" s="9"/>
      <c r="K768" s="9"/>
    </row>
    <row r="769" hidden="1">
      <c r="A769" s="3" t="s">
        <v>3042</v>
      </c>
      <c r="B769" s="2" t="s">
        <v>3043</v>
      </c>
      <c r="C769" s="3" t="s">
        <v>3044</v>
      </c>
      <c r="D769" s="2">
        <v>1.3992596606892717E-4</v>
      </c>
      <c r="E769" s="8" t="s">
        <v>3045</v>
      </c>
      <c r="F769" s="9" t="s">
        <v>15</v>
      </c>
      <c r="G769" s="9" t="s">
        <v>16</v>
      </c>
      <c r="H769" s="9" t="s">
        <v>16</v>
      </c>
      <c r="I769" s="9"/>
      <c r="J769" s="9"/>
      <c r="K769" s="9"/>
    </row>
    <row r="770" hidden="1">
      <c r="A770" s="3" t="s">
        <v>3046</v>
      </c>
      <c r="B770" s="2" t="s">
        <v>3047</v>
      </c>
      <c r="C770" s="3" t="s">
        <v>3048</v>
      </c>
      <c r="D770" s="2">
        <v>1.3992596606892717E-4</v>
      </c>
      <c r="E770" s="8" t="s">
        <v>3049</v>
      </c>
      <c r="F770" s="9" t="s">
        <v>15</v>
      </c>
      <c r="G770" s="9" t="s">
        <v>16</v>
      </c>
      <c r="H770" s="9" t="s">
        <v>16</v>
      </c>
      <c r="I770" s="9"/>
      <c r="J770" s="9"/>
      <c r="K770" s="9"/>
    </row>
    <row r="771" hidden="1">
      <c r="A771" s="3" t="s">
        <v>3050</v>
      </c>
      <c r="B771" s="2" t="s">
        <v>3051</v>
      </c>
      <c r="C771" s="3" t="s">
        <v>3052</v>
      </c>
      <c r="D771" s="2">
        <v>1.3992596606892717E-4</v>
      </c>
      <c r="E771" s="8" t="s">
        <v>3053</v>
      </c>
      <c r="F771" s="9" t="s">
        <v>15</v>
      </c>
      <c r="G771" s="9" t="s">
        <v>16</v>
      </c>
      <c r="H771" s="9" t="s">
        <v>16</v>
      </c>
      <c r="I771" s="9"/>
      <c r="J771" s="9"/>
      <c r="K771" s="9"/>
    </row>
    <row r="772" hidden="1">
      <c r="A772" s="3" t="s">
        <v>3054</v>
      </c>
      <c r="B772" s="2" t="s">
        <v>3055</v>
      </c>
      <c r="C772" s="3" t="s">
        <v>3056</v>
      </c>
      <c r="D772" s="2">
        <v>1.3992596606892717E-4</v>
      </c>
      <c r="E772" s="8" t="s">
        <v>3057</v>
      </c>
      <c r="F772" s="9" t="s">
        <v>15</v>
      </c>
      <c r="G772" s="9" t="s">
        <v>16</v>
      </c>
      <c r="H772" s="9" t="s">
        <v>16</v>
      </c>
      <c r="I772" s="9"/>
      <c r="J772" s="9"/>
      <c r="K772" s="9"/>
    </row>
    <row r="773" hidden="1">
      <c r="A773" s="3" t="s">
        <v>3058</v>
      </c>
      <c r="B773" s="2" t="s">
        <v>3059</v>
      </c>
      <c r="C773" s="3" t="s">
        <v>3060</v>
      </c>
      <c r="D773" s="2">
        <v>1.3992596606892717E-4</v>
      </c>
      <c r="E773" s="8" t="s">
        <v>3061</v>
      </c>
      <c r="F773" s="9" t="s">
        <v>15</v>
      </c>
      <c r="G773" s="9" t="s">
        <v>16</v>
      </c>
      <c r="H773" s="9" t="s">
        <v>16</v>
      </c>
      <c r="I773" s="9"/>
      <c r="J773" s="9"/>
      <c r="K773" s="9"/>
    </row>
    <row r="774" hidden="1">
      <c r="A774" s="3" t="s">
        <v>3062</v>
      </c>
      <c r="B774" s="2" t="s">
        <v>3063</v>
      </c>
      <c r="C774" s="3" t="s">
        <v>3064</v>
      </c>
      <c r="D774" s="2">
        <v>1.3992596606892717E-4</v>
      </c>
      <c r="E774" s="8" t="s">
        <v>3065</v>
      </c>
      <c r="F774" s="9" t="s">
        <v>15</v>
      </c>
      <c r="G774" s="9" t="s">
        <v>16</v>
      </c>
      <c r="H774" s="9" t="s">
        <v>16</v>
      </c>
      <c r="I774" s="9"/>
      <c r="J774" s="9"/>
      <c r="K774" s="9"/>
    </row>
    <row r="775" hidden="1">
      <c r="A775" s="3" t="s">
        <v>3066</v>
      </c>
      <c r="B775" s="2" t="s">
        <v>3067</v>
      </c>
      <c r="C775" s="3" t="s">
        <v>3068</v>
      </c>
      <c r="D775" s="2">
        <v>1.3940384659422543E-4</v>
      </c>
      <c r="E775" s="8" t="s">
        <v>3069</v>
      </c>
      <c r="F775" s="9" t="s">
        <v>15</v>
      </c>
      <c r="G775" s="9" t="s">
        <v>16</v>
      </c>
      <c r="H775" s="9" t="s">
        <v>16</v>
      </c>
      <c r="I775" s="9"/>
      <c r="J775" s="9"/>
      <c r="K775" s="9"/>
    </row>
    <row r="776" hidden="1">
      <c r="A776" s="3" t="s">
        <v>3070</v>
      </c>
      <c r="B776" s="2" t="s">
        <v>3071</v>
      </c>
      <c r="C776" s="3" t="s">
        <v>3072</v>
      </c>
      <c r="D776" s="2">
        <v>1.3757200320224677E-4</v>
      </c>
      <c r="E776" s="8" t="s">
        <v>3073</v>
      </c>
      <c r="F776" s="9" t="s">
        <v>16</v>
      </c>
      <c r="G776" s="9" t="s">
        <v>16</v>
      </c>
      <c r="H776" s="9" t="s">
        <v>16</v>
      </c>
      <c r="I776" s="9"/>
      <c r="J776" s="9" t="s">
        <v>16</v>
      </c>
      <c r="K776" s="9" t="s">
        <v>15</v>
      </c>
    </row>
    <row r="777" hidden="1">
      <c r="A777" s="3" t="s">
        <v>3074</v>
      </c>
      <c r="B777" s="2" t="s">
        <v>3075</v>
      </c>
      <c r="C777" s="3"/>
      <c r="D777" s="2">
        <v>1.357962066536984E-4</v>
      </c>
      <c r="E777" s="8" t="s">
        <v>3076</v>
      </c>
      <c r="F777" s="9" t="s">
        <v>15</v>
      </c>
      <c r="G777" s="9" t="s">
        <v>16</v>
      </c>
      <c r="H777" s="9" t="s">
        <v>16</v>
      </c>
      <c r="I777" s="9"/>
      <c r="J777" s="9"/>
      <c r="K777" s="9"/>
    </row>
    <row r="778" hidden="1">
      <c r="A778" s="3" t="s">
        <v>3077</v>
      </c>
      <c r="B778" s="2" t="s">
        <v>3078</v>
      </c>
      <c r="C778" s="3" t="s">
        <v>3079</v>
      </c>
      <c r="D778" s="2">
        <v>1.357962066536984E-4</v>
      </c>
      <c r="E778" s="8" t="s">
        <v>3080</v>
      </c>
      <c r="F778" s="9" t="s">
        <v>15</v>
      </c>
      <c r="G778" s="9" t="s">
        <v>16</v>
      </c>
      <c r="H778" s="9" t="s">
        <v>16</v>
      </c>
      <c r="I778" s="9"/>
      <c r="J778" s="9"/>
      <c r="K778" s="9"/>
    </row>
    <row r="779">
      <c r="A779" s="3" t="s">
        <v>3081</v>
      </c>
      <c r="B779" s="2" t="s">
        <v>3082</v>
      </c>
      <c r="C779" s="3" t="s">
        <v>3083</v>
      </c>
      <c r="D779" s="2">
        <v>1.3508588803427904E-4</v>
      </c>
      <c r="E779" s="8" t="s">
        <v>3084</v>
      </c>
      <c r="F779" s="9" t="s">
        <v>16</v>
      </c>
      <c r="G779" s="9" t="s">
        <v>16</v>
      </c>
      <c r="H779" s="9" t="s">
        <v>16</v>
      </c>
      <c r="I779" s="9" t="s">
        <v>16</v>
      </c>
      <c r="J779" s="9" t="s">
        <v>16</v>
      </c>
      <c r="K779" s="9" t="s">
        <v>16</v>
      </c>
    </row>
    <row r="780" hidden="1">
      <c r="A780" s="3" t="s">
        <v>3085</v>
      </c>
      <c r="B780" s="2" t="s">
        <v>3086</v>
      </c>
      <c r="C780" s="3" t="s">
        <v>3087</v>
      </c>
      <c r="D780" s="2">
        <v>1.322446135566017E-4</v>
      </c>
      <c r="E780" s="8" t="s">
        <v>3088</v>
      </c>
      <c r="F780" s="9" t="s">
        <v>16</v>
      </c>
      <c r="G780" s="9" t="s">
        <v>16</v>
      </c>
      <c r="H780" s="9" t="s">
        <v>16</v>
      </c>
      <c r="I780" s="9"/>
      <c r="J780" s="9" t="s">
        <v>16</v>
      </c>
      <c r="K780" s="9" t="s">
        <v>15</v>
      </c>
    </row>
    <row r="781" hidden="1">
      <c r="A781" s="3" t="s">
        <v>3089</v>
      </c>
      <c r="B781" s="2" t="s">
        <v>3090</v>
      </c>
      <c r="C781" s="3" t="s">
        <v>3091</v>
      </c>
      <c r="D781" s="2">
        <v>1.3181842238495006E-4</v>
      </c>
      <c r="E781" s="8" t="s">
        <v>3092</v>
      </c>
      <c r="F781" s="9" t="s">
        <v>15</v>
      </c>
      <c r="G781" s="9" t="s">
        <v>16</v>
      </c>
      <c r="H781" s="9" t="s">
        <v>16</v>
      </c>
      <c r="I781" s="9"/>
      <c r="J781" s="9"/>
      <c r="K781" s="9"/>
    </row>
    <row r="782" hidden="1">
      <c r="A782" s="3" t="s">
        <v>3093</v>
      </c>
      <c r="B782" s="2" t="s">
        <v>3094</v>
      </c>
      <c r="C782" s="3" t="s">
        <v>3095</v>
      </c>
      <c r="D782" s="2">
        <v>1.3181842238495006E-4</v>
      </c>
      <c r="E782" s="8" t="s">
        <v>3096</v>
      </c>
      <c r="F782" s="9" t="s">
        <v>15</v>
      </c>
      <c r="G782" s="9" t="s">
        <v>16</v>
      </c>
      <c r="H782" s="9" t="s">
        <v>16</v>
      </c>
      <c r="I782" s="9"/>
      <c r="J782" s="9"/>
      <c r="K782" s="9"/>
    </row>
    <row r="783" hidden="1">
      <c r="A783" s="3" t="s">
        <v>3097</v>
      </c>
      <c r="B783" s="2" t="s">
        <v>3098</v>
      </c>
      <c r="C783" s="3" t="s">
        <v>3099</v>
      </c>
      <c r="D783" s="2">
        <v>1.3181842238495006E-4</v>
      </c>
      <c r="E783" s="8" t="s">
        <v>3100</v>
      </c>
      <c r="F783" s="9" t="s">
        <v>15</v>
      </c>
      <c r="G783" s="9" t="s">
        <v>16</v>
      </c>
      <c r="H783" s="9" t="s">
        <v>16</v>
      </c>
      <c r="I783" s="9"/>
      <c r="J783" s="9"/>
      <c r="K783" s="9"/>
    </row>
    <row r="784" hidden="1">
      <c r="A784" s="3" t="s">
        <v>3101</v>
      </c>
      <c r="B784" s="2" t="s">
        <v>3102</v>
      </c>
      <c r="C784" s="3" t="s">
        <v>3103</v>
      </c>
      <c r="D784" s="2">
        <v>1.2950481316741279E-4</v>
      </c>
      <c r="E784" s="8" t="s">
        <v>3104</v>
      </c>
      <c r="F784" s="9" t="s">
        <v>15</v>
      </c>
      <c r="G784" s="9" t="s">
        <v>16</v>
      </c>
      <c r="H784" s="9" t="s">
        <v>16</v>
      </c>
      <c r="I784" s="9"/>
      <c r="J784" s="9"/>
      <c r="K784" s="9"/>
    </row>
    <row r="785" hidden="1">
      <c r="A785" s="3" t="s">
        <v>3105</v>
      </c>
      <c r="B785" s="2" t="s">
        <v>3106</v>
      </c>
      <c r="C785" s="3" t="s">
        <v>3107</v>
      </c>
      <c r="D785" s="2">
        <v>1.2869302045950495E-4</v>
      </c>
      <c r="E785" s="8" t="s">
        <v>3108</v>
      </c>
      <c r="F785" s="9" t="s">
        <v>15</v>
      </c>
      <c r="G785" s="9" t="s">
        <v>16</v>
      </c>
      <c r="H785" s="9" t="s">
        <v>16</v>
      </c>
      <c r="I785" s="9"/>
      <c r="J785" s="9"/>
      <c r="K785" s="9"/>
    </row>
    <row r="786" hidden="1">
      <c r="A786" s="3" t="s">
        <v>3109</v>
      </c>
      <c r="B786" s="2" t="s">
        <v>3110</v>
      </c>
      <c r="C786" s="3" t="s">
        <v>3111</v>
      </c>
      <c r="D786" s="2">
        <v>1.2869302045950495E-4</v>
      </c>
      <c r="E786" s="8" t="s">
        <v>3112</v>
      </c>
      <c r="F786" s="9" t="s">
        <v>15</v>
      </c>
      <c r="G786" s="9" t="s">
        <v>16</v>
      </c>
      <c r="H786" s="9" t="s">
        <v>16</v>
      </c>
      <c r="I786" s="9"/>
      <c r="J786" s="9"/>
      <c r="K786" s="9"/>
    </row>
    <row r="787" hidden="1">
      <c r="A787" s="3" t="s">
        <v>3113</v>
      </c>
      <c r="B787" s="2" t="s">
        <v>3114</v>
      </c>
      <c r="C787" s="3" t="s">
        <v>3115</v>
      </c>
      <c r="D787" s="2">
        <v>1.2869302045950495E-4</v>
      </c>
      <c r="E787" s="8" t="s">
        <v>3116</v>
      </c>
      <c r="F787" s="9" t="s">
        <v>15</v>
      </c>
      <c r="G787" s="9" t="s">
        <v>16</v>
      </c>
      <c r="H787" s="9" t="s">
        <v>16</v>
      </c>
      <c r="I787" s="9"/>
      <c r="J787" s="9"/>
      <c r="K787" s="9"/>
    </row>
    <row r="788" hidden="1">
      <c r="A788" s="3" t="s">
        <v>3117</v>
      </c>
      <c r="B788" s="2" t="s">
        <v>3118</v>
      </c>
      <c r="C788" s="3"/>
      <c r="D788" s="2">
        <v>1.2869302045950495E-4</v>
      </c>
      <c r="E788" s="8" t="s">
        <v>3119</v>
      </c>
      <c r="F788" s="9" t="s">
        <v>15</v>
      </c>
      <c r="G788" s="9" t="s">
        <v>16</v>
      </c>
      <c r="H788" s="9" t="s">
        <v>16</v>
      </c>
      <c r="I788" s="9"/>
      <c r="J788" s="9"/>
      <c r="K788" s="9"/>
    </row>
    <row r="789" hidden="1">
      <c r="A789" s="3" t="s">
        <v>3120</v>
      </c>
      <c r="B789" s="2" t="s">
        <v>3121</v>
      </c>
      <c r="C789" s="3" t="s">
        <v>3122</v>
      </c>
      <c r="D789" s="2">
        <v>1.2869302045950495E-4</v>
      </c>
      <c r="E789" s="8" t="s">
        <v>3123</v>
      </c>
      <c r="F789" s="9" t="s">
        <v>15</v>
      </c>
      <c r="G789" s="9" t="s">
        <v>16</v>
      </c>
      <c r="H789" s="9" t="s">
        <v>16</v>
      </c>
      <c r="I789" s="9"/>
      <c r="J789" s="9"/>
      <c r="K789" s="9"/>
    </row>
    <row r="790" hidden="1">
      <c r="A790" s="3" t="s">
        <v>3124</v>
      </c>
      <c r="B790" s="2" t="s">
        <v>3125</v>
      </c>
      <c r="C790" s="3" t="s">
        <v>3126</v>
      </c>
      <c r="D790" s="2">
        <v>1.2869302045950495E-4</v>
      </c>
      <c r="E790" s="8" t="s">
        <v>3127</v>
      </c>
      <c r="F790" s="9" t="s">
        <v>15</v>
      </c>
      <c r="G790" s="9" t="s">
        <v>16</v>
      </c>
      <c r="H790" s="9" t="s">
        <v>16</v>
      </c>
      <c r="I790" s="9"/>
      <c r="J790" s="9"/>
      <c r="K790" s="9"/>
    </row>
    <row r="791" hidden="1">
      <c r="A791" s="3" t="s">
        <v>3128</v>
      </c>
      <c r="B791" s="2" t="s">
        <v>3129</v>
      </c>
      <c r="C791" s="3" t="s">
        <v>3130</v>
      </c>
      <c r="D791" s="2">
        <v>1.2869302045950495E-4</v>
      </c>
      <c r="E791" s="8" t="s">
        <v>3131</v>
      </c>
      <c r="F791" s="9" t="s">
        <v>15</v>
      </c>
      <c r="G791" s="9" t="s">
        <v>16</v>
      </c>
      <c r="H791" s="9" t="s">
        <v>16</v>
      </c>
      <c r="I791" s="9"/>
      <c r="J791" s="9"/>
      <c r="K791" s="9"/>
    </row>
    <row r="792" hidden="1">
      <c r="A792" s="3" t="s">
        <v>3132</v>
      </c>
      <c r="B792" s="2" t="s">
        <v>3133</v>
      </c>
      <c r="C792" s="3" t="s">
        <v>3134</v>
      </c>
      <c r="D792" s="2">
        <v>1.2869302045950495E-4</v>
      </c>
      <c r="E792" s="8" t="s">
        <v>3135</v>
      </c>
      <c r="F792" s="9" t="s">
        <v>15</v>
      </c>
      <c r="G792" s="9" t="s">
        <v>16</v>
      </c>
      <c r="H792" s="9" t="s">
        <v>16</v>
      </c>
      <c r="I792" s="9"/>
      <c r="J792" s="9"/>
      <c r="K792" s="9"/>
    </row>
    <row r="793" hidden="1">
      <c r="A793" s="3" t="s">
        <v>3136</v>
      </c>
      <c r="B793" s="2" t="s">
        <v>3137</v>
      </c>
      <c r="C793" s="3" t="s">
        <v>3138</v>
      </c>
      <c r="D793" s="2">
        <v>1.2869302045950495E-4</v>
      </c>
      <c r="E793" s="8" t="s">
        <v>3139</v>
      </c>
      <c r="F793" s="9" t="s">
        <v>15</v>
      </c>
      <c r="G793" s="9" t="s">
        <v>16</v>
      </c>
      <c r="H793" s="9" t="s">
        <v>16</v>
      </c>
      <c r="I793" s="9"/>
      <c r="J793" s="9"/>
      <c r="K793" s="9"/>
    </row>
    <row r="794" hidden="1">
      <c r="A794" s="3" t="s">
        <v>3140</v>
      </c>
      <c r="B794" s="2" t="s">
        <v>3141</v>
      </c>
      <c r="C794" s="3" t="s">
        <v>3142</v>
      </c>
      <c r="D794" s="2">
        <v>1.2869302045950495E-4</v>
      </c>
      <c r="E794" s="8" t="s">
        <v>3143</v>
      </c>
      <c r="F794" s="9" t="s">
        <v>15</v>
      </c>
      <c r="G794" s="9" t="s">
        <v>16</v>
      </c>
      <c r="H794" s="9" t="s">
        <v>16</v>
      </c>
      <c r="I794" s="9"/>
      <c r="J794" s="9"/>
      <c r="K794" s="9"/>
    </row>
    <row r="795" hidden="1">
      <c r="A795" s="3" t="s">
        <v>3144</v>
      </c>
      <c r="B795" s="2" t="s">
        <v>3145</v>
      </c>
      <c r="C795" s="3" t="s">
        <v>3146</v>
      </c>
      <c r="D795" s="2">
        <v>1.2869302045950495E-4</v>
      </c>
      <c r="E795" s="8" t="s">
        <v>3147</v>
      </c>
      <c r="F795" s="9" t="s">
        <v>15</v>
      </c>
      <c r="G795" s="9" t="s">
        <v>16</v>
      </c>
      <c r="H795" s="9" t="s">
        <v>16</v>
      </c>
      <c r="I795" s="9"/>
      <c r="J795" s="9"/>
      <c r="K795" s="9"/>
    </row>
    <row r="796" hidden="1">
      <c r="A796" s="3" t="s">
        <v>3148</v>
      </c>
      <c r="B796" s="2" t="s">
        <v>3149</v>
      </c>
      <c r="C796" s="3" t="s">
        <v>3150</v>
      </c>
      <c r="D796" s="2">
        <v>1.2869302045950495E-4</v>
      </c>
      <c r="E796" s="8" t="s">
        <v>3151</v>
      </c>
      <c r="F796" s="9" t="s">
        <v>15</v>
      </c>
      <c r="G796" s="9" t="s">
        <v>16</v>
      </c>
      <c r="H796" s="9" t="s">
        <v>16</v>
      </c>
      <c r="I796" s="9"/>
      <c r="J796" s="9"/>
      <c r="K796" s="9"/>
    </row>
    <row r="797" hidden="1">
      <c r="A797" s="3" t="s">
        <v>3152</v>
      </c>
      <c r="B797" s="2" t="s">
        <v>3153</v>
      </c>
      <c r="C797" s="3" t="s">
        <v>3154</v>
      </c>
      <c r="D797" s="2">
        <v>1.2869302045950495E-4</v>
      </c>
      <c r="E797" s="8" t="s">
        <v>3155</v>
      </c>
      <c r="F797" s="9" t="s">
        <v>15</v>
      </c>
      <c r="G797" s="9" t="s">
        <v>16</v>
      </c>
      <c r="H797" s="9" t="s">
        <v>16</v>
      </c>
      <c r="I797" s="9"/>
      <c r="J797" s="9"/>
      <c r="K797" s="9"/>
    </row>
    <row r="798" hidden="1">
      <c r="A798" s="3" t="s">
        <v>3156</v>
      </c>
      <c r="B798" s="2" t="s">
        <v>3157</v>
      </c>
      <c r="C798" s="3" t="s">
        <v>3158</v>
      </c>
      <c r="D798" s="2">
        <v>1.2869302045950495E-4</v>
      </c>
      <c r="E798" s="8" t="s">
        <v>3159</v>
      </c>
      <c r="F798" s="9" t="s">
        <v>15</v>
      </c>
      <c r="G798" s="9" t="s">
        <v>16</v>
      </c>
      <c r="H798" s="9" t="s">
        <v>16</v>
      </c>
      <c r="I798" s="9"/>
      <c r="J798" s="9"/>
      <c r="K798" s="9"/>
    </row>
    <row r="799" hidden="1">
      <c r="A799" s="3" t="s">
        <v>3160</v>
      </c>
      <c r="B799" s="2" t="s">
        <v>3161</v>
      </c>
      <c r="C799" s="3" t="s">
        <v>3162</v>
      </c>
      <c r="D799" s="2">
        <v>1.2869302045950495E-4</v>
      </c>
      <c r="E799" s="8" t="s">
        <v>3163</v>
      </c>
      <c r="F799" s="9" t="s">
        <v>15</v>
      </c>
      <c r="G799" s="9" t="s">
        <v>16</v>
      </c>
      <c r="H799" s="9" t="s">
        <v>16</v>
      </c>
      <c r="I799" s="9"/>
      <c r="J799" s="9"/>
      <c r="K799" s="9"/>
    </row>
    <row r="800" hidden="1">
      <c r="A800" s="3" t="s">
        <v>3164</v>
      </c>
      <c r="B800" s="2" t="s">
        <v>3165</v>
      </c>
      <c r="C800" s="3" t="s">
        <v>3166</v>
      </c>
      <c r="D800" s="2">
        <v>1.2869302045950495E-4</v>
      </c>
      <c r="E800" s="8" t="s">
        <v>3167</v>
      </c>
      <c r="F800" s="9" t="s">
        <v>15</v>
      </c>
      <c r="G800" s="9" t="s">
        <v>16</v>
      </c>
      <c r="H800" s="9" t="s">
        <v>16</v>
      </c>
      <c r="I800" s="9"/>
      <c r="J800" s="9"/>
      <c r="K800" s="9"/>
    </row>
    <row r="801" hidden="1">
      <c r="A801" s="3" t="s">
        <v>3168</v>
      </c>
      <c r="B801" s="2" t="s">
        <v>3169</v>
      </c>
      <c r="C801" s="3" t="s">
        <v>3170</v>
      </c>
      <c r="D801" s="2">
        <v>1.2869302045950495E-4</v>
      </c>
      <c r="E801" s="8" t="s">
        <v>3171</v>
      </c>
      <c r="F801" s="9" t="s">
        <v>15</v>
      </c>
      <c r="G801" s="9" t="s">
        <v>16</v>
      </c>
      <c r="H801" s="9" t="s">
        <v>16</v>
      </c>
      <c r="I801" s="9"/>
      <c r="J801" s="9"/>
      <c r="K801" s="9"/>
    </row>
    <row r="802" hidden="1">
      <c r="A802" s="3" t="s">
        <v>3172</v>
      </c>
      <c r="B802" s="2" t="s">
        <v>3173</v>
      </c>
      <c r="C802" s="3" t="s">
        <v>3174</v>
      </c>
      <c r="D802" s="2">
        <v>1.2869302045950495E-4</v>
      </c>
      <c r="E802" s="8" t="s">
        <v>3175</v>
      </c>
      <c r="F802" s="9" t="s">
        <v>15</v>
      </c>
      <c r="G802" s="9" t="s">
        <v>16</v>
      </c>
      <c r="H802" s="9" t="s">
        <v>16</v>
      </c>
      <c r="I802" s="9"/>
      <c r="J802" s="9"/>
      <c r="K802" s="9"/>
    </row>
    <row r="803" hidden="1">
      <c r="A803" s="3" t="s">
        <v>3176</v>
      </c>
      <c r="B803" s="2" t="s">
        <v>3177</v>
      </c>
      <c r="C803" s="3" t="s">
        <v>3178</v>
      </c>
      <c r="D803" s="2">
        <v>1.2869302045950495E-4</v>
      </c>
      <c r="E803" s="8" t="s">
        <v>3179</v>
      </c>
      <c r="F803" s="9" t="s">
        <v>15</v>
      </c>
      <c r="G803" s="9" t="s">
        <v>16</v>
      </c>
      <c r="H803" s="9" t="s">
        <v>16</v>
      </c>
      <c r="I803" s="9"/>
      <c r="J803" s="9"/>
      <c r="K803" s="9"/>
    </row>
    <row r="804" hidden="1">
      <c r="A804" s="3" t="s">
        <v>3180</v>
      </c>
      <c r="B804" s="2" t="s">
        <v>3181</v>
      </c>
      <c r="C804" s="3" t="s">
        <v>3182</v>
      </c>
      <c r="D804" s="2">
        <v>1.2869302045950495E-4</v>
      </c>
      <c r="E804" s="8" t="s">
        <v>3183</v>
      </c>
      <c r="F804" s="9" t="s">
        <v>15</v>
      </c>
      <c r="G804" s="9" t="s">
        <v>16</v>
      </c>
      <c r="H804" s="9" t="s">
        <v>16</v>
      </c>
      <c r="I804" s="9"/>
      <c r="J804" s="9"/>
      <c r="K804" s="9"/>
    </row>
    <row r="805" hidden="1">
      <c r="A805" s="3" t="s">
        <v>3184</v>
      </c>
      <c r="B805" s="2" t="s">
        <v>3185</v>
      </c>
      <c r="C805" s="3" t="s">
        <v>3186</v>
      </c>
      <c r="D805" s="2">
        <v>1.2869302045950495E-4</v>
      </c>
      <c r="E805" s="8" t="s">
        <v>3187</v>
      </c>
      <c r="F805" s="9" t="s">
        <v>15</v>
      </c>
      <c r="G805" s="9" t="s">
        <v>16</v>
      </c>
      <c r="H805" s="9" t="s">
        <v>16</v>
      </c>
      <c r="I805" s="9"/>
      <c r="J805" s="9"/>
      <c r="K805" s="9"/>
    </row>
    <row r="806" hidden="1">
      <c r="A806" s="3" t="s">
        <v>3188</v>
      </c>
      <c r="B806" s="2" t="s">
        <v>3189</v>
      </c>
      <c r="C806" s="3" t="s">
        <v>3190</v>
      </c>
      <c r="D806" s="2">
        <v>1.2869302045950495E-4</v>
      </c>
      <c r="E806" s="8" t="s">
        <v>3191</v>
      </c>
      <c r="F806" s="9" t="s">
        <v>15</v>
      </c>
      <c r="G806" s="9" t="s">
        <v>16</v>
      </c>
      <c r="H806" s="9" t="s">
        <v>16</v>
      </c>
      <c r="I806" s="9"/>
      <c r="J806" s="9"/>
      <c r="K806" s="9"/>
    </row>
    <row r="807" hidden="1">
      <c r="A807" s="3" t="s">
        <v>3192</v>
      </c>
      <c r="B807" s="2" t="s">
        <v>3193</v>
      </c>
      <c r="C807" s="3"/>
      <c r="D807" s="2">
        <v>1.2869302045950495E-4</v>
      </c>
      <c r="E807" s="8" t="s">
        <v>3194</v>
      </c>
      <c r="F807" s="9" t="s">
        <v>15</v>
      </c>
      <c r="G807" s="9" t="s">
        <v>16</v>
      </c>
      <c r="H807" s="9" t="s">
        <v>16</v>
      </c>
      <c r="I807" s="9"/>
      <c r="J807" s="9"/>
      <c r="K807" s="9"/>
    </row>
    <row r="808" hidden="1">
      <c r="A808" s="3" t="s">
        <v>3195</v>
      </c>
      <c r="B808" s="2" t="s">
        <v>3196</v>
      </c>
      <c r="C808" s="3" t="s">
        <v>3197</v>
      </c>
      <c r="D808" s="2">
        <v>1.2869302045950495E-4</v>
      </c>
      <c r="E808" s="8" t="s">
        <v>3198</v>
      </c>
      <c r="F808" s="9" t="s">
        <v>15</v>
      </c>
      <c r="G808" s="9" t="s">
        <v>16</v>
      </c>
      <c r="H808" s="9" t="s">
        <v>16</v>
      </c>
      <c r="I808" s="9"/>
      <c r="J808" s="9"/>
      <c r="K808" s="9"/>
    </row>
    <row r="809" hidden="1">
      <c r="A809" s="3" t="s">
        <v>3199</v>
      </c>
      <c r="B809" s="2" t="s">
        <v>3200</v>
      </c>
      <c r="C809" s="3" t="s">
        <v>3201</v>
      </c>
      <c r="D809" s="2">
        <v>1.2869302045950495E-4</v>
      </c>
      <c r="E809" s="8" t="s">
        <v>3202</v>
      </c>
      <c r="F809" s="9" t="s">
        <v>15</v>
      </c>
      <c r="G809" s="9" t="s">
        <v>16</v>
      </c>
      <c r="H809" s="9" t="s">
        <v>16</v>
      </c>
      <c r="I809" s="9"/>
      <c r="J809" s="9"/>
      <c r="K809" s="9"/>
    </row>
    <row r="810" hidden="1">
      <c r="A810" s="3" t="s">
        <v>3203</v>
      </c>
      <c r="B810" s="2" t="s">
        <v>3204</v>
      </c>
      <c r="C810" s="3"/>
      <c r="D810" s="2">
        <v>1.2869302045950495E-4</v>
      </c>
      <c r="E810" s="8" t="s">
        <v>3205</v>
      </c>
      <c r="F810" s="9" t="s">
        <v>15</v>
      </c>
      <c r="G810" s="9" t="s">
        <v>16</v>
      </c>
      <c r="H810" s="9" t="s">
        <v>16</v>
      </c>
      <c r="I810" s="9"/>
      <c r="J810" s="9"/>
      <c r="K810" s="9"/>
    </row>
    <row r="811" hidden="1">
      <c r="A811" s="3" t="s">
        <v>3206</v>
      </c>
      <c r="B811" s="2" t="s">
        <v>3207</v>
      </c>
      <c r="C811" s="3" t="s">
        <v>3208</v>
      </c>
      <c r="D811" s="2">
        <v>1.2869302045950495E-4</v>
      </c>
      <c r="E811" s="8" t="s">
        <v>3209</v>
      </c>
      <c r="F811" s="9" t="s">
        <v>15</v>
      </c>
      <c r="G811" s="9" t="s">
        <v>16</v>
      </c>
      <c r="H811" s="9" t="s">
        <v>16</v>
      </c>
      <c r="I811" s="9"/>
      <c r="J811" s="9"/>
      <c r="K811" s="9"/>
    </row>
    <row r="812" hidden="1">
      <c r="A812" s="3" t="s">
        <v>3210</v>
      </c>
      <c r="B812" s="2" t="s">
        <v>3211</v>
      </c>
      <c r="C812" s="3" t="s">
        <v>3212</v>
      </c>
      <c r="D812" s="2">
        <v>1.2869302045950495E-4</v>
      </c>
      <c r="E812" s="8" t="s">
        <v>3213</v>
      </c>
      <c r="F812" s="9" t="s">
        <v>15</v>
      </c>
      <c r="G812" s="9" t="s">
        <v>16</v>
      </c>
      <c r="H812" s="9" t="s">
        <v>16</v>
      </c>
      <c r="I812" s="9"/>
      <c r="J812" s="9"/>
      <c r="K812" s="9"/>
    </row>
    <row r="813" hidden="1">
      <c r="A813" s="3" t="s">
        <v>3214</v>
      </c>
      <c r="B813" s="2" t="s">
        <v>3215</v>
      </c>
      <c r="C813" s="3" t="s">
        <v>3216</v>
      </c>
      <c r="D813" s="2">
        <v>1.2869302045950495E-4</v>
      </c>
      <c r="E813" s="8" t="s">
        <v>3217</v>
      </c>
      <c r="F813" s="9" t="s">
        <v>15</v>
      </c>
      <c r="G813" s="9" t="s">
        <v>16</v>
      </c>
      <c r="H813" s="9" t="s">
        <v>16</v>
      </c>
      <c r="I813" s="9"/>
      <c r="J813" s="9"/>
      <c r="K813" s="9"/>
    </row>
    <row r="814" hidden="1">
      <c r="A814" s="3" t="s">
        <v>3218</v>
      </c>
      <c r="B814" s="2" t="s">
        <v>3219</v>
      </c>
      <c r="C814" s="3" t="s">
        <v>3220</v>
      </c>
      <c r="D814" s="2">
        <v>1.2869302045950495E-4</v>
      </c>
      <c r="E814" s="8" t="s">
        <v>3221</v>
      </c>
      <c r="F814" s="9" t="s">
        <v>15</v>
      </c>
      <c r="G814" s="9" t="s">
        <v>16</v>
      </c>
      <c r="H814" s="9" t="s">
        <v>16</v>
      </c>
      <c r="I814" s="9"/>
      <c r="J814" s="9"/>
      <c r="K814" s="9"/>
    </row>
    <row r="815" hidden="1">
      <c r="A815" s="3" t="s">
        <v>3222</v>
      </c>
      <c r="B815" s="2" t="s">
        <v>3223</v>
      </c>
      <c r="C815" s="3"/>
      <c r="D815" s="2">
        <v>1.2869302045950495E-4</v>
      </c>
      <c r="E815" s="8" t="s">
        <v>3224</v>
      </c>
      <c r="F815" s="9" t="s">
        <v>15</v>
      </c>
      <c r="G815" s="9" t="s">
        <v>16</v>
      </c>
      <c r="H815" s="9" t="s">
        <v>16</v>
      </c>
      <c r="I815" s="9"/>
      <c r="J815" s="9"/>
      <c r="K815" s="9"/>
    </row>
    <row r="816" hidden="1">
      <c r="A816" s="3" t="s">
        <v>3225</v>
      </c>
      <c r="B816" s="2" t="s">
        <v>3226</v>
      </c>
      <c r="C816" s="3" t="s">
        <v>3227</v>
      </c>
      <c r="D816" s="2">
        <v>1.2869302045950495E-4</v>
      </c>
      <c r="E816" s="8" t="s">
        <v>3228</v>
      </c>
      <c r="F816" s="9" t="s">
        <v>15</v>
      </c>
      <c r="G816" s="9" t="s">
        <v>16</v>
      </c>
      <c r="H816" s="9" t="s">
        <v>16</v>
      </c>
      <c r="I816" s="9"/>
      <c r="J816" s="9"/>
      <c r="K816" s="9"/>
    </row>
    <row r="817" hidden="1">
      <c r="A817" s="3" t="s">
        <v>3229</v>
      </c>
      <c r="B817" s="2" t="s">
        <v>3230</v>
      </c>
      <c r="C817" s="3" t="s">
        <v>3231</v>
      </c>
      <c r="D817" s="2">
        <v>1.2869302045950495E-4</v>
      </c>
      <c r="E817" s="8" t="s">
        <v>3232</v>
      </c>
      <c r="F817" s="9" t="s">
        <v>15</v>
      </c>
      <c r="G817" s="9" t="s">
        <v>16</v>
      </c>
      <c r="H817" s="9" t="s">
        <v>16</v>
      </c>
      <c r="I817" s="9"/>
      <c r="J817" s="9"/>
      <c r="K817" s="9"/>
    </row>
    <row r="818" hidden="1">
      <c r="A818" s="3" t="s">
        <v>3233</v>
      </c>
      <c r="B818" s="2" t="s">
        <v>3234</v>
      </c>
      <c r="C818" s="3" t="s">
        <v>3235</v>
      </c>
      <c r="D818" s="2">
        <v>1.2869302045950495E-4</v>
      </c>
      <c r="E818" s="8" t="s">
        <v>3236</v>
      </c>
      <c r="F818" s="9" t="s">
        <v>15</v>
      </c>
      <c r="G818" s="9" t="s">
        <v>16</v>
      </c>
      <c r="H818" s="9" t="s">
        <v>16</v>
      </c>
      <c r="I818" s="9"/>
      <c r="J818" s="9"/>
      <c r="K818" s="9"/>
    </row>
    <row r="819" hidden="1">
      <c r="A819" s="3" t="s">
        <v>3237</v>
      </c>
      <c r="B819" s="2" t="s">
        <v>3238</v>
      </c>
      <c r="C819" s="3" t="s">
        <v>3239</v>
      </c>
      <c r="D819" s="2">
        <v>1.2869302045950495E-4</v>
      </c>
      <c r="E819" s="8" t="s">
        <v>3240</v>
      </c>
      <c r="F819" s="9" t="s">
        <v>15</v>
      </c>
      <c r="G819" s="9" t="s">
        <v>16</v>
      </c>
      <c r="H819" s="9" t="s">
        <v>16</v>
      </c>
      <c r="I819" s="9"/>
      <c r="J819" s="9"/>
      <c r="K819" s="9"/>
    </row>
    <row r="820" hidden="1">
      <c r="A820" s="3" t="s">
        <v>3241</v>
      </c>
      <c r="B820" s="2" t="s">
        <v>3242</v>
      </c>
      <c r="C820" s="3" t="s">
        <v>3243</v>
      </c>
      <c r="D820" s="2">
        <v>1.2869302045950495E-4</v>
      </c>
      <c r="E820" s="8" t="s">
        <v>3244</v>
      </c>
      <c r="F820" s="9" t="s">
        <v>15</v>
      </c>
      <c r="G820" s="9" t="s">
        <v>16</v>
      </c>
      <c r="H820" s="9" t="s">
        <v>16</v>
      </c>
      <c r="I820" s="9"/>
      <c r="J820" s="9"/>
      <c r="K820" s="9"/>
    </row>
    <row r="821" hidden="1">
      <c r="A821" s="3" t="s">
        <v>3245</v>
      </c>
      <c r="B821" s="2" t="s">
        <v>3246</v>
      </c>
      <c r="C821" s="3" t="s">
        <v>3247</v>
      </c>
      <c r="D821" s="2">
        <v>1.2869302045950495E-4</v>
      </c>
      <c r="E821" s="8" t="s">
        <v>3248</v>
      </c>
      <c r="F821" s="9" t="s">
        <v>15</v>
      </c>
      <c r="G821" s="9" t="s">
        <v>16</v>
      </c>
      <c r="H821" s="9" t="s">
        <v>16</v>
      </c>
      <c r="I821" s="9"/>
      <c r="J821" s="9"/>
      <c r="K821" s="9"/>
    </row>
    <row r="822" hidden="1">
      <c r="A822" s="3" t="s">
        <v>3249</v>
      </c>
      <c r="B822" s="2" t="s">
        <v>3250</v>
      </c>
      <c r="C822" s="3" t="s">
        <v>3251</v>
      </c>
      <c r="D822" s="2">
        <v>1.2869302045950495E-4</v>
      </c>
      <c r="E822" s="8" t="s">
        <v>3252</v>
      </c>
      <c r="F822" s="9" t="s">
        <v>15</v>
      </c>
      <c r="G822" s="9" t="s">
        <v>16</v>
      </c>
      <c r="H822" s="9" t="s">
        <v>16</v>
      </c>
      <c r="I822" s="9"/>
      <c r="J822" s="9"/>
      <c r="K822" s="9"/>
    </row>
    <row r="823" hidden="1">
      <c r="A823" s="3" t="s">
        <v>3253</v>
      </c>
      <c r="B823" s="2" t="s">
        <v>3254</v>
      </c>
      <c r="C823" s="3"/>
      <c r="D823" s="2">
        <v>1.2869302045950495E-4</v>
      </c>
      <c r="E823" s="8" t="s">
        <v>3255</v>
      </c>
      <c r="F823" s="9" t="s">
        <v>15</v>
      </c>
      <c r="G823" s="9" t="s">
        <v>16</v>
      </c>
      <c r="H823" s="9" t="s">
        <v>16</v>
      </c>
      <c r="I823" s="9"/>
      <c r="J823" s="9"/>
      <c r="K823" s="9"/>
    </row>
    <row r="824" hidden="1">
      <c r="A824" s="3" t="s">
        <v>3256</v>
      </c>
      <c r="B824" s="2" t="s">
        <v>3257</v>
      </c>
      <c r="C824" s="3" t="s">
        <v>3258</v>
      </c>
      <c r="D824" s="2">
        <v>1.2869302045950495E-4</v>
      </c>
      <c r="E824" s="8" t="s">
        <v>3259</v>
      </c>
      <c r="F824" s="9" t="s">
        <v>15</v>
      </c>
      <c r="G824" s="9" t="s">
        <v>16</v>
      </c>
      <c r="H824" s="9" t="s">
        <v>16</v>
      </c>
      <c r="I824" s="9"/>
      <c r="J824" s="9"/>
      <c r="K824" s="9"/>
    </row>
    <row r="825" hidden="1">
      <c r="A825" s="3" t="s">
        <v>3260</v>
      </c>
      <c r="B825" s="2" t="s">
        <v>3261</v>
      </c>
      <c r="C825" s="3" t="s">
        <v>3262</v>
      </c>
      <c r="D825" s="2">
        <v>1.2869302045950495E-4</v>
      </c>
      <c r="E825" s="8" t="s">
        <v>3263</v>
      </c>
      <c r="F825" s="9" t="s">
        <v>15</v>
      </c>
      <c r="G825" s="9" t="s">
        <v>16</v>
      </c>
      <c r="H825" s="9" t="s">
        <v>16</v>
      </c>
      <c r="I825" s="9"/>
      <c r="J825" s="9"/>
      <c r="K825" s="9"/>
    </row>
    <row r="826" hidden="1">
      <c r="A826" s="3" t="s">
        <v>3264</v>
      </c>
      <c r="B826" s="2" t="s">
        <v>3265</v>
      </c>
      <c r="C826" s="3" t="s">
        <v>3266</v>
      </c>
      <c r="D826" s="2">
        <v>1.2869302045950495E-4</v>
      </c>
      <c r="E826" s="8" t="s">
        <v>3267</v>
      </c>
      <c r="F826" s="9" t="s">
        <v>15</v>
      </c>
      <c r="G826" s="9" t="s">
        <v>16</v>
      </c>
      <c r="H826" s="9" t="s">
        <v>16</v>
      </c>
      <c r="I826" s="9"/>
      <c r="J826" s="9"/>
      <c r="K826" s="9"/>
    </row>
    <row r="827" hidden="1">
      <c r="A827" s="3" t="s">
        <v>3268</v>
      </c>
      <c r="B827" s="2" t="s">
        <v>3269</v>
      </c>
      <c r="C827" s="3" t="s">
        <v>3270</v>
      </c>
      <c r="D827" s="2">
        <v>1.2869302045950495E-4</v>
      </c>
      <c r="E827" s="8" t="s">
        <v>3271</v>
      </c>
      <c r="F827" s="9" t="s">
        <v>15</v>
      </c>
      <c r="G827" s="9" t="s">
        <v>16</v>
      </c>
      <c r="H827" s="9" t="s">
        <v>16</v>
      </c>
      <c r="I827" s="9"/>
      <c r="J827" s="9"/>
      <c r="K827" s="9"/>
    </row>
    <row r="828" hidden="1">
      <c r="A828" s="3" t="s">
        <v>3272</v>
      </c>
      <c r="B828" s="2" t="s">
        <v>3273</v>
      </c>
      <c r="C828" s="3" t="s">
        <v>3274</v>
      </c>
      <c r="D828" s="2">
        <v>1.2869302045950495E-4</v>
      </c>
      <c r="E828" s="8" t="s">
        <v>3275</v>
      </c>
      <c r="F828" s="9" t="s">
        <v>15</v>
      </c>
      <c r="G828" s="9" t="s">
        <v>16</v>
      </c>
      <c r="H828" s="9" t="s">
        <v>16</v>
      </c>
      <c r="I828" s="9"/>
      <c r="J828" s="9"/>
      <c r="K828" s="9"/>
    </row>
    <row r="829" hidden="1">
      <c r="A829" s="3" t="s">
        <v>3276</v>
      </c>
      <c r="B829" s="2" t="s">
        <v>3277</v>
      </c>
      <c r="C829" s="3" t="s">
        <v>3278</v>
      </c>
      <c r="D829" s="2">
        <v>1.2869302045950495E-4</v>
      </c>
      <c r="E829" s="8" t="s">
        <v>3279</v>
      </c>
      <c r="F829" s="9" t="s">
        <v>15</v>
      </c>
      <c r="G829" s="9" t="s">
        <v>16</v>
      </c>
      <c r="H829" s="9" t="s">
        <v>16</v>
      </c>
      <c r="I829" s="9"/>
      <c r="J829" s="9"/>
      <c r="K829" s="9"/>
    </row>
    <row r="830" hidden="1">
      <c r="A830" s="3" t="s">
        <v>3280</v>
      </c>
      <c r="B830" s="2" t="s">
        <v>3281</v>
      </c>
      <c r="C830" s="3" t="s">
        <v>3282</v>
      </c>
      <c r="D830" s="2">
        <v>1.2869302045950495E-4</v>
      </c>
      <c r="E830" s="8" t="s">
        <v>3283</v>
      </c>
      <c r="F830" s="9" t="s">
        <v>15</v>
      </c>
      <c r="G830" s="9" t="s">
        <v>16</v>
      </c>
      <c r="H830" s="9" t="s">
        <v>16</v>
      </c>
      <c r="I830" s="9"/>
      <c r="J830" s="9"/>
      <c r="K830" s="9"/>
    </row>
    <row r="831" hidden="1">
      <c r="A831" s="3" t="s">
        <v>3284</v>
      </c>
      <c r="B831" s="2" t="s">
        <v>3285</v>
      </c>
      <c r="C831" s="3" t="s">
        <v>3286</v>
      </c>
      <c r="D831" s="2">
        <v>1.2869302045950495E-4</v>
      </c>
      <c r="E831" s="8" t="s">
        <v>3287</v>
      </c>
      <c r="F831" s="9" t="s">
        <v>15</v>
      </c>
      <c r="G831" s="9" t="s">
        <v>16</v>
      </c>
      <c r="H831" s="9" t="s">
        <v>16</v>
      </c>
      <c r="I831" s="9"/>
      <c r="J831" s="9"/>
      <c r="K831" s="9"/>
    </row>
    <row r="832" hidden="1">
      <c r="A832" s="3" t="s">
        <v>3288</v>
      </c>
      <c r="B832" s="2" t="s">
        <v>3289</v>
      </c>
      <c r="C832" s="3" t="s">
        <v>3290</v>
      </c>
      <c r="D832" s="2">
        <v>1.2869302045950495E-4</v>
      </c>
      <c r="E832" s="8" t="s">
        <v>3291</v>
      </c>
      <c r="F832" s="9" t="s">
        <v>15</v>
      </c>
      <c r="G832" s="9" t="s">
        <v>16</v>
      </c>
      <c r="H832" s="9" t="s">
        <v>16</v>
      </c>
      <c r="I832" s="9"/>
      <c r="J832" s="9"/>
      <c r="K832" s="9"/>
    </row>
    <row r="833" hidden="1">
      <c r="A833" s="3" t="s">
        <v>3292</v>
      </c>
      <c r="B833" s="2" t="s">
        <v>3293</v>
      </c>
      <c r="C833" s="3" t="s">
        <v>3294</v>
      </c>
      <c r="D833" s="2">
        <v>1.2869302045950495E-4</v>
      </c>
      <c r="E833" s="8" t="s">
        <v>3295</v>
      </c>
      <c r="F833" s="9" t="s">
        <v>15</v>
      </c>
      <c r="G833" s="9" t="s">
        <v>16</v>
      </c>
      <c r="H833" s="9" t="s">
        <v>16</v>
      </c>
      <c r="I833" s="9"/>
      <c r="J833" s="9"/>
      <c r="K833" s="9"/>
    </row>
    <row r="834" hidden="1">
      <c r="A834" s="3" t="s">
        <v>3296</v>
      </c>
      <c r="B834" s="2" t="s">
        <v>3297</v>
      </c>
      <c r="C834" s="3" t="s">
        <v>3298</v>
      </c>
      <c r="D834" s="2">
        <v>1.2869302045950495E-4</v>
      </c>
      <c r="E834" s="8" t="s">
        <v>3299</v>
      </c>
      <c r="F834" s="9" t="s">
        <v>15</v>
      </c>
      <c r="G834" s="9" t="s">
        <v>16</v>
      </c>
      <c r="H834" s="9" t="s">
        <v>16</v>
      </c>
      <c r="I834" s="9"/>
      <c r="J834" s="9"/>
      <c r="K834" s="9"/>
    </row>
    <row r="835" hidden="1">
      <c r="A835" s="3" t="s">
        <v>3300</v>
      </c>
      <c r="B835" s="2" t="s">
        <v>3301</v>
      </c>
      <c r="C835" s="3" t="s">
        <v>3302</v>
      </c>
      <c r="D835" s="2">
        <v>1.2869302045950495E-4</v>
      </c>
      <c r="E835" s="8" t="s">
        <v>3303</v>
      </c>
      <c r="F835" s="9" t="s">
        <v>15</v>
      </c>
      <c r="G835" s="9" t="s">
        <v>16</v>
      </c>
      <c r="H835" s="9" t="s">
        <v>16</v>
      </c>
      <c r="I835" s="9"/>
      <c r="J835" s="9"/>
      <c r="K835" s="9"/>
    </row>
    <row r="836" hidden="1">
      <c r="A836" s="3" t="s">
        <v>3304</v>
      </c>
      <c r="B836" s="2" t="s">
        <v>3305</v>
      </c>
      <c r="C836" s="3" t="s">
        <v>3306</v>
      </c>
      <c r="D836" s="2">
        <v>1.2869302045950495E-4</v>
      </c>
      <c r="E836" s="8" t="s">
        <v>3307</v>
      </c>
      <c r="F836" s="9" t="s">
        <v>15</v>
      </c>
      <c r="G836" s="9" t="s">
        <v>16</v>
      </c>
      <c r="H836" s="9" t="s">
        <v>16</v>
      </c>
      <c r="I836" s="9"/>
      <c r="J836" s="9"/>
      <c r="K836" s="9"/>
    </row>
    <row r="837" hidden="1">
      <c r="A837" s="3" t="s">
        <v>3308</v>
      </c>
      <c r="B837" s="2" t="s">
        <v>3309</v>
      </c>
      <c r="C837" s="3" t="s">
        <v>3310</v>
      </c>
      <c r="D837" s="2">
        <v>1.2869302045950495E-4</v>
      </c>
      <c r="E837" s="8" t="s">
        <v>3311</v>
      </c>
      <c r="F837" s="9" t="s">
        <v>15</v>
      </c>
      <c r="G837" s="9" t="s">
        <v>16</v>
      </c>
      <c r="H837" s="9" t="s">
        <v>16</v>
      </c>
      <c r="I837" s="9"/>
      <c r="J837" s="9"/>
      <c r="K837" s="9"/>
    </row>
    <row r="838" hidden="1">
      <c r="A838" s="3" t="s">
        <v>3312</v>
      </c>
      <c r="B838" s="2" t="s">
        <v>3313</v>
      </c>
      <c r="C838" s="3" t="s">
        <v>3314</v>
      </c>
      <c r="D838" s="2">
        <v>1.2869302045950495E-4</v>
      </c>
      <c r="E838" s="8" t="s">
        <v>3315</v>
      </c>
      <c r="F838" s="9" t="s">
        <v>15</v>
      </c>
      <c r="G838" s="9" t="s">
        <v>16</v>
      </c>
      <c r="H838" s="9" t="s">
        <v>16</v>
      </c>
      <c r="I838" s="9"/>
      <c r="J838" s="9"/>
      <c r="K838" s="9"/>
    </row>
    <row r="839" hidden="1">
      <c r="A839" s="3" t="s">
        <v>3316</v>
      </c>
      <c r="B839" s="2" t="s">
        <v>3317</v>
      </c>
      <c r="C839" s="3" t="s">
        <v>3318</v>
      </c>
      <c r="D839" s="2">
        <v>1.2869302045950495E-4</v>
      </c>
      <c r="E839" s="8" t="s">
        <v>3319</v>
      </c>
      <c r="F839" s="9" t="s">
        <v>15</v>
      </c>
      <c r="G839" s="9" t="s">
        <v>16</v>
      </c>
      <c r="H839" s="9" t="s">
        <v>16</v>
      </c>
      <c r="I839" s="9"/>
      <c r="J839" s="9"/>
      <c r="K839" s="9"/>
    </row>
    <row r="840" hidden="1">
      <c r="A840" s="3" t="s">
        <v>3320</v>
      </c>
      <c r="B840" s="2" t="s">
        <v>3321</v>
      </c>
      <c r="C840" s="3" t="s">
        <v>3322</v>
      </c>
      <c r="D840" s="2">
        <v>1.2869302045950495E-4</v>
      </c>
      <c r="E840" s="8" t="s">
        <v>3323</v>
      </c>
      <c r="F840" s="9" t="s">
        <v>15</v>
      </c>
      <c r="G840" s="9" t="s">
        <v>16</v>
      </c>
      <c r="H840" s="9" t="s">
        <v>16</v>
      </c>
      <c r="I840" s="9"/>
      <c r="J840" s="9"/>
      <c r="K840" s="9"/>
    </row>
    <row r="841" hidden="1">
      <c r="A841" s="3" t="s">
        <v>3324</v>
      </c>
      <c r="B841" s="2" t="s">
        <v>3325</v>
      </c>
      <c r="C841" s="3" t="s">
        <v>3326</v>
      </c>
      <c r="D841" s="2">
        <v>1.2869302045950495E-4</v>
      </c>
      <c r="E841" s="8" t="s">
        <v>3327</v>
      </c>
      <c r="F841" s="9" t="s">
        <v>15</v>
      </c>
      <c r="G841" s="9" t="s">
        <v>16</v>
      </c>
      <c r="H841" s="9" t="s">
        <v>16</v>
      </c>
      <c r="I841" s="9"/>
      <c r="J841" s="9"/>
      <c r="K841" s="9"/>
    </row>
    <row r="842" hidden="1">
      <c r="A842" s="3" t="s">
        <v>3328</v>
      </c>
      <c r="B842" s="2" t="s">
        <v>3329</v>
      </c>
      <c r="C842" s="3" t="s">
        <v>3330</v>
      </c>
      <c r="D842" s="2">
        <v>1.2869302045950495E-4</v>
      </c>
      <c r="E842" s="8" t="s">
        <v>3331</v>
      </c>
      <c r="F842" s="9" t="s">
        <v>15</v>
      </c>
      <c r="G842" s="9" t="s">
        <v>16</v>
      </c>
      <c r="H842" s="9" t="s">
        <v>16</v>
      </c>
      <c r="I842" s="9"/>
      <c r="J842" s="9"/>
      <c r="K842" s="9"/>
    </row>
    <row r="843" hidden="1">
      <c r="A843" s="3" t="s">
        <v>3332</v>
      </c>
      <c r="B843" s="2" t="s">
        <v>3333</v>
      </c>
      <c r="C843" s="3"/>
      <c r="D843" s="2">
        <v>1.2869302045950495E-4</v>
      </c>
      <c r="E843" s="8" t="s">
        <v>3334</v>
      </c>
      <c r="F843" s="9" t="s">
        <v>15</v>
      </c>
      <c r="G843" s="9" t="s">
        <v>16</v>
      </c>
      <c r="H843" s="9" t="s">
        <v>16</v>
      </c>
      <c r="I843" s="9"/>
      <c r="J843" s="9"/>
      <c r="K843" s="9"/>
    </row>
    <row r="844" hidden="1">
      <c r="A844" s="3" t="s">
        <v>3335</v>
      </c>
      <c r="B844" s="2" t="s">
        <v>3336</v>
      </c>
      <c r="C844" s="3" t="s">
        <v>3337</v>
      </c>
      <c r="D844" s="2">
        <v>1.2869302045950495E-4</v>
      </c>
      <c r="E844" s="8" t="s">
        <v>3338</v>
      </c>
      <c r="F844" s="9" t="s">
        <v>15</v>
      </c>
      <c r="G844" s="9" t="s">
        <v>16</v>
      </c>
      <c r="H844" s="9" t="s">
        <v>16</v>
      </c>
      <c r="I844" s="9"/>
      <c r="J844" s="9"/>
      <c r="K844" s="9"/>
    </row>
    <row r="845" hidden="1">
      <c r="A845" s="3" t="s">
        <v>3339</v>
      </c>
      <c r="B845" s="2" t="s">
        <v>3340</v>
      </c>
      <c r="C845" s="3" t="s">
        <v>3341</v>
      </c>
      <c r="D845" s="2">
        <v>1.2869302045950495E-4</v>
      </c>
      <c r="E845" s="8" t="s">
        <v>3342</v>
      </c>
      <c r="F845" s="9" t="s">
        <v>15</v>
      </c>
      <c r="G845" s="9" t="s">
        <v>16</v>
      </c>
      <c r="H845" s="9" t="s">
        <v>16</v>
      </c>
      <c r="I845" s="9"/>
      <c r="J845" s="9"/>
      <c r="K845" s="9"/>
    </row>
    <row r="846" hidden="1">
      <c r="A846" s="3" t="s">
        <v>3343</v>
      </c>
      <c r="B846" s="2" t="s">
        <v>3344</v>
      </c>
      <c r="C846" s="3" t="s">
        <v>3345</v>
      </c>
      <c r="D846" s="2">
        <v>1.273844769075269E-4</v>
      </c>
      <c r="E846" s="8" t="s">
        <v>3346</v>
      </c>
      <c r="F846" s="9" t="s">
        <v>15</v>
      </c>
      <c r="G846" s="9" t="s">
        <v>16</v>
      </c>
      <c r="H846" s="9" t="s">
        <v>16</v>
      </c>
      <c r="I846" s="9"/>
      <c r="J846" s="9"/>
      <c r="K846" s="9"/>
    </row>
    <row r="847" hidden="1">
      <c r="A847" s="3" t="s">
        <v>3347</v>
      </c>
      <c r="B847" s="2" t="s">
        <v>3348</v>
      </c>
      <c r="C847" s="3" t="s">
        <v>3349</v>
      </c>
      <c r="D847" s="2">
        <v>1.2734003261299193E-4</v>
      </c>
      <c r="E847" s="8" t="s">
        <v>3350</v>
      </c>
      <c r="F847" s="9" t="s">
        <v>15</v>
      </c>
      <c r="G847" s="9" t="s">
        <v>16</v>
      </c>
      <c r="H847" s="9" t="s">
        <v>16</v>
      </c>
      <c r="I847" s="9"/>
      <c r="J847" s="9"/>
      <c r="K847" s="9"/>
    </row>
    <row r="848" hidden="1">
      <c r="A848" s="3" t="s">
        <v>3351</v>
      </c>
      <c r="B848" s="2" t="s">
        <v>3352</v>
      </c>
      <c r="C848" s="3" t="s">
        <v>3353</v>
      </c>
      <c r="D848" s="2">
        <v>1.2734003261299193E-4</v>
      </c>
      <c r="E848" s="8" t="s">
        <v>3354</v>
      </c>
      <c r="F848" s="9" t="s">
        <v>15</v>
      </c>
      <c r="G848" s="9" t="s">
        <v>16</v>
      </c>
      <c r="H848" s="9" t="s">
        <v>16</v>
      </c>
      <c r="I848" s="9"/>
      <c r="J848" s="9"/>
      <c r="K848" s="9"/>
    </row>
    <row r="849" hidden="1">
      <c r="A849" s="3" t="s">
        <v>3355</v>
      </c>
      <c r="B849" s="2" t="s">
        <v>3356</v>
      </c>
      <c r="C849" s="3" t="s">
        <v>3357</v>
      </c>
      <c r="D849" s="2">
        <v>1.273400326129919E-4</v>
      </c>
      <c r="E849" s="8" t="s">
        <v>3358</v>
      </c>
      <c r="F849" s="9" t="s">
        <v>15</v>
      </c>
      <c r="G849" s="9" t="s">
        <v>16</v>
      </c>
      <c r="H849" s="9" t="s">
        <v>16</v>
      </c>
      <c r="I849" s="9"/>
      <c r="J849" s="9"/>
      <c r="K849" s="9"/>
    </row>
    <row r="850" hidden="1">
      <c r="A850" s="3" t="s">
        <v>3359</v>
      </c>
      <c r="B850" s="2" t="s">
        <v>3360</v>
      </c>
      <c r="C850" s="3" t="s">
        <v>3361</v>
      </c>
      <c r="D850" s="2">
        <v>1.273400326129919E-4</v>
      </c>
      <c r="E850" s="8" t="s">
        <v>3362</v>
      </c>
      <c r="F850" s="9" t="s">
        <v>15</v>
      </c>
      <c r="G850" s="9" t="s">
        <v>16</v>
      </c>
      <c r="H850" s="9" t="s">
        <v>16</v>
      </c>
      <c r="I850" s="9"/>
      <c r="J850" s="9"/>
      <c r="K850" s="9"/>
    </row>
    <row r="851" hidden="1">
      <c r="A851" s="3" t="s">
        <v>3363</v>
      </c>
      <c r="B851" s="2" t="s">
        <v>3364</v>
      </c>
      <c r="C851" s="3" t="s">
        <v>3365</v>
      </c>
      <c r="D851" s="2">
        <v>1.273400326129919E-4</v>
      </c>
      <c r="E851" s="8" t="s">
        <v>3366</v>
      </c>
      <c r="F851" s="9" t="s">
        <v>15</v>
      </c>
      <c r="G851" s="9" t="s">
        <v>16</v>
      </c>
      <c r="H851" s="9" t="s">
        <v>16</v>
      </c>
      <c r="I851" s="9"/>
      <c r="J851" s="9"/>
      <c r="K851" s="9"/>
    </row>
    <row r="852" hidden="1">
      <c r="A852" s="3" t="s">
        <v>3367</v>
      </c>
      <c r="B852" s="2" t="s">
        <v>3368</v>
      </c>
      <c r="C852" s="3" t="s">
        <v>3369</v>
      </c>
      <c r="D852" s="2">
        <v>1.273400326129919E-4</v>
      </c>
      <c r="E852" s="8" t="s">
        <v>3370</v>
      </c>
      <c r="F852" s="9" t="s">
        <v>15</v>
      </c>
      <c r="G852" s="9" t="s">
        <v>16</v>
      </c>
      <c r="H852" s="9" t="s">
        <v>16</v>
      </c>
      <c r="I852" s="9"/>
      <c r="J852" s="9"/>
      <c r="K852" s="9"/>
    </row>
    <row r="853" hidden="1">
      <c r="A853" s="3" t="s">
        <v>3371</v>
      </c>
      <c r="B853" s="2" t="s">
        <v>3372</v>
      </c>
      <c r="C853" s="3" t="s">
        <v>3373</v>
      </c>
      <c r="D853" s="2">
        <v>1.273400326129919E-4</v>
      </c>
      <c r="E853" s="8" t="s">
        <v>3374</v>
      </c>
      <c r="F853" s="9" t="s">
        <v>15</v>
      </c>
      <c r="G853" s="9" t="s">
        <v>16</v>
      </c>
      <c r="H853" s="9" t="s">
        <v>16</v>
      </c>
      <c r="I853" s="9"/>
      <c r="J853" s="9"/>
      <c r="K853" s="9"/>
    </row>
    <row r="854" hidden="1">
      <c r="A854" s="3" t="s">
        <v>3375</v>
      </c>
      <c r="B854" s="2" t="s">
        <v>3376</v>
      </c>
      <c r="C854" s="3" t="s">
        <v>3377</v>
      </c>
      <c r="D854" s="2">
        <v>1.273400326129919E-4</v>
      </c>
      <c r="E854" s="8" t="s">
        <v>3378</v>
      </c>
      <c r="F854" s="9" t="s">
        <v>15</v>
      </c>
      <c r="G854" s="9" t="s">
        <v>16</v>
      </c>
      <c r="H854" s="9" t="s">
        <v>16</v>
      </c>
      <c r="I854" s="9"/>
      <c r="J854" s="9"/>
      <c r="K854" s="9"/>
    </row>
    <row r="855" hidden="1">
      <c r="A855" s="3" t="s">
        <v>3379</v>
      </c>
      <c r="B855" s="2" t="s">
        <v>3380</v>
      </c>
      <c r="C855" s="3" t="s">
        <v>3381</v>
      </c>
      <c r="D855" s="2">
        <v>1.273400326129919E-4</v>
      </c>
      <c r="E855" s="8" t="s">
        <v>3382</v>
      </c>
      <c r="F855" s="9" t="s">
        <v>15</v>
      </c>
      <c r="G855" s="9" t="s">
        <v>16</v>
      </c>
      <c r="H855" s="9" t="s">
        <v>16</v>
      </c>
      <c r="I855" s="9"/>
      <c r="J855" s="9"/>
      <c r="K855" s="9"/>
    </row>
    <row r="856" hidden="1">
      <c r="A856" s="3" t="s">
        <v>3383</v>
      </c>
      <c r="B856" s="2" t="s">
        <v>3384</v>
      </c>
      <c r="C856" s="3" t="s">
        <v>3385</v>
      </c>
      <c r="D856" s="2">
        <v>1.273400326129919E-4</v>
      </c>
      <c r="E856" s="8" t="s">
        <v>3386</v>
      </c>
      <c r="F856" s="9" t="s">
        <v>15</v>
      </c>
      <c r="G856" s="9" t="s">
        <v>16</v>
      </c>
      <c r="H856" s="9" t="s">
        <v>16</v>
      </c>
      <c r="I856" s="9"/>
      <c r="J856" s="9"/>
      <c r="K856" s="9"/>
    </row>
    <row r="857" hidden="1">
      <c r="A857" s="3" t="s">
        <v>3387</v>
      </c>
      <c r="B857" s="2" t="s">
        <v>3388</v>
      </c>
      <c r="C857" s="3" t="s">
        <v>3389</v>
      </c>
      <c r="D857" s="2">
        <v>1.2734003261289249E-4</v>
      </c>
      <c r="E857" s="8" t="s">
        <v>3390</v>
      </c>
      <c r="F857" s="9" t="s">
        <v>15</v>
      </c>
      <c r="G857" s="9" t="s">
        <v>16</v>
      </c>
      <c r="H857" s="9" t="s">
        <v>16</v>
      </c>
      <c r="I857" s="9"/>
      <c r="J857" s="9"/>
      <c r="K857" s="9"/>
    </row>
    <row r="858">
      <c r="A858" s="3" t="s">
        <v>3391</v>
      </c>
      <c r="B858" s="2" t="s">
        <v>3392</v>
      </c>
      <c r="C858" s="3" t="s">
        <v>3393</v>
      </c>
      <c r="D858" s="2">
        <v>1.2656206460124692E-4</v>
      </c>
      <c r="E858" s="8" t="s">
        <v>3394</v>
      </c>
      <c r="F858" s="9" t="s">
        <v>16</v>
      </c>
      <c r="G858" s="9" t="s">
        <v>16</v>
      </c>
      <c r="H858" s="9" t="s">
        <v>16</v>
      </c>
      <c r="I858" s="9" t="s">
        <v>16</v>
      </c>
      <c r="J858" s="9" t="s">
        <v>16</v>
      </c>
      <c r="K858" s="9" t="s">
        <v>16</v>
      </c>
    </row>
    <row r="859" hidden="1">
      <c r="A859" s="3" t="s">
        <v>3395</v>
      </c>
      <c r="B859" s="2" t="s">
        <v>3396</v>
      </c>
      <c r="C859" s="3" t="s">
        <v>3397</v>
      </c>
      <c r="D859" s="2">
        <v>1.2491089663497183E-4</v>
      </c>
      <c r="E859" s="8" t="s">
        <v>3398</v>
      </c>
      <c r="F859" s="9" t="s">
        <v>15</v>
      </c>
      <c r="G859" s="9" t="s">
        <v>16</v>
      </c>
      <c r="H859" s="9" t="s">
        <v>16</v>
      </c>
      <c r="I859" s="9"/>
      <c r="J859" s="9"/>
      <c r="K859" s="9"/>
    </row>
    <row r="860" hidden="1">
      <c r="A860" s="3" t="s">
        <v>3399</v>
      </c>
      <c r="B860" s="2" t="s">
        <v>3400</v>
      </c>
      <c r="C860" s="3" t="s">
        <v>3401</v>
      </c>
      <c r="D860" s="2">
        <v>1.2491089663497183E-4</v>
      </c>
      <c r="E860" s="8" t="s">
        <v>3402</v>
      </c>
      <c r="F860" s="9" t="s">
        <v>15</v>
      </c>
      <c r="G860" s="9" t="s">
        <v>16</v>
      </c>
      <c r="H860" s="9" t="s">
        <v>16</v>
      </c>
      <c r="I860" s="9"/>
      <c r="J860" s="9"/>
      <c r="K860" s="9"/>
    </row>
    <row r="861" hidden="1">
      <c r="A861" s="3" t="s">
        <v>3403</v>
      </c>
      <c r="B861" s="2" t="s">
        <v>3404</v>
      </c>
      <c r="C861" s="3" t="s">
        <v>3405</v>
      </c>
      <c r="D861" s="2">
        <v>1.2491089663497183E-4</v>
      </c>
      <c r="E861" s="8" t="s">
        <v>3406</v>
      </c>
      <c r="F861" s="9" t="s">
        <v>15</v>
      </c>
      <c r="G861" s="9" t="s">
        <v>16</v>
      </c>
      <c r="H861" s="9" t="s">
        <v>16</v>
      </c>
      <c r="I861" s="9"/>
      <c r="J861" s="9"/>
      <c r="K861" s="9"/>
    </row>
    <row r="862" hidden="1">
      <c r="A862" s="3" t="s">
        <v>3407</v>
      </c>
      <c r="B862" s="2" t="s">
        <v>3408</v>
      </c>
      <c r="C862" s="3" t="s">
        <v>3409</v>
      </c>
      <c r="D862" s="2">
        <v>1.2463405691996585E-4</v>
      </c>
      <c r="E862" s="8" t="s">
        <v>3410</v>
      </c>
      <c r="F862" s="9" t="s">
        <v>15</v>
      </c>
      <c r="G862" s="9" t="s">
        <v>16</v>
      </c>
      <c r="H862" s="9" t="s">
        <v>16</v>
      </c>
      <c r="I862" s="9"/>
      <c r="J862" s="9"/>
      <c r="K862" s="9"/>
    </row>
    <row r="863" hidden="1">
      <c r="A863" s="3" t="s">
        <v>3411</v>
      </c>
      <c r="B863" s="2" t="s">
        <v>3412</v>
      </c>
      <c r="C863" s="3" t="s">
        <v>3413</v>
      </c>
      <c r="D863" s="2">
        <v>1.225369257578706E-4</v>
      </c>
      <c r="E863" s="8" t="s">
        <v>3414</v>
      </c>
      <c r="F863" s="9" t="s">
        <v>15</v>
      </c>
      <c r="G863" s="9" t="s">
        <v>16</v>
      </c>
      <c r="H863" s="9" t="s">
        <v>16</v>
      </c>
      <c r="I863" s="9"/>
      <c r="J863" s="9"/>
      <c r="K863" s="9"/>
    </row>
    <row r="864" hidden="1">
      <c r="A864" s="3" t="s">
        <v>3415</v>
      </c>
      <c r="B864" s="2" t="s">
        <v>3416</v>
      </c>
      <c r="C864" s="3" t="s">
        <v>3417</v>
      </c>
      <c r="D864" s="2">
        <v>1.225369257578706E-4</v>
      </c>
      <c r="E864" s="8" t="s">
        <v>3418</v>
      </c>
      <c r="F864" s="9" t="s">
        <v>15</v>
      </c>
      <c r="G864" s="9" t="s">
        <v>16</v>
      </c>
      <c r="H864" s="9" t="s">
        <v>16</v>
      </c>
      <c r="I864" s="9"/>
      <c r="J864" s="9"/>
      <c r="K864" s="9"/>
    </row>
    <row r="865" hidden="1">
      <c r="A865" s="3" t="s">
        <v>3419</v>
      </c>
      <c r="B865" s="2" t="s">
        <v>3420</v>
      </c>
      <c r="C865" s="3" t="s">
        <v>3421</v>
      </c>
      <c r="D865" s="2">
        <v>1.225369257578706E-4</v>
      </c>
      <c r="E865" s="8" t="s">
        <v>3422</v>
      </c>
      <c r="F865" s="9" t="s">
        <v>15</v>
      </c>
      <c r="G865" s="9" t="s">
        <v>16</v>
      </c>
      <c r="H865" s="9" t="s">
        <v>16</v>
      </c>
      <c r="I865" s="9"/>
      <c r="J865" s="9"/>
      <c r="K865" s="9"/>
    </row>
    <row r="866" hidden="1">
      <c r="A866" s="3" t="s">
        <v>3423</v>
      </c>
      <c r="B866" s="2" t="s">
        <v>3424</v>
      </c>
      <c r="C866" s="3" t="s">
        <v>3425</v>
      </c>
      <c r="D866" s="2">
        <v>1.225369257578706E-4</v>
      </c>
      <c r="E866" s="8" t="s">
        <v>3426</v>
      </c>
      <c r="F866" s="9" t="s">
        <v>15</v>
      </c>
      <c r="G866" s="9" t="s">
        <v>16</v>
      </c>
      <c r="H866" s="9" t="s">
        <v>16</v>
      </c>
      <c r="I866" s="9"/>
      <c r="J866" s="9"/>
      <c r="K866" s="9"/>
    </row>
    <row r="867" hidden="1">
      <c r="A867" s="3" t="s">
        <v>3427</v>
      </c>
      <c r="B867" s="2" t="s">
        <v>3428</v>
      </c>
      <c r="C867" s="3" t="s">
        <v>3429</v>
      </c>
      <c r="D867" s="2">
        <v>1.223829380125974E-4</v>
      </c>
      <c r="E867" s="8" t="s">
        <v>3430</v>
      </c>
      <c r="F867" s="9" t="s">
        <v>15</v>
      </c>
      <c r="G867" s="9" t="s">
        <v>16</v>
      </c>
      <c r="H867" s="9" t="s">
        <v>16</v>
      </c>
      <c r="I867" s="9"/>
      <c r="J867" s="9"/>
      <c r="K867" s="9"/>
    </row>
    <row r="868" hidden="1">
      <c r="A868" s="3" t="s">
        <v>3431</v>
      </c>
      <c r="B868" s="2" t="s">
        <v>3432</v>
      </c>
      <c r="C868" s="3" t="s">
        <v>3433</v>
      </c>
      <c r="D868" s="2">
        <v>1.2158983426531149E-4</v>
      </c>
      <c r="E868" s="8" t="s">
        <v>3434</v>
      </c>
      <c r="F868" s="9" t="s">
        <v>15</v>
      </c>
      <c r="G868" s="9" t="s">
        <v>16</v>
      </c>
      <c r="H868" s="9" t="s">
        <v>16</v>
      </c>
      <c r="I868" s="9"/>
      <c r="J868" s="9"/>
      <c r="K868" s="9"/>
    </row>
    <row r="869" hidden="1">
      <c r="A869" s="3" t="s">
        <v>3435</v>
      </c>
      <c r="B869" s="2" t="s">
        <v>3436</v>
      </c>
      <c r="C869" s="3" t="s">
        <v>3437</v>
      </c>
      <c r="D869" s="2">
        <v>1.2158983426531149E-4</v>
      </c>
      <c r="E869" s="8" t="s">
        <v>3438</v>
      </c>
      <c r="F869" s="9" t="s">
        <v>15</v>
      </c>
      <c r="G869" s="9" t="s">
        <v>16</v>
      </c>
      <c r="H869" s="9" t="s">
        <v>16</v>
      </c>
      <c r="I869" s="9"/>
      <c r="J869" s="9"/>
      <c r="K869" s="9"/>
    </row>
    <row r="870" hidden="1">
      <c r="A870" s="3" t="s">
        <v>3439</v>
      </c>
      <c r="B870" s="2" t="s">
        <v>3440</v>
      </c>
      <c r="C870" s="3" t="s">
        <v>3441</v>
      </c>
      <c r="D870" s="2">
        <v>1.2158983426531149E-4</v>
      </c>
      <c r="E870" s="8" t="s">
        <v>3442</v>
      </c>
      <c r="F870" s="9" t="s">
        <v>15</v>
      </c>
      <c r="G870" s="9" t="s">
        <v>16</v>
      </c>
      <c r="H870" s="9" t="s">
        <v>16</v>
      </c>
      <c r="I870" s="9"/>
      <c r="J870" s="9"/>
      <c r="K870" s="9"/>
    </row>
    <row r="871" hidden="1">
      <c r="A871" s="3" t="s">
        <v>3443</v>
      </c>
      <c r="B871" s="2" t="s">
        <v>3444</v>
      </c>
      <c r="C871" s="3" t="s">
        <v>3445</v>
      </c>
      <c r="D871" s="2">
        <v>1.2158983426531149E-4</v>
      </c>
      <c r="E871" s="8" t="s">
        <v>3446</v>
      </c>
      <c r="F871" s="9" t="s">
        <v>15</v>
      </c>
      <c r="G871" s="9" t="s">
        <v>16</v>
      </c>
      <c r="H871" s="9" t="s">
        <v>16</v>
      </c>
      <c r="I871" s="9"/>
      <c r="J871" s="9"/>
      <c r="K871" s="9"/>
    </row>
    <row r="872">
      <c r="A872" s="3" t="s">
        <v>3447</v>
      </c>
      <c r="B872" s="2" t="s">
        <v>3448</v>
      </c>
      <c r="C872" s="3" t="s">
        <v>3449</v>
      </c>
      <c r="D872" s="2">
        <v>1.2158983426531149E-4</v>
      </c>
      <c r="E872" s="8" t="s">
        <v>3450</v>
      </c>
      <c r="F872" s="9" t="s">
        <v>16</v>
      </c>
      <c r="G872" s="9" t="s">
        <v>16</v>
      </c>
      <c r="H872" s="9" t="s">
        <v>16</v>
      </c>
      <c r="I872" s="9" t="s">
        <v>16</v>
      </c>
      <c r="J872" s="9" t="s">
        <v>16</v>
      </c>
      <c r="K872" s="9" t="s">
        <v>16</v>
      </c>
    </row>
    <row r="873">
      <c r="A873" s="3" t="s">
        <v>3451</v>
      </c>
      <c r="B873" s="2" t="s">
        <v>3452</v>
      </c>
      <c r="C873" s="3" t="s">
        <v>3453</v>
      </c>
      <c r="D873" s="2">
        <v>1.2158983426531149E-4</v>
      </c>
      <c r="E873" s="8" t="s">
        <v>3454</v>
      </c>
      <c r="F873" s="9" t="s">
        <v>16</v>
      </c>
      <c r="G873" s="9" t="s">
        <v>16</v>
      </c>
      <c r="H873" s="9" t="s">
        <v>16</v>
      </c>
      <c r="I873" s="9" t="s">
        <v>16</v>
      </c>
      <c r="J873" s="9" t="s">
        <v>16</v>
      </c>
      <c r="K873" s="9" t="s">
        <v>16</v>
      </c>
    </row>
    <row r="874">
      <c r="A874" s="3" t="s">
        <v>3455</v>
      </c>
      <c r="B874" s="2" t="s">
        <v>3456</v>
      </c>
      <c r="C874" s="3" t="s">
        <v>3457</v>
      </c>
      <c r="D874" s="2">
        <v>1.2158983426531149E-4</v>
      </c>
      <c r="E874" s="8" t="s">
        <v>3458</v>
      </c>
      <c r="F874" s="9" t="s">
        <v>16</v>
      </c>
      <c r="G874" s="9" t="s">
        <v>16</v>
      </c>
      <c r="H874" s="9" t="s">
        <v>16</v>
      </c>
      <c r="I874" s="9" t="s">
        <v>16</v>
      </c>
      <c r="J874" s="9" t="s">
        <v>16</v>
      </c>
      <c r="K874" s="9" t="s">
        <v>16</v>
      </c>
    </row>
    <row r="875">
      <c r="A875" s="3" t="s">
        <v>3459</v>
      </c>
      <c r="B875" s="2" t="s">
        <v>3460</v>
      </c>
      <c r="C875" s="3" t="s">
        <v>3461</v>
      </c>
      <c r="D875" s="2">
        <v>1.2158983426531149E-4</v>
      </c>
      <c r="E875" s="8" t="s">
        <v>3462</v>
      </c>
      <c r="F875" s="9" t="s">
        <v>16</v>
      </c>
      <c r="G875" s="9" t="s">
        <v>16</v>
      </c>
      <c r="H875" s="9" t="s">
        <v>16</v>
      </c>
      <c r="I875" s="9" t="s">
        <v>16</v>
      </c>
      <c r="J875" s="9" t="s">
        <v>16</v>
      </c>
      <c r="K875" s="9" t="s">
        <v>16</v>
      </c>
    </row>
    <row r="876" hidden="1">
      <c r="A876" s="3" t="s">
        <v>3463</v>
      </c>
      <c r="B876" s="2" t="s">
        <v>3464</v>
      </c>
      <c r="C876" s="3" t="s">
        <v>3465</v>
      </c>
      <c r="D876" s="2">
        <v>1.2158983426531149E-4</v>
      </c>
      <c r="E876" s="8" t="s">
        <v>3466</v>
      </c>
      <c r="F876" s="9" t="s">
        <v>15</v>
      </c>
      <c r="G876" s="9" t="s">
        <v>16</v>
      </c>
      <c r="H876" s="9" t="s">
        <v>16</v>
      </c>
      <c r="I876" s="9"/>
      <c r="J876" s="9"/>
      <c r="K876" s="9"/>
    </row>
    <row r="877" hidden="1">
      <c r="A877" s="3" t="s">
        <v>3467</v>
      </c>
      <c r="B877" s="2" t="s">
        <v>3468</v>
      </c>
      <c r="C877" s="3" t="s">
        <v>3469</v>
      </c>
      <c r="D877" s="2">
        <v>1.2158983426531149E-4</v>
      </c>
      <c r="E877" s="8" t="s">
        <v>3470</v>
      </c>
      <c r="F877" s="9" t="s">
        <v>15</v>
      </c>
      <c r="G877" s="9" t="s">
        <v>16</v>
      </c>
      <c r="H877" s="9" t="s">
        <v>16</v>
      </c>
      <c r="I877" s="9"/>
      <c r="J877" s="9"/>
      <c r="K877" s="9"/>
    </row>
    <row r="878" hidden="1">
      <c r="A878" s="3" t="s">
        <v>3471</v>
      </c>
      <c r="B878" s="2" t="s">
        <v>3472</v>
      </c>
      <c r="C878" s="3"/>
      <c r="D878" s="2">
        <v>1.2158983426531149E-4</v>
      </c>
      <c r="E878" s="8" t="s">
        <v>3473</v>
      </c>
      <c r="F878" s="9" t="s">
        <v>15</v>
      </c>
      <c r="G878" s="9" t="s">
        <v>16</v>
      </c>
      <c r="H878" s="9" t="s">
        <v>16</v>
      </c>
      <c r="I878" s="9"/>
      <c r="J878" s="9"/>
      <c r="K878" s="9"/>
    </row>
    <row r="879" hidden="1">
      <c r="A879" s="3" t="s">
        <v>3474</v>
      </c>
      <c r="B879" s="2" t="s">
        <v>3475</v>
      </c>
      <c r="C879" s="3" t="s">
        <v>3476</v>
      </c>
      <c r="D879" s="2">
        <v>1.2158983426531149E-4</v>
      </c>
      <c r="E879" s="8" t="s">
        <v>3477</v>
      </c>
      <c r="F879" s="9" t="s">
        <v>15</v>
      </c>
      <c r="G879" s="9" t="s">
        <v>16</v>
      </c>
      <c r="H879" s="9" t="s">
        <v>16</v>
      </c>
      <c r="I879" s="9"/>
      <c r="J879" s="9"/>
      <c r="K879" s="9"/>
    </row>
    <row r="880" hidden="1">
      <c r="A880" s="3" t="s">
        <v>3478</v>
      </c>
      <c r="B880" s="2" t="s">
        <v>3479</v>
      </c>
      <c r="C880" s="3"/>
      <c r="D880" s="2">
        <v>1.2158983426531149E-4</v>
      </c>
      <c r="E880" s="8" t="s">
        <v>3480</v>
      </c>
      <c r="F880" s="9" t="s">
        <v>15</v>
      </c>
      <c r="G880" s="9" t="s">
        <v>16</v>
      </c>
      <c r="H880" s="9" t="s">
        <v>16</v>
      </c>
      <c r="I880" s="9"/>
      <c r="J880" s="9"/>
      <c r="K880" s="9"/>
    </row>
    <row r="881" hidden="1">
      <c r="A881" s="3" t="s">
        <v>3481</v>
      </c>
      <c r="B881" s="2" t="s">
        <v>3482</v>
      </c>
      <c r="C881" s="3" t="s">
        <v>3483</v>
      </c>
      <c r="D881" s="2">
        <v>1.2158983426531149E-4</v>
      </c>
      <c r="E881" s="8" t="s">
        <v>3484</v>
      </c>
      <c r="F881" s="10"/>
      <c r="G881" s="9" t="s">
        <v>16</v>
      </c>
      <c r="H881" s="9" t="s">
        <v>16</v>
      </c>
      <c r="I881" s="9"/>
      <c r="J881" s="9" t="s">
        <v>15</v>
      </c>
      <c r="K881" s="9"/>
    </row>
    <row r="882" hidden="1">
      <c r="A882" s="3" t="s">
        <v>3485</v>
      </c>
      <c r="B882" s="2" t="s">
        <v>3486</v>
      </c>
      <c r="C882" s="3" t="s">
        <v>3487</v>
      </c>
      <c r="D882" s="2">
        <v>1.2158983426531149E-4</v>
      </c>
      <c r="E882" s="8" t="s">
        <v>3488</v>
      </c>
      <c r="F882" s="9" t="s">
        <v>15</v>
      </c>
      <c r="G882" s="9" t="s">
        <v>16</v>
      </c>
      <c r="H882" s="9" t="s">
        <v>16</v>
      </c>
      <c r="I882" s="9"/>
      <c r="J882" s="9"/>
      <c r="K882" s="9"/>
    </row>
    <row r="883" hidden="1">
      <c r="A883" s="3" t="s">
        <v>3489</v>
      </c>
      <c r="B883" s="2" t="s">
        <v>3490</v>
      </c>
      <c r="C883" s="3"/>
      <c r="D883" s="2">
        <v>1.2158983426531149E-4</v>
      </c>
      <c r="E883" s="8" t="s">
        <v>3491</v>
      </c>
      <c r="F883" s="9" t="s">
        <v>15</v>
      </c>
      <c r="G883" s="9" t="s">
        <v>16</v>
      </c>
      <c r="H883" s="9" t="s">
        <v>16</v>
      </c>
      <c r="I883" s="9"/>
      <c r="J883" s="9"/>
      <c r="K883" s="9"/>
    </row>
    <row r="884" hidden="1">
      <c r="A884" s="3" t="s">
        <v>3492</v>
      </c>
      <c r="B884" s="2" t="s">
        <v>3493</v>
      </c>
      <c r="C884" s="3" t="s">
        <v>3494</v>
      </c>
      <c r="D884" s="2">
        <v>1.2158983426531149E-4</v>
      </c>
      <c r="E884" s="8" t="s">
        <v>3495</v>
      </c>
      <c r="F884" s="9" t="s">
        <v>15</v>
      </c>
      <c r="G884" s="9" t="s">
        <v>16</v>
      </c>
      <c r="H884" s="9" t="s">
        <v>16</v>
      </c>
      <c r="I884" s="9"/>
      <c r="J884" s="9"/>
      <c r="K884" s="9"/>
    </row>
    <row r="885" hidden="1">
      <c r="A885" s="3" t="s">
        <v>3496</v>
      </c>
      <c r="B885" s="2" t="s">
        <v>3497</v>
      </c>
      <c r="C885" s="3"/>
      <c r="D885" s="2">
        <v>1.2158983426531149E-4</v>
      </c>
      <c r="E885" s="8" t="s">
        <v>3498</v>
      </c>
      <c r="F885" s="9" t="s">
        <v>15</v>
      </c>
      <c r="G885" s="9" t="s">
        <v>16</v>
      </c>
      <c r="H885" s="9" t="s">
        <v>16</v>
      </c>
      <c r="I885" s="9"/>
      <c r="J885" s="9"/>
      <c r="K885" s="9"/>
    </row>
    <row r="886" hidden="1">
      <c r="A886" s="3" t="s">
        <v>3499</v>
      </c>
      <c r="B886" s="2" t="s">
        <v>3500</v>
      </c>
      <c r="C886" s="3" t="s">
        <v>3501</v>
      </c>
      <c r="D886" s="2">
        <v>1.2158983426531149E-4</v>
      </c>
      <c r="E886" s="8" t="s">
        <v>3502</v>
      </c>
      <c r="F886" s="9" t="s">
        <v>15</v>
      </c>
      <c r="G886" s="9" t="s">
        <v>16</v>
      </c>
      <c r="H886" s="9" t="s">
        <v>16</v>
      </c>
      <c r="I886" s="9"/>
      <c r="J886" s="9"/>
      <c r="K886" s="9"/>
    </row>
    <row r="887" hidden="1">
      <c r="A887" s="3" t="s">
        <v>3503</v>
      </c>
      <c r="B887" s="2" t="s">
        <v>3504</v>
      </c>
      <c r="C887" s="3" t="s">
        <v>3505</v>
      </c>
      <c r="D887" s="2">
        <v>1.2158983426531149E-4</v>
      </c>
      <c r="E887" s="8" t="s">
        <v>3506</v>
      </c>
      <c r="F887" s="9" t="s">
        <v>15</v>
      </c>
      <c r="G887" s="9" t="s">
        <v>16</v>
      </c>
      <c r="H887" s="9" t="s">
        <v>16</v>
      </c>
      <c r="I887" s="9"/>
      <c r="J887" s="9"/>
      <c r="K887" s="9"/>
    </row>
    <row r="888" hidden="1">
      <c r="A888" s="3" t="s">
        <v>3507</v>
      </c>
      <c r="B888" s="2" t="s">
        <v>3508</v>
      </c>
      <c r="C888" s="3" t="s">
        <v>3509</v>
      </c>
      <c r="D888" s="2">
        <v>1.2158983426531149E-4</v>
      </c>
      <c r="E888" s="8" t="s">
        <v>3510</v>
      </c>
      <c r="F888" s="9" t="s">
        <v>15</v>
      </c>
      <c r="G888" s="9" t="s">
        <v>16</v>
      </c>
      <c r="H888" s="9" t="s">
        <v>16</v>
      </c>
      <c r="I888" s="9"/>
      <c r="J888" s="9"/>
      <c r="K888" s="9"/>
    </row>
    <row r="889" hidden="1">
      <c r="A889" s="3" t="s">
        <v>3511</v>
      </c>
      <c r="B889" s="2" t="s">
        <v>3512</v>
      </c>
      <c r="C889" s="3" t="s">
        <v>3513</v>
      </c>
      <c r="D889" s="2">
        <v>1.2158983426531149E-4</v>
      </c>
      <c r="E889" s="8" t="s">
        <v>3514</v>
      </c>
      <c r="F889" s="9" t="s">
        <v>15</v>
      </c>
      <c r="G889" s="9" t="s">
        <v>16</v>
      </c>
      <c r="H889" s="9" t="s">
        <v>16</v>
      </c>
      <c r="I889" s="9"/>
      <c r="J889" s="9"/>
      <c r="K889" s="9"/>
    </row>
    <row r="890" hidden="1">
      <c r="A890" s="3" t="s">
        <v>3515</v>
      </c>
      <c r="B890" s="2" t="s">
        <v>3516</v>
      </c>
      <c r="C890" s="3" t="s">
        <v>3517</v>
      </c>
      <c r="D890" s="2">
        <v>1.2158983426531149E-4</v>
      </c>
      <c r="E890" s="8" t="s">
        <v>3518</v>
      </c>
      <c r="F890" s="9" t="s">
        <v>15</v>
      </c>
      <c r="G890" s="9" t="s">
        <v>16</v>
      </c>
      <c r="H890" s="9" t="s">
        <v>16</v>
      </c>
      <c r="I890" s="9"/>
      <c r="J890" s="9"/>
      <c r="K890" s="9"/>
    </row>
    <row r="891" hidden="1">
      <c r="A891" s="3" t="s">
        <v>3519</v>
      </c>
      <c r="B891" s="2" t="s">
        <v>3520</v>
      </c>
      <c r="C891" s="3" t="s">
        <v>3521</v>
      </c>
      <c r="D891" s="2">
        <v>1.2158983426531149E-4</v>
      </c>
      <c r="E891" s="8" t="s">
        <v>3522</v>
      </c>
      <c r="F891" s="9" t="s">
        <v>15</v>
      </c>
      <c r="G891" s="9" t="s">
        <v>16</v>
      </c>
      <c r="H891" s="9" t="s">
        <v>16</v>
      </c>
      <c r="I891" s="9"/>
      <c r="J891" s="9"/>
      <c r="K891" s="9"/>
    </row>
    <row r="892" hidden="1">
      <c r="A892" s="3" t="s">
        <v>3523</v>
      </c>
      <c r="B892" s="2" t="s">
        <v>3524</v>
      </c>
      <c r="C892" s="3" t="s">
        <v>3525</v>
      </c>
      <c r="D892" s="2">
        <v>1.2158983426531149E-4</v>
      </c>
      <c r="E892" s="8" t="s">
        <v>3526</v>
      </c>
      <c r="F892" s="9" t="s">
        <v>15</v>
      </c>
      <c r="G892" s="9" t="s">
        <v>16</v>
      </c>
      <c r="H892" s="9" t="s">
        <v>16</v>
      </c>
      <c r="I892" s="9"/>
      <c r="J892" s="9"/>
      <c r="K892" s="9"/>
    </row>
    <row r="893" hidden="1">
      <c r="A893" s="3" t="s">
        <v>3527</v>
      </c>
      <c r="B893" s="2" t="s">
        <v>3528</v>
      </c>
      <c r="C893" s="3" t="s">
        <v>3529</v>
      </c>
      <c r="D893" s="2">
        <v>1.2158983426531149E-4</v>
      </c>
      <c r="E893" s="8" t="s">
        <v>3530</v>
      </c>
      <c r="F893" s="9" t="s">
        <v>15</v>
      </c>
      <c r="G893" s="9" t="s">
        <v>16</v>
      </c>
      <c r="H893" s="9" t="s">
        <v>16</v>
      </c>
      <c r="I893" s="9"/>
      <c r="J893" s="9"/>
      <c r="K893" s="9"/>
    </row>
    <row r="894" hidden="1">
      <c r="A894" s="3" t="s">
        <v>3531</v>
      </c>
      <c r="B894" s="2" t="s">
        <v>3532</v>
      </c>
      <c r="C894" s="3" t="s">
        <v>3533</v>
      </c>
      <c r="D894" s="2">
        <v>1.2158983426531149E-4</v>
      </c>
      <c r="E894" s="8" t="s">
        <v>3534</v>
      </c>
      <c r="F894" s="9" t="s">
        <v>15</v>
      </c>
      <c r="G894" s="9" t="s">
        <v>16</v>
      </c>
      <c r="H894" s="9" t="s">
        <v>16</v>
      </c>
      <c r="I894" s="9"/>
      <c r="J894" s="9"/>
      <c r="K894" s="9"/>
    </row>
    <row r="895" hidden="1">
      <c r="A895" s="3" t="s">
        <v>3535</v>
      </c>
      <c r="B895" s="2" t="s">
        <v>3536</v>
      </c>
      <c r="C895" s="3" t="s">
        <v>3537</v>
      </c>
      <c r="D895" s="2">
        <v>1.2158983426531149E-4</v>
      </c>
      <c r="E895" s="8" t="s">
        <v>3538</v>
      </c>
      <c r="F895" s="9" t="s">
        <v>15</v>
      </c>
      <c r="G895" s="9" t="s">
        <v>16</v>
      </c>
      <c r="H895" s="9" t="s">
        <v>16</v>
      </c>
      <c r="I895" s="9"/>
      <c r="J895" s="9"/>
      <c r="K895" s="9"/>
    </row>
    <row r="896" hidden="1">
      <c r="A896" s="3" t="s">
        <v>3539</v>
      </c>
      <c r="B896" s="2" t="s">
        <v>3540</v>
      </c>
      <c r="C896" s="3" t="s">
        <v>3541</v>
      </c>
      <c r="D896" s="2">
        <v>1.2158983426531149E-4</v>
      </c>
      <c r="E896" s="8" t="s">
        <v>3542</v>
      </c>
      <c r="F896" s="9" t="s">
        <v>15</v>
      </c>
      <c r="G896" s="9" t="s">
        <v>16</v>
      </c>
      <c r="H896" s="9" t="s">
        <v>16</v>
      </c>
      <c r="I896" s="9"/>
      <c r="J896" s="9"/>
      <c r="K896" s="9"/>
    </row>
    <row r="897" hidden="1">
      <c r="A897" s="3" t="s">
        <v>3543</v>
      </c>
      <c r="B897" s="2" t="s">
        <v>3544</v>
      </c>
      <c r="C897" s="3" t="s">
        <v>3545</v>
      </c>
      <c r="D897" s="2">
        <v>1.1732792254879542E-4</v>
      </c>
      <c r="E897" s="8" t="s">
        <v>3546</v>
      </c>
      <c r="F897" s="9" t="s">
        <v>15</v>
      </c>
      <c r="G897" s="9" t="s">
        <v>16</v>
      </c>
      <c r="H897" s="9" t="s">
        <v>16</v>
      </c>
      <c r="I897" s="9"/>
      <c r="J897" s="9"/>
      <c r="K897" s="9"/>
    </row>
    <row r="898" hidden="1">
      <c r="A898" s="3" t="s">
        <v>3547</v>
      </c>
      <c r="B898" s="2" t="s">
        <v>3548</v>
      </c>
      <c r="C898" s="3"/>
      <c r="D898" s="2">
        <v>1.1732792254879542E-4</v>
      </c>
      <c r="E898" s="8" t="s">
        <v>3549</v>
      </c>
      <c r="F898" s="9" t="s">
        <v>15</v>
      </c>
      <c r="G898" s="9" t="s">
        <v>16</v>
      </c>
      <c r="H898" s="9" t="s">
        <v>16</v>
      </c>
      <c r="I898" s="9"/>
      <c r="J898" s="9"/>
      <c r="K898" s="9"/>
    </row>
    <row r="899" hidden="1">
      <c r="A899" s="3" t="s">
        <v>3550</v>
      </c>
      <c r="B899" s="2" t="s">
        <v>3551</v>
      </c>
      <c r="C899" s="3" t="s">
        <v>3552</v>
      </c>
      <c r="D899" s="2">
        <v>1.1732792254879542E-4</v>
      </c>
      <c r="E899" s="8" t="s">
        <v>3553</v>
      </c>
      <c r="F899" s="9" t="s">
        <v>15</v>
      </c>
      <c r="G899" s="9" t="s">
        <v>16</v>
      </c>
      <c r="H899" s="9" t="s">
        <v>16</v>
      </c>
      <c r="I899" s="9"/>
      <c r="J899" s="9"/>
      <c r="K899" s="9"/>
    </row>
    <row r="900" hidden="1">
      <c r="A900" s="3" t="s">
        <v>3554</v>
      </c>
      <c r="B900" s="2" t="s">
        <v>3555</v>
      </c>
      <c r="C900" s="3" t="s">
        <v>3556</v>
      </c>
      <c r="D900" s="2">
        <v>1.1732792254879542E-4</v>
      </c>
      <c r="E900" s="8" t="s">
        <v>3557</v>
      </c>
      <c r="F900" s="9" t="s">
        <v>15</v>
      </c>
      <c r="G900" s="9" t="s">
        <v>16</v>
      </c>
      <c r="H900" s="9" t="s">
        <v>16</v>
      </c>
      <c r="I900" s="9"/>
      <c r="J900" s="9"/>
      <c r="K900" s="9"/>
    </row>
    <row r="901" hidden="1">
      <c r="A901" s="3" t="s">
        <v>3558</v>
      </c>
      <c r="B901" s="2" t="s">
        <v>3559</v>
      </c>
      <c r="C901" s="3" t="s">
        <v>3560</v>
      </c>
      <c r="D901" s="2">
        <v>1.1732792254879542E-4</v>
      </c>
      <c r="E901" s="8" t="s">
        <v>3561</v>
      </c>
      <c r="F901" s="9" t="s">
        <v>15</v>
      </c>
      <c r="G901" s="9" t="s">
        <v>16</v>
      </c>
      <c r="H901" s="9" t="s">
        <v>16</v>
      </c>
      <c r="I901" s="9"/>
      <c r="J901" s="9"/>
      <c r="K901" s="9"/>
    </row>
    <row r="902" hidden="1">
      <c r="A902" s="3" t="s">
        <v>3562</v>
      </c>
      <c r="B902" s="2" t="s">
        <v>3563</v>
      </c>
      <c r="C902" s="3" t="s">
        <v>3564</v>
      </c>
      <c r="D902" s="2">
        <v>1.1732792254879542E-4</v>
      </c>
      <c r="E902" s="8" t="s">
        <v>3565</v>
      </c>
      <c r="F902" s="9" t="s">
        <v>15</v>
      </c>
      <c r="G902" s="9" t="s">
        <v>16</v>
      </c>
      <c r="H902" s="9" t="s">
        <v>16</v>
      </c>
      <c r="I902" s="9"/>
      <c r="J902" s="9"/>
      <c r="K902" s="9"/>
    </row>
    <row r="903" hidden="1">
      <c r="A903" s="3" t="s">
        <v>3566</v>
      </c>
      <c r="B903" s="2" t="s">
        <v>3567</v>
      </c>
      <c r="C903" s="3" t="s">
        <v>3568</v>
      </c>
      <c r="D903" s="2">
        <v>1.1732792254879542E-4</v>
      </c>
      <c r="E903" s="8" t="s">
        <v>412</v>
      </c>
      <c r="F903" s="9" t="s">
        <v>15</v>
      </c>
      <c r="G903" s="9" t="s">
        <v>16</v>
      </c>
      <c r="H903" s="9" t="s">
        <v>16</v>
      </c>
      <c r="I903" s="9"/>
      <c r="J903" s="9"/>
      <c r="K903" s="9"/>
    </row>
    <row r="904" hidden="1">
      <c r="A904" s="3" t="s">
        <v>3569</v>
      </c>
      <c r="B904" s="2" t="s">
        <v>3570</v>
      </c>
      <c r="C904" s="3" t="s">
        <v>3571</v>
      </c>
      <c r="D904" s="2">
        <v>1.1732792254879542E-4</v>
      </c>
      <c r="E904" s="8" t="s">
        <v>3572</v>
      </c>
      <c r="F904" s="9" t="s">
        <v>15</v>
      </c>
      <c r="G904" s="9" t="s">
        <v>16</v>
      </c>
      <c r="H904" s="9" t="s">
        <v>16</v>
      </c>
      <c r="I904" s="9"/>
      <c r="J904" s="9"/>
      <c r="K904" s="9"/>
    </row>
    <row r="905" hidden="1">
      <c r="A905" s="3" t="s">
        <v>3573</v>
      </c>
      <c r="B905" s="2" t="s">
        <v>3574</v>
      </c>
      <c r="C905" s="3" t="s">
        <v>3575</v>
      </c>
      <c r="D905" s="2">
        <v>1.1732792254879542E-4</v>
      </c>
      <c r="E905" s="8" t="s">
        <v>3576</v>
      </c>
      <c r="F905" s="9" t="s">
        <v>15</v>
      </c>
      <c r="G905" s="9" t="s">
        <v>16</v>
      </c>
      <c r="H905" s="9" t="s">
        <v>16</v>
      </c>
      <c r="I905" s="9"/>
      <c r="J905" s="9"/>
      <c r="K905" s="9"/>
    </row>
    <row r="906" hidden="1">
      <c r="A906" s="3" t="s">
        <v>3577</v>
      </c>
      <c r="B906" s="2" t="s">
        <v>3578</v>
      </c>
      <c r="C906" s="3" t="s">
        <v>3579</v>
      </c>
      <c r="D906" s="2">
        <v>1.1732792254879542E-4</v>
      </c>
      <c r="E906" s="8" t="s">
        <v>3580</v>
      </c>
      <c r="F906" s="9" t="s">
        <v>15</v>
      </c>
      <c r="G906" s="9" t="s">
        <v>16</v>
      </c>
      <c r="H906" s="9" t="s">
        <v>16</v>
      </c>
      <c r="I906" s="9"/>
      <c r="J906" s="9"/>
      <c r="K906" s="9"/>
    </row>
    <row r="907" hidden="1">
      <c r="A907" s="3" t="s">
        <v>3581</v>
      </c>
      <c r="B907" s="2" t="s">
        <v>3582</v>
      </c>
      <c r="C907" s="3" t="s">
        <v>3583</v>
      </c>
      <c r="D907" s="2">
        <v>1.1732792254879542E-4</v>
      </c>
      <c r="E907" s="8" t="s">
        <v>3584</v>
      </c>
      <c r="F907" s="9" t="s">
        <v>15</v>
      </c>
      <c r="G907" s="9" t="s">
        <v>16</v>
      </c>
      <c r="H907" s="9" t="s">
        <v>16</v>
      </c>
      <c r="I907" s="9"/>
      <c r="J907" s="9"/>
      <c r="K907" s="9"/>
    </row>
    <row r="908" hidden="1">
      <c r="A908" s="3" t="s">
        <v>3585</v>
      </c>
      <c r="B908" s="2" t="s">
        <v>3586</v>
      </c>
      <c r="C908" s="3" t="s">
        <v>3587</v>
      </c>
      <c r="D908" s="2">
        <v>1.1732792254879542E-4</v>
      </c>
      <c r="E908" s="8" t="s">
        <v>3588</v>
      </c>
      <c r="F908" s="9" t="s">
        <v>15</v>
      </c>
      <c r="G908" s="9" t="s">
        <v>16</v>
      </c>
      <c r="H908" s="9" t="s">
        <v>16</v>
      </c>
      <c r="I908" s="9"/>
      <c r="J908" s="9"/>
      <c r="K908" s="9"/>
    </row>
    <row r="909" hidden="1">
      <c r="A909" s="3" t="s">
        <v>3589</v>
      </c>
      <c r="B909" s="2" t="s">
        <v>3590</v>
      </c>
      <c r="C909" s="3" t="s">
        <v>3591</v>
      </c>
      <c r="D909" s="2">
        <v>1.1732792254879542E-4</v>
      </c>
      <c r="E909" s="8" t="s">
        <v>3592</v>
      </c>
      <c r="F909" s="9" t="s">
        <v>15</v>
      </c>
      <c r="G909" s="9" t="s">
        <v>16</v>
      </c>
      <c r="H909" s="9" t="s">
        <v>16</v>
      </c>
      <c r="I909" s="9"/>
      <c r="J909" s="9"/>
      <c r="K909" s="9"/>
    </row>
    <row r="910" hidden="1">
      <c r="A910" s="3" t="s">
        <v>3593</v>
      </c>
      <c r="B910" s="2" t="s">
        <v>3594</v>
      </c>
      <c r="C910" s="3" t="s">
        <v>3595</v>
      </c>
      <c r="D910" s="2">
        <v>1.1732792254879542E-4</v>
      </c>
      <c r="E910" s="8" t="s">
        <v>3596</v>
      </c>
      <c r="F910" s="9" t="s">
        <v>15</v>
      </c>
      <c r="G910" s="9" t="s">
        <v>16</v>
      </c>
      <c r="H910" s="9" t="s">
        <v>16</v>
      </c>
      <c r="I910" s="9"/>
      <c r="J910" s="9"/>
      <c r="K910" s="9"/>
    </row>
    <row r="911" hidden="1">
      <c r="A911" s="3" t="s">
        <v>3597</v>
      </c>
      <c r="B911" s="2" t="s">
        <v>3598</v>
      </c>
      <c r="C911" s="3" t="s">
        <v>3599</v>
      </c>
      <c r="D911" s="2">
        <v>1.1732792254879542E-4</v>
      </c>
      <c r="E911" s="8" t="s">
        <v>3600</v>
      </c>
      <c r="F911" s="9" t="s">
        <v>15</v>
      </c>
      <c r="G911" s="9" t="s">
        <v>16</v>
      </c>
      <c r="H911" s="9" t="s">
        <v>16</v>
      </c>
      <c r="I911" s="9"/>
      <c r="J911" s="9"/>
      <c r="K911" s="9"/>
    </row>
    <row r="912" hidden="1">
      <c r="A912" s="3" t="s">
        <v>3601</v>
      </c>
      <c r="B912" s="2" t="s">
        <v>3602</v>
      </c>
      <c r="C912" s="3" t="s">
        <v>3603</v>
      </c>
      <c r="D912" s="2">
        <v>1.1732792254879542E-4</v>
      </c>
      <c r="E912" s="8" t="s">
        <v>3604</v>
      </c>
      <c r="F912" s="9" t="s">
        <v>15</v>
      </c>
      <c r="G912" s="9" t="s">
        <v>16</v>
      </c>
      <c r="H912" s="9" t="s">
        <v>16</v>
      </c>
      <c r="I912" s="9"/>
      <c r="J912" s="9"/>
      <c r="K912" s="9"/>
    </row>
    <row r="913" hidden="1">
      <c r="A913" s="3" t="s">
        <v>3496</v>
      </c>
      <c r="B913" s="2" t="s">
        <v>3605</v>
      </c>
      <c r="C913" s="3" t="s">
        <v>3606</v>
      </c>
      <c r="D913" s="2">
        <v>1.1732792254879542E-4</v>
      </c>
      <c r="E913" s="8" t="s">
        <v>3607</v>
      </c>
      <c r="F913" s="9" t="s">
        <v>15</v>
      </c>
      <c r="G913" s="9" t="s">
        <v>16</v>
      </c>
      <c r="H913" s="9" t="s">
        <v>16</v>
      </c>
      <c r="I913" s="9"/>
      <c r="J913" s="9"/>
      <c r="K913" s="9"/>
    </row>
    <row r="914" hidden="1">
      <c r="A914" s="3" t="s">
        <v>3608</v>
      </c>
      <c r="B914" s="2" t="s">
        <v>3609</v>
      </c>
      <c r="C914" s="3" t="s">
        <v>3610</v>
      </c>
      <c r="D914" s="2">
        <v>1.1732792254879542E-4</v>
      </c>
      <c r="E914" s="8" t="s">
        <v>3611</v>
      </c>
      <c r="F914" s="9" t="s">
        <v>15</v>
      </c>
      <c r="G914" s="9" t="s">
        <v>16</v>
      </c>
      <c r="H914" s="9" t="s">
        <v>16</v>
      </c>
      <c r="I914" s="9"/>
      <c r="J914" s="9"/>
      <c r="K914" s="9"/>
    </row>
    <row r="915" hidden="1">
      <c r="A915" s="3" t="s">
        <v>3612</v>
      </c>
      <c r="B915" s="2" t="s">
        <v>3613</v>
      </c>
      <c r="C915" s="3" t="s">
        <v>3614</v>
      </c>
      <c r="D915" s="2">
        <v>1.1732792254879542E-4</v>
      </c>
      <c r="E915" s="8" t="s">
        <v>3615</v>
      </c>
      <c r="F915" s="9" t="s">
        <v>15</v>
      </c>
      <c r="G915" s="9" t="s">
        <v>16</v>
      </c>
      <c r="H915" s="9" t="s">
        <v>16</v>
      </c>
      <c r="I915" s="9"/>
      <c r="J915" s="9"/>
      <c r="K915" s="9"/>
    </row>
    <row r="916" hidden="1">
      <c r="A916" s="3" t="s">
        <v>3616</v>
      </c>
      <c r="B916" s="2" t="s">
        <v>3617</v>
      </c>
      <c r="C916" s="3" t="s">
        <v>3618</v>
      </c>
      <c r="D916" s="2">
        <v>1.1732792254879542E-4</v>
      </c>
      <c r="E916" s="8" t="s">
        <v>3619</v>
      </c>
      <c r="F916" s="9" t="s">
        <v>15</v>
      </c>
      <c r="G916" s="9" t="s">
        <v>16</v>
      </c>
      <c r="H916" s="9" t="s">
        <v>16</v>
      </c>
      <c r="I916" s="9"/>
      <c r="J916" s="9"/>
      <c r="K916" s="9"/>
    </row>
    <row r="917" hidden="1">
      <c r="A917" s="3" t="s">
        <v>3620</v>
      </c>
      <c r="B917" s="2" t="s">
        <v>3621</v>
      </c>
      <c r="C917" s="3" t="s">
        <v>3622</v>
      </c>
      <c r="D917" s="2">
        <v>1.1732792254879542E-4</v>
      </c>
      <c r="E917" s="8" t="s">
        <v>3623</v>
      </c>
      <c r="F917" s="9" t="s">
        <v>15</v>
      </c>
      <c r="G917" s="9" t="s">
        <v>16</v>
      </c>
      <c r="H917" s="9" t="s">
        <v>16</v>
      </c>
      <c r="I917" s="9"/>
      <c r="J917" s="9"/>
      <c r="K917" s="9"/>
    </row>
    <row r="918" hidden="1">
      <c r="A918" s="3" t="s">
        <v>3624</v>
      </c>
      <c r="B918" s="2" t="s">
        <v>3625</v>
      </c>
      <c r="C918" s="3" t="s">
        <v>3626</v>
      </c>
      <c r="D918" s="2">
        <v>1.1701460669349247E-4</v>
      </c>
      <c r="E918" s="8" t="s">
        <v>3627</v>
      </c>
      <c r="F918" s="9" t="s">
        <v>15</v>
      </c>
      <c r="G918" s="9" t="s">
        <v>16</v>
      </c>
      <c r="H918" s="9" t="s">
        <v>16</v>
      </c>
      <c r="I918" s="9"/>
      <c r="J918" s="9"/>
      <c r="K918" s="9"/>
    </row>
    <row r="919" hidden="1">
      <c r="A919" s="3" t="s">
        <v>3628</v>
      </c>
      <c r="B919" s="2" t="s">
        <v>3629</v>
      </c>
      <c r="C919" s="3" t="s">
        <v>3630</v>
      </c>
      <c r="D919" s="2">
        <v>1.1541006227636319E-4</v>
      </c>
      <c r="E919" s="8" t="s">
        <v>3631</v>
      </c>
      <c r="F919" s="9" t="s">
        <v>15</v>
      </c>
      <c r="G919" s="9" t="s">
        <v>16</v>
      </c>
      <c r="H919" s="9" t="s">
        <v>16</v>
      </c>
      <c r="I919" s="9"/>
      <c r="J919" s="9"/>
      <c r="K919" s="9"/>
    </row>
    <row r="920" hidden="1">
      <c r="A920" s="3" t="s">
        <v>3632</v>
      </c>
      <c r="B920" s="2" t="s">
        <v>3633</v>
      </c>
      <c r="C920" s="3" t="s">
        <v>3634</v>
      </c>
      <c r="D920" s="2">
        <v>1.1541006227636319E-4</v>
      </c>
      <c r="E920" s="8" t="s">
        <v>3635</v>
      </c>
      <c r="F920" s="9" t="s">
        <v>15</v>
      </c>
      <c r="G920" s="9" t="s">
        <v>16</v>
      </c>
      <c r="H920" s="9" t="s">
        <v>16</v>
      </c>
      <c r="I920" s="9"/>
      <c r="J920" s="9"/>
      <c r="K920" s="9"/>
    </row>
    <row r="921" hidden="1">
      <c r="A921" s="3" t="s">
        <v>3636</v>
      </c>
      <c r="B921" s="2" t="s">
        <v>3637</v>
      </c>
      <c r="C921" s="3" t="s">
        <v>3638</v>
      </c>
      <c r="D921" s="2">
        <v>1.1541006227636319E-4</v>
      </c>
      <c r="E921" s="8" t="s">
        <v>3639</v>
      </c>
      <c r="F921" s="9" t="s">
        <v>15</v>
      </c>
      <c r="G921" s="9" t="s">
        <v>16</v>
      </c>
      <c r="H921" s="9" t="s">
        <v>16</v>
      </c>
      <c r="I921" s="9"/>
      <c r="J921" s="9"/>
      <c r="K921" s="9"/>
    </row>
    <row r="922" hidden="1">
      <c r="A922" s="3" t="s">
        <v>3640</v>
      </c>
      <c r="B922" s="2" t="s">
        <v>3641</v>
      </c>
      <c r="C922" s="3" t="s">
        <v>3642</v>
      </c>
      <c r="D922" s="2">
        <v>1.1541006227636319E-4</v>
      </c>
      <c r="E922" s="8" t="s">
        <v>1945</v>
      </c>
      <c r="F922" s="9" t="s">
        <v>15</v>
      </c>
      <c r="G922" s="9" t="s">
        <v>16</v>
      </c>
      <c r="H922" s="9" t="s">
        <v>16</v>
      </c>
      <c r="I922" s="9"/>
      <c r="J922" s="9"/>
      <c r="K922" s="9"/>
    </row>
    <row r="923" hidden="1">
      <c r="A923" s="3" t="s">
        <v>3643</v>
      </c>
      <c r="B923" s="2" t="s">
        <v>3644</v>
      </c>
      <c r="C923" s="3" t="s">
        <v>3645</v>
      </c>
      <c r="D923" s="2">
        <v>1.1541006227636319E-4</v>
      </c>
      <c r="E923" s="8" t="s">
        <v>3646</v>
      </c>
      <c r="F923" s="9" t="s">
        <v>15</v>
      </c>
      <c r="G923" s="9" t="s">
        <v>16</v>
      </c>
      <c r="H923" s="9" t="s">
        <v>16</v>
      </c>
      <c r="I923" s="9"/>
      <c r="J923" s="9"/>
      <c r="K923" s="9"/>
    </row>
    <row r="924" hidden="1">
      <c r="A924" s="3" t="s">
        <v>3647</v>
      </c>
      <c r="B924" s="2" t="s">
        <v>3648</v>
      </c>
      <c r="C924" s="3" t="s">
        <v>3649</v>
      </c>
      <c r="D924" s="2">
        <v>1.1448664807111804E-4</v>
      </c>
      <c r="E924" s="8" t="s">
        <v>3650</v>
      </c>
      <c r="F924" s="9" t="s">
        <v>15</v>
      </c>
      <c r="G924" s="9" t="s">
        <v>16</v>
      </c>
      <c r="H924" s="9" t="s">
        <v>16</v>
      </c>
      <c r="I924" s="9"/>
      <c r="J924" s="9"/>
      <c r="K924" s="9"/>
    </row>
    <row r="925" hidden="1">
      <c r="A925" s="3" t="s">
        <v>3651</v>
      </c>
      <c r="B925" s="2" t="s">
        <v>3652</v>
      </c>
      <c r="C925" s="3" t="s">
        <v>3653</v>
      </c>
      <c r="D925" s="2">
        <v>1.1448664807111804E-4</v>
      </c>
      <c r="E925" s="8" t="s">
        <v>3654</v>
      </c>
      <c r="F925" s="9" t="s">
        <v>15</v>
      </c>
      <c r="G925" s="9" t="s">
        <v>16</v>
      </c>
      <c r="H925" s="9" t="s">
        <v>16</v>
      </c>
      <c r="I925" s="9"/>
      <c r="J925" s="9"/>
      <c r="K925" s="9"/>
    </row>
    <row r="926" hidden="1">
      <c r="A926" s="3" t="s">
        <v>3655</v>
      </c>
      <c r="B926" s="2" t="s">
        <v>3656</v>
      </c>
      <c r="C926" s="3" t="s">
        <v>3657</v>
      </c>
      <c r="D926" s="2">
        <v>1.1448664807111804E-4</v>
      </c>
      <c r="E926" s="8" t="s">
        <v>3658</v>
      </c>
      <c r="F926" s="9" t="s">
        <v>15</v>
      </c>
      <c r="G926" s="9" t="s">
        <v>16</v>
      </c>
      <c r="H926" s="9" t="s">
        <v>16</v>
      </c>
      <c r="I926" s="9"/>
      <c r="J926" s="9"/>
      <c r="K926" s="9"/>
    </row>
    <row r="927" hidden="1">
      <c r="A927" s="3" t="s">
        <v>3659</v>
      </c>
      <c r="B927" s="2" t="s">
        <v>3660</v>
      </c>
      <c r="C927" s="3" t="s">
        <v>3661</v>
      </c>
      <c r="D927" s="2">
        <v>1.1448664807111804E-4</v>
      </c>
      <c r="E927" s="8" t="s">
        <v>3662</v>
      </c>
      <c r="F927" s="9" t="s">
        <v>15</v>
      </c>
      <c r="G927" s="9" t="s">
        <v>16</v>
      </c>
      <c r="H927" s="9" t="s">
        <v>16</v>
      </c>
      <c r="I927" s="9"/>
      <c r="J927" s="9"/>
      <c r="K927" s="9"/>
    </row>
    <row r="928" hidden="1">
      <c r="A928" s="3" t="s">
        <v>3663</v>
      </c>
      <c r="B928" s="2" t="s">
        <v>3664</v>
      </c>
      <c r="C928" s="3" t="s">
        <v>3665</v>
      </c>
      <c r="D928" s="2">
        <v>1.1448664807111804E-4</v>
      </c>
      <c r="E928" s="8" t="s">
        <v>3666</v>
      </c>
      <c r="F928" s="9" t="s">
        <v>15</v>
      </c>
      <c r="G928" s="9" t="s">
        <v>16</v>
      </c>
      <c r="H928" s="9" t="s">
        <v>16</v>
      </c>
      <c r="I928" s="9"/>
      <c r="J928" s="9"/>
      <c r="K928" s="9"/>
    </row>
    <row r="929" hidden="1">
      <c r="A929" s="3" t="s">
        <v>3667</v>
      </c>
      <c r="B929" s="2" t="s">
        <v>3668</v>
      </c>
      <c r="C929" s="3" t="s">
        <v>3669</v>
      </c>
      <c r="D929" s="2">
        <v>1.1448664807111804E-4</v>
      </c>
      <c r="E929" s="8" t="s">
        <v>3670</v>
      </c>
      <c r="F929" s="9" t="s">
        <v>15</v>
      </c>
      <c r="G929" s="9" t="s">
        <v>16</v>
      </c>
      <c r="H929" s="9" t="s">
        <v>16</v>
      </c>
      <c r="I929" s="9"/>
      <c r="J929" s="9"/>
      <c r="K929" s="9"/>
    </row>
    <row r="930" hidden="1">
      <c r="A930" s="3" t="s">
        <v>3671</v>
      </c>
      <c r="B930" s="2" t="s">
        <v>3672</v>
      </c>
      <c r="C930" s="3" t="s">
        <v>3673</v>
      </c>
      <c r="D930" s="2">
        <v>1.1448664807111804E-4</v>
      </c>
      <c r="E930" s="8" t="s">
        <v>3674</v>
      </c>
      <c r="F930" s="9" t="s">
        <v>15</v>
      </c>
      <c r="G930" s="9" t="s">
        <v>16</v>
      </c>
      <c r="H930" s="9" t="s">
        <v>16</v>
      </c>
      <c r="I930" s="9"/>
      <c r="J930" s="9"/>
      <c r="K930" s="9"/>
    </row>
    <row r="931" hidden="1">
      <c r="A931" s="3" t="s">
        <v>3675</v>
      </c>
      <c r="B931" s="2" t="s">
        <v>3676</v>
      </c>
      <c r="C931" s="3" t="s">
        <v>3677</v>
      </c>
      <c r="D931" s="2">
        <v>1.1448664807111804E-4</v>
      </c>
      <c r="E931" s="8" t="s">
        <v>3678</v>
      </c>
      <c r="F931" s="9" t="s">
        <v>15</v>
      </c>
      <c r="G931" s="9" t="s">
        <v>16</v>
      </c>
      <c r="H931" s="9" t="s">
        <v>16</v>
      </c>
      <c r="I931" s="9"/>
      <c r="J931" s="9"/>
      <c r="K931" s="9"/>
    </row>
    <row r="932" hidden="1">
      <c r="A932" s="3" t="s">
        <v>3679</v>
      </c>
      <c r="B932" s="2" t="s">
        <v>3680</v>
      </c>
      <c r="C932" s="3" t="s">
        <v>3681</v>
      </c>
      <c r="D932" s="2">
        <v>1.1448664807111804E-4</v>
      </c>
      <c r="E932" s="8" t="s">
        <v>3682</v>
      </c>
      <c r="F932" s="9" t="s">
        <v>15</v>
      </c>
      <c r="G932" s="9" t="s">
        <v>16</v>
      </c>
      <c r="H932" s="9" t="s">
        <v>16</v>
      </c>
      <c r="I932" s="9"/>
      <c r="J932" s="9"/>
      <c r="K932" s="9"/>
    </row>
    <row r="933" hidden="1">
      <c r="A933" s="3" t="s">
        <v>3683</v>
      </c>
      <c r="B933" s="2" t="s">
        <v>3684</v>
      </c>
      <c r="C933" s="3" t="s">
        <v>3685</v>
      </c>
      <c r="D933" s="2">
        <v>1.1352168065982523E-4</v>
      </c>
      <c r="E933" s="8" t="s">
        <v>3686</v>
      </c>
      <c r="F933" s="9" t="s">
        <v>15</v>
      </c>
      <c r="G933" s="9" t="s">
        <v>16</v>
      </c>
      <c r="H933" s="9" t="s">
        <v>16</v>
      </c>
      <c r="I933" s="9"/>
      <c r="J933" s="9"/>
      <c r="K933" s="9"/>
    </row>
    <row r="934" hidden="1">
      <c r="A934" s="3" t="s">
        <v>3687</v>
      </c>
      <c r="B934" s="2" t="s">
        <v>3688</v>
      </c>
      <c r="C934" s="3" t="s">
        <v>3689</v>
      </c>
      <c r="D934" s="2">
        <v>1.1352168065982523E-4</v>
      </c>
      <c r="E934" s="8" t="s">
        <v>3690</v>
      </c>
      <c r="F934" s="9" t="s">
        <v>15</v>
      </c>
      <c r="G934" s="9" t="s">
        <v>16</v>
      </c>
      <c r="H934" s="9" t="s">
        <v>16</v>
      </c>
      <c r="I934" s="9"/>
      <c r="J934" s="9"/>
      <c r="K934" s="9"/>
    </row>
    <row r="935" hidden="1">
      <c r="A935" s="3" t="s">
        <v>3691</v>
      </c>
      <c r="B935" s="2" t="s">
        <v>3692</v>
      </c>
      <c r="C935" s="3" t="s">
        <v>3693</v>
      </c>
      <c r="D935" s="2">
        <v>1.1352168065982523E-4</v>
      </c>
      <c r="E935" s="8" t="s">
        <v>3694</v>
      </c>
      <c r="F935" s="9" t="s">
        <v>15</v>
      </c>
      <c r="G935" s="9" t="s">
        <v>16</v>
      </c>
      <c r="H935" s="9" t="s">
        <v>16</v>
      </c>
      <c r="I935" s="9"/>
      <c r="J935" s="9"/>
      <c r="K935" s="9"/>
    </row>
    <row r="936" hidden="1">
      <c r="A936" s="3" t="s">
        <v>3695</v>
      </c>
      <c r="B936" s="2" t="s">
        <v>3696</v>
      </c>
      <c r="C936" s="3" t="s">
        <v>3697</v>
      </c>
      <c r="D936" s="2">
        <v>1.1245716630134849E-4</v>
      </c>
      <c r="E936" s="8" t="s">
        <v>3698</v>
      </c>
      <c r="F936" s="9" t="s">
        <v>15</v>
      </c>
      <c r="G936" s="9" t="s">
        <v>16</v>
      </c>
      <c r="H936" s="9" t="s">
        <v>16</v>
      </c>
      <c r="I936" s="9"/>
      <c r="J936" s="9"/>
      <c r="K936" s="9"/>
    </row>
    <row r="937" hidden="1">
      <c r="A937" s="3" t="s">
        <v>3699</v>
      </c>
      <c r="B937" s="2" t="s">
        <v>3700</v>
      </c>
      <c r="C937" s="3" t="s">
        <v>3701</v>
      </c>
      <c r="D937" s="2">
        <v>1.1245716630134849E-4</v>
      </c>
      <c r="E937" s="8" t="s">
        <v>3702</v>
      </c>
      <c r="F937" s="9" t="s">
        <v>15</v>
      </c>
      <c r="G937" s="9" t="s">
        <v>16</v>
      </c>
      <c r="H937" s="9" t="s">
        <v>16</v>
      </c>
      <c r="I937" s="9"/>
      <c r="J937" s="9"/>
      <c r="K937" s="9"/>
    </row>
    <row r="938" hidden="1">
      <c r="A938" s="3" t="s">
        <v>3703</v>
      </c>
      <c r="B938" s="2" t="s">
        <v>3704</v>
      </c>
      <c r="C938" s="3" t="s">
        <v>3705</v>
      </c>
      <c r="D938" s="2">
        <v>1.1245716630134849E-4</v>
      </c>
      <c r="E938" s="8" t="s">
        <v>3706</v>
      </c>
      <c r="F938" s="9" t="s">
        <v>15</v>
      </c>
      <c r="G938" s="9" t="s">
        <v>16</v>
      </c>
      <c r="H938" s="9" t="s">
        <v>16</v>
      </c>
      <c r="I938" s="9"/>
      <c r="J938" s="9"/>
      <c r="K938" s="9"/>
    </row>
    <row r="939" hidden="1">
      <c r="A939" s="3" t="s">
        <v>3707</v>
      </c>
      <c r="B939" s="2" t="s">
        <v>3708</v>
      </c>
      <c r="C939" s="3" t="s">
        <v>3709</v>
      </c>
      <c r="D939" s="2">
        <v>1.1245716630134849E-4</v>
      </c>
      <c r="E939" s="8" t="s">
        <v>3710</v>
      </c>
      <c r="F939" s="9" t="s">
        <v>15</v>
      </c>
      <c r="G939" s="9" t="s">
        <v>16</v>
      </c>
      <c r="H939" s="9" t="s">
        <v>16</v>
      </c>
      <c r="I939" s="9"/>
      <c r="J939" s="9"/>
      <c r="K939" s="9"/>
    </row>
    <row r="940" hidden="1">
      <c r="A940" s="3" t="s">
        <v>3711</v>
      </c>
      <c r="B940" s="2" t="s">
        <v>3712</v>
      </c>
      <c r="C940" s="3" t="s">
        <v>3713</v>
      </c>
      <c r="D940" s="2">
        <v>1.1245716630134849E-4</v>
      </c>
      <c r="E940" s="8" t="s">
        <v>3714</v>
      </c>
      <c r="F940" s="9" t="s">
        <v>15</v>
      </c>
      <c r="G940" s="9" t="s">
        <v>16</v>
      </c>
      <c r="H940" s="9" t="s">
        <v>16</v>
      </c>
      <c r="I940" s="9"/>
      <c r="J940" s="9"/>
      <c r="K940" s="9"/>
    </row>
    <row r="941" hidden="1">
      <c r="A941" s="3" t="s">
        <v>3715</v>
      </c>
      <c r="B941" s="2" t="s">
        <v>3716</v>
      </c>
      <c r="C941" s="3" t="s">
        <v>3717</v>
      </c>
      <c r="D941" s="2">
        <v>1.1232808265521473E-4</v>
      </c>
      <c r="E941" s="8" t="s">
        <v>3718</v>
      </c>
      <c r="F941" s="9" t="s">
        <v>15</v>
      </c>
      <c r="G941" s="9" t="s">
        <v>16</v>
      </c>
      <c r="H941" s="9" t="s">
        <v>16</v>
      </c>
      <c r="I941" s="9"/>
      <c r="J941" s="9"/>
      <c r="K941" s="9"/>
    </row>
    <row r="942" hidden="1">
      <c r="A942" s="3" t="s">
        <v>3719</v>
      </c>
      <c r="B942" s="2" t="s">
        <v>3720</v>
      </c>
      <c r="C942" s="3" t="s">
        <v>3721</v>
      </c>
      <c r="D942" s="2">
        <v>1.1232808265521473E-4</v>
      </c>
      <c r="E942" s="8" t="s">
        <v>3722</v>
      </c>
      <c r="F942" s="9" t="s">
        <v>15</v>
      </c>
      <c r="G942" s="9" t="s">
        <v>16</v>
      </c>
      <c r="H942" s="9" t="s">
        <v>16</v>
      </c>
      <c r="I942" s="9"/>
      <c r="J942" s="9"/>
      <c r="K942" s="9"/>
    </row>
    <row r="943" hidden="1">
      <c r="A943" s="3" t="s">
        <v>3723</v>
      </c>
      <c r="B943" s="2" t="s">
        <v>3724</v>
      </c>
      <c r="C943" s="3" t="s">
        <v>3725</v>
      </c>
      <c r="D943" s="2">
        <v>1.1166949165787773E-4</v>
      </c>
      <c r="E943" s="8" t="s">
        <v>3726</v>
      </c>
      <c r="F943" s="9" t="s">
        <v>15</v>
      </c>
      <c r="G943" s="9" t="s">
        <v>16</v>
      </c>
      <c r="H943" s="9" t="s">
        <v>16</v>
      </c>
      <c r="I943" s="9"/>
      <c r="J943" s="9"/>
      <c r="K943" s="9"/>
    </row>
    <row r="944" hidden="1">
      <c r="A944" s="3" t="s">
        <v>3727</v>
      </c>
      <c r="B944" s="2" t="s">
        <v>3728</v>
      </c>
      <c r="C944" s="3" t="s">
        <v>3729</v>
      </c>
      <c r="D944" s="2">
        <v>1.1166949165787773E-4</v>
      </c>
      <c r="E944" s="8" t="s">
        <v>3730</v>
      </c>
      <c r="F944" s="9" t="s">
        <v>15</v>
      </c>
      <c r="G944" s="9" t="s">
        <v>16</v>
      </c>
      <c r="H944" s="9" t="s">
        <v>16</v>
      </c>
      <c r="I944" s="9"/>
      <c r="J944" s="9"/>
      <c r="K944" s="9"/>
    </row>
    <row r="945" hidden="1">
      <c r="A945" s="3" t="s">
        <v>3731</v>
      </c>
      <c r="B945" s="2" t="s">
        <v>3732</v>
      </c>
      <c r="C945" s="3" t="s">
        <v>3733</v>
      </c>
      <c r="D945" s="2">
        <v>1.1166949165787773E-4</v>
      </c>
      <c r="E945" s="8" t="s">
        <v>3734</v>
      </c>
      <c r="F945" s="9" t="s">
        <v>15</v>
      </c>
      <c r="G945" s="9" t="s">
        <v>16</v>
      </c>
      <c r="H945" s="9" t="s">
        <v>16</v>
      </c>
      <c r="I945" s="9"/>
      <c r="J945" s="9"/>
      <c r="K945" s="9"/>
    </row>
    <row r="946" hidden="1">
      <c r="A946" s="3" t="s">
        <v>3735</v>
      </c>
      <c r="B946" s="2" t="s">
        <v>3736</v>
      </c>
      <c r="C946" s="3" t="s">
        <v>3737</v>
      </c>
      <c r="D946" s="2">
        <v>1.1166949165787773E-4</v>
      </c>
      <c r="E946" s="8" t="s">
        <v>3738</v>
      </c>
      <c r="F946" s="9" t="s">
        <v>15</v>
      </c>
      <c r="G946" s="9" t="s">
        <v>16</v>
      </c>
      <c r="H946" s="9" t="s">
        <v>16</v>
      </c>
      <c r="I946" s="9"/>
      <c r="J946" s="9"/>
      <c r="K946" s="9"/>
    </row>
    <row r="947" hidden="1">
      <c r="A947" s="3" t="s">
        <v>3739</v>
      </c>
      <c r="B947" s="2" t="s">
        <v>3740</v>
      </c>
      <c r="C947" s="3" t="s">
        <v>3741</v>
      </c>
      <c r="D947" s="2">
        <v>1.116694916578777E-4</v>
      </c>
      <c r="E947" s="8" t="s">
        <v>3390</v>
      </c>
      <c r="F947" s="9" t="s">
        <v>15</v>
      </c>
      <c r="G947" s="9" t="s">
        <v>16</v>
      </c>
      <c r="H947" s="9" t="s">
        <v>16</v>
      </c>
      <c r="I947" s="9"/>
      <c r="J947" s="9"/>
      <c r="K947" s="9"/>
    </row>
    <row r="948" hidden="1">
      <c r="A948" s="3" t="s">
        <v>3742</v>
      </c>
      <c r="B948" s="2" t="s">
        <v>3743</v>
      </c>
      <c r="C948" s="3" t="s">
        <v>3744</v>
      </c>
      <c r="D948" s="2">
        <v>1.0959592970790288E-4</v>
      </c>
      <c r="E948" s="8" t="s">
        <v>3745</v>
      </c>
      <c r="F948" s="9" t="s">
        <v>15</v>
      </c>
      <c r="G948" s="9" t="s">
        <v>16</v>
      </c>
      <c r="H948" s="9" t="s">
        <v>16</v>
      </c>
      <c r="I948" s="9"/>
      <c r="J948" s="9"/>
      <c r="K948" s="9"/>
    </row>
    <row r="949" hidden="1">
      <c r="A949" s="3" t="s">
        <v>3746</v>
      </c>
      <c r="B949" s="2" t="s">
        <v>3747</v>
      </c>
      <c r="C949" s="3" t="s">
        <v>3748</v>
      </c>
      <c r="D949" s="2">
        <v>1.0959592970790288E-4</v>
      </c>
      <c r="E949" s="8" t="s">
        <v>3749</v>
      </c>
      <c r="F949" s="9" t="s">
        <v>15</v>
      </c>
      <c r="G949" s="9" t="s">
        <v>16</v>
      </c>
      <c r="H949" s="9" t="s">
        <v>16</v>
      </c>
      <c r="I949" s="9"/>
      <c r="J949" s="9"/>
      <c r="K949" s="9"/>
    </row>
    <row r="950" hidden="1">
      <c r="A950" s="3" t="s">
        <v>3750</v>
      </c>
      <c r="B950" s="2" t="s">
        <v>3751</v>
      </c>
      <c r="C950" s="3" t="s">
        <v>3752</v>
      </c>
      <c r="D950" s="2">
        <v>1.0959592970790288E-4</v>
      </c>
      <c r="E950" s="8" t="s">
        <v>3753</v>
      </c>
      <c r="F950" s="9" t="s">
        <v>15</v>
      </c>
      <c r="G950" s="9" t="s">
        <v>16</v>
      </c>
      <c r="H950" s="9" t="s">
        <v>16</v>
      </c>
      <c r="I950" s="9"/>
      <c r="J950" s="9"/>
      <c r="K950" s="9"/>
    </row>
    <row r="951" hidden="1">
      <c r="A951" s="3" t="s">
        <v>3754</v>
      </c>
      <c r="B951" s="2" t="s">
        <v>3755</v>
      </c>
      <c r="C951" s="3" t="s">
        <v>3756</v>
      </c>
      <c r="D951" s="2">
        <v>1.0959592970790288E-4</v>
      </c>
      <c r="E951" s="8" t="s">
        <v>3757</v>
      </c>
      <c r="F951" s="9" t="s">
        <v>15</v>
      </c>
      <c r="G951" s="9" t="s">
        <v>16</v>
      </c>
      <c r="H951" s="9" t="s">
        <v>16</v>
      </c>
      <c r="I951" s="9"/>
      <c r="J951" s="9"/>
      <c r="K951" s="9"/>
    </row>
    <row r="952" hidden="1">
      <c r="A952" s="3" t="s">
        <v>3758</v>
      </c>
      <c r="B952" s="2" t="s">
        <v>3759</v>
      </c>
      <c r="C952" s="3" t="s">
        <v>3760</v>
      </c>
      <c r="D952" s="2">
        <v>1.0959592970790288E-4</v>
      </c>
      <c r="E952" s="8" t="s">
        <v>3761</v>
      </c>
      <c r="F952" s="9" t="s">
        <v>15</v>
      </c>
      <c r="G952" s="9" t="s">
        <v>16</v>
      </c>
      <c r="H952" s="9" t="s">
        <v>16</v>
      </c>
      <c r="I952" s="9"/>
      <c r="J952" s="9"/>
      <c r="K952" s="9"/>
    </row>
    <row r="953" hidden="1">
      <c r="A953" s="3" t="s">
        <v>3762</v>
      </c>
      <c r="B953" s="2" t="s">
        <v>3763</v>
      </c>
      <c r="C953" s="3" t="s">
        <v>3764</v>
      </c>
      <c r="D953" s="2">
        <v>1.0959592970790288E-4</v>
      </c>
      <c r="E953" s="8" t="s">
        <v>3765</v>
      </c>
      <c r="F953" s="9" t="s">
        <v>15</v>
      </c>
      <c r="G953" s="9" t="s">
        <v>16</v>
      </c>
      <c r="H953" s="9" t="s">
        <v>16</v>
      </c>
      <c r="I953" s="9"/>
      <c r="J953" s="9"/>
      <c r="K953" s="9"/>
    </row>
    <row r="954" hidden="1">
      <c r="A954" s="3" t="s">
        <v>3766</v>
      </c>
      <c r="B954" s="2" t="s">
        <v>3767</v>
      </c>
      <c r="C954" s="3" t="s">
        <v>3768</v>
      </c>
      <c r="D954" s="2">
        <v>1.0959592970790288E-4</v>
      </c>
      <c r="E954" s="8" t="s">
        <v>3769</v>
      </c>
      <c r="F954" s="9" t="s">
        <v>15</v>
      </c>
      <c r="G954" s="9" t="s">
        <v>16</v>
      </c>
      <c r="H954" s="9" t="s">
        <v>16</v>
      </c>
      <c r="I954" s="9"/>
      <c r="J954" s="9"/>
      <c r="K954" s="9"/>
    </row>
    <row r="955" hidden="1">
      <c r="A955" s="3" t="s">
        <v>3770</v>
      </c>
      <c r="B955" s="2" t="s">
        <v>3771</v>
      </c>
      <c r="C955" s="3" t="s">
        <v>3772</v>
      </c>
      <c r="D955" s="2">
        <v>1.0880409911576328E-4</v>
      </c>
      <c r="E955" s="8" t="s">
        <v>3773</v>
      </c>
      <c r="F955" s="9" t="s">
        <v>15</v>
      </c>
      <c r="G955" s="9" t="s">
        <v>16</v>
      </c>
      <c r="H955" s="9" t="s">
        <v>16</v>
      </c>
      <c r="I955" s="9"/>
      <c r="J955" s="9"/>
      <c r="K955" s="9"/>
    </row>
    <row r="956">
      <c r="A956" s="3" t="s">
        <v>3774</v>
      </c>
      <c r="B956" s="2" t="s">
        <v>3775</v>
      </c>
      <c r="C956" s="3" t="s">
        <v>3776</v>
      </c>
      <c r="D956" s="2">
        <v>1.0880409911576328E-4</v>
      </c>
      <c r="E956" s="8" t="s">
        <v>3777</v>
      </c>
      <c r="F956" s="9" t="s">
        <v>16</v>
      </c>
      <c r="G956" s="9" t="s">
        <v>16</v>
      </c>
      <c r="H956" s="9" t="s">
        <v>16</v>
      </c>
      <c r="I956" s="9" t="s">
        <v>16</v>
      </c>
      <c r="J956" s="9" t="s">
        <v>16</v>
      </c>
      <c r="K956" s="9" t="s">
        <v>16</v>
      </c>
    </row>
    <row r="957">
      <c r="A957" s="3" t="s">
        <v>3778</v>
      </c>
      <c r="B957" s="2" t="s">
        <v>3779</v>
      </c>
      <c r="C957" s="3" t="s">
        <v>3780</v>
      </c>
      <c r="D957" s="2">
        <v>1.0880409911576328E-4</v>
      </c>
      <c r="E957" s="8" t="s">
        <v>3781</v>
      </c>
      <c r="F957" s="9" t="s">
        <v>16</v>
      </c>
      <c r="G957" s="9" t="s">
        <v>16</v>
      </c>
      <c r="H957" s="9" t="s">
        <v>16</v>
      </c>
      <c r="I957" s="9" t="s">
        <v>16</v>
      </c>
      <c r="J957" s="9" t="s">
        <v>16</v>
      </c>
      <c r="K957" s="9" t="s">
        <v>16</v>
      </c>
    </row>
    <row r="958" hidden="1">
      <c r="A958" s="3" t="s">
        <v>3782</v>
      </c>
      <c r="B958" s="2" t="s">
        <v>3783</v>
      </c>
      <c r="C958" s="3" t="s">
        <v>3784</v>
      </c>
      <c r="D958" s="2">
        <v>1.0688623884333105E-4</v>
      </c>
      <c r="E958" s="8" t="s">
        <v>3785</v>
      </c>
      <c r="F958" s="9" t="s">
        <v>15</v>
      </c>
      <c r="G958" s="9" t="s">
        <v>16</v>
      </c>
      <c r="H958" s="9" t="s">
        <v>16</v>
      </c>
      <c r="I958" s="9"/>
      <c r="J958" s="9"/>
      <c r="K958" s="9"/>
    </row>
    <row r="959" hidden="1">
      <c r="A959" s="3" t="s">
        <v>3786</v>
      </c>
      <c r="B959" s="2" t="s">
        <v>3787</v>
      </c>
      <c r="C959" s="3" t="s">
        <v>3788</v>
      </c>
      <c r="D959" s="2">
        <v>1.0688623884333105E-4</v>
      </c>
      <c r="E959" s="8" t="s">
        <v>3789</v>
      </c>
      <c r="F959" s="9" t="s">
        <v>15</v>
      </c>
      <c r="G959" s="9" t="s">
        <v>16</v>
      </c>
      <c r="H959" s="9" t="s">
        <v>16</v>
      </c>
      <c r="I959" s="9"/>
      <c r="J959" s="9"/>
      <c r="K959" s="9"/>
    </row>
    <row r="960" hidden="1">
      <c r="A960" s="3" t="s">
        <v>3790</v>
      </c>
      <c r="B960" s="2" t="s">
        <v>3791</v>
      </c>
      <c r="C960" s="3" t="s">
        <v>3792</v>
      </c>
      <c r="D960" s="2">
        <v>1.0688623884333105E-4</v>
      </c>
      <c r="E960" s="8" t="s">
        <v>3793</v>
      </c>
      <c r="F960" s="9" t="s">
        <v>15</v>
      </c>
      <c r="G960" s="9" t="s">
        <v>16</v>
      </c>
      <c r="H960" s="9" t="s">
        <v>16</v>
      </c>
      <c r="I960" s="9"/>
      <c r="J960" s="9"/>
      <c r="K960" s="9"/>
    </row>
    <row r="961" hidden="1">
      <c r="A961" s="3" t="s">
        <v>3794</v>
      </c>
      <c r="B961" s="2" t="s">
        <v>3795</v>
      </c>
      <c r="C961" s="3" t="s">
        <v>3796</v>
      </c>
      <c r="D961" s="2">
        <v>1.0688623884333105E-4</v>
      </c>
      <c r="E961" s="8" t="s">
        <v>3797</v>
      </c>
      <c r="F961" s="9" t="s">
        <v>15</v>
      </c>
      <c r="G961" s="9" t="s">
        <v>16</v>
      </c>
      <c r="H961" s="9" t="s">
        <v>16</v>
      </c>
      <c r="I961" s="9"/>
      <c r="J961" s="9"/>
      <c r="K961" s="9"/>
    </row>
    <row r="962" hidden="1">
      <c r="A962" s="3" t="s">
        <v>3798</v>
      </c>
      <c r="B962" s="2" t="s">
        <v>3799</v>
      </c>
      <c r="C962" s="3" t="s">
        <v>3800</v>
      </c>
      <c r="D962" s="2">
        <v>1.0630417916897293E-4</v>
      </c>
      <c r="E962" s="8" t="s">
        <v>3801</v>
      </c>
      <c r="F962" s="9" t="s">
        <v>15</v>
      </c>
      <c r="G962" s="9" t="s">
        <v>16</v>
      </c>
      <c r="H962" s="9" t="s">
        <v>16</v>
      </c>
      <c r="I962" s="9"/>
      <c r="J962" s="9"/>
      <c r="K962" s="9"/>
    </row>
    <row r="963" hidden="1">
      <c r="A963" s="3" t="s">
        <v>3802</v>
      </c>
      <c r="B963" s="2" t="s">
        <v>3803</v>
      </c>
      <c r="C963" s="3" t="s">
        <v>3804</v>
      </c>
      <c r="D963" s="2">
        <v>1.059628246380859E-4</v>
      </c>
      <c r="E963" s="8" t="s">
        <v>3805</v>
      </c>
      <c r="F963" s="9" t="s">
        <v>15</v>
      </c>
      <c r="G963" s="9" t="s">
        <v>16</v>
      </c>
      <c r="H963" s="9" t="s">
        <v>16</v>
      </c>
      <c r="I963" s="9"/>
      <c r="J963" s="9"/>
      <c r="K963" s="9"/>
    </row>
    <row r="964" hidden="1">
      <c r="A964" s="3" t="s">
        <v>3806</v>
      </c>
      <c r="B964" s="2" t="s">
        <v>3807</v>
      </c>
      <c r="C964" s="3" t="s">
        <v>3808</v>
      </c>
      <c r="D964" s="2">
        <v>1.059628246380859E-4</v>
      </c>
      <c r="E964" s="8" t="s">
        <v>3809</v>
      </c>
      <c r="F964" s="9" t="s">
        <v>15</v>
      </c>
      <c r="G964" s="9" t="s">
        <v>16</v>
      </c>
      <c r="H964" s="9" t="s">
        <v>16</v>
      </c>
      <c r="I964" s="9"/>
      <c r="J964" s="9"/>
      <c r="K964" s="9"/>
    </row>
    <row r="965" hidden="1">
      <c r="A965" s="3" t="s">
        <v>3810</v>
      </c>
      <c r="B965" s="2" t="s">
        <v>3811</v>
      </c>
      <c r="C965" s="3" t="s">
        <v>3812</v>
      </c>
      <c r="D965" s="2">
        <v>1.059628246380859E-4</v>
      </c>
      <c r="E965" s="8" t="s">
        <v>3813</v>
      </c>
      <c r="F965" s="9" t="s">
        <v>15</v>
      </c>
      <c r="G965" s="9" t="s">
        <v>16</v>
      </c>
      <c r="H965" s="9" t="s">
        <v>16</v>
      </c>
      <c r="I965" s="9"/>
      <c r="J965" s="9"/>
      <c r="K965" s="9"/>
    </row>
    <row r="966" hidden="1">
      <c r="A966" s="3" t="s">
        <v>3814</v>
      </c>
      <c r="B966" s="2" t="s">
        <v>3815</v>
      </c>
      <c r="C966" s="3" t="s">
        <v>3816</v>
      </c>
      <c r="D966" s="2">
        <v>1.059628246380859E-4</v>
      </c>
      <c r="E966" s="8" t="s">
        <v>3817</v>
      </c>
      <c r="F966" s="9" t="s">
        <v>15</v>
      </c>
      <c r="G966" s="9" t="s">
        <v>16</v>
      </c>
      <c r="H966" s="9" t="s">
        <v>16</v>
      </c>
      <c r="I966" s="9"/>
      <c r="J966" s="9"/>
      <c r="K966" s="9"/>
    </row>
    <row r="967" hidden="1">
      <c r="A967" s="3" t="s">
        <v>3818</v>
      </c>
      <c r="B967" s="2" t="s">
        <v>3819</v>
      </c>
      <c r="C967" s="3" t="s">
        <v>3820</v>
      </c>
      <c r="D967" s="2">
        <v>1.059628246380859E-4</v>
      </c>
      <c r="E967" s="8" t="s">
        <v>3821</v>
      </c>
      <c r="F967" s="9" t="s">
        <v>15</v>
      </c>
      <c r="G967" s="9" t="s">
        <v>16</v>
      </c>
      <c r="H967" s="9" t="s">
        <v>16</v>
      </c>
      <c r="I967" s="9"/>
      <c r="J967" s="9"/>
      <c r="K967" s="9"/>
    </row>
    <row r="968" hidden="1">
      <c r="A968" s="3" t="s">
        <v>3822</v>
      </c>
      <c r="B968" s="2" t="s">
        <v>3823</v>
      </c>
      <c r="C968" s="3" t="s">
        <v>3824</v>
      </c>
      <c r="D968" s="2">
        <v>1.059628246380859E-4</v>
      </c>
      <c r="E968" s="8" t="s">
        <v>3825</v>
      </c>
      <c r="F968" s="9" t="s">
        <v>15</v>
      </c>
      <c r="G968" s="9" t="s">
        <v>16</v>
      </c>
      <c r="H968" s="9" t="s">
        <v>16</v>
      </c>
      <c r="I968" s="9"/>
      <c r="J968" s="9"/>
      <c r="K968" s="9"/>
    </row>
    <row r="969" hidden="1">
      <c r="A969" s="3" t="s">
        <v>3826</v>
      </c>
      <c r="B969" s="2" t="s">
        <v>3827</v>
      </c>
      <c r="C969" s="3" t="s">
        <v>3828</v>
      </c>
      <c r="D969" s="2">
        <v>1.059628246380859E-4</v>
      </c>
      <c r="E969" s="8" t="s">
        <v>3829</v>
      </c>
      <c r="F969" s="9" t="s">
        <v>15</v>
      </c>
      <c r="G969" s="9" t="s">
        <v>16</v>
      </c>
      <c r="H969" s="9" t="s">
        <v>16</v>
      </c>
      <c r="I969" s="9"/>
      <c r="J969" s="9"/>
      <c r="K969" s="9"/>
    </row>
    <row r="970" hidden="1">
      <c r="A970" s="3" t="s">
        <v>3830</v>
      </c>
      <c r="B970" s="2" t="s">
        <v>3831</v>
      </c>
      <c r="C970" s="3" t="s">
        <v>3832</v>
      </c>
      <c r="D970" s="2">
        <v>1.059628246380859E-4</v>
      </c>
      <c r="E970" s="8" t="s">
        <v>3833</v>
      </c>
      <c r="F970" s="9" t="s">
        <v>15</v>
      </c>
      <c r="G970" s="9" t="s">
        <v>16</v>
      </c>
      <c r="H970" s="9" t="s">
        <v>16</v>
      </c>
      <c r="I970" s="9"/>
      <c r="J970" s="9"/>
      <c r="K970" s="9"/>
    </row>
    <row r="971" hidden="1">
      <c r="A971" s="3" t="s">
        <v>3834</v>
      </c>
      <c r="B971" s="2" t="s">
        <v>3835</v>
      </c>
      <c r="C971" s="3" t="s">
        <v>3836</v>
      </c>
      <c r="D971" s="2">
        <v>1.0560766532837622E-4</v>
      </c>
      <c r="E971" s="8" t="s">
        <v>3837</v>
      </c>
      <c r="F971" s="9" t="s">
        <v>15</v>
      </c>
      <c r="G971" s="9" t="s">
        <v>16</v>
      </c>
      <c r="H971" s="9" t="s">
        <v>16</v>
      </c>
      <c r="I971" s="9"/>
      <c r="J971" s="9"/>
      <c r="K971" s="9"/>
    </row>
    <row r="972" hidden="1">
      <c r="A972" s="3" t="s">
        <v>3838</v>
      </c>
      <c r="B972" s="2" t="s">
        <v>3839</v>
      </c>
      <c r="C972" s="3" t="s">
        <v>3840</v>
      </c>
      <c r="D972" s="2">
        <v>1.0560766532837622E-4</v>
      </c>
      <c r="E972" s="8" t="s">
        <v>3841</v>
      </c>
      <c r="F972" s="9" t="s">
        <v>15</v>
      </c>
      <c r="G972" s="9" t="s">
        <v>16</v>
      </c>
      <c r="H972" s="9" t="s">
        <v>16</v>
      </c>
      <c r="I972" s="9"/>
      <c r="J972" s="9"/>
      <c r="K972" s="9"/>
    </row>
    <row r="973" hidden="1">
      <c r="A973" s="3" t="s">
        <v>3842</v>
      </c>
      <c r="B973" s="2" t="s">
        <v>3843</v>
      </c>
      <c r="C973" s="3" t="s">
        <v>3844</v>
      </c>
      <c r="D973" s="2">
        <v>1.0560766532837622E-4</v>
      </c>
      <c r="E973" s="8" t="s">
        <v>3845</v>
      </c>
      <c r="F973" s="9" t="s">
        <v>15</v>
      </c>
      <c r="G973" s="9" t="s">
        <v>16</v>
      </c>
      <c r="H973" s="9" t="s">
        <v>16</v>
      </c>
      <c r="I973" s="9"/>
      <c r="J973" s="9"/>
      <c r="K973" s="9"/>
    </row>
    <row r="974" hidden="1">
      <c r="A974" s="3" t="s">
        <v>3846</v>
      </c>
      <c r="B974" s="2" t="s">
        <v>3847</v>
      </c>
      <c r="C974" s="3" t="s">
        <v>3848</v>
      </c>
      <c r="D974" s="2">
        <v>1.0196558143098074E-4</v>
      </c>
      <c r="E974" s="8" t="s">
        <v>3849</v>
      </c>
      <c r="F974" s="9" t="s">
        <v>15</v>
      </c>
      <c r="G974" s="9" t="s">
        <v>16</v>
      </c>
      <c r="H974" s="9" t="s">
        <v>16</v>
      </c>
      <c r="I974" s="9"/>
      <c r="J974" s="9"/>
      <c r="K974" s="9"/>
    </row>
    <row r="975" hidden="1">
      <c r="A975" s="3" t="s">
        <v>3850</v>
      </c>
      <c r="B975" s="2" t="s">
        <v>3851</v>
      </c>
      <c r="C975" s="3" t="s">
        <v>3852</v>
      </c>
      <c r="D975" s="2">
        <v>1.0196558143098074E-4</v>
      </c>
      <c r="E975" s="8" t="s">
        <v>3853</v>
      </c>
      <c r="F975" s="9" t="s">
        <v>15</v>
      </c>
      <c r="G975" s="9" t="s">
        <v>16</v>
      </c>
      <c r="H975" s="9" t="s">
        <v>16</v>
      </c>
      <c r="I975" s="9"/>
      <c r="J975" s="9"/>
      <c r="K975" s="9"/>
    </row>
    <row r="976" hidden="1">
      <c r="A976" s="3" t="s">
        <v>3854</v>
      </c>
      <c r="B976" s="2" t="s">
        <v>3855</v>
      </c>
      <c r="C976" s="3" t="s">
        <v>3856</v>
      </c>
      <c r="D976" s="2">
        <v>1.0196558143098074E-4</v>
      </c>
      <c r="E976" s="8" t="s">
        <v>3857</v>
      </c>
      <c r="F976" s="9" t="s">
        <v>15</v>
      </c>
      <c r="G976" s="9" t="s">
        <v>16</v>
      </c>
      <c r="H976" s="9" t="s">
        <v>16</v>
      </c>
      <c r="I976" s="9"/>
      <c r="J976" s="9"/>
      <c r="K976" s="9"/>
    </row>
    <row r="977" hidden="1">
      <c r="A977" s="3" t="s">
        <v>3858</v>
      </c>
      <c r="B977" s="2" t="s">
        <v>3859</v>
      </c>
      <c r="C977" s="3" t="s">
        <v>3860</v>
      </c>
      <c r="D977" s="2">
        <v>1.0196558143098074E-4</v>
      </c>
      <c r="E977" s="8" t="s">
        <v>3861</v>
      </c>
      <c r="F977" s="9" t="s">
        <v>15</v>
      </c>
      <c r="G977" s="9" t="s">
        <v>16</v>
      </c>
      <c r="H977" s="9" t="s">
        <v>16</v>
      </c>
      <c r="I977" s="9"/>
      <c r="J977" s="9"/>
      <c r="K977" s="9"/>
    </row>
    <row r="978" hidden="1">
      <c r="A978" s="3" t="s">
        <v>3862</v>
      </c>
      <c r="B978" s="2" t="s">
        <v>3863</v>
      </c>
      <c r="C978" s="3"/>
      <c r="D978" s="2">
        <v>1.0196558143098074E-4</v>
      </c>
      <c r="E978" s="8" t="s">
        <v>3864</v>
      </c>
      <c r="F978" s="9" t="s">
        <v>15</v>
      </c>
      <c r="G978" s="9" t="s">
        <v>16</v>
      </c>
      <c r="H978" s="9" t="s">
        <v>16</v>
      </c>
      <c r="I978" s="9"/>
      <c r="J978" s="9"/>
      <c r="K978" s="9"/>
    </row>
    <row r="979" hidden="1">
      <c r="A979" s="3" t="s">
        <v>3865</v>
      </c>
      <c r="B979" s="2" t="s">
        <v>3866</v>
      </c>
      <c r="C979" s="3" t="s">
        <v>3867</v>
      </c>
      <c r="D979" s="2">
        <v>1.0196558143098074E-4</v>
      </c>
      <c r="E979" s="8" t="s">
        <v>3868</v>
      </c>
      <c r="F979" s="9" t="s">
        <v>15</v>
      </c>
      <c r="G979" s="9" t="s">
        <v>16</v>
      </c>
      <c r="H979" s="9" t="s">
        <v>16</v>
      </c>
      <c r="I979" s="9"/>
      <c r="J979" s="9"/>
      <c r="K979" s="9"/>
    </row>
    <row r="980" hidden="1">
      <c r="A980" s="3" t="s">
        <v>3869</v>
      </c>
      <c r="B980" s="2" t="s">
        <v>3870</v>
      </c>
      <c r="C980" s="3" t="s">
        <v>3871</v>
      </c>
      <c r="D980" s="2">
        <v>1.0196558143098074E-4</v>
      </c>
      <c r="E980" s="8" t="s">
        <v>2059</v>
      </c>
      <c r="F980" s="9" t="s">
        <v>15</v>
      </c>
      <c r="G980" s="9" t="s">
        <v>16</v>
      </c>
      <c r="H980" s="9" t="s">
        <v>16</v>
      </c>
      <c r="I980" s="9"/>
      <c r="J980" s="9"/>
      <c r="K980" s="9"/>
    </row>
    <row r="981" hidden="1">
      <c r="A981" s="3" t="s">
        <v>3872</v>
      </c>
      <c r="B981" s="2" t="s">
        <v>3873</v>
      </c>
      <c r="C981" s="3" t="s">
        <v>3874</v>
      </c>
      <c r="D981" s="2">
        <v>1.0196558143098074E-4</v>
      </c>
      <c r="E981" s="8" t="s">
        <v>3875</v>
      </c>
      <c r="F981" s="9" t="s">
        <v>15</v>
      </c>
      <c r="G981" s="9" t="s">
        <v>16</v>
      </c>
      <c r="H981" s="9" t="s">
        <v>16</v>
      </c>
      <c r="I981" s="9"/>
      <c r="J981" s="9"/>
      <c r="K981" s="9"/>
    </row>
    <row r="982" hidden="1">
      <c r="A982" s="3" t="s">
        <v>3876</v>
      </c>
      <c r="B982" s="2" t="s">
        <v>3877</v>
      </c>
      <c r="C982" s="3" t="s">
        <v>3878</v>
      </c>
      <c r="D982" s="2">
        <v>1.0196558143098074E-4</v>
      </c>
      <c r="E982" s="8" t="s">
        <v>3342</v>
      </c>
      <c r="F982" s="9" t="s">
        <v>15</v>
      </c>
      <c r="G982" s="9" t="s">
        <v>16</v>
      </c>
      <c r="H982" s="9" t="s">
        <v>16</v>
      </c>
      <c r="I982" s="9"/>
      <c r="J982" s="9"/>
      <c r="K982" s="9"/>
    </row>
    <row r="983" hidden="1">
      <c r="A983" s="3" t="s">
        <v>3879</v>
      </c>
      <c r="B983" s="2" t="s">
        <v>3880</v>
      </c>
      <c r="C983" s="3" t="s">
        <v>3881</v>
      </c>
      <c r="D983" s="2">
        <v>1.0196558143098074E-4</v>
      </c>
      <c r="E983" s="8" t="s">
        <v>3882</v>
      </c>
      <c r="F983" s="9" t="s">
        <v>15</v>
      </c>
      <c r="G983" s="9" t="s">
        <v>16</v>
      </c>
      <c r="H983" s="9" t="s">
        <v>16</v>
      </c>
      <c r="I983" s="9"/>
      <c r="J983" s="9"/>
      <c r="K983" s="9"/>
    </row>
    <row r="984" hidden="1">
      <c r="A984" s="3" t="s">
        <v>3883</v>
      </c>
      <c r="B984" s="2" t="s">
        <v>3884</v>
      </c>
      <c r="C984" s="3" t="s">
        <v>3885</v>
      </c>
      <c r="D984" s="2">
        <v>1.0196558143098074E-4</v>
      </c>
      <c r="E984" s="8" t="s">
        <v>3886</v>
      </c>
      <c r="F984" s="9" t="s">
        <v>15</v>
      </c>
      <c r="G984" s="9" t="s">
        <v>16</v>
      </c>
      <c r="H984" s="9" t="s">
        <v>16</v>
      </c>
      <c r="I984" s="9"/>
      <c r="J984" s="9"/>
      <c r="K984" s="9"/>
    </row>
    <row r="985" hidden="1">
      <c r="A985" s="3" t="s">
        <v>3887</v>
      </c>
      <c r="B985" s="2" t="s">
        <v>3888</v>
      </c>
      <c r="C985" s="3" t="s">
        <v>3889</v>
      </c>
      <c r="D985" s="2">
        <v>1.0196558143098074E-4</v>
      </c>
      <c r="E985" s="8" t="s">
        <v>3890</v>
      </c>
      <c r="F985" s="9" t="s">
        <v>15</v>
      </c>
      <c r="G985" s="9" t="s">
        <v>16</v>
      </c>
      <c r="H985" s="9" t="s">
        <v>16</v>
      </c>
      <c r="I985" s="9"/>
      <c r="J985" s="9"/>
      <c r="K985" s="9"/>
    </row>
    <row r="986" hidden="1">
      <c r="A986" s="3" t="s">
        <v>3891</v>
      </c>
      <c r="B986" s="2" t="s">
        <v>3892</v>
      </c>
      <c r="C986" s="3" t="s">
        <v>3893</v>
      </c>
      <c r="D986" s="2">
        <v>1.0196558143098074E-4</v>
      </c>
      <c r="E986" s="8" t="s">
        <v>3894</v>
      </c>
      <c r="F986" s="9" t="s">
        <v>15</v>
      </c>
      <c r="G986" s="9" t="s">
        <v>16</v>
      </c>
      <c r="H986" s="9" t="s">
        <v>16</v>
      </c>
      <c r="I986" s="9"/>
      <c r="J986" s="9"/>
      <c r="K986" s="9"/>
    </row>
    <row r="987" hidden="1">
      <c r="A987" s="3" t="s">
        <v>3895</v>
      </c>
      <c r="B987" s="2" t="s">
        <v>3896</v>
      </c>
      <c r="C987" s="3" t="s">
        <v>3897</v>
      </c>
      <c r="D987" s="2">
        <v>1.0196558143098074E-4</v>
      </c>
      <c r="E987" s="8" t="s">
        <v>3898</v>
      </c>
      <c r="F987" s="9" t="s">
        <v>15</v>
      </c>
      <c r="G987" s="9" t="s">
        <v>16</v>
      </c>
      <c r="H987" s="9" t="s">
        <v>16</v>
      </c>
      <c r="I987" s="9"/>
      <c r="J987" s="9"/>
      <c r="K987" s="9"/>
    </row>
    <row r="988" hidden="1">
      <c r="A988" s="3" t="s">
        <v>3899</v>
      </c>
      <c r="B988" s="2" t="s">
        <v>3900</v>
      </c>
      <c r="C988" s="3" t="s">
        <v>3901</v>
      </c>
      <c r="D988" s="2">
        <v>1.0196558143098074E-4</v>
      </c>
      <c r="E988" s="8" t="s">
        <v>3902</v>
      </c>
      <c r="F988" s="9" t="s">
        <v>15</v>
      </c>
      <c r="G988" s="9" t="s">
        <v>16</v>
      </c>
      <c r="H988" s="9" t="s">
        <v>16</v>
      </c>
      <c r="I988" s="9"/>
      <c r="J988" s="9"/>
      <c r="K988" s="9"/>
    </row>
    <row r="989" hidden="1">
      <c r="A989" s="3" t="s">
        <v>3903</v>
      </c>
      <c r="B989" s="2" t="s">
        <v>3904</v>
      </c>
      <c r="C989" s="3" t="s">
        <v>3905</v>
      </c>
      <c r="D989" s="2">
        <v>1.0196558143098074E-4</v>
      </c>
      <c r="E989" s="8" t="s">
        <v>3906</v>
      </c>
      <c r="F989" s="9" t="s">
        <v>15</v>
      </c>
      <c r="G989" s="9" t="s">
        <v>16</v>
      </c>
      <c r="H989" s="9" t="s">
        <v>16</v>
      </c>
      <c r="I989" s="9"/>
      <c r="J989" s="9"/>
      <c r="K989" s="9"/>
    </row>
    <row r="990" hidden="1">
      <c r="A990" s="3" t="s">
        <v>3907</v>
      </c>
      <c r="B990" s="2" t="s">
        <v>3908</v>
      </c>
      <c r="C990" s="3" t="s">
        <v>3909</v>
      </c>
      <c r="D990" s="2">
        <v>1.0196558143098074E-4</v>
      </c>
      <c r="E990" s="8" t="s">
        <v>3910</v>
      </c>
      <c r="F990" s="9" t="s">
        <v>15</v>
      </c>
      <c r="G990" s="9" t="s">
        <v>16</v>
      </c>
      <c r="H990" s="9" t="s">
        <v>16</v>
      </c>
      <c r="I990" s="9"/>
      <c r="J990" s="9"/>
      <c r="K990" s="9"/>
    </row>
    <row r="991" hidden="1">
      <c r="A991" s="3" t="s">
        <v>3911</v>
      </c>
      <c r="B991" s="2" t="s">
        <v>3912</v>
      </c>
      <c r="C991" s="3" t="s">
        <v>3913</v>
      </c>
      <c r="D991" s="2">
        <v>1.0196558143098074E-4</v>
      </c>
      <c r="E991" s="8" t="s">
        <v>3914</v>
      </c>
      <c r="F991" s="9" t="s">
        <v>15</v>
      </c>
      <c r="G991" s="9" t="s">
        <v>16</v>
      </c>
      <c r="H991" s="9" t="s">
        <v>16</v>
      </c>
      <c r="I991" s="9"/>
      <c r="J991" s="9"/>
      <c r="K991" s="9"/>
    </row>
    <row r="992" hidden="1">
      <c r="A992" s="3" t="s">
        <v>3915</v>
      </c>
      <c r="B992" s="2" t="s">
        <v>3916</v>
      </c>
      <c r="C992" s="3" t="s">
        <v>3917</v>
      </c>
      <c r="D992" s="2">
        <v>1.0196558143098074E-4</v>
      </c>
      <c r="E992" s="8" t="s">
        <v>3918</v>
      </c>
      <c r="F992" s="9" t="s">
        <v>15</v>
      </c>
      <c r="G992" s="9" t="s">
        <v>16</v>
      </c>
      <c r="H992" s="9" t="s">
        <v>16</v>
      </c>
      <c r="I992" s="9"/>
      <c r="J992" s="9"/>
      <c r="K992" s="9"/>
    </row>
    <row r="993" hidden="1">
      <c r="A993" s="3" t="s">
        <v>3919</v>
      </c>
      <c r="B993" s="2" t="s">
        <v>3920</v>
      </c>
      <c r="C993" s="3" t="s">
        <v>3921</v>
      </c>
      <c r="D993" s="2">
        <v>1.0196558143098074E-4</v>
      </c>
      <c r="E993" s="8" t="s">
        <v>3922</v>
      </c>
      <c r="F993" s="9" t="s">
        <v>15</v>
      </c>
      <c r="G993" s="9" t="s">
        <v>16</v>
      </c>
      <c r="H993" s="9" t="s">
        <v>16</v>
      </c>
      <c r="I993" s="9"/>
      <c r="J993" s="9"/>
      <c r="K993" s="9"/>
    </row>
    <row r="994" hidden="1">
      <c r="A994" s="3" t="s">
        <v>3923</v>
      </c>
      <c r="B994" s="2" t="s">
        <v>3924</v>
      </c>
      <c r="C994" s="3" t="s">
        <v>3925</v>
      </c>
      <c r="D994" s="2">
        <v>1.0196558143098074E-4</v>
      </c>
      <c r="E994" s="8" t="s">
        <v>3926</v>
      </c>
      <c r="F994" s="9" t="s">
        <v>15</v>
      </c>
      <c r="G994" s="9" t="s">
        <v>16</v>
      </c>
      <c r="H994" s="9" t="s">
        <v>16</v>
      </c>
      <c r="I994" s="9"/>
      <c r="J994" s="9"/>
      <c r="K994" s="9"/>
    </row>
    <row r="995" hidden="1">
      <c r="A995" s="3" t="s">
        <v>3927</v>
      </c>
      <c r="B995" s="2" t="s">
        <v>3928</v>
      </c>
      <c r="C995" s="3" t="s">
        <v>3929</v>
      </c>
      <c r="D995" s="2">
        <v>1.0196558143098074E-4</v>
      </c>
      <c r="E995" s="8" t="s">
        <v>3930</v>
      </c>
      <c r="F995" s="9" t="s">
        <v>15</v>
      </c>
      <c r="G995" s="9" t="s">
        <v>16</v>
      </c>
      <c r="H995" s="9" t="s">
        <v>16</v>
      </c>
      <c r="I995" s="9"/>
      <c r="J995" s="9"/>
      <c r="K995" s="9"/>
    </row>
    <row r="996" hidden="1">
      <c r="A996" s="3" t="s">
        <v>3931</v>
      </c>
      <c r="B996" s="2" t="s">
        <v>3932</v>
      </c>
      <c r="C996" s="3" t="s">
        <v>3933</v>
      </c>
      <c r="D996" s="2">
        <v>1.0196558143098074E-4</v>
      </c>
      <c r="E996" s="8" t="s">
        <v>3934</v>
      </c>
      <c r="F996" s="9" t="s">
        <v>15</v>
      </c>
      <c r="G996" s="9" t="s">
        <v>16</v>
      </c>
      <c r="H996" s="9" t="s">
        <v>16</v>
      </c>
      <c r="I996" s="9"/>
      <c r="J996" s="9"/>
      <c r="K996" s="9"/>
    </row>
    <row r="997" hidden="1">
      <c r="A997" s="3" t="s">
        <v>3935</v>
      </c>
      <c r="B997" s="2" t="s">
        <v>3936</v>
      </c>
      <c r="C997" s="3" t="s">
        <v>3937</v>
      </c>
      <c r="D997" s="2">
        <v>1.0196558143098074E-4</v>
      </c>
      <c r="E997" s="8" t="s">
        <v>3686</v>
      </c>
      <c r="F997" s="9" t="s">
        <v>15</v>
      </c>
      <c r="G997" s="9" t="s">
        <v>16</v>
      </c>
      <c r="H997" s="9" t="s">
        <v>16</v>
      </c>
      <c r="I997" s="9"/>
      <c r="J997" s="9"/>
      <c r="K997" s="9"/>
    </row>
    <row r="998" hidden="1">
      <c r="A998" s="3" t="s">
        <v>3938</v>
      </c>
      <c r="B998" s="2" t="s">
        <v>3939</v>
      </c>
      <c r="C998" s="3" t="s">
        <v>3940</v>
      </c>
      <c r="D998" s="2">
        <v>1.0196558143098074E-4</v>
      </c>
      <c r="E998" s="8" t="s">
        <v>3941</v>
      </c>
      <c r="F998" s="9" t="s">
        <v>15</v>
      </c>
      <c r="G998" s="9" t="s">
        <v>16</v>
      </c>
      <c r="H998" s="9" t="s">
        <v>16</v>
      </c>
      <c r="I998" s="9"/>
      <c r="J998" s="9"/>
      <c r="K998" s="9"/>
    </row>
    <row r="999" hidden="1">
      <c r="A999" s="3" t="s">
        <v>3942</v>
      </c>
      <c r="B999" s="2" t="s">
        <v>3943</v>
      </c>
      <c r="C999" s="3" t="s">
        <v>3944</v>
      </c>
      <c r="D999" s="2">
        <v>1.0196558143098074E-4</v>
      </c>
      <c r="E999" s="8" t="s">
        <v>3945</v>
      </c>
      <c r="F999" s="9" t="s">
        <v>15</v>
      </c>
      <c r="G999" s="9" t="s">
        <v>16</v>
      </c>
      <c r="H999" s="9" t="s">
        <v>16</v>
      </c>
      <c r="I999" s="9"/>
      <c r="J999" s="9"/>
      <c r="K999" s="9"/>
    </row>
    <row r="1000" hidden="1">
      <c r="A1000" s="3" t="s">
        <v>3946</v>
      </c>
      <c r="B1000" s="2" t="s">
        <v>3947</v>
      </c>
      <c r="C1000" s="3"/>
      <c r="D1000" s="2">
        <v>1.0196558143098074E-4</v>
      </c>
      <c r="E1000" s="8" t="s">
        <v>3948</v>
      </c>
      <c r="F1000" s="9" t="s">
        <v>15</v>
      </c>
      <c r="G1000" s="9" t="s">
        <v>16</v>
      </c>
      <c r="H1000" s="9" t="s">
        <v>16</v>
      </c>
      <c r="I1000" s="9"/>
      <c r="J1000" s="9"/>
      <c r="K1000" s="9"/>
    </row>
    <row r="1001" hidden="1">
      <c r="A1001" s="3" t="s">
        <v>3949</v>
      </c>
      <c r="B1001" s="2" t="s">
        <v>3950</v>
      </c>
      <c r="C1001" s="3" t="s">
        <v>3951</v>
      </c>
      <c r="D1001" s="2">
        <v>1.0196558143098074E-4</v>
      </c>
      <c r="E1001" s="8" t="s">
        <v>3952</v>
      </c>
      <c r="F1001" s="9" t="s">
        <v>15</v>
      </c>
      <c r="G1001" s="9" t="s">
        <v>16</v>
      </c>
      <c r="H1001" s="9" t="s">
        <v>16</v>
      </c>
      <c r="I1001" s="9"/>
      <c r="J1001" s="9"/>
      <c r="K1001" s="9"/>
    </row>
    <row r="1002" hidden="1">
      <c r="A1002" s="3" t="s">
        <v>3953</v>
      </c>
      <c r="B1002" s="2" t="s">
        <v>3954</v>
      </c>
      <c r="C1002" s="3" t="s">
        <v>3955</v>
      </c>
      <c r="D1002" s="2">
        <v>1.0196558143098073E-4</v>
      </c>
      <c r="E1002" s="8" t="s">
        <v>3956</v>
      </c>
      <c r="F1002" s="9" t="s">
        <v>15</v>
      </c>
      <c r="G1002" s="9" t="s">
        <v>16</v>
      </c>
      <c r="H1002" s="9" t="s">
        <v>16</v>
      </c>
      <c r="I1002" s="9"/>
      <c r="J1002" s="9"/>
      <c r="K1002" s="9"/>
    </row>
    <row r="1003" hidden="1">
      <c r="A1003" s="3" t="s">
        <v>3957</v>
      </c>
      <c r="B1003" s="2" t="s">
        <v>3958</v>
      </c>
      <c r="C1003" s="3" t="s">
        <v>3959</v>
      </c>
      <c r="D1003" s="2">
        <v>1.0112292855685594E-4</v>
      </c>
      <c r="E1003" s="8" t="s">
        <v>3960</v>
      </c>
      <c r="F1003" s="9" t="s">
        <v>15</v>
      </c>
      <c r="G1003" s="9" t="s">
        <v>16</v>
      </c>
      <c r="H1003" s="9" t="s">
        <v>16</v>
      </c>
      <c r="I1003" s="9"/>
      <c r="J1003" s="9"/>
      <c r="K1003" s="9"/>
    </row>
    <row r="1004" hidden="1">
      <c r="A1004" s="3" t="s">
        <v>3961</v>
      </c>
      <c r="B1004" s="2" t="s">
        <v>3962</v>
      </c>
      <c r="C1004" s="3" t="s">
        <v>3963</v>
      </c>
      <c r="D1004" s="2">
        <v>1.0112292855685594E-4</v>
      </c>
      <c r="E1004" s="8" t="s">
        <v>3964</v>
      </c>
      <c r="F1004" s="9" t="s">
        <v>15</v>
      </c>
      <c r="G1004" s="9" t="s">
        <v>16</v>
      </c>
      <c r="H1004" s="9" t="s">
        <v>16</v>
      </c>
      <c r="I1004" s="9"/>
      <c r="J1004" s="9"/>
      <c r="K1004" s="9"/>
    </row>
    <row r="1005" hidden="1">
      <c r="A1005" s="3" t="s">
        <v>3965</v>
      </c>
      <c r="B1005" s="2" t="s">
        <v>3966</v>
      </c>
      <c r="C1005" s="3" t="s">
        <v>3967</v>
      </c>
      <c r="D1005" s="2">
        <v>1.0112292855685594E-4</v>
      </c>
      <c r="E1005" s="8" t="s">
        <v>3968</v>
      </c>
      <c r="F1005" s="9" t="s">
        <v>15</v>
      </c>
      <c r="G1005" s="9" t="s">
        <v>16</v>
      </c>
      <c r="H1005" s="9" t="s">
        <v>16</v>
      </c>
      <c r="I1005" s="9"/>
      <c r="J1005" s="9"/>
      <c r="K1005" s="9"/>
    </row>
    <row r="1006" hidden="1">
      <c r="A1006" s="3" t="s">
        <v>3969</v>
      </c>
      <c r="B1006" s="2" t="s">
        <v>3970</v>
      </c>
      <c r="C1006" s="3"/>
      <c r="D1006" s="2">
        <v>1.0112292855685594E-4</v>
      </c>
      <c r="E1006" s="8" t="s">
        <v>3971</v>
      </c>
      <c r="F1006" s="9" t="s">
        <v>15</v>
      </c>
      <c r="G1006" s="9" t="s">
        <v>16</v>
      </c>
      <c r="H1006" s="9" t="s">
        <v>16</v>
      </c>
      <c r="I1006" s="9"/>
      <c r="J1006" s="9"/>
      <c r="K1006" s="9"/>
    </row>
    <row r="1007" hidden="1">
      <c r="A1007" s="3" t="s">
        <v>3972</v>
      </c>
      <c r="B1007" s="2" t="s">
        <v>3973</v>
      </c>
      <c r="C1007" s="3" t="s">
        <v>3974</v>
      </c>
      <c r="D1007" s="2">
        <v>1.0112292855685594E-4</v>
      </c>
      <c r="E1007" s="8" t="s">
        <v>3975</v>
      </c>
      <c r="F1007" s="9" t="s">
        <v>15</v>
      </c>
      <c r="G1007" s="9" t="s">
        <v>16</v>
      </c>
      <c r="H1007" s="9" t="s">
        <v>16</v>
      </c>
      <c r="I1007" s="9"/>
      <c r="J1007" s="9"/>
      <c r="K1007" s="9"/>
    </row>
    <row r="1008" hidden="1">
      <c r="A1008" s="3" t="s">
        <v>3976</v>
      </c>
      <c r="B1008" s="2" t="s">
        <v>3977</v>
      </c>
      <c r="C1008" s="3"/>
      <c r="D1008" s="2">
        <v>1.0112292855685594E-4</v>
      </c>
      <c r="E1008" s="8" t="s">
        <v>3978</v>
      </c>
      <c r="F1008" s="9" t="s">
        <v>15</v>
      </c>
      <c r="G1008" s="9" t="s">
        <v>16</v>
      </c>
      <c r="H1008" s="9" t="s">
        <v>16</v>
      </c>
      <c r="I1008" s="9"/>
      <c r="J1008" s="9"/>
      <c r="K1008" s="9"/>
    </row>
    <row r="1009" hidden="1">
      <c r="A1009" s="3" t="s">
        <v>3979</v>
      </c>
      <c r="B1009" s="2" t="s">
        <v>3980</v>
      </c>
      <c r="C1009" s="3" t="s">
        <v>3981</v>
      </c>
      <c r="D1009" s="2">
        <v>1.0112292855685594E-4</v>
      </c>
      <c r="E1009" s="8" t="s">
        <v>3982</v>
      </c>
      <c r="F1009" s="9" t="s">
        <v>15</v>
      </c>
      <c r="G1009" s="9" t="s">
        <v>16</v>
      </c>
      <c r="H1009" s="9" t="s">
        <v>16</v>
      </c>
      <c r="I1009" s="9"/>
      <c r="J1009" s="9"/>
      <c r="K1009" s="9"/>
    </row>
    <row r="1010" hidden="1">
      <c r="A1010" s="3" t="s">
        <v>3983</v>
      </c>
      <c r="B1010" s="2" t="s">
        <v>3984</v>
      </c>
      <c r="C1010" s="3" t="s">
        <v>3985</v>
      </c>
      <c r="D1010" s="2">
        <v>1.0112292855685594E-4</v>
      </c>
      <c r="E1010" s="8" t="s">
        <v>3986</v>
      </c>
      <c r="F1010" s="9" t="s">
        <v>15</v>
      </c>
      <c r="G1010" s="9" t="s">
        <v>16</v>
      </c>
      <c r="H1010" s="9" t="s">
        <v>16</v>
      </c>
      <c r="I1010" s="9"/>
      <c r="J1010" s="9"/>
      <c r="K1010" s="9"/>
    </row>
    <row r="1011" hidden="1">
      <c r="A1011" s="3" t="s">
        <v>3987</v>
      </c>
      <c r="B1011" s="2" t="s">
        <v>3988</v>
      </c>
      <c r="C1011" s="3" t="s">
        <v>3989</v>
      </c>
      <c r="D1011" s="2">
        <v>1.0112292855685594E-4</v>
      </c>
      <c r="E1011" s="8" t="s">
        <v>3990</v>
      </c>
      <c r="F1011" s="9" t="s">
        <v>15</v>
      </c>
      <c r="G1011" s="9" t="s">
        <v>16</v>
      </c>
      <c r="H1011" s="9" t="s">
        <v>16</v>
      </c>
      <c r="I1011" s="9"/>
      <c r="J1011" s="9"/>
      <c r="K1011" s="9"/>
    </row>
    <row r="1012" hidden="1">
      <c r="A1012" s="3" t="s">
        <v>3991</v>
      </c>
      <c r="B1012" s="2" t="s">
        <v>3992</v>
      </c>
      <c r="C1012" s="3" t="s">
        <v>3993</v>
      </c>
      <c r="D1012" s="2">
        <v>1.0112292855685594E-4</v>
      </c>
      <c r="E1012" s="8" t="s">
        <v>3994</v>
      </c>
      <c r="F1012" s="9" t="s">
        <v>15</v>
      </c>
      <c r="G1012" s="9" t="s">
        <v>16</v>
      </c>
      <c r="H1012" s="9" t="s">
        <v>16</v>
      </c>
      <c r="I1012" s="9"/>
      <c r="J1012" s="9"/>
      <c r="K1012" s="9"/>
    </row>
    <row r="1013" hidden="1">
      <c r="A1013" s="3" t="s">
        <v>3995</v>
      </c>
      <c r="B1013" s="2" t="s">
        <v>3996</v>
      </c>
      <c r="C1013" s="3" t="s">
        <v>3997</v>
      </c>
      <c r="D1013" s="2">
        <v>1.0112292855685594E-4</v>
      </c>
      <c r="E1013" s="8" t="s">
        <v>3781</v>
      </c>
      <c r="F1013" s="9" t="s">
        <v>15</v>
      </c>
      <c r="G1013" s="9" t="s">
        <v>16</v>
      </c>
      <c r="H1013" s="9" t="s">
        <v>16</v>
      </c>
      <c r="I1013" s="9"/>
      <c r="J1013" s="9"/>
      <c r="K1013" s="9"/>
    </row>
    <row r="1014" hidden="1">
      <c r="A1014" s="3" t="s">
        <v>3998</v>
      </c>
      <c r="B1014" s="2" t="s">
        <v>3999</v>
      </c>
      <c r="C1014" s="3" t="s">
        <v>4000</v>
      </c>
      <c r="D1014" s="2">
        <v>1.0112292855685594E-4</v>
      </c>
      <c r="E1014" s="8" t="s">
        <v>4001</v>
      </c>
      <c r="F1014" s="9" t="s">
        <v>15</v>
      </c>
      <c r="G1014" s="9" t="s">
        <v>16</v>
      </c>
      <c r="H1014" s="9" t="s">
        <v>16</v>
      </c>
      <c r="I1014" s="9"/>
      <c r="J1014" s="9"/>
      <c r="K1014" s="9"/>
    </row>
    <row r="1015" hidden="1">
      <c r="A1015" s="3" t="s">
        <v>4002</v>
      </c>
      <c r="B1015" s="2" t="s">
        <v>4003</v>
      </c>
      <c r="C1015" s="3" t="s">
        <v>4004</v>
      </c>
      <c r="D1015" s="2">
        <v>1.0112292855685594E-4</v>
      </c>
      <c r="E1015" s="8" t="s">
        <v>4005</v>
      </c>
      <c r="F1015" s="9" t="s">
        <v>15</v>
      </c>
      <c r="G1015" s="9" t="s">
        <v>16</v>
      </c>
      <c r="H1015" s="9" t="s">
        <v>16</v>
      </c>
      <c r="I1015" s="9"/>
      <c r="J1015" s="9"/>
      <c r="K1015" s="9"/>
    </row>
    <row r="1016" hidden="1">
      <c r="A1016" s="3" t="s">
        <v>4006</v>
      </c>
      <c r="B1016" s="2" t="s">
        <v>4007</v>
      </c>
      <c r="C1016" s="3" t="s">
        <v>4008</v>
      </c>
      <c r="D1016" s="2">
        <v>1.0112292855685594E-4</v>
      </c>
      <c r="E1016" s="8" t="s">
        <v>4009</v>
      </c>
      <c r="F1016" s="9" t="s">
        <v>15</v>
      </c>
      <c r="G1016" s="9" t="s">
        <v>16</v>
      </c>
      <c r="H1016" s="9" t="s">
        <v>16</v>
      </c>
      <c r="I1016" s="9"/>
      <c r="J1016" s="9"/>
      <c r="K1016" s="9"/>
    </row>
    <row r="1017" hidden="1">
      <c r="A1017" s="3" t="s">
        <v>4010</v>
      </c>
      <c r="B1017" s="2" t="s">
        <v>4011</v>
      </c>
      <c r="C1017" s="3" t="s">
        <v>4012</v>
      </c>
      <c r="D1017" s="2">
        <v>1.0112292855685594E-4</v>
      </c>
      <c r="E1017" s="8" t="s">
        <v>4013</v>
      </c>
      <c r="F1017" s="9" t="s">
        <v>15</v>
      </c>
      <c r="G1017" s="9" t="s">
        <v>16</v>
      </c>
      <c r="H1017" s="9" t="s">
        <v>16</v>
      </c>
      <c r="I1017" s="9"/>
      <c r="J1017" s="9"/>
      <c r="K1017" s="9"/>
    </row>
    <row r="1018" hidden="1">
      <c r="A1018" s="3" t="s">
        <v>4014</v>
      </c>
      <c r="B1018" s="2" t="s">
        <v>4015</v>
      </c>
      <c r="C1018" s="3" t="s">
        <v>4016</v>
      </c>
      <c r="D1018" s="2">
        <v>1.0112292855685594E-4</v>
      </c>
      <c r="E1018" s="8" t="s">
        <v>4017</v>
      </c>
      <c r="F1018" s="9" t="s">
        <v>15</v>
      </c>
      <c r="G1018" s="9" t="s">
        <v>16</v>
      </c>
      <c r="H1018" s="9" t="s">
        <v>16</v>
      </c>
      <c r="I1018" s="9"/>
      <c r="J1018" s="9"/>
      <c r="K1018" s="9"/>
    </row>
    <row r="1019" hidden="1">
      <c r="A1019" s="3" t="s">
        <v>4018</v>
      </c>
      <c r="B1019" s="2" t="s">
        <v>4019</v>
      </c>
      <c r="C1019" s="3" t="s">
        <v>4020</v>
      </c>
      <c r="D1019" s="2">
        <v>1.0112292855685594E-4</v>
      </c>
      <c r="E1019" s="8" t="s">
        <v>4021</v>
      </c>
      <c r="F1019" s="9" t="s">
        <v>15</v>
      </c>
      <c r="G1019" s="9" t="s">
        <v>16</v>
      </c>
      <c r="H1019" s="9" t="s">
        <v>16</v>
      </c>
      <c r="I1019" s="9"/>
      <c r="J1019" s="9"/>
      <c r="K1019" s="9"/>
    </row>
    <row r="1020" hidden="1">
      <c r="A1020" s="3" t="s">
        <v>4022</v>
      </c>
      <c r="B1020" s="2" t="s">
        <v>4023</v>
      </c>
      <c r="C1020" s="3" t="s">
        <v>4024</v>
      </c>
      <c r="D1020" s="2">
        <v>1.0112292855685594E-4</v>
      </c>
      <c r="E1020" s="8" t="s">
        <v>4025</v>
      </c>
      <c r="F1020" s="9" t="s">
        <v>15</v>
      </c>
      <c r="G1020" s="9" t="s">
        <v>16</v>
      </c>
      <c r="H1020" s="9" t="s">
        <v>16</v>
      </c>
      <c r="I1020" s="9"/>
      <c r="J1020" s="9"/>
      <c r="K1020" s="9"/>
    </row>
    <row r="1021" hidden="1">
      <c r="A1021" s="3" t="s">
        <v>4026</v>
      </c>
      <c r="B1021" s="2" t="s">
        <v>4027</v>
      </c>
      <c r="C1021" s="3" t="s">
        <v>4028</v>
      </c>
      <c r="D1021" s="2">
        <v>1.0112292855685594E-4</v>
      </c>
      <c r="E1021" s="8" t="s">
        <v>4029</v>
      </c>
      <c r="F1021" s="9" t="s">
        <v>15</v>
      </c>
      <c r="G1021" s="9" t="s">
        <v>16</v>
      </c>
      <c r="H1021" s="9" t="s">
        <v>16</v>
      </c>
      <c r="I1021" s="9"/>
      <c r="J1021" s="9"/>
      <c r="K1021" s="9"/>
    </row>
    <row r="1022" hidden="1">
      <c r="A1022" s="3" t="s">
        <v>4030</v>
      </c>
      <c r="B1022" s="2" t="s">
        <v>4031</v>
      </c>
      <c r="C1022" s="3" t="s">
        <v>4032</v>
      </c>
      <c r="D1022" s="2">
        <v>1.0112292855685594E-4</v>
      </c>
      <c r="E1022" s="8" t="s">
        <v>4033</v>
      </c>
      <c r="F1022" s="9" t="s">
        <v>15</v>
      </c>
      <c r="G1022" s="9" t="s">
        <v>16</v>
      </c>
      <c r="H1022" s="9" t="s">
        <v>16</v>
      </c>
      <c r="I1022" s="9"/>
      <c r="J1022" s="9"/>
      <c r="K1022" s="9"/>
    </row>
    <row r="1023" hidden="1">
      <c r="A1023" s="3" t="s">
        <v>4034</v>
      </c>
      <c r="B1023" s="2" t="s">
        <v>4035</v>
      </c>
      <c r="C1023" s="3" t="s">
        <v>4036</v>
      </c>
      <c r="D1023" s="2">
        <v>1.0112292855685594E-4</v>
      </c>
      <c r="E1023" s="8" t="s">
        <v>4037</v>
      </c>
      <c r="F1023" s="9" t="s">
        <v>15</v>
      </c>
      <c r="G1023" s="9" t="s">
        <v>16</v>
      </c>
      <c r="H1023" s="9" t="s">
        <v>16</v>
      </c>
      <c r="I1023" s="9"/>
      <c r="J1023" s="9"/>
      <c r="K1023" s="9"/>
    </row>
    <row r="1024" hidden="1">
      <c r="A1024" s="3" t="s">
        <v>4038</v>
      </c>
      <c r="B1024" s="2" t="s">
        <v>4039</v>
      </c>
      <c r="C1024" s="3" t="s">
        <v>4040</v>
      </c>
      <c r="D1024" s="2">
        <v>1.0112292855685594E-4</v>
      </c>
      <c r="E1024" s="8" t="s">
        <v>4041</v>
      </c>
      <c r="F1024" s="9" t="s">
        <v>15</v>
      </c>
      <c r="G1024" s="9" t="s">
        <v>16</v>
      </c>
      <c r="H1024" s="9" t="s">
        <v>16</v>
      </c>
      <c r="I1024" s="9"/>
      <c r="J1024" s="9"/>
      <c r="K1024" s="9"/>
    </row>
    <row r="1025" hidden="1">
      <c r="A1025" s="3" t="s">
        <v>4042</v>
      </c>
      <c r="B1025" s="2" t="s">
        <v>4043</v>
      </c>
      <c r="C1025" s="3" t="s">
        <v>4044</v>
      </c>
      <c r="D1025" s="2">
        <v>1.0112292855685594E-4</v>
      </c>
      <c r="E1025" s="8" t="s">
        <v>4045</v>
      </c>
      <c r="F1025" s="9" t="s">
        <v>15</v>
      </c>
      <c r="G1025" s="9" t="s">
        <v>16</v>
      </c>
      <c r="H1025" s="9" t="s">
        <v>16</v>
      </c>
      <c r="I1025" s="9"/>
      <c r="J1025" s="9"/>
      <c r="K1025" s="9"/>
    </row>
    <row r="1026" hidden="1">
      <c r="A1026" s="3" t="s">
        <v>4046</v>
      </c>
      <c r="B1026" s="2" t="s">
        <v>4047</v>
      </c>
      <c r="C1026" s="3" t="s">
        <v>4048</v>
      </c>
      <c r="D1026" s="2">
        <v>1.0112292855685594E-4</v>
      </c>
      <c r="E1026" s="8" t="s">
        <v>4049</v>
      </c>
      <c r="F1026" s="9" t="s">
        <v>15</v>
      </c>
      <c r="G1026" s="9" t="s">
        <v>16</v>
      </c>
      <c r="H1026" s="9" t="s">
        <v>16</v>
      </c>
      <c r="I1026" s="9"/>
      <c r="J1026" s="9"/>
      <c r="K1026" s="9"/>
    </row>
    <row r="1027" hidden="1">
      <c r="A1027" s="3" t="s">
        <v>4050</v>
      </c>
      <c r="B1027" s="2" t="s">
        <v>4051</v>
      </c>
      <c r="C1027" s="3" t="s">
        <v>4052</v>
      </c>
      <c r="D1027" s="2">
        <v>1.0112292855685594E-4</v>
      </c>
      <c r="E1027" s="8" t="s">
        <v>4053</v>
      </c>
      <c r="F1027" s="9" t="s">
        <v>15</v>
      </c>
      <c r="G1027" s="9" t="s">
        <v>16</v>
      </c>
      <c r="H1027" s="9" t="s">
        <v>16</v>
      </c>
      <c r="I1027" s="9"/>
      <c r="J1027" s="9"/>
      <c r="K1027" s="9"/>
    </row>
    <row r="1028" hidden="1">
      <c r="A1028" s="3" t="s">
        <v>4054</v>
      </c>
      <c r="B1028" s="2" t="s">
        <v>4055</v>
      </c>
      <c r="C1028" s="3" t="s">
        <v>4056</v>
      </c>
      <c r="D1028" s="2">
        <v>1.0112292855685594E-4</v>
      </c>
      <c r="E1028" s="8" t="s">
        <v>4057</v>
      </c>
      <c r="F1028" s="9" t="s">
        <v>15</v>
      </c>
      <c r="G1028" s="9" t="s">
        <v>16</v>
      </c>
      <c r="H1028" s="9" t="s">
        <v>16</v>
      </c>
      <c r="I1028" s="9"/>
      <c r="J1028" s="9"/>
      <c r="K1028" s="9"/>
    </row>
    <row r="1029" hidden="1">
      <c r="A1029" s="3" t="s">
        <v>4058</v>
      </c>
      <c r="B1029" s="2" t="s">
        <v>4059</v>
      </c>
      <c r="C1029" s="3" t="s">
        <v>4060</v>
      </c>
      <c r="D1029" s="2">
        <v>1.0112292855685594E-4</v>
      </c>
      <c r="E1029" s="8" t="s">
        <v>4061</v>
      </c>
      <c r="F1029" s="9" t="s">
        <v>15</v>
      </c>
      <c r="G1029" s="9" t="s">
        <v>16</v>
      </c>
      <c r="H1029" s="9" t="s">
        <v>16</v>
      </c>
      <c r="I1029" s="9"/>
      <c r="J1029" s="9"/>
      <c r="K1029" s="9"/>
    </row>
    <row r="1030" hidden="1">
      <c r="A1030" s="3" t="s">
        <v>4062</v>
      </c>
      <c r="B1030" s="2" t="s">
        <v>4063</v>
      </c>
      <c r="C1030" s="3" t="s">
        <v>4064</v>
      </c>
      <c r="D1030" s="2">
        <v>1.0112292855685594E-4</v>
      </c>
      <c r="E1030" s="8" t="s">
        <v>4065</v>
      </c>
      <c r="F1030" s="9" t="s">
        <v>15</v>
      </c>
      <c r="G1030" s="9" t="s">
        <v>16</v>
      </c>
      <c r="H1030" s="9" t="s">
        <v>16</v>
      </c>
      <c r="I1030" s="9"/>
      <c r="J1030" s="9"/>
      <c r="K1030" s="9"/>
    </row>
    <row r="1031" hidden="1">
      <c r="A1031" s="3" t="s">
        <v>4066</v>
      </c>
      <c r="B1031" s="2" t="s">
        <v>4067</v>
      </c>
      <c r="C1031" s="3" t="s">
        <v>4068</v>
      </c>
      <c r="D1031" s="2">
        <v>1.0112292855685594E-4</v>
      </c>
      <c r="E1031" s="8" t="s">
        <v>4069</v>
      </c>
      <c r="F1031" s="9" t="s">
        <v>15</v>
      </c>
      <c r="G1031" s="9" t="s">
        <v>16</v>
      </c>
      <c r="H1031" s="9" t="s">
        <v>16</v>
      </c>
      <c r="I1031" s="9"/>
      <c r="J1031" s="9"/>
      <c r="K1031" s="9"/>
    </row>
    <row r="1032" hidden="1">
      <c r="A1032" s="3" t="s">
        <v>4070</v>
      </c>
      <c r="B1032" s="2" t="s">
        <v>4071</v>
      </c>
      <c r="C1032" s="3" t="s">
        <v>4072</v>
      </c>
      <c r="D1032" s="2">
        <v>1.0112292855685594E-4</v>
      </c>
      <c r="E1032" s="8" t="s">
        <v>4073</v>
      </c>
      <c r="F1032" s="9" t="s">
        <v>15</v>
      </c>
      <c r="G1032" s="9" t="s">
        <v>16</v>
      </c>
      <c r="H1032" s="9" t="s">
        <v>16</v>
      </c>
      <c r="I1032" s="9"/>
      <c r="J1032" s="9"/>
      <c r="K1032" s="9"/>
    </row>
    <row r="1033" hidden="1">
      <c r="A1033" s="3" t="s">
        <v>4074</v>
      </c>
      <c r="B1033" s="2" t="s">
        <v>4075</v>
      </c>
      <c r="C1033" s="3" t="s">
        <v>4076</v>
      </c>
      <c r="D1033" s="2">
        <v>1.0112292855685594E-4</v>
      </c>
      <c r="E1033" s="8" t="s">
        <v>4077</v>
      </c>
      <c r="F1033" s="9" t="s">
        <v>15</v>
      </c>
      <c r="G1033" s="9" t="s">
        <v>16</v>
      </c>
      <c r="H1033" s="9" t="s">
        <v>16</v>
      </c>
      <c r="I1033" s="9"/>
      <c r="J1033" s="9"/>
      <c r="K1033" s="9"/>
    </row>
    <row r="1034" hidden="1">
      <c r="A1034" s="3" t="s">
        <v>4078</v>
      </c>
      <c r="B1034" s="2" t="s">
        <v>4079</v>
      </c>
      <c r="C1034" s="3" t="s">
        <v>4080</v>
      </c>
      <c r="D1034" s="2">
        <v>1.0112292855685594E-4</v>
      </c>
      <c r="E1034" s="8" t="s">
        <v>4081</v>
      </c>
      <c r="F1034" s="9" t="s">
        <v>15</v>
      </c>
      <c r="G1034" s="9" t="s">
        <v>16</v>
      </c>
      <c r="H1034" s="9" t="s">
        <v>16</v>
      </c>
      <c r="I1034" s="9"/>
      <c r="J1034" s="9"/>
      <c r="K1034" s="9"/>
    </row>
    <row r="1035" hidden="1">
      <c r="A1035" s="3" t="s">
        <v>4082</v>
      </c>
      <c r="B1035" s="2" t="s">
        <v>4083</v>
      </c>
      <c r="C1035" s="3" t="s">
        <v>4084</v>
      </c>
      <c r="D1035" s="2">
        <v>1.0112292855685594E-4</v>
      </c>
      <c r="E1035" s="8" t="s">
        <v>4085</v>
      </c>
      <c r="F1035" s="9" t="s">
        <v>15</v>
      </c>
      <c r="G1035" s="9" t="s">
        <v>16</v>
      </c>
      <c r="H1035" s="9" t="s">
        <v>16</v>
      </c>
      <c r="I1035" s="9"/>
      <c r="J1035" s="9"/>
      <c r="K1035" s="9"/>
    </row>
    <row r="1036" hidden="1">
      <c r="A1036" s="3" t="s">
        <v>4086</v>
      </c>
      <c r="B1036" s="2" t="s">
        <v>4087</v>
      </c>
      <c r="C1036" s="3" t="s">
        <v>4088</v>
      </c>
      <c r="D1036" s="2">
        <v>1.0112292855685594E-4</v>
      </c>
      <c r="E1036" s="8" t="s">
        <v>4089</v>
      </c>
      <c r="F1036" s="9" t="s">
        <v>15</v>
      </c>
      <c r="G1036" s="9" t="s">
        <v>16</v>
      </c>
      <c r="H1036" s="9" t="s">
        <v>16</v>
      </c>
      <c r="I1036" s="9"/>
      <c r="J1036" s="9"/>
      <c r="K1036" s="9"/>
    </row>
    <row r="1037" hidden="1">
      <c r="A1037" s="3" t="s">
        <v>4090</v>
      </c>
      <c r="B1037" s="2" t="s">
        <v>4091</v>
      </c>
      <c r="C1037" s="3" t="s">
        <v>4092</v>
      </c>
      <c r="D1037" s="2">
        <v>1.0112292855685594E-4</v>
      </c>
      <c r="E1037" s="8" t="s">
        <v>4093</v>
      </c>
      <c r="F1037" s="9" t="s">
        <v>15</v>
      </c>
      <c r="G1037" s="9" t="s">
        <v>16</v>
      </c>
      <c r="H1037" s="9" t="s">
        <v>16</v>
      </c>
      <c r="I1037" s="9"/>
      <c r="J1037" s="9"/>
      <c r="K1037" s="9"/>
    </row>
    <row r="1038" hidden="1">
      <c r="A1038" s="3" t="s">
        <v>4094</v>
      </c>
      <c r="B1038" s="2" t="s">
        <v>4095</v>
      </c>
      <c r="C1038" s="3" t="s">
        <v>4096</v>
      </c>
      <c r="D1038" s="2">
        <v>1.0028027568273114E-4</v>
      </c>
      <c r="E1038" s="8" t="s">
        <v>4097</v>
      </c>
      <c r="F1038" s="9" t="s">
        <v>15</v>
      </c>
      <c r="G1038" s="9" t="s">
        <v>16</v>
      </c>
      <c r="H1038" s="9" t="s">
        <v>16</v>
      </c>
      <c r="I1038" s="9"/>
      <c r="J1038" s="9"/>
      <c r="K1038" s="9"/>
    </row>
    <row r="1039" hidden="1">
      <c r="A1039" s="3" t="s">
        <v>4098</v>
      </c>
      <c r="B1039" s="2" t="s">
        <v>4099</v>
      </c>
      <c r="C1039" s="3" t="s">
        <v>4100</v>
      </c>
      <c r="D1039" s="2">
        <v>1.0028027568273114E-4</v>
      </c>
      <c r="E1039" s="8" t="s">
        <v>4101</v>
      </c>
      <c r="F1039" s="9" t="s">
        <v>15</v>
      </c>
      <c r="G1039" s="9" t="s">
        <v>16</v>
      </c>
      <c r="H1039" s="9" t="s">
        <v>16</v>
      </c>
      <c r="I1039" s="9"/>
      <c r="J1039" s="9"/>
      <c r="K1039" s="9"/>
    </row>
    <row r="1040" hidden="1">
      <c r="A1040" s="3" t="s">
        <v>4102</v>
      </c>
      <c r="B1040" s="2" t="s">
        <v>4103</v>
      </c>
      <c r="C1040" s="3" t="s">
        <v>4104</v>
      </c>
      <c r="D1040" s="2">
        <v>1.0028027568273113E-4</v>
      </c>
      <c r="E1040" s="8" t="s">
        <v>4105</v>
      </c>
      <c r="F1040" s="9" t="s">
        <v>15</v>
      </c>
      <c r="G1040" s="9" t="s">
        <v>16</v>
      </c>
      <c r="H1040" s="9" t="s">
        <v>16</v>
      </c>
      <c r="I1040" s="9"/>
      <c r="J1040" s="9"/>
      <c r="K1040" s="9"/>
    </row>
    <row r="1041" hidden="1">
      <c r="A1041" s="3" t="s">
        <v>4106</v>
      </c>
      <c r="B1041" s="2" t="s">
        <v>4107</v>
      </c>
      <c r="C1041" s="3" t="s">
        <v>4108</v>
      </c>
      <c r="D1041" s="2">
        <v>1.0028027568273113E-4</v>
      </c>
      <c r="E1041" s="8" t="s">
        <v>4109</v>
      </c>
      <c r="F1041" s="9" t="s">
        <v>15</v>
      </c>
      <c r="G1041" s="9" t="s">
        <v>16</v>
      </c>
      <c r="H1041" s="9" t="s">
        <v>16</v>
      </c>
      <c r="I1041" s="9"/>
      <c r="J1041" s="9"/>
      <c r="K1041" s="9"/>
    </row>
    <row r="1042" hidden="1">
      <c r="A1042" s="3" t="s">
        <v>4110</v>
      </c>
      <c r="B1042" s="2" t="s">
        <v>4111</v>
      </c>
      <c r="C1042" s="3" t="s">
        <v>4112</v>
      </c>
      <c r="D1042" s="2">
        <v>1.0028027568273113E-4</v>
      </c>
      <c r="E1042" s="8" t="s">
        <v>4113</v>
      </c>
      <c r="F1042" s="9" t="s">
        <v>15</v>
      </c>
      <c r="G1042" s="9" t="s">
        <v>16</v>
      </c>
      <c r="H1042" s="9" t="s">
        <v>16</v>
      </c>
      <c r="I1042" s="9"/>
      <c r="J1042" s="9"/>
      <c r="K1042" s="9"/>
    </row>
    <row r="1043" hidden="1">
      <c r="A1043" s="3" t="s">
        <v>4114</v>
      </c>
      <c r="B1043" s="2" t="s">
        <v>4115</v>
      </c>
      <c r="C1043" s="3" t="s">
        <v>4116</v>
      </c>
      <c r="D1043" s="2">
        <v>1.0028027568273113E-4</v>
      </c>
      <c r="E1043" s="8" t="s">
        <v>4117</v>
      </c>
      <c r="F1043" s="9" t="s">
        <v>15</v>
      </c>
      <c r="G1043" s="9" t="s">
        <v>16</v>
      </c>
      <c r="H1043" s="9" t="s">
        <v>16</v>
      </c>
      <c r="I1043" s="9"/>
      <c r="J1043" s="9"/>
      <c r="K1043" s="9"/>
    </row>
    <row r="1044" hidden="1">
      <c r="A1044" s="3" t="s">
        <v>4118</v>
      </c>
      <c r="B1044" s="2" t="s">
        <v>4119</v>
      </c>
      <c r="C1044" s="3" t="s">
        <v>4120</v>
      </c>
      <c r="D1044" s="2">
        <v>1.0028027568273113E-4</v>
      </c>
      <c r="E1044" s="8" t="s">
        <v>4121</v>
      </c>
      <c r="F1044" s="9" t="s">
        <v>15</v>
      </c>
      <c r="G1044" s="9" t="s">
        <v>16</v>
      </c>
      <c r="H1044" s="9" t="s">
        <v>16</v>
      </c>
      <c r="I1044" s="9"/>
      <c r="J1044" s="9"/>
      <c r="K1044" s="9"/>
    </row>
    <row r="1045" hidden="1">
      <c r="A1045" s="3" t="s">
        <v>4122</v>
      </c>
      <c r="B1045" s="2" t="s">
        <v>4123</v>
      </c>
      <c r="C1045" s="3" t="s">
        <v>4124</v>
      </c>
      <c r="D1045" s="2">
        <v>1.0028027568273113E-4</v>
      </c>
      <c r="E1045" s="8" t="s">
        <v>4125</v>
      </c>
      <c r="F1045" s="9" t="s">
        <v>15</v>
      </c>
      <c r="G1045" s="9" t="s">
        <v>16</v>
      </c>
      <c r="H1045" s="9" t="s">
        <v>16</v>
      </c>
      <c r="I1045" s="9"/>
      <c r="J1045" s="9"/>
      <c r="K1045" s="9"/>
    </row>
    <row r="1046" hidden="1">
      <c r="A1046" s="3" t="s">
        <v>4126</v>
      </c>
      <c r="B1046" s="2" t="s">
        <v>4127</v>
      </c>
      <c r="C1046" s="3" t="s">
        <v>4128</v>
      </c>
      <c r="D1046" s="2">
        <v>1.0028027568273113E-4</v>
      </c>
      <c r="E1046" s="8" t="s">
        <v>4129</v>
      </c>
      <c r="F1046" s="9" t="s">
        <v>15</v>
      </c>
      <c r="G1046" s="9" t="s">
        <v>16</v>
      </c>
      <c r="H1046" s="9" t="s">
        <v>16</v>
      </c>
      <c r="I1046" s="9"/>
      <c r="J1046" s="9"/>
      <c r="K1046" s="9"/>
    </row>
    <row r="1047" hidden="1">
      <c r="A1047" s="3" t="s">
        <v>4130</v>
      </c>
      <c r="B1047" s="2" t="s">
        <v>4131</v>
      </c>
      <c r="C1047" s="3" t="s">
        <v>4132</v>
      </c>
      <c r="D1047" s="2">
        <v>1.0028027568273113E-4</v>
      </c>
      <c r="E1047" s="8" t="s">
        <v>4133</v>
      </c>
      <c r="F1047" s="9" t="s">
        <v>15</v>
      </c>
      <c r="G1047" s="9" t="s">
        <v>16</v>
      </c>
      <c r="H1047" s="9" t="s">
        <v>16</v>
      </c>
      <c r="I1047" s="9"/>
      <c r="J1047" s="9"/>
      <c r="K1047" s="9"/>
    </row>
    <row r="1048" hidden="1">
      <c r="A1048" s="3" t="s">
        <v>4134</v>
      </c>
      <c r="B1048" s="2" t="s">
        <v>4135</v>
      </c>
      <c r="C1048" s="3"/>
      <c r="D1048" s="2">
        <v>1.0028027568273113E-4</v>
      </c>
      <c r="E1048" s="8" t="s">
        <v>4136</v>
      </c>
      <c r="F1048" s="9" t="s">
        <v>15</v>
      </c>
      <c r="G1048" s="9" t="s">
        <v>16</v>
      </c>
      <c r="H1048" s="9" t="s">
        <v>16</v>
      </c>
      <c r="I1048" s="9"/>
      <c r="J1048" s="9"/>
      <c r="K1048" s="9"/>
    </row>
    <row r="1049" hidden="1">
      <c r="A1049" s="3" t="s">
        <v>4137</v>
      </c>
      <c r="B1049" s="2" t="s">
        <v>4138</v>
      </c>
      <c r="C1049" s="3" t="s">
        <v>4139</v>
      </c>
      <c r="D1049" s="2">
        <v>1.0028027568273113E-4</v>
      </c>
      <c r="E1049" s="8" t="s">
        <v>4140</v>
      </c>
      <c r="F1049" s="9" t="s">
        <v>15</v>
      </c>
      <c r="G1049" s="9" t="s">
        <v>16</v>
      </c>
      <c r="H1049" s="9" t="s">
        <v>16</v>
      </c>
      <c r="I1049" s="9"/>
      <c r="J1049" s="9"/>
      <c r="K1049" s="9"/>
    </row>
    <row r="1050" hidden="1">
      <c r="A1050" s="3" t="s">
        <v>4141</v>
      </c>
      <c r="B1050" s="2" t="s">
        <v>4142</v>
      </c>
      <c r="C1050" s="3" t="s">
        <v>4143</v>
      </c>
      <c r="D1050" s="2">
        <v>1.0028027568273113E-4</v>
      </c>
      <c r="E1050" s="8" t="s">
        <v>4144</v>
      </c>
      <c r="F1050" s="9" t="s">
        <v>15</v>
      </c>
      <c r="G1050" s="9" t="s">
        <v>16</v>
      </c>
      <c r="H1050" s="9" t="s">
        <v>16</v>
      </c>
      <c r="I1050" s="9"/>
      <c r="J1050" s="9"/>
      <c r="K1050" s="9"/>
    </row>
    <row r="1051" hidden="1">
      <c r="A1051" s="3" t="s">
        <v>4145</v>
      </c>
      <c r="B1051" s="2" t="s">
        <v>4146</v>
      </c>
      <c r="C1051" s="3" t="s">
        <v>4147</v>
      </c>
      <c r="D1051" s="2">
        <v>1.0028027568273113E-4</v>
      </c>
      <c r="E1051" s="8" t="s">
        <v>4148</v>
      </c>
      <c r="F1051" s="9" t="s">
        <v>15</v>
      </c>
      <c r="G1051" s="9" t="s">
        <v>16</v>
      </c>
      <c r="H1051" s="9" t="s">
        <v>16</v>
      </c>
      <c r="I1051" s="9"/>
      <c r="J1051" s="9"/>
      <c r="K1051" s="9"/>
    </row>
    <row r="1052" hidden="1">
      <c r="A1052" s="3" t="s">
        <v>4149</v>
      </c>
      <c r="B1052" s="2" t="s">
        <v>4150</v>
      </c>
      <c r="C1052" s="3" t="s">
        <v>4151</v>
      </c>
      <c r="D1052" s="2">
        <v>1.0028027568273113E-4</v>
      </c>
      <c r="E1052" s="8" t="s">
        <v>4152</v>
      </c>
      <c r="F1052" s="9" t="s">
        <v>15</v>
      </c>
      <c r="G1052" s="9" t="s">
        <v>16</v>
      </c>
      <c r="H1052" s="9" t="s">
        <v>16</v>
      </c>
      <c r="I1052" s="9"/>
      <c r="J1052" s="9"/>
      <c r="K1052" s="9"/>
    </row>
    <row r="1053" hidden="1">
      <c r="A1053" s="3" t="s">
        <v>4153</v>
      </c>
      <c r="B1053" s="2" t="s">
        <v>4154</v>
      </c>
      <c r="C1053" s="3" t="s">
        <v>4155</v>
      </c>
      <c r="D1053" s="2">
        <v>1.0028027568273113E-4</v>
      </c>
      <c r="E1053" s="8" t="s">
        <v>4156</v>
      </c>
      <c r="F1053" s="9" t="s">
        <v>15</v>
      </c>
      <c r="G1053" s="9" t="s">
        <v>16</v>
      </c>
      <c r="H1053" s="9" t="s">
        <v>16</v>
      </c>
      <c r="I1053" s="9"/>
      <c r="J1053" s="9"/>
      <c r="K1053" s="9"/>
    </row>
    <row r="1054" hidden="1">
      <c r="A1054" s="3" t="s">
        <v>4157</v>
      </c>
      <c r="B1054" s="2" t="s">
        <v>4158</v>
      </c>
      <c r="C1054" s="3" t="s">
        <v>4159</v>
      </c>
      <c r="D1054" s="2">
        <v>1.0028027568273113E-4</v>
      </c>
      <c r="E1054" s="8" t="s">
        <v>4160</v>
      </c>
      <c r="F1054" s="9" t="s">
        <v>15</v>
      </c>
      <c r="G1054" s="9" t="s">
        <v>16</v>
      </c>
      <c r="H1054" s="9" t="s">
        <v>16</v>
      </c>
      <c r="I1054" s="9"/>
      <c r="J1054" s="9"/>
      <c r="K1054" s="9"/>
    </row>
    <row r="1055" hidden="1">
      <c r="A1055" s="3" t="s">
        <v>4161</v>
      </c>
      <c r="B1055" s="2" t="s">
        <v>4162</v>
      </c>
      <c r="C1055" s="3"/>
      <c r="D1055" s="2">
        <v>1.0028027568273113E-4</v>
      </c>
      <c r="E1055" s="8" t="s">
        <v>4163</v>
      </c>
      <c r="F1055" s="9" t="s">
        <v>15</v>
      </c>
      <c r="G1055" s="9" t="s">
        <v>16</v>
      </c>
      <c r="H1055" s="9" t="s">
        <v>16</v>
      </c>
      <c r="I1055" s="9"/>
      <c r="J1055" s="9"/>
      <c r="K1055" s="9"/>
    </row>
    <row r="1056" hidden="1">
      <c r="A1056" s="3" t="s">
        <v>4164</v>
      </c>
      <c r="B1056" s="2" t="s">
        <v>4165</v>
      </c>
      <c r="C1056" s="3" t="s">
        <v>4166</v>
      </c>
      <c r="D1056" s="2">
        <v>1.0028027568273113E-4</v>
      </c>
      <c r="E1056" s="8" t="s">
        <v>2382</v>
      </c>
      <c r="F1056" s="9" t="s">
        <v>15</v>
      </c>
      <c r="G1056" s="9" t="s">
        <v>16</v>
      </c>
      <c r="H1056" s="9" t="s">
        <v>16</v>
      </c>
      <c r="I1056" s="9"/>
      <c r="J1056" s="9"/>
      <c r="K1056" s="9"/>
    </row>
    <row r="1057" hidden="1">
      <c r="A1057" s="3" t="s">
        <v>4167</v>
      </c>
      <c r="B1057" s="2" t="s">
        <v>4168</v>
      </c>
      <c r="C1057" s="3" t="s">
        <v>4169</v>
      </c>
      <c r="D1057" s="2">
        <v>1.0028027568273113E-4</v>
      </c>
      <c r="E1057" s="8" t="s">
        <v>4170</v>
      </c>
      <c r="F1057" s="9" t="s">
        <v>15</v>
      </c>
      <c r="G1057" s="9" t="s">
        <v>16</v>
      </c>
      <c r="H1057" s="9" t="s">
        <v>16</v>
      </c>
      <c r="I1057" s="9"/>
      <c r="J1057" s="9"/>
      <c r="K1057" s="9"/>
    </row>
    <row r="1058" hidden="1">
      <c r="A1058" s="3" t="s">
        <v>4171</v>
      </c>
      <c r="B1058" s="2" t="s">
        <v>4172</v>
      </c>
      <c r="C1058" s="3" t="s">
        <v>4173</v>
      </c>
      <c r="D1058" s="2">
        <v>1.0028027568273113E-4</v>
      </c>
      <c r="E1058" s="8" t="s">
        <v>4174</v>
      </c>
      <c r="F1058" s="9" t="s">
        <v>15</v>
      </c>
      <c r="G1058" s="9" t="s">
        <v>16</v>
      </c>
      <c r="H1058" s="9" t="s">
        <v>16</v>
      </c>
      <c r="I1058" s="9"/>
      <c r="J1058" s="9"/>
      <c r="K1058" s="9"/>
    </row>
    <row r="1059" hidden="1">
      <c r="A1059" s="3" t="s">
        <v>4175</v>
      </c>
      <c r="B1059" s="2" t="s">
        <v>4176</v>
      </c>
      <c r="C1059" s="3" t="s">
        <v>4177</v>
      </c>
      <c r="D1059" s="2">
        <v>1.0028027568273113E-4</v>
      </c>
      <c r="E1059" s="8" t="s">
        <v>4178</v>
      </c>
      <c r="F1059" s="9" t="s">
        <v>15</v>
      </c>
      <c r="G1059" s="9" t="s">
        <v>16</v>
      </c>
      <c r="H1059" s="9" t="s">
        <v>16</v>
      </c>
      <c r="I1059" s="9"/>
      <c r="J1059" s="9"/>
      <c r="K1059" s="9"/>
    </row>
    <row r="1060" hidden="1">
      <c r="A1060" s="3" t="s">
        <v>4179</v>
      </c>
      <c r="B1060" s="2" t="s">
        <v>4180</v>
      </c>
      <c r="C1060" s="3" t="s">
        <v>4181</v>
      </c>
      <c r="D1060" s="2">
        <v>1.0028027568273113E-4</v>
      </c>
      <c r="E1060" s="8" t="s">
        <v>4182</v>
      </c>
      <c r="F1060" s="9" t="s">
        <v>15</v>
      </c>
      <c r="G1060" s="9" t="s">
        <v>16</v>
      </c>
      <c r="H1060" s="9" t="s">
        <v>16</v>
      </c>
      <c r="I1060" s="9"/>
      <c r="J1060" s="9"/>
      <c r="K1060" s="9"/>
    </row>
    <row r="1061" hidden="1">
      <c r="A1061" s="3" t="s">
        <v>4183</v>
      </c>
      <c r="B1061" s="2" t="s">
        <v>4184</v>
      </c>
      <c r="C1061" s="3" t="s">
        <v>4185</v>
      </c>
      <c r="D1061" s="2">
        <v>1.0028027568273113E-4</v>
      </c>
      <c r="E1061" s="8" t="s">
        <v>4186</v>
      </c>
      <c r="F1061" s="9" t="s">
        <v>15</v>
      </c>
      <c r="G1061" s="9" t="s">
        <v>16</v>
      </c>
      <c r="H1061" s="9" t="s">
        <v>16</v>
      </c>
      <c r="I1061" s="9"/>
      <c r="J1061" s="9"/>
      <c r="K1061" s="9"/>
    </row>
    <row r="1062" hidden="1">
      <c r="A1062" s="3" t="s">
        <v>4187</v>
      </c>
      <c r="B1062" s="2" t="s">
        <v>4188</v>
      </c>
      <c r="C1062" s="3" t="s">
        <v>4189</v>
      </c>
      <c r="D1062" s="2">
        <v>1.0028027568273113E-4</v>
      </c>
      <c r="E1062" s="8" t="s">
        <v>1716</v>
      </c>
      <c r="F1062" s="9" t="s">
        <v>15</v>
      </c>
      <c r="G1062" s="9" t="s">
        <v>16</v>
      </c>
      <c r="H1062" s="9" t="s">
        <v>16</v>
      </c>
      <c r="I1062" s="9"/>
      <c r="J1062" s="9"/>
      <c r="K1062" s="9"/>
    </row>
    <row r="1063" hidden="1">
      <c r="A1063" s="3" t="s">
        <v>4190</v>
      </c>
      <c r="B1063" s="2" t="s">
        <v>4191</v>
      </c>
      <c r="C1063" s="3"/>
      <c r="D1063" s="2">
        <v>1.0028027568273113E-4</v>
      </c>
      <c r="E1063" s="8" t="s">
        <v>4192</v>
      </c>
      <c r="F1063" s="9" t="s">
        <v>15</v>
      </c>
      <c r="G1063" s="9" t="s">
        <v>16</v>
      </c>
      <c r="H1063" s="9" t="s">
        <v>16</v>
      </c>
      <c r="I1063" s="9"/>
      <c r="J1063" s="9"/>
      <c r="K1063" s="9"/>
    </row>
    <row r="1064" hidden="1">
      <c r="A1064" s="3" t="s">
        <v>4193</v>
      </c>
      <c r="B1064" s="2" t="s">
        <v>4194</v>
      </c>
      <c r="C1064" s="3" t="s">
        <v>4195</v>
      </c>
      <c r="D1064" s="2">
        <v>1.0028027568273113E-4</v>
      </c>
      <c r="E1064" s="8" t="s">
        <v>4196</v>
      </c>
      <c r="F1064" s="9" t="s">
        <v>15</v>
      </c>
      <c r="G1064" s="9" t="s">
        <v>16</v>
      </c>
      <c r="H1064" s="9" t="s">
        <v>16</v>
      </c>
      <c r="I1064" s="9"/>
      <c r="J1064" s="9"/>
      <c r="K1064" s="9"/>
    </row>
    <row r="1065" hidden="1">
      <c r="A1065" s="3" t="s">
        <v>4197</v>
      </c>
      <c r="B1065" s="2" t="s">
        <v>4198</v>
      </c>
      <c r="C1065" s="3" t="s">
        <v>4199</v>
      </c>
      <c r="D1065" s="2">
        <v>1.0028027568273113E-4</v>
      </c>
      <c r="E1065" s="8" t="s">
        <v>4200</v>
      </c>
      <c r="F1065" s="9" t="s">
        <v>15</v>
      </c>
      <c r="G1065" s="9" t="s">
        <v>16</v>
      </c>
      <c r="H1065" s="9" t="s">
        <v>16</v>
      </c>
      <c r="I1065" s="9"/>
      <c r="J1065" s="9"/>
      <c r="K1065" s="9"/>
    </row>
    <row r="1066" hidden="1">
      <c r="A1066" s="3" t="s">
        <v>4201</v>
      </c>
      <c r="B1066" s="2" t="s">
        <v>4202</v>
      </c>
      <c r="C1066" s="3" t="s">
        <v>4203</v>
      </c>
      <c r="D1066" s="2">
        <v>1.0028027568273113E-4</v>
      </c>
      <c r="E1066" s="8" t="s">
        <v>4204</v>
      </c>
      <c r="F1066" s="9" t="s">
        <v>15</v>
      </c>
      <c r="G1066" s="9" t="s">
        <v>16</v>
      </c>
      <c r="H1066" s="9" t="s">
        <v>16</v>
      </c>
      <c r="I1066" s="9"/>
      <c r="J1066" s="9"/>
      <c r="K1066" s="9"/>
    </row>
    <row r="1067" hidden="1">
      <c r="A1067" s="3" t="s">
        <v>4205</v>
      </c>
      <c r="B1067" s="2" t="s">
        <v>4206</v>
      </c>
      <c r="C1067" s="3" t="s">
        <v>4207</v>
      </c>
      <c r="D1067" s="2">
        <v>1.0028027568273113E-4</v>
      </c>
      <c r="E1067" s="8" t="s">
        <v>4208</v>
      </c>
      <c r="F1067" s="9" t="s">
        <v>15</v>
      </c>
      <c r="G1067" s="9" t="s">
        <v>16</v>
      </c>
      <c r="H1067" s="9" t="s">
        <v>16</v>
      </c>
      <c r="I1067" s="9"/>
      <c r="J1067" s="9"/>
      <c r="K1067" s="9"/>
    </row>
    <row r="1068" hidden="1">
      <c r="A1068" s="3" t="s">
        <v>4209</v>
      </c>
      <c r="B1068" s="2" t="s">
        <v>4210</v>
      </c>
      <c r="C1068" s="3" t="s">
        <v>4211</v>
      </c>
      <c r="D1068" s="2">
        <v>1.0028027568273113E-4</v>
      </c>
      <c r="E1068" s="8" t="s">
        <v>4212</v>
      </c>
      <c r="F1068" s="9" t="s">
        <v>15</v>
      </c>
      <c r="G1068" s="9" t="s">
        <v>16</v>
      </c>
      <c r="H1068" s="9" t="s">
        <v>16</v>
      </c>
      <c r="I1068" s="9"/>
      <c r="J1068" s="9"/>
      <c r="K1068" s="9"/>
    </row>
    <row r="1069" hidden="1">
      <c r="A1069" s="3" t="s">
        <v>4213</v>
      </c>
      <c r="B1069" s="2" t="s">
        <v>4214</v>
      </c>
      <c r="C1069" s="3" t="s">
        <v>4215</v>
      </c>
      <c r="D1069" s="2">
        <v>1.0028027568273113E-4</v>
      </c>
      <c r="E1069" s="8" t="s">
        <v>4216</v>
      </c>
      <c r="F1069" s="9" t="s">
        <v>15</v>
      </c>
      <c r="G1069" s="9" t="s">
        <v>16</v>
      </c>
      <c r="H1069" s="9" t="s">
        <v>16</v>
      </c>
      <c r="I1069" s="9"/>
      <c r="J1069" s="9"/>
      <c r="K1069" s="9"/>
    </row>
    <row r="1070" hidden="1">
      <c r="A1070" s="3" t="s">
        <v>4217</v>
      </c>
      <c r="B1070" s="2" t="s">
        <v>4218</v>
      </c>
      <c r="C1070" s="3" t="s">
        <v>4219</v>
      </c>
      <c r="D1070" s="2">
        <v>1.0028027568273113E-4</v>
      </c>
      <c r="E1070" s="8" t="s">
        <v>4220</v>
      </c>
      <c r="F1070" s="9" t="s">
        <v>15</v>
      </c>
      <c r="G1070" s="9" t="s">
        <v>16</v>
      </c>
      <c r="H1070" s="9" t="s">
        <v>16</v>
      </c>
      <c r="I1070" s="9"/>
      <c r="J1070" s="9"/>
      <c r="K1070" s="9"/>
    </row>
    <row r="1071" hidden="1">
      <c r="A1071" s="3" t="s">
        <v>4221</v>
      </c>
      <c r="B1071" s="2" t="s">
        <v>4222</v>
      </c>
      <c r="C1071" s="3" t="s">
        <v>4223</v>
      </c>
      <c r="D1071" s="2">
        <v>1.0028027568273113E-4</v>
      </c>
      <c r="E1071" s="8" t="s">
        <v>4224</v>
      </c>
      <c r="F1071" s="9" t="s">
        <v>15</v>
      </c>
      <c r="G1071" s="9" t="s">
        <v>16</v>
      </c>
      <c r="H1071" s="9" t="s">
        <v>16</v>
      </c>
      <c r="I1071" s="9"/>
      <c r="J1071" s="9"/>
      <c r="K1071" s="9"/>
    </row>
    <row r="1072" hidden="1">
      <c r="A1072" s="3" t="s">
        <v>4225</v>
      </c>
      <c r="B1072" s="2" t="s">
        <v>4226</v>
      </c>
      <c r="C1072" s="3" t="s">
        <v>4227</v>
      </c>
      <c r="D1072" s="2">
        <v>1.0028027568273113E-4</v>
      </c>
      <c r="E1072" s="8" t="s">
        <v>4228</v>
      </c>
      <c r="F1072" s="9" t="s">
        <v>15</v>
      </c>
      <c r="G1072" s="9" t="s">
        <v>16</v>
      </c>
      <c r="H1072" s="9" t="s">
        <v>16</v>
      </c>
      <c r="I1072" s="9"/>
      <c r="J1072" s="9"/>
      <c r="K1072" s="9"/>
    </row>
    <row r="1073" hidden="1">
      <c r="A1073" s="3" t="s">
        <v>4229</v>
      </c>
      <c r="B1073" s="2" t="s">
        <v>4230</v>
      </c>
      <c r="C1073" s="3" t="s">
        <v>4231</v>
      </c>
      <c r="D1073" s="2">
        <v>1.0028027568273113E-4</v>
      </c>
      <c r="E1073" s="8" t="s">
        <v>4232</v>
      </c>
      <c r="F1073" s="9" t="s">
        <v>15</v>
      </c>
      <c r="G1073" s="9" t="s">
        <v>16</v>
      </c>
      <c r="H1073" s="9" t="s">
        <v>16</v>
      </c>
      <c r="I1073" s="9"/>
      <c r="J1073" s="9"/>
      <c r="K1073" s="9"/>
    </row>
    <row r="1074" hidden="1">
      <c r="A1074" s="3" t="s">
        <v>4233</v>
      </c>
      <c r="B1074" s="2" t="s">
        <v>4234</v>
      </c>
      <c r="C1074" s="3" t="s">
        <v>4235</v>
      </c>
      <c r="D1074" s="2">
        <v>1.0028027568273113E-4</v>
      </c>
      <c r="E1074" s="8" t="s">
        <v>4236</v>
      </c>
      <c r="F1074" s="9" t="s">
        <v>15</v>
      </c>
      <c r="G1074" s="9" t="s">
        <v>16</v>
      </c>
      <c r="H1074" s="9" t="s">
        <v>16</v>
      </c>
      <c r="I1074" s="9"/>
      <c r="J1074" s="9"/>
      <c r="K1074" s="9"/>
    </row>
    <row r="1075" hidden="1">
      <c r="A1075" s="3" t="s">
        <v>4237</v>
      </c>
      <c r="B1075" s="2" t="s">
        <v>4238</v>
      </c>
      <c r="C1075" s="3" t="s">
        <v>4239</v>
      </c>
      <c r="D1075" s="2">
        <v>1.0028027568273113E-4</v>
      </c>
      <c r="E1075" s="8" t="s">
        <v>4240</v>
      </c>
      <c r="F1075" s="9" t="s">
        <v>15</v>
      </c>
      <c r="G1075" s="9" t="s">
        <v>16</v>
      </c>
      <c r="H1075" s="9" t="s">
        <v>16</v>
      </c>
      <c r="I1075" s="9"/>
      <c r="J1075" s="9"/>
      <c r="K1075" s="9"/>
    </row>
    <row r="1076" hidden="1">
      <c r="A1076" s="3" t="s">
        <v>4241</v>
      </c>
      <c r="B1076" s="2" t="s">
        <v>4242</v>
      </c>
      <c r="C1076" s="3" t="s">
        <v>4243</v>
      </c>
      <c r="D1076" s="2">
        <v>1.0028027568273113E-4</v>
      </c>
      <c r="E1076" s="8" t="s">
        <v>4244</v>
      </c>
      <c r="F1076" s="9" t="s">
        <v>15</v>
      </c>
      <c r="G1076" s="9" t="s">
        <v>16</v>
      </c>
      <c r="H1076" s="9" t="s">
        <v>16</v>
      </c>
      <c r="I1076" s="9"/>
      <c r="J1076" s="9"/>
      <c r="K1076" s="9"/>
    </row>
    <row r="1077" hidden="1">
      <c r="A1077" s="3" t="s">
        <v>4245</v>
      </c>
      <c r="B1077" s="2" t="s">
        <v>4246</v>
      </c>
      <c r="C1077" s="3" t="s">
        <v>4247</v>
      </c>
      <c r="D1077" s="2">
        <v>1.0028027568273113E-4</v>
      </c>
      <c r="E1077" s="8" t="s">
        <v>4248</v>
      </c>
      <c r="F1077" s="9" t="s">
        <v>15</v>
      </c>
      <c r="G1077" s="9" t="s">
        <v>16</v>
      </c>
      <c r="H1077" s="9" t="s">
        <v>16</v>
      </c>
      <c r="I1077" s="9"/>
      <c r="J1077" s="9"/>
      <c r="K1077" s="9"/>
    </row>
    <row r="1078" hidden="1">
      <c r="A1078" s="3" t="s">
        <v>4249</v>
      </c>
      <c r="B1078" s="2" t="s">
        <v>4250</v>
      </c>
      <c r="C1078" s="3" t="s">
        <v>4251</v>
      </c>
      <c r="D1078" s="2">
        <v>1.0028027568273113E-4</v>
      </c>
      <c r="E1078" s="8" t="s">
        <v>4252</v>
      </c>
      <c r="F1078" s="9" t="s">
        <v>15</v>
      </c>
      <c r="G1078" s="9" t="s">
        <v>16</v>
      </c>
      <c r="H1078" s="9" t="s">
        <v>16</v>
      </c>
      <c r="I1078" s="9"/>
      <c r="J1078" s="9"/>
      <c r="K1078" s="9"/>
    </row>
    <row r="1079" hidden="1">
      <c r="A1079" s="3" t="s">
        <v>4253</v>
      </c>
      <c r="B1079" s="2" t="s">
        <v>4254</v>
      </c>
      <c r="C1079" s="3" t="s">
        <v>4255</v>
      </c>
      <c r="D1079" s="2">
        <v>1.0028027568273113E-4</v>
      </c>
      <c r="E1079" s="8" t="s">
        <v>4256</v>
      </c>
      <c r="F1079" s="9" t="s">
        <v>15</v>
      </c>
      <c r="G1079" s="9" t="s">
        <v>16</v>
      </c>
      <c r="H1079" s="9" t="s">
        <v>16</v>
      </c>
      <c r="I1079" s="9"/>
      <c r="J1079" s="9"/>
      <c r="K1079" s="9"/>
    </row>
    <row r="1080" hidden="1">
      <c r="A1080" s="3" t="s">
        <v>4257</v>
      </c>
      <c r="B1080" s="2" t="s">
        <v>4258</v>
      </c>
      <c r="C1080" s="3" t="s">
        <v>4259</v>
      </c>
      <c r="D1080" s="2">
        <v>1.0028027568273113E-4</v>
      </c>
      <c r="E1080" s="8" t="s">
        <v>4260</v>
      </c>
      <c r="F1080" s="9" t="s">
        <v>15</v>
      </c>
      <c r="G1080" s="9" t="s">
        <v>16</v>
      </c>
      <c r="H1080" s="9" t="s">
        <v>16</v>
      </c>
      <c r="I1080" s="9"/>
      <c r="J1080" s="9"/>
      <c r="K1080" s="9"/>
    </row>
    <row r="1081" hidden="1">
      <c r="A1081" s="3" t="s">
        <v>3727</v>
      </c>
      <c r="B1081" s="2" t="s">
        <v>4261</v>
      </c>
      <c r="C1081" s="3" t="s">
        <v>4262</v>
      </c>
      <c r="D1081" s="2">
        <v>1.0028027568273113E-4</v>
      </c>
      <c r="E1081" s="8" t="s">
        <v>4263</v>
      </c>
      <c r="F1081" s="9" t="s">
        <v>15</v>
      </c>
      <c r="G1081" s="9" t="s">
        <v>16</v>
      </c>
      <c r="H1081" s="9" t="s">
        <v>16</v>
      </c>
      <c r="I1081" s="9"/>
      <c r="J1081" s="9"/>
      <c r="K1081" s="9"/>
    </row>
    <row r="1082" hidden="1">
      <c r="A1082" s="3" t="s">
        <v>4264</v>
      </c>
      <c r="B1082" s="2" t="s">
        <v>4265</v>
      </c>
      <c r="C1082" s="3"/>
      <c r="D1082" s="2">
        <v>1.0028027568273113E-4</v>
      </c>
      <c r="E1082" s="8" t="s">
        <v>1413</v>
      </c>
      <c r="F1082" s="9" t="s">
        <v>15</v>
      </c>
      <c r="G1082" s="9" t="s">
        <v>16</v>
      </c>
      <c r="H1082" s="9" t="s">
        <v>16</v>
      </c>
      <c r="I1082" s="9"/>
      <c r="J1082" s="9"/>
      <c r="K1082" s="9"/>
    </row>
    <row r="1083" hidden="1">
      <c r="A1083" s="3" t="s">
        <v>4266</v>
      </c>
      <c r="B1083" s="2" t="s">
        <v>4267</v>
      </c>
      <c r="C1083" s="3" t="s">
        <v>4268</v>
      </c>
      <c r="D1083" s="2">
        <v>1.0028027568273113E-4</v>
      </c>
      <c r="E1083" s="8" t="s">
        <v>4269</v>
      </c>
      <c r="F1083" s="9" t="s">
        <v>15</v>
      </c>
      <c r="G1083" s="9" t="s">
        <v>16</v>
      </c>
      <c r="H1083" s="9" t="s">
        <v>16</v>
      </c>
      <c r="I1083" s="9"/>
      <c r="J1083" s="9"/>
      <c r="K1083" s="9"/>
    </row>
    <row r="1084" hidden="1">
      <c r="A1084" s="3" t="s">
        <v>4270</v>
      </c>
      <c r="B1084" s="2" t="s">
        <v>4271</v>
      </c>
      <c r="C1084" s="3" t="s">
        <v>4272</v>
      </c>
      <c r="D1084" s="2">
        <v>1.0028027568273113E-4</v>
      </c>
      <c r="E1084" s="8" t="s">
        <v>4273</v>
      </c>
      <c r="F1084" s="9" t="s">
        <v>15</v>
      </c>
      <c r="G1084" s="9" t="s">
        <v>16</v>
      </c>
      <c r="H1084" s="9" t="s">
        <v>16</v>
      </c>
      <c r="I1084" s="9"/>
      <c r="J1084" s="9"/>
      <c r="K1084" s="9"/>
    </row>
    <row r="1085" hidden="1">
      <c r="A1085" s="3" t="s">
        <v>4274</v>
      </c>
      <c r="B1085" s="2" t="s">
        <v>4275</v>
      </c>
      <c r="C1085" s="3" t="s">
        <v>4276</v>
      </c>
      <c r="D1085" s="2">
        <v>1.0028027568273113E-4</v>
      </c>
      <c r="E1085" s="8" t="s">
        <v>4277</v>
      </c>
      <c r="F1085" s="9" t="s">
        <v>15</v>
      </c>
      <c r="G1085" s="9" t="s">
        <v>16</v>
      </c>
      <c r="H1085" s="9" t="s">
        <v>16</v>
      </c>
      <c r="I1085" s="9"/>
      <c r="J1085" s="9"/>
      <c r="K1085" s="9"/>
    </row>
    <row r="1086" hidden="1">
      <c r="A1086" s="3" t="s">
        <v>4278</v>
      </c>
      <c r="B1086" s="2" t="s">
        <v>4279</v>
      </c>
      <c r="C1086" s="3" t="s">
        <v>4280</v>
      </c>
      <c r="D1086" s="2">
        <v>1.0028027568273113E-4</v>
      </c>
      <c r="E1086" s="8" t="s">
        <v>4281</v>
      </c>
      <c r="F1086" s="9" t="s">
        <v>15</v>
      </c>
      <c r="G1086" s="9" t="s">
        <v>16</v>
      </c>
      <c r="H1086" s="9" t="s">
        <v>16</v>
      </c>
      <c r="I1086" s="9"/>
      <c r="J1086" s="9"/>
      <c r="K1086" s="9"/>
    </row>
    <row r="1087" hidden="1">
      <c r="A1087" s="3" t="s">
        <v>4282</v>
      </c>
      <c r="B1087" s="2" t="s">
        <v>4283</v>
      </c>
      <c r="C1087" s="3" t="s">
        <v>4284</v>
      </c>
      <c r="D1087" s="2">
        <v>1.0028027568273113E-4</v>
      </c>
      <c r="E1087" s="8" t="s">
        <v>4285</v>
      </c>
      <c r="F1087" s="9" t="s">
        <v>15</v>
      </c>
      <c r="G1087" s="9" t="s">
        <v>16</v>
      </c>
      <c r="H1087" s="9" t="s">
        <v>16</v>
      </c>
      <c r="I1087" s="9"/>
      <c r="J1087" s="9"/>
      <c r="K1087" s="9"/>
    </row>
    <row r="1088" hidden="1">
      <c r="A1088" s="3" t="s">
        <v>4286</v>
      </c>
      <c r="B1088" s="2" t="s">
        <v>4287</v>
      </c>
      <c r="C1088" s="3" t="s">
        <v>4288</v>
      </c>
      <c r="D1088" s="2">
        <v>1.0028027568273113E-4</v>
      </c>
      <c r="E1088" s="8" t="s">
        <v>4289</v>
      </c>
      <c r="F1088" s="9" t="s">
        <v>15</v>
      </c>
      <c r="G1088" s="9" t="s">
        <v>16</v>
      </c>
      <c r="H1088" s="9" t="s">
        <v>16</v>
      </c>
      <c r="I1088" s="9"/>
      <c r="J1088" s="9"/>
      <c r="K1088" s="9"/>
    </row>
    <row r="1089" hidden="1">
      <c r="A1089" s="3" t="s">
        <v>4290</v>
      </c>
      <c r="B1089" s="2" t="s">
        <v>4291</v>
      </c>
      <c r="C1089" s="3" t="s">
        <v>4292</v>
      </c>
      <c r="D1089" s="2">
        <v>1.0028027568273113E-4</v>
      </c>
      <c r="E1089" s="8" t="s">
        <v>4293</v>
      </c>
      <c r="F1089" s="9" t="s">
        <v>15</v>
      </c>
      <c r="G1089" s="9" t="s">
        <v>16</v>
      </c>
      <c r="H1089" s="9" t="s">
        <v>16</v>
      </c>
      <c r="I1089" s="9"/>
      <c r="J1089" s="9"/>
      <c r="K1089" s="9"/>
    </row>
    <row r="1090" hidden="1">
      <c r="A1090" s="3" t="s">
        <v>4294</v>
      </c>
      <c r="B1090" s="2" t="s">
        <v>4295</v>
      </c>
      <c r="C1090" s="3" t="s">
        <v>4296</v>
      </c>
      <c r="D1090" s="2">
        <v>1.0028027568273113E-4</v>
      </c>
      <c r="E1090" s="8" t="s">
        <v>4297</v>
      </c>
      <c r="F1090" s="9" t="s">
        <v>15</v>
      </c>
      <c r="G1090" s="9" t="s">
        <v>16</v>
      </c>
      <c r="H1090" s="9" t="s">
        <v>16</v>
      </c>
      <c r="I1090" s="9"/>
      <c r="J1090" s="9"/>
      <c r="K1090" s="9"/>
    </row>
    <row r="1091" hidden="1">
      <c r="A1091" s="3" t="s">
        <v>4298</v>
      </c>
      <c r="B1091" s="2" t="s">
        <v>4299</v>
      </c>
      <c r="C1091" s="3" t="s">
        <v>4300</v>
      </c>
      <c r="D1091" s="2">
        <v>1.0028027568273113E-4</v>
      </c>
      <c r="E1091" s="8" t="s">
        <v>4301</v>
      </c>
      <c r="F1091" s="9" t="s">
        <v>15</v>
      </c>
      <c r="G1091" s="9" t="s">
        <v>16</v>
      </c>
      <c r="H1091" s="9" t="s">
        <v>16</v>
      </c>
      <c r="I1091" s="9"/>
      <c r="J1091" s="9"/>
      <c r="K1091" s="9"/>
    </row>
    <row r="1092" hidden="1">
      <c r="A1092" s="3" t="s">
        <v>4302</v>
      </c>
      <c r="B1092" s="2" t="s">
        <v>4303</v>
      </c>
      <c r="C1092" s="3"/>
      <c r="D1092" s="2">
        <v>1.0028027568273113E-4</v>
      </c>
      <c r="E1092" s="8" t="s">
        <v>4304</v>
      </c>
      <c r="F1092" s="9" t="s">
        <v>15</v>
      </c>
      <c r="G1092" s="9" t="s">
        <v>16</v>
      </c>
      <c r="H1092" s="9" t="s">
        <v>16</v>
      </c>
      <c r="I1092" s="9"/>
      <c r="J1092" s="9"/>
      <c r="K1092" s="9"/>
    </row>
    <row r="1093">
      <c r="A1093" s="3" t="s">
        <v>4305</v>
      </c>
      <c r="B1093" s="2" t="s">
        <v>4306</v>
      </c>
      <c r="C1093" s="3" t="s">
        <v>4307</v>
      </c>
      <c r="D1093" s="2">
        <v>1.0028027568273113E-4</v>
      </c>
      <c r="E1093" s="8" t="s">
        <v>4308</v>
      </c>
      <c r="F1093" s="9" t="s">
        <v>16</v>
      </c>
      <c r="G1093" s="9" t="s">
        <v>16</v>
      </c>
      <c r="H1093" s="9" t="s">
        <v>16</v>
      </c>
      <c r="I1093" s="9" t="s">
        <v>16</v>
      </c>
      <c r="J1093" s="9" t="s">
        <v>16</v>
      </c>
      <c r="K1093" s="9" t="s">
        <v>16</v>
      </c>
    </row>
    <row r="1094" hidden="1">
      <c r="A1094" s="3" t="s">
        <v>4309</v>
      </c>
      <c r="B1094" s="2" t="s">
        <v>4310</v>
      </c>
      <c r="C1094" s="3" t="s">
        <v>4311</v>
      </c>
      <c r="D1094" s="2">
        <v>1.0028027568273113E-4</v>
      </c>
      <c r="E1094" s="8" t="s">
        <v>494</v>
      </c>
      <c r="F1094" s="9" t="s">
        <v>15</v>
      </c>
      <c r="G1094" s="9" t="s">
        <v>16</v>
      </c>
      <c r="H1094" s="9" t="s">
        <v>16</v>
      </c>
      <c r="I1094" s="9"/>
      <c r="J1094" s="9"/>
      <c r="K1094" s="9"/>
    </row>
    <row r="1095" hidden="1">
      <c r="A1095" s="3" t="s">
        <v>4312</v>
      </c>
      <c r="B1095" s="2" t="s">
        <v>4313</v>
      </c>
      <c r="C1095" s="3" t="s">
        <v>4314</v>
      </c>
      <c r="D1095" s="2">
        <v>1.0028027568273113E-4</v>
      </c>
      <c r="E1095" s="8" t="s">
        <v>4315</v>
      </c>
      <c r="F1095" s="9" t="s">
        <v>15</v>
      </c>
      <c r="G1095" s="9" t="s">
        <v>16</v>
      </c>
      <c r="H1095" s="9" t="s">
        <v>16</v>
      </c>
      <c r="I1095" s="9"/>
      <c r="J1095" s="9"/>
      <c r="K1095" s="9"/>
    </row>
    <row r="1096" hidden="1">
      <c r="A1096" s="3" t="s">
        <v>4316</v>
      </c>
      <c r="B1096" s="2" t="s">
        <v>4317</v>
      </c>
      <c r="C1096" s="3" t="s">
        <v>4318</v>
      </c>
      <c r="D1096" s="2">
        <v>1.0028027568273113E-4</v>
      </c>
      <c r="E1096" s="8" t="s">
        <v>4319</v>
      </c>
      <c r="F1096" s="9" t="s">
        <v>15</v>
      </c>
      <c r="G1096" s="9" t="s">
        <v>16</v>
      </c>
      <c r="H1096" s="9" t="s">
        <v>16</v>
      </c>
      <c r="I1096" s="9"/>
      <c r="J1096" s="9"/>
      <c r="K1096" s="9"/>
    </row>
    <row r="1097" hidden="1">
      <c r="A1097" s="3" t="s">
        <v>4320</v>
      </c>
      <c r="B1097" s="2" t="s">
        <v>4321</v>
      </c>
      <c r="C1097" s="3" t="s">
        <v>4322</v>
      </c>
      <c r="D1097" s="2">
        <v>1.0028027568273113E-4</v>
      </c>
      <c r="E1097" s="8" t="s">
        <v>3390</v>
      </c>
      <c r="F1097" s="9" t="s">
        <v>15</v>
      </c>
      <c r="G1097" s="9" t="s">
        <v>16</v>
      </c>
      <c r="H1097" s="9" t="s">
        <v>16</v>
      </c>
      <c r="I1097" s="9"/>
      <c r="J1097" s="9"/>
      <c r="K1097" s="9"/>
    </row>
    <row r="1098" hidden="1">
      <c r="A1098" s="3" t="s">
        <v>4323</v>
      </c>
      <c r="B1098" s="2" t="s">
        <v>4324</v>
      </c>
      <c r="C1098" s="3" t="s">
        <v>4325</v>
      </c>
      <c r="D1098" s="2">
        <v>1.0028027568273113E-4</v>
      </c>
      <c r="E1098" s="8" t="s">
        <v>4326</v>
      </c>
      <c r="F1098" s="9" t="s">
        <v>15</v>
      </c>
      <c r="G1098" s="9" t="s">
        <v>16</v>
      </c>
      <c r="H1098" s="9" t="s">
        <v>16</v>
      </c>
      <c r="I1098" s="9"/>
      <c r="J1098" s="9"/>
      <c r="K1098" s="9"/>
    </row>
    <row r="1099" hidden="1">
      <c r="A1099" s="3" t="s">
        <v>4327</v>
      </c>
      <c r="B1099" s="2" t="s">
        <v>4328</v>
      </c>
      <c r="C1099" s="3" t="s">
        <v>4329</v>
      </c>
      <c r="D1099" s="2">
        <v>1.0028027568273113E-4</v>
      </c>
      <c r="E1099" s="8" t="s">
        <v>4330</v>
      </c>
      <c r="F1099" s="9" t="s">
        <v>15</v>
      </c>
      <c r="G1099" s="9" t="s">
        <v>16</v>
      </c>
      <c r="H1099" s="9" t="s">
        <v>16</v>
      </c>
      <c r="I1099" s="9"/>
      <c r="J1099" s="9"/>
      <c r="K1099" s="9"/>
    </row>
    <row r="1100" hidden="1">
      <c r="A1100" s="3" t="s">
        <v>4331</v>
      </c>
      <c r="B1100" s="2" t="s">
        <v>4332</v>
      </c>
      <c r="C1100" s="3" t="s">
        <v>4333</v>
      </c>
      <c r="D1100" s="2">
        <v>1.0028027568273113E-4</v>
      </c>
      <c r="E1100" s="8" t="s">
        <v>4334</v>
      </c>
      <c r="F1100" s="9" t="s">
        <v>15</v>
      </c>
      <c r="G1100" s="9" t="s">
        <v>16</v>
      </c>
      <c r="H1100" s="9" t="s">
        <v>16</v>
      </c>
      <c r="I1100" s="9"/>
      <c r="J1100" s="9"/>
      <c r="K1100" s="9"/>
    </row>
    <row r="1101" hidden="1">
      <c r="A1101" s="3" t="s">
        <v>4335</v>
      </c>
      <c r="B1101" s="2" t="s">
        <v>4336</v>
      </c>
      <c r="C1101" s="3" t="s">
        <v>4337</v>
      </c>
      <c r="D1101" s="2">
        <v>1.0028027568273113E-4</v>
      </c>
      <c r="E1101" s="8" t="s">
        <v>4338</v>
      </c>
      <c r="F1101" s="9" t="s">
        <v>15</v>
      </c>
      <c r="G1101" s="9" t="s">
        <v>16</v>
      </c>
      <c r="H1101" s="9" t="s">
        <v>16</v>
      </c>
      <c r="I1101" s="9"/>
      <c r="J1101" s="9"/>
      <c r="K1101" s="9"/>
    </row>
    <row r="1102" hidden="1">
      <c r="A1102" s="3" t="s">
        <v>4339</v>
      </c>
      <c r="B1102" s="2" t="s">
        <v>4340</v>
      </c>
      <c r="C1102" s="3" t="s">
        <v>4341</v>
      </c>
      <c r="D1102" s="2">
        <v>1.0028027568273113E-4</v>
      </c>
      <c r="E1102" s="8" t="s">
        <v>4342</v>
      </c>
      <c r="F1102" s="9" t="s">
        <v>15</v>
      </c>
      <c r="G1102" s="9" t="s">
        <v>16</v>
      </c>
      <c r="H1102" s="9" t="s">
        <v>16</v>
      </c>
      <c r="I1102" s="9"/>
      <c r="J1102" s="9"/>
      <c r="K1102" s="9"/>
    </row>
    <row r="1103" hidden="1">
      <c r="A1103" s="3" t="s">
        <v>4343</v>
      </c>
      <c r="B1103" s="2" t="s">
        <v>4344</v>
      </c>
      <c r="C1103" s="3" t="s">
        <v>4345</v>
      </c>
      <c r="D1103" s="2">
        <v>1.0028027568273113E-4</v>
      </c>
      <c r="E1103" s="8" t="s">
        <v>4346</v>
      </c>
      <c r="F1103" s="9" t="s">
        <v>15</v>
      </c>
      <c r="G1103" s="9" t="s">
        <v>16</v>
      </c>
      <c r="H1103" s="9" t="s">
        <v>16</v>
      </c>
      <c r="I1103" s="9"/>
      <c r="J1103" s="9"/>
      <c r="K1103" s="9"/>
    </row>
    <row r="1104" hidden="1">
      <c r="A1104" s="3" t="s">
        <v>4347</v>
      </c>
      <c r="B1104" s="2" t="s">
        <v>4348</v>
      </c>
      <c r="C1104" s="3"/>
      <c r="D1104" s="2">
        <v>1.0028027568273113E-4</v>
      </c>
      <c r="E1104" s="8" t="s">
        <v>4349</v>
      </c>
      <c r="F1104" s="9" t="s">
        <v>15</v>
      </c>
      <c r="G1104" s="9" t="s">
        <v>16</v>
      </c>
      <c r="H1104" s="9" t="s">
        <v>16</v>
      </c>
      <c r="I1104" s="9"/>
      <c r="J1104" s="9"/>
      <c r="K1104" s="9"/>
    </row>
    <row r="1105" hidden="1">
      <c r="A1105" s="3" t="s">
        <v>4350</v>
      </c>
      <c r="B1105" s="2" t="s">
        <v>4351</v>
      </c>
      <c r="C1105" s="3" t="s">
        <v>4352</v>
      </c>
      <c r="D1105" s="2">
        <v>1.0028027568273113E-4</v>
      </c>
      <c r="E1105" s="8" t="s">
        <v>4353</v>
      </c>
      <c r="F1105" s="9" t="s">
        <v>15</v>
      </c>
      <c r="G1105" s="9" t="s">
        <v>16</v>
      </c>
      <c r="H1105" s="9" t="s">
        <v>16</v>
      </c>
      <c r="I1105" s="9"/>
      <c r="J1105" s="9"/>
      <c r="K1105" s="9"/>
    </row>
    <row r="1106" hidden="1">
      <c r="A1106" s="3" t="s">
        <v>4354</v>
      </c>
      <c r="B1106" s="2" t="s">
        <v>4355</v>
      </c>
      <c r="C1106" s="3"/>
      <c r="D1106" s="2">
        <v>1.0028027568273113E-4</v>
      </c>
      <c r="E1106" s="8" t="s">
        <v>4356</v>
      </c>
      <c r="F1106" s="9" t="s">
        <v>15</v>
      </c>
      <c r="G1106" s="9" t="s">
        <v>16</v>
      </c>
      <c r="H1106" s="9" t="s">
        <v>16</v>
      </c>
      <c r="I1106" s="9"/>
      <c r="J1106" s="9"/>
      <c r="K1106" s="9"/>
    </row>
    <row r="1107" hidden="1">
      <c r="A1107" s="3" t="s">
        <v>4357</v>
      </c>
      <c r="B1107" s="2" t="s">
        <v>4358</v>
      </c>
      <c r="C1107" s="3" t="s">
        <v>4359</v>
      </c>
      <c r="D1107" s="2">
        <v>1.0028027568273113E-4</v>
      </c>
      <c r="E1107" s="8" t="s">
        <v>4360</v>
      </c>
      <c r="F1107" s="9" t="s">
        <v>15</v>
      </c>
      <c r="G1107" s="9" t="s">
        <v>16</v>
      </c>
      <c r="H1107" s="9" t="s">
        <v>16</v>
      </c>
      <c r="I1107" s="9"/>
      <c r="J1107" s="9"/>
      <c r="K1107" s="9"/>
    </row>
    <row r="1108" hidden="1">
      <c r="A1108" s="3" t="s">
        <v>4361</v>
      </c>
      <c r="B1108" s="2" t="s">
        <v>4362</v>
      </c>
      <c r="C1108" s="3" t="s">
        <v>4363</v>
      </c>
      <c r="D1108" s="2">
        <v>1.0028027568273113E-4</v>
      </c>
      <c r="E1108" s="8" t="s">
        <v>4364</v>
      </c>
      <c r="F1108" s="9" t="s">
        <v>15</v>
      </c>
      <c r="G1108" s="9" t="s">
        <v>16</v>
      </c>
      <c r="H1108" s="9" t="s">
        <v>16</v>
      </c>
      <c r="I1108" s="9"/>
      <c r="J1108" s="9"/>
      <c r="K1108" s="9"/>
    </row>
    <row r="1109" hidden="1">
      <c r="A1109" s="3" t="s">
        <v>4365</v>
      </c>
      <c r="B1109" s="2" t="s">
        <v>4366</v>
      </c>
      <c r="C1109" s="3" t="s">
        <v>4367</v>
      </c>
      <c r="D1109" s="2">
        <v>1.0028027568273113E-4</v>
      </c>
      <c r="E1109" s="8" t="s">
        <v>4368</v>
      </c>
      <c r="F1109" s="9" t="s">
        <v>15</v>
      </c>
      <c r="G1109" s="9" t="s">
        <v>16</v>
      </c>
      <c r="H1109" s="9" t="s">
        <v>16</v>
      </c>
      <c r="I1109" s="9"/>
      <c r="J1109" s="9"/>
      <c r="K1109" s="9"/>
    </row>
    <row r="1110" hidden="1">
      <c r="A1110" s="3" t="s">
        <v>4369</v>
      </c>
      <c r="B1110" s="2" t="s">
        <v>4370</v>
      </c>
      <c r="C1110" s="3"/>
      <c r="D1110" s="2">
        <v>1.0028027568273113E-4</v>
      </c>
      <c r="E1110" s="8" t="s">
        <v>4371</v>
      </c>
      <c r="F1110" s="9" t="s">
        <v>15</v>
      </c>
      <c r="G1110" s="9" t="s">
        <v>16</v>
      </c>
      <c r="H1110" s="9" t="s">
        <v>16</v>
      </c>
      <c r="I1110" s="9"/>
      <c r="J1110" s="9"/>
      <c r="K1110" s="9"/>
    </row>
    <row r="1111" hidden="1">
      <c r="A1111" s="3" t="s">
        <v>4372</v>
      </c>
      <c r="B1111" s="2" t="s">
        <v>4373</v>
      </c>
      <c r="C1111" s="3"/>
      <c r="D1111" s="2">
        <v>1.0028027568273113E-4</v>
      </c>
      <c r="E1111" s="8" t="s">
        <v>4374</v>
      </c>
      <c r="F1111" s="9" t="s">
        <v>15</v>
      </c>
      <c r="G1111" s="9" t="s">
        <v>16</v>
      </c>
      <c r="H1111" s="9" t="s">
        <v>16</v>
      </c>
      <c r="I1111" s="9"/>
      <c r="J1111" s="9"/>
      <c r="K1111" s="9"/>
    </row>
    <row r="1112" hidden="1">
      <c r="A1112" s="3" t="s">
        <v>4375</v>
      </c>
      <c r="B1112" s="2" t="s">
        <v>4376</v>
      </c>
      <c r="C1112" s="3" t="s">
        <v>4377</v>
      </c>
      <c r="D1112" s="2">
        <v>1.0028027568273113E-4</v>
      </c>
      <c r="E1112" s="8" t="s">
        <v>4204</v>
      </c>
      <c r="F1112" s="9" t="s">
        <v>15</v>
      </c>
      <c r="G1112" s="9" t="s">
        <v>16</v>
      </c>
      <c r="H1112" s="9" t="s">
        <v>16</v>
      </c>
      <c r="I1112" s="9"/>
      <c r="J1112" s="9"/>
      <c r="K1112" s="9"/>
    </row>
    <row r="1113" hidden="1">
      <c r="A1113" s="3" t="s">
        <v>4378</v>
      </c>
      <c r="B1113" s="2" t="s">
        <v>4379</v>
      </c>
      <c r="C1113" s="3" t="s">
        <v>4380</v>
      </c>
      <c r="D1113" s="2">
        <v>1.0028027568273113E-4</v>
      </c>
      <c r="E1113" s="8" t="s">
        <v>4381</v>
      </c>
      <c r="F1113" s="9" t="s">
        <v>15</v>
      </c>
      <c r="G1113" s="9" t="s">
        <v>16</v>
      </c>
      <c r="H1113" s="9" t="s">
        <v>16</v>
      </c>
      <c r="I1113" s="9"/>
      <c r="J1113" s="9"/>
      <c r="K1113" s="9"/>
    </row>
    <row r="1114" hidden="1">
      <c r="A1114" s="3" t="s">
        <v>4382</v>
      </c>
      <c r="B1114" s="2" t="s">
        <v>4383</v>
      </c>
      <c r="C1114" s="3" t="s">
        <v>4384</v>
      </c>
      <c r="D1114" s="2">
        <v>1.0028027568273113E-4</v>
      </c>
      <c r="E1114" s="8" t="s">
        <v>4385</v>
      </c>
      <c r="F1114" s="9" t="s">
        <v>15</v>
      </c>
      <c r="G1114" s="9" t="s">
        <v>16</v>
      </c>
      <c r="H1114" s="9" t="s">
        <v>16</v>
      </c>
      <c r="I1114" s="9"/>
      <c r="J1114" s="9"/>
      <c r="K1114" s="9"/>
    </row>
    <row r="1115" hidden="1">
      <c r="A1115" s="3" t="s">
        <v>4386</v>
      </c>
      <c r="B1115" s="2" t="s">
        <v>4387</v>
      </c>
      <c r="C1115" s="3" t="s">
        <v>4388</v>
      </c>
      <c r="D1115" s="2">
        <v>1.0028027568273113E-4</v>
      </c>
      <c r="E1115" s="8" t="s">
        <v>4389</v>
      </c>
      <c r="F1115" s="9" t="s">
        <v>15</v>
      </c>
      <c r="G1115" s="9" t="s">
        <v>16</v>
      </c>
      <c r="H1115" s="9" t="s">
        <v>16</v>
      </c>
      <c r="I1115" s="9"/>
      <c r="J1115" s="9"/>
      <c r="K1115" s="9"/>
    </row>
    <row r="1116" hidden="1">
      <c r="A1116" s="3" t="s">
        <v>4390</v>
      </c>
      <c r="B1116" s="2" t="s">
        <v>4391</v>
      </c>
      <c r="C1116" s="3" t="s">
        <v>4392</v>
      </c>
      <c r="D1116" s="2">
        <v>1.0028027568273113E-4</v>
      </c>
      <c r="E1116" s="8" t="s">
        <v>4393</v>
      </c>
      <c r="F1116" s="9" t="s">
        <v>15</v>
      </c>
      <c r="G1116" s="9" t="s">
        <v>16</v>
      </c>
      <c r="H1116" s="9" t="s">
        <v>16</v>
      </c>
      <c r="I1116" s="9"/>
      <c r="J1116" s="9"/>
      <c r="K1116" s="9"/>
    </row>
    <row r="1117" hidden="1">
      <c r="A1117" s="3" t="s">
        <v>4394</v>
      </c>
      <c r="B1117" s="2" t="s">
        <v>4395</v>
      </c>
      <c r="C1117" s="3" t="s">
        <v>4396</v>
      </c>
      <c r="D1117" s="2">
        <v>1.0028027568273113E-4</v>
      </c>
      <c r="E1117" s="8" t="s">
        <v>1197</v>
      </c>
      <c r="F1117" s="9" t="s">
        <v>15</v>
      </c>
      <c r="G1117" s="9" t="s">
        <v>16</v>
      </c>
      <c r="H1117" s="9" t="s">
        <v>16</v>
      </c>
      <c r="I1117" s="9"/>
      <c r="J1117" s="9"/>
      <c r="K1117" s="9"/>
    </row>
    <row r="1118" hidden="1">
      <c r="A1118" s="3" t="s">
        <v>4397</v>
      </c>
      <c r="B1118" s="2" t="s">
        <v>4398</v>
      </c>
      <c r="C1118" s="3" t="s">
        <v>4399</v>
      </c>
      <c r="D1118" s="2">
        <v>1.0028027568273113E-4</v>
      </c>
      <c r="E1118" s="8" t="s">
        <v>4400</v>
      </c>
      <c r="F1118" s="9" t="s">
        <v>15</v>
      </c>
      <c r="G1118" s="9" t="s">
        <v>16</v>
      </c>
      <c r="H1118" s="9" t="s">
        <v>16</v>
      </c>
      <c r="I1118" s="9"/>
      <c r="J1118" s="9"/>
      <c r="K1118" s="9"/>
    </row>
    <row r="1119" hidden="1">
      <c r="A1119" s="3" t="s">
        <v>4401</v>
      </c>
      <c r="B1119" s="2" t="s">
        <v>4402</v>
      </c>
      <c r="C1119" s="3" t="s">
        <v>4403</v>
      </c>
      <c r="D1119" s="2">
        <v>1.0028027568273113E-4</v>
      </c>
      <c r="E1119" s="8" t="s">
        <v>4404</v>
      </c>
      <c r="F1119" s="9" t="s">
        <v>15</v>
      </c>
      <c r="G1119" s="9" t="s">
        <v>16</v>
      </c>
      <c r="H1119" s="9" t="s">
        <v>16</v>
      </c>
      <c r="I1119" s="9"/>
      <c r="J1119" s="9"/>
      <c r="K1119" s="9"/>
    </row>
    <row r="1120" hidden="1">
      <c r="A1120" s="3" t="s">
        <v>4405</v>
      </c>
      <c r="B1120" s="2" t="s">
        <v>4406</v>
      </c>
      <c r="C1120" s="3"/>
      <c r="D1120" s="2">
        <v>1.0028027568273113E-4</v>
      </c>
      <c r="E1120" s="8" t="s">
        <v>4407</v>
      </c>
      <c r="F1120" s="9" t="s">
        <v>15</v>
      </c>
      <c r="G1120" s="9" t="s">
        <v>16</v>
      </c>
      <c r="H1120" s="9" t="s">
        <v>16</v>
      </c>
      <c r="I1120" s="9"/>
      <c r="J1120" s="9"/>
      <c r="K1120" s="9"/>
    </row>
    <row r="1121" hidden="1">
      <c r="A1121" s="3" t="s">
        <v>4408</v>
      </c>
      <c r="B1121" s="2" t="s">
        <v>4409</v>
      </c>
      <c r="C1121" s="3" t="s">
        <v>4410</v>
      </c>
      <c r="D1121" s="2">
        <v>1.0028027568273113E-4</v>
      </c>
      <c r="E1121" s="8" t="s">
        <v>4411</v>
      </c>
      <c r="F1121" s="9" t="s">
        <v>15</v>
      </c>
      <c r="G1121" s="9" t="s">
        <v>16</v>
      </c>
      <c r="H1121" s="9" t="s">
        <v>16</v>
      </c>
      <c r="I1121" s="9"/>
      <c r="J1121" s="9"/>
      <c r="K1121" s="9"/>
    </row>
    <row r="1122" hidden="1">
      <c r="A1122" s="3" t="s">
        <v>4412</v>
      </c>
      <c r="B1122" s="2" t="s">
        <v>4413</v>
      </c>
      <c r="C1122" s="3"/>
      <c r="D1122" s="2">
        <v>1.0028027568273113E-4</v>
      </c>
      <c r="E1122" s="8" t="s">
        <v>4414</v>
      </c>
      <c r="F1122" s="9" t="s">
        <v>15</v>
      </c>
      <c r="G1122" s="9" t="s">
        <v>16</v>
      </c>
      <c r="H1122" s="9" t="s">
        <v>16</v>
      </c>
      <c r="I1122" s="9"/>
      <c r="J1122" s="9"/>
      <c r="K1122" s="9"/>
    </row>
    <row r="1123" hidden="1">
      <c r="A1123" s="3" t="s">
        <v>4415</v>
      </c>
      <c r="B1123" s="2" t="s">
        <v>4416</v>
      </c>
      <c r="C1123" s="3" t="s">
        <v>4417</v>
      </c>
      <c r="D1123" s="2">
        <v>1.0028027568273113E-4</v>
      </c>
      <c r="E1123" s="8" t="s">
        <v>4418</v>
      </c>
      <c r="F1123" s="9" t="s">
        <v>15</v>
      </c>
      <c r="G1123" s="9" t="s">
        <v>16</v>
      </c>
      <c r="H1123" s="9" t="s">
        <v>16</v>
      </c>
      <c r="I1123" s="9"/>
      <c r="J1123" s="9"/>
      <c r="K1123" s="9"/>
    </row>
    <row r="1124" hidden="1">
      <c r="A1124" s="3" t="s">
        <v>4419</v>
      </c>
      <c r="B1124" s="2" t="s">
        <v>4420</v>
      </c>
      <c r="C1124" s="3" t="s">
        <v>4421</v>
      </c>
      <c r="D1124" s="2">
        <v>1.0028027568273113E-4</v>
      </c>
      <c r="E1124" s="8" t="s">
        <v>4422</v>
      </c>
      <c r="F1124" s="9" t="s">
        <v>15</v>
      </c>
      <c r="G1124" s="9" t="s">
        <v>16</v>
      </c>
      <c r="H1124" s="9" t="s">
        <v>16</v>
      </c>
      <c r="I1124" s="9"/>
      <c r="J1124" s="9"/>
      <c r="K1124" s="9"/>
    </row>
    <row r="1125" hidden="1">
      <c r="A1125" s="3" t="s">
        <v>4423</v>
      </c>
      <c r="B1125" s="2" t="s">
        <v>4424</v>
      </c>
      <c r="C1125" s="3"/>
      <c r="D1125" s="2">
        <v>1.0028027568273113E-4</v>
      </c>
      <c r="E1125" s="8" t="s">
        <v>4425</v>
      </c>
      <c r="F1125" s="9" t="s">
        <v>15</v>
      </c>
      <c r="G1125" s="9" t="s">
        <v>16</v>
      </c>
      <c r="H1125" s="9" t="s">
        <v>16</v>
      </c>
      <c r="I1125" s="9"/>
      <c r="J1125" s="9"/>
      <c r="K1125" s="9"/>
    </row>
    <row r="1126" hidden="1">
      <c r="A1126" s="3" t="s">
        <v>4426</v>
      </c>
      <c r="B1126" s="2" t="s">
        <v>4427</v>
      </c>
      <c r="C1126" s="3" t="s">
        <v>4428</v>
      </c>
      <c r="D1126" s="2">
        <v>1.0028027568273113E-4</v>
      </c>
      <c r="E1126" s="8" t="s">
        <v>4429</v>
      </c>
      <c r="F1126" s="9" t="s">
        <v>15</v>
      </c>
      <c r="G1126" s="9" t="s">
        <v>16</v>
      </c>
      <c r="H1126" s="9" t="s">
        <v>16</v>
      </c>
      <c r="I1126" s="9"/>
      <c r="J1126" s="9"/>
      <c r="K1126" s="9"/>
    </row>
    <row r="1127" hidden="1">
      <c r="A1127" s="3" t="s">
        <v>4430</v>
      </c>
      <c r="B1127" s="2" t="s">
        <v>4431</v>
      </c>
      <c r="C1127" s="3" t="s">
        <v>4432</v>
      </c>
      <c r="D1127" s="2">
        <v>1.0028027568273113E-4</v>
      </c>
      <c r="E1127" s="8" t="s">
        <v>4433</v>
      </c>
      <c r="F1127" s="9" t="s">
        <v>15</v>
      </c>
      <c r="G1127" s="9" t="s">
        <v>16</v>
      </c>
      <c r="H1127" s="9" t="s">
        <v>16</v>
      </c>
      <c r="I1127" s="9"/>
      <c r="J1127" s="9"/>
      <c r="K1127" s="9"/>
    </row>
    <row r="1128" hidden="1">
      <c r="A1128" s="3" t="s">
        <v>4434</v>
      </c>
      <c r="B1128" s="2" t="s">
        <v>4435</v>
      </c>
      <c r="C1128" s="3"/>
      <c r="D1128" s="2">
        <v>1.0028027568273113E-4</v>
      </c>
      <c r="E1128" s="8" t="s">
        <v>4436</v>
      </c>
      <c r="F1128" s="9" t="s">
        <v>15</v>
      </c>
      <c r="G1128" s="9" t="s">
        <v>16</v>
      </c>
      <c r="H1128" s="9" t="s">
        <v>16</v>
      </c>
      <c r="I1128" s="9"/>
      <c r="J1128" s="9"/>
      <c r="K1128" s="9"/>
    </row>
    <row r="1129" hidden="1">
      <c r="A1129" s="3" t="s">
        <v>4437</v>
      </c>
      <c r="B1129" s="2" t="s">
        <v>4438</v>
      </c>
      <c r="C1129" s="3" t="s">
        <v>4439</v>
      </c>
      <c r="D1129" s="2">
        <v>1.0028027568273113E-4</v>
      </c>
      <c r="E1129" s="8" t="s">
        <v>2035</v>
      </c>
      <c r="F1129" s="9" t="s">
        <v>15</v>
      </c>
      <c r="G1129" s="9" t="s">
        <v>16</v>
      </c>
      <c r="H1129" s="9" t="s">
        <v>16</v>
      </c>
      <c r="I1129" s="9"/>
      <c r="J1129" s="9"/>
      <c r="K1129" s="9"/>
    </row>
    <row r="1130" hidden="1">
      <c r="A1130" s="3" t="s">
        <v>4440</v>
      </c>
      <c r="B1130" s="2" t="s">
        <v>4441</v>
      </c>
      <c r="C1130" s="3" t="s">
        <v>4442</v>
      </c>
      <c r="D1130" s="2">
        <v>1.0028027568273113E-4</v>
      </c>
      <c r="E1130" s="8" t="s">
        <v>4443</v>
      </c>
      <c r="F1130" s="9" t="s">
        <v>15</v>
      </c>
      <c r="G1130" s="9" t="s">
        <v>16</v>
      </c>
      <c r="H1130" s="9" t="s">
        <v>16</v>
      </c>
      <c r="I1130" s="9"/>
      <c r="J1130" s="9"/>
      <c r="K1130" s="9"/>
    </row>
    <row r="1131" hidden="1">
      <c r="A1131" s="3" t="s">
        <v>4444</v>
      </c>
      <c r="B1131" s="2" t="s">
        <v>4445</v>
      </c>
      <c r="C1131" s="3" t="s">
        <v>4446</v>
      </c>
      <c r="D1131" s="2">
        <v>1.0028027568273113E-4</v>
      </c>
      <c r="E1131" s="8" t="s">
        <v>4447</v>
      </c>
      <c r="F1131" s="9" t="s">
        <v>15</v>
      </c>
      <c r="G1131" s="9" t="s">
        <v>16</v>
      </c>
      <c r="H1131" s="9" t="s">
        <v>16</v>
      </c>
      <c r="I1131" s="9"/>
      <c r="J1131" s="9"/>
      <c r="K1131" s="9"/>
    </row>
    <row r="1132" hidden="1">
      <c r="A1132" s="3" t="s">
        <v>4448</v>
      </c>
      <c r="B1132" s="2" t="s">
        <v>4449</v>
      </c>
      <c r="C1132" s="3" t="s">
        <v>4450</v>
      </c>
      <c r="D1132" s="2">
        <v>1.0028027568273113E-4</v>
      </c>
      <c r="E1132" s="8" t="s">
        <v>2318</v>
      </c>
      <c r="F1132" s="9" t="s">
        <v>15</v>
      </c>
      <c r="G1132" s="9" t="s">
        <v>16</v>
      </c>
      <c r="H1132" s="9" t="s">
        <v>16</v>
      </c>
      <c r="I1132" s="9"/>
      <c r="J1132" s="9"/>
      <c r="K1132" s="9"/>
    </row>
    <row r="1133" hidden="1">
      <c r="A1133" s="3" t="s">
        <v>4451</v>
      </c>
      <c r="B1133" s="2" t="s">
        <v>4452</v>
      </c>
      <c r="C1133" s="3" t="s">
        <v>4453</v>
      </c>
      <c r="D1133" s="2">
        <v>1.0028027568273113E-4</v>
      </c>
      <c r="E1133" s="8" t="s">
        <v>4454</v>
      </c>
      <c r="F1133" s="9" t="s">
        <v>15</v>
      </c>
      <c r="G1133" s="9" t="s">
        <v>16</v>
      </c>
      <c r="H1133" s="9" t="s">
        <v>16</v>
      </c>
      <c r="I1133" s="9"/>
      <c r="J1133" s="9"/>
      <c r="K1133" s="9"/>
    </row>
    <row r="1134" hidden="1">
      <c r="A1134" s="3" t="s">
        <v>4455</v>
      </c>
      <c r="B1134" s="2" t="s">
        <v>4456</v>
      </c>
      <c r="C1134" s="3" t="s">
        <v>4457</v>
      </c>
      <c r="D1134" s="2">
        <v>1.0028027568273113E-4</v>
      </c>
      <c r="E1134" s="8" t="s">
        <v>4458</v>
      </c>
      <c r="F1134" s="9" t="s">
        <v>15</v>
      </c>
      <c r="G1134" s="9" t="s">
        <v>16</v>
      </c>
      <c r="H1134" s="9" t="s">
        <v>16</v>
      </c>
      <c r="I1134" s="9"/>
      <c r="J1134" s="9"/>
      <c r="K1134" s="9"/>
    </row>
    <row r="1135" hidden="1">
      <c r="A1135" s="3" t="s">
        <v>4459</v>
      </c>
      <c r="B1135" s="2" t="s">
        <v>4460</v>
      </c>
      <c r="C1135" s="3" t="s">
        <v>4461</v>
      </c>
      <c r="D1135" s="2">
        <v>1.0028027568273113E-4</v>
      </c>
      <c r="E1135" s="8" t="s">
        <v>3868</v>
      </c>
      <c r="F1135" s="9" t="s">
        <v>15</v>
      </c>
      <c r="G1135" s="9" t="s">
        <v>16</v>
      </c>
      <c r="H1135" s="9" t="s">
        <v>16</v>
      </c>
      <c r="I1135" s="9"/>
      <c r="J1135" s="9"/>
      <c r="K1135" s="9"/>
    </row>
    <row r="1136" hidden="1">
      <c r="A1136" s="3" t="s">
        <v>4462</v>
      </c>
      <c r="B1136" s="2" t="s">
        <v>4463</v>
      </c>
      <c r="C1136" s="3" t="s">
        <v>4464</v>
      </c>
      <c r="D1136" s="2">
        <v>1.0028027568273113E-4</v>
      </c>
      <c r="E1136" s="8" t="s">
        <v>4465</v>
      </c>
      <c r="F1136" s="9" t="s">
        <v>15</v>
      </c>
      <c r="G1136" s="9" t="s">
        <v>16</v>
      </c>
      <c r="H1136" s="9" t="s">
        <v>16</v>
      </c>
      <c r="I1136" s="9"/>
      <c r="J1136" s="9"/>
      <c r="K1136" s="9"/>
    </row>
    <row r="1137" hidden="1">
      <c r="A1137" s="3" t="s">
        <v>4466</v>
      </c>
      <c r="B1137" s="2" t="s">
        <v>4467</v>
      </c>
      <c r="C1137" s="3" t="s">
        <v>4468</v>
      </c>
      <c r="D1137" s="2">
        <v>1.0028027568273113E-4</v>
      </c>
      <c r="E1137" s="8" t="s">
        <v>4469</v>
      </c>
      <c r="F1137" s="9" t="s">
        <v>15</v>
      </c>
      <c r="G1137" s="9" t="s">
        <v>16</v>
      </c>
      <c r="H1137" s="9" t="s">
        <v>16</v>
      </c>
      <c r="I1137" s="9"/>
      <c r="J1137" s="9"/>
      <c r="K1137" s="9"/>
    </row>
    <row r="1138" hidden="1">
      <c r="A1138" s="3" t="s">
        <v>4470</v>
      </c>
      <c r="B1138" s="2" t="s">
        <v>4471</v>
      </c>
      <c r="C1138" s="3" t="s">
        <v>4472</v>
      </c>
      <c r="D1138" s="2">
        <v>1.0028027568273113E-4</v>
      </c>
      <c r="E1138" s="8" t="s">
        <v>4473</v>
      </c>
      <c r="F1138" s="9" t="s">
        <v>15</v>
      </c>
      <c r="G1138" s="9" t="s">
        <v>16</v>
      </c>
      <c r="H1138" s="9" t="s">
        <v>16</v>
      </c>
      <c r="I1138" s="9"/>
      <c r="J1138" s="9"/>
      <c r="K1138" s="9"/>
    </row>
    <row r="1139" hidden="1">
      <c r="A1139" s="3" t="s">
        <v>4474</v>
      </c>
      <c r="B1139" s="2" t="s">
        <v>4475</v>
      </c>
      <c r="C1139" s="3" t="s">
        <v>4476</v>
      </c>
      <c r="D1139" s="2">
        <v>1.0028027568273113E-4</v>
      </c>
      <c r="E1139" s="8" t="s">
        <v>4477</v>
      </c>
      <c r="F1139" s="9" t="s">
        <v>15</v>
      </c>
      <c r="G1139" s="9" t="s">
        <v>16</v>
      </c>
      <c r="H1139" s="9" t="s">
        <v>16</v>
      </c>
      <c r="I1139" s="9"/>
      <c r="J1139" s="9"/>
      <c r="K1139" s="9"/>
    </row>
    <row r="1140" hidden="1">
      <c r="A1140" s="3" t="s">
        <v>4478</v>
      </c>
      <c r="B1140" s="2" t="s">
        <v>4479</v>
      </c>
      <c r="C1140" s="3" t="s">
        <v>4480</v>
      </c>
      <c r="D1140" s="2">
        <v>1.0028027568273113E-4</v>
      </c>
      <c r="E1140" s="8" t="s">
        <v>4481</v>
      </c>
      <c r="F1140" s="9" t="s">
        <v>15</v>
      </c>
      <c r="G1140" s="9" t="s">
        <v>16</v>
      </c>
      <c r="H1140" s="9" t="s">
        <v>16</v>
      </c>
      <c r="I1140" s="9"/>
      <c r="J1140" s="9"/>
      <c r="K1140" s="9"/>
    </row>
    <row r="1141" hidden="1">
      <c r="A1141" s="3" t="s">
        <v>4482</v>
      </c>
      <c r="B1141" s="2" t="s">
        <v>4483</v>
      </c>
      <c r="C1141" s="3" t="s">
        <v>4484</v>
      </c>
      <c r="D1141" s="2">
        <v>1.0028027568273113E-4</v>
      </c>
      <c r="E1141" s="8" t="s">
        <v>4485</v>
      </c>
      <c r="F1141" s="9" t="s">
        <v>15</v>
      </c>
      <c r="G1141" s="9" t="s">
        <v>16</v>
      </c>
      <c r="H1141" s="9" t="s">
        <v>16</v>
      </c>
      <c r="I1141" s="9"/>
      <c r="J1141" s="9"/>
      <c r="K1141" s="9"/>
    </row>
    <row r="1142" hidden="1">
      <c r="A1142" s="3" t="s">
        <v>4486</v>
      </c>
      <c r="B1142" s="2" t="s">
        <v>4487</v>
      </c>
      <c r="C1142" s="3" t="s">
        <v>4488</v>
      </c>
      <c r="D1142" s="2">
        <v>1.0028027568273113E-4</v>
      </c>
      <c r="E1142" s="8" t="s">
        <v>4489</v>
      </c>
      <c r="F1142" s="9" t="s">
        <v>15</v>
      </c>
      <c r="G1142" s="9" t="s">
        <v>16</v>
      </c>
      <c r="H1142" s="9" t="s">
        <v>16</v>
      </c>
      <c r="I1142" s="9"/>
      <c r="J1142" s="9"/>
      <c r="K1142" s="9"/>
    </row>
    <row r="1143" hidden="1">
      <c r="A1143" s="3" t="s">
        <v>4490</v>
      </c>
      <c r="B1143" s="2" t="s">
        <v>4491</v>
      </c>
      <c r="C1143" s="3" t="s">
        <v>4492</v>
      </c>
      <c r="D1143" s="2">
        <v>1.0028027568273113E-4</v>
      </c>
      <c r="E1143" s="8" t="s">
        <v>4493</v>
      </c>
      <c r="F1143" s="9" t="s">
        <v>15</v>
      </c>
      <c r="G1143" s="9" t="s">
        <v>16</v>
      </c>
      <c r="H1143" s="9" t="s">
        <v>16</v>
      </c>
      <c r="I1143" s="9"/>
      <c r="J1143" s="9"/>
      <c r="K1143" s="9"/>
    </row>
    <row r="1144" hidden="1">
      <c r="A1144" s="3" t="s">
        <v>4494</v>
      </c>
      <c r="B1144" s="2" t="s">
        <v>4495</v>
      </c>
      <c r="C1144" s="3" t="s">
        <v>4496</v>
      </c>
      <c r="D1144" s="2">
        <v>1.0028027568273113E-4</v>
      </c>
      <c r="E1144" s="8" t="s">
        <v>4497</v>
      </c>
      <c r="F1144" s="9" t="s">
        <v>15</v>
      </c>
      <c r="G1144" s="9" t="s">
        <v>16</v>
      </c>
      <c r="H1144" s="9" t="s">
        <v>16</v>
      </c>
      <c r="I1144" s="9"/>
      <c r="J1144" s="9"/>
      <c r="K1144" s="9"/>
    </row>
    <row r="1145" hidden="1">
      <c r="A1145" s="3" t="s">
        <v>4498</v>
      </c>
      <c r="B1145" s="2" t="s">
        <v>4499</v>
      </c>
      <c r="C1145" s="3" t="s">
        <v>4500</v>
      </c>
      <c r="D1145" s="2">
        <v>1.0028027568273113E-4</v>
      </c>
      <c r="E1145" s="8" t="s">
        <v>4501</v>
      </c>
      <c r="F1145" s="9" t="s">
        <v>15</v>
      </c>
      <c r="G1145" s="9" t="s">
        <v>16</v>
      </c>
      <c r="H1145" s="9" t="s">
        <v>16</v>
      </c>
      <c r="I1145" s="9"/>
      <c r="J1145" s="9"/>
      <c r="K1145" s="9"/>
    </row>
    <row r="1146" hidden="1">
      <c r="A1146" s="3" t="s">
        <v>2419</v>
      </c>
      <c r="B1146" s="2" t="s">
        <v>4502</v>
      </c>
      <c r="C1146" s="3" t="s">
        <v>4503</v>
      </c>
      <c r="D1146" s="2">
        <v>1.0028027568273113E-4</v>
      </c>
      <c r="E1146" s="8" t="s">
        <v>4504</v>
      </c>
      <c r="F1146" s="9" t="s">
        <v>15</v>
      </c>
      <c r="G1146" s="9" t="s">
        <v>16</v>
      </c>
      <c r="H1146" s="9" t="s">
        <v>16</v>
      </c>
      <c r="I1146" s="9"/>
      <c r="J1146" s="9"/>
      <c r="K1146" s="9"/>
    </row>
    <row r="1147" hidden="1">
      <c r="A1147" s="3" t="s">
        <v>4505</v>
      </c>
      <c r="B1147" s="2" t="s">
        <v>4506</v>
      </c>
      <c r="C1147" s="3" t="s">
        <v>4507</v>
      </c>
      <c r="D1147" s="2">
        <v>1.0028027568273113E-4</v>
      </c>
      <c r="E1147" s="8" t="s">
        <v>4508</v>
      </c>
      <c r="F1147" s="9" t="s">
        <v>15</v>
      </c>
      <c r="G1147" s="9" t="s">
        <v>16</v>
      </c>
      <c r="H1147" s="9" t="s">
        <v>16</v>
      </c>
      <c r="I1147" s="9"/>
      <c r="J1147" s="9"/>
      <c r="K1147" s="9"/>
    </row>
    <row r="1148" hidden="1">
      <c r="A1148" s="3" t="s">
        <v>4509</v>
      </c>
      <c r="B1148" s="2" t="s">
        <v>4510</v>
      </c>
      <c r="C1148" s="3"/>
      <c r="D1148" s="2">
        <v>1.0028027568273113E-4</v>
      </c>
      <c r="E1148" s="8" t="s">
        <v>4511</v>
      </c>
      <c r="F1148" s="9" t="s">
        <v>15</v>
      </c>
      <c r="G1148" s="9" t="s">
        <v>16</v>
      </c>
      <c r="H1148" s="9" t="s">
        <v>16</v>
      </c>
      <c r="I1148" s="9"/>
      <c r="J1148" s="9"/>
      <c r="K1148" s="9"/>
    </row>
    <row r="1149" hidden="1">
      <c r="A1149" s="3" t="s">
        <v>4512</v>
      </c>
      <c r="B1149" s="2" t="s">
        <v>4513</v>
      </c>
      <c r="C1149" s="3" t="s">
        <v>4514</v>
      </c>
      <c r="D1149" s="2">
        <v>1.0028027568273113E-4</v>
      </c>
      <c r="E1149" s="8" t="s">
        <v>4515</v>
      </c>
      <c r="F1149" s="9" t="s">
        <v>15</v>
      </c>
      <c r="G1149" s="9" t="s">
        <v>16</v>
      </c>
      <c r="H1149" s="9" t="s">
        <v>16</v>
      </c>
      <c r="I1149" s="9"/>
      <c r="J1149" s="9"/>
      <c r="K1149" s="9"/>
    </row>
    <row r="1150" hidden="1">
      <c r="A1150" s="3" t="s">
        <v>4516</v>
      </c>
      <c r="B1150" s="2" t="s">
        <v>4517</v>
      </c>
      <c r="C1150" s="3" t="s">
        <v>4518</v>
      </c>
      <c r="D1150" s="2">
        <v>1.0028027568273113E-4</v>
      </c>
      <c r="E1150" s="8" t="s">
        <v>4519</v>
      </c>
      <c r="F1150" s="9" t="s">
        <v>15</v>
      </c>
      <c r="G1150" s="9" t="s">
        <v>16</v>
      </c>
      <c r="H1150" s="9" t="s">
        <v>16</v>
      </c>
      <c r="I1150" s="9"/>
      <c r="J1150" s="9"/>
      <c r="K1150" s="9"/>
    </row>
    <row r="1151" hidden="1">
      <c r="A1151" s="3" t="s">
        <v>4520</v>
      </c>
      <c r="B1151" s="2" t="s">
        <v>4521</v>
      </c>
      <c r="C1151" s="3"/>
      <c r="D1151" s="2">
        <v>1.0028027568273113E-4</v>
      </c>
      <c r="E1151" s="8" t="s">
        <v>4356</v>
      </c>
      <c r="F1151" s="9" t="s">
        <v>15</v>
      </c>
      <c r="G1151" s="9" t="s">
        <v>16</v>
      </c>
      <c r="H1151" s="9" t="s">
        <v>16</v>
      </c>
      <c r="I1151" s="9"/>
      <c r="J1151" s="9"/>
      <c r="K1151" s="9"/>
    </row>
    <row r="1152" hidden="1">
      <c r="A1152" s="3" t="s">
        <v>4522</v>
      </c>
      <c r="B1152" s="2" t="s">
        <v>4523</v>
      </c>
      <c r="C1152" s="3" t="s">
        <v>4524</v>
      </c>
      <c r="D1152" s="2">
        <v>1.0028027568273113E-4</v>
      </c>
      <c r="E1152" s="8" t="s">
        <v>4525</v>
      </c>
      <c r="F1152" s="9" t="s">
        <v>15</v>
      </c>
      <c r="G1152" s="9" t="s">
        <v>16</v>
      </c>
      <c r="H1152" s="9" t="s">
        <v>16</v>
      </c>
      <c r="I1152" s="9"/>
      <c r="J1152" s="9"/>
      <c r="K1152" s="9"/>
    </row>
    <row r="1153" hidden="1">
      <c r="A1153" s="3" t="s">
        <v>4526</v>
      </c>
      <c r="B1153" s="2" t="s">
        <v>4527</v>
      </c>
      <c r="C1153" s="3"/>
      <c r="D1153" s="2">
        <v>1.0028027568273113E-4</v>
      </c>
      <c r="E1153" s="8" t="s">
        <v>4528</v>
      </c>
      <c r="F1153" s="9" t="s">
        <v>15</v>
      </c>
      <c r="G1153" s="9" t="s">
        <v>16</v>
      </c>
      <c r="H1153" s="9" t="s">
        <v>16</v>
      </c>
      <c r="I1153" s="9"/>
      <c r="J1153" s="9"/>
      <c r="K1153" s="9"/>
    </row>
    <row r="1154" hidden="1">
      <c r="A1154" s="3" t="s">
        <v>4529</v>
      </c>
      <c r="B1154" s="2" t="s">
        <v>4530</v>
      </c>
      <c r="C1154" s="3" t="s">
        <v>4531</v>
      </c>
      <c r="D1154" s="2">
        <v>1.0028027568273113E-4</v>
      </c>
      <c r="E1154" s="8" t="s">
        <v>4532</v>
      </c>
      <c r="F1154" s="9" t="s">
        <v>15</v>
      </c>
      <c r="G1154" s="9" t="s">
        <v>16</v>
      </c>
      <c r="H1154" s="9" t="s">
        <v>16</v>
      </c>
      <c r="I1154" s="9"/>
      <c r="J1154" s="9"/>
      <c r="K1154" s="9"/>
    </row>
    <row r="1155" hidden="1">
      <c r="A1155" s="3" t="s">
        <v>4533</v>
      </c>
      <c r="B1155" s="2" t="s">
        <v>4534</v>
      </c>
      <c r="C1155" s="3"/>
      <c r="D1155" s="2">
        <v>1.0028027568273113E-4</v>
      </c>
      <c r="E1155" s="8" t="s">
        <v>4535</v>
      </c>
      <c r="F1155" s="9" t="s">
        <v>15</v>
      </c>
      <c r="G1155" s="9" t="s">
        <v>16</v>
      </c>
      <c r="H1155" s="9" t="s">
        <v>16</v>
      </c>
      <c r="I1155" s="9"/>
      <c r="J1155" s="9"/>
      <c r="K1155" s="9"/>
    </row>
    <row r="1156" hidden="1">
      <c r="A1156" s="3" t="s">
        <v>4536</v>
      </c>
      <c r="B1156" s="2" t="s">
        <v>4537</v>
      </c>
      <c r="C1156" s="3" t="s">
        <v>4538</v>
      </c>
      <c r="D1156" s="2">
        <v>1.0028027568273113E-4</v>
      </c>
      <c r="E1156" s="8" t="s">
        <v>4539</v>
      </c>
      <c r="F1156" s="9" t="s">
        <v>15</v>
      </c>
      <c r="G1156" s="9" t="s">
        <v>16</v>
      </c>
      <c r="H1156" s="9" t="s">
        <v>16</v>
      </c>
      <c r="I1156" s="9"/>
      <c r="J1156" s="9"/>
      <c r="K1156" s="9"/>
    </row>
    <row r="1157" hidden="1">
      <c r="A1157" s="3" t="s">
        <v>4540</v>
      </c>
      <c r="B1157" s="2" t="s">
        <v>4541</v>
      </c>
      <c r="C1157" s="3"/>
      <c r="D1157" s="2">
        <v>1.0028027568273113E-4</v>
      </c>
      <c r="E1157" s="8" t="s">
        <v>4542</v>
      </c>
      <c r="F1157" s="9" t="s">
        <v>15</v>
      </c>
      <c r="G1157" s="9" t="s">
        <v>16</v>
      </c>
      <c r="H1157" s="9" t="s">
        <v>16</v>
      </c>
      <c r="I1157" s="9"/>
      <c r="J1157" s="9"/>
      <c r="K1157" s="9"/>
    </row>
    <row r="1158" hidden="1">
      <c r="A1158" s="3" t="s">
        <v>4543</v>
      </c>
      <c r="B1158" s="2" t="s">
        <v>4544</v>
      </c>
      <c r="C1158" s="3" t="s">
        <v>4545</v>
      </c>
      <c r="D1158" s="2">
        <v>1.0028027568273113E-4</v>
      </c>
      <c r="E1158" s="8" t="s">
        <v>4546</v>
      </c>
      <c r="F1158" s="9" t="s">
        <v>15</v>
      </c>
      <c r="G1158" s="9" t="s">
        <v>16</v>
      </c>
      <c r="H1158" s="9" t="s">
        <v>16</v>
      </c>
      <c r="I1158" s="9"/>
      <c r="J1158" s="9"/>
      <c r="K1158" s="9"/>
    </row>
    <row r="1159" hidden="1">
      <c r="A1159" s="3" t="s">
        <v>4547</v>
      </c>
      <c r="B1159" s="2" t="s">
        <v>4548</v>
      </c>
      <c r="C1159" s="3"/>
      <c r="D1159" s="2">
        <v>1.0028027568273113E-4</v>
      </c>
      <c r="E1159" s="8" t="s">
        <v>4549</v>
      </c>
      <c r="F1159" s="9" t="s">
        <v>15</v>
      </c>
      <c r="G1159" s="9" t="s">
        <v>16</v>
      </c>
      <c r="H1159" s="9" t="s">
        <v>16</v>
      </c>
      <c r="I1159" s="9"/>
      <c r="J1159" s="9"/>
      <c r="K1159" s="9"/>
    </row>
    <row r="1160" hidden="1">
      <c r="A1160" s="3" t="s">
        <v>4550</v>
      </c>
      <c r="B1160" s="2" t="s">
        <v>4551</v>
      </c>
      <c r="C1160" s="3" t="s">
        <v>4552</v>
      </c>
      <c r="D1160" s="2">
        <v>1.0028027568273113E-4</v>
      </c>
      <c r="E1160" s="8" t="s">
        <v>4553</v>
      </c>
      <c r="F1160" s="9" t="s">
        <v>15</v>
      </c>
      <c r="G1160" s="9" t="s">
        <v>16</v>
      </c>
      <c r="H1160" s="9" t="s">
        <v>16</v>
      </c>
      <c r="I1160" s="9"/>
      <c r="J1160" s="9"/>
      <c r="K1160" s="9"/>
    </row>
    <row r="1161" hidden="1">
      <c r="A1161" s="3" t="s">
        <v>4554</v>
      </c>
      <c r="B1161" s="2" t="s">
        <v>4555</v>
      </c>
      <c r="C1161" s="3" t="s">
        <v>4556</v>
      </c>
      <c r="D1161" s="2">
        <v>1.0028027568273113E-4</v>
      </c>
      <c r="E1161" s="8" t="s">
        <v>4557</v>
      </c>
      <c r="F1161" s="9" t="s">
        <v>15</v>
      </c>
      <c r="G1161" s="9" t="s">
        <v>16</v>
      </c>
      <c r="H1161" s="9" t="s">
        <v>16</v>
      </c>
      <c r="I1161" s="9"/>
      <c r="J1161" s="9"/>
      <c r="K1161" s="9"/>
    </row>
    <row r="1162" hidden="1">
      <c r="A1162" s="3" t="s">
        <v>4558</v>
      </c>
      <c r="B1162" s="2" t="s">
        <v>4559</v>
      </c>
      <c r="C1162" s="3" t="s">
        <v>4560</v>
      </c>
      <c r="D1162" s="2">
        <v>1.0028027568273113E-4</v>
      </c>
      <c r="E1162" s="8" t="s">
        <v>1516</v>
      </c>
      <c r="F1162" s="9" t="s">
        <v>15</v>
      </c>
      <c r="G1162" s="9" t="s">
        <v>16</v>
      </c>
      <c r="H1162" s="9" t="s">
        <v>16</v>
      </c>
      <c r="I1162" s="9"/>
      <c r="J1162" s="9"/>
      <c r="K1162" s="9"/>
    </row>
    <row r="1163" hidden="1">
      <c r="A1163" s="3" t="s">
        <v>4561</v>
      </c>
      <c r="B1163" s="2" t="s">
        <v>4562</v>
      </c>
      <c r="C1163" s="3" t="s">
        <v>4563</v>
      </c>
      <c r="D1163" s="2">
        <v>1.0028027568273113E-4</v>
      </c>
      <c r="E1163" s="8" t="s">
        <v>4564</v>
      </c>
      <c r="F1163" s="9" t="s">
        <v>15</v>
      </c>
      <c r="G1163" s="9" t="s">
        <v>16</v>
      </c>
      <c r="H1163" s="9" t="s">
        <v>16</v>
      </c>
      <c r="I1163" s="9"/>
      <c r="J1163" s="9"/>
      <c r="K1163" s="9"/>
    </row>
    <row r="1164" hidden="1">
      <c r="A1164" s="3" t="s">
        <v>4565</v>
      </c>
      <c r="B1164" s="2" t="s">
        <v>4566</v>
      </c>
      <c r="C1164" s="3" t="s">
        <v>4567</v>
      </c>
      <c r="D1164" s="2">
        <v>1.0028027568273113E-4</v>
      </c>
      <c r="E1164" s="8" t="s">
        <v>4568</v>
      </c>
      <c r="F1164" s="9" t="s">
        <v>15</v>
      </c>
      <c r="G1164" s="9" t="s">
        <v>16</v>
      </c>
      <c r="H1164" s="9" t="s">
        <v>16</v>
      </c>
      <c r="I1164" s="9"/>
      <c r="J1164" s="9"/>
      <c r="K1164" s="9"/>
    </row>
    <row r="1165" hidden="1">
      <c r="A1165" s="3" t="s">
        <v>4569</v>
      </c>
      <c r="B1165" s="2" t="s">
        <v>4570</v>
      </c>
      <c r="C1165" s="3" t="s">
        <v>4571</v>
      </c>
      <c r="D1165" s="2">
        <v>1.0028027568273113E-4</v>
      </c>
      <c r="E1165" s="8" t="s">
        <v>4572</v>
      </c>
      <c r="F1165" s="9" t="s">
        <v>15</v>
      </c>
      <c r="G1165" s="9" t="s">
        <v>16</v>
      </c>
      <c r="H1165" s="9" t="s">
        <v>16</v>
      </c>
      <c r="I1165" s="9"/>
      <c r="J1165" s="9"/>
      <c r="K1165" s="9"/>
    </row>
    <row r="1166" hidden="1">
      <c r="A1166" s="3" t="s">
        <v>4573</v>
      </c>
      <c r="B1166" s="2" t="s">
        <v>4574</v>
      </c>
      <c r="C1166" s="3" t="s">
        <v>4575</v>
      </c>
      <c r="D1166" s="2">
        <v>1.0028027568273113E-4</v>
      </c>
      <c r="E1166" s="8" t="s">
        <v>1129</v>
      </c>
      <c r="F1166" s="9" t="s">
        <v>15</v>
      </c>
      <c r="G1166" s="9" t="s">
        <v>16</v>
      </c>
      <c r="H1166" s="9" t="s">
        <v>16</v>
      </c>
      <c r="I1166" s="9"/>
      <c r="J1166" s="9"/>
      <c r="K1166" s="9"/>
    </row>
    <row r="1167" hidden="1">
      <c r="A1167" s="3" t="s">
        <v>4576</v>
      </c>
      <c r="B1167" s="2" t="s">
        <v>4577</v>
      </c>
      <c r="C1167" s="3" t="s">
        <v>4578</v>
      </c>
      <c r="D1167" s="2">
        <v>1.0028027568273113E-4</v>
      </c>
      <c r="E1167" s="8" t="s">
        <v>4579</v>
      </c>
      <c r="F1167" s="9" t="s">
        <v>15</v>
      </c>
      <c r="G1167" s="9" t="s">
        <v>16</v>
      </c>
      <c r="H1167" s="9" t="s">
        <v>16</v>
      </c>
      <c r="I1167" s="9"/>
      <c r="J1167" s="9"/>
      <c r="K1167" s="9"/>
    </row>
    <row r="1168" hidden="1">
      <c r="A1168" s="3" t="s">
        <v>4580</v>
      </c>
      <c r="B1168" s="2" t="s">
        <v>4581</v>
      </c>
      <c r="C1168" s="3" t="s">
        <v>4582</v>
      </c>
      <c r="D1168" s="2">
        <v>1.0028027568273113E-4</v>
      </c>
      <c r="E1168" s="8" t="s">
        <v>4583</v>
      </c>
      <c r="F1168" s="9" t="s">
        <v>15</v>
      </c>
      <c r="G1168" s="9" t="s">
        <v>16</v>
      </c>
      <c r="H1168" s="9" t="s">
        <v>16</v>
      </c>
      <c r="I1168" s="9"/>
      <c r="J1168" s="9"/>
      <c r="K1168" s="9"/>
    </row>
    <row r="1169" hidden="1">
      <c r="A1169" s="3" t="s">
        <v>4584</v>
      </c>
      <c r="B1169" s="2" t="s">
        <v>4585</v>
      </c>
      <c r="C1169" s="3" t="s">
        <v>4586</v>
      </c>
      <c r="D1169" s="2">
        <v>1.0028027568273113E-4</v>
      </c>
      <c r="E1169" s="8" t="s">
        <v>4587</v>
      </c>
      <c r="F1169" s="9" t="s">
        <v>15</v>
      </c>
      <c r="G1169" s="9" t="s">
        <v>16</v>
      </c>
      <c r="H1169" s="9" t="s">
        <v>16</v>
      </c>
      <c r="I1169" s="9"/>
      <c r="J1169" s="9"/>
      <c r="K1169" s="9"/>
    </row>
    <row r="1170" hidden="1">
      <c r="A1170" s="3" t="s">
        <v>4588</v>
      </c>
      <c r="B1170" s="2" t="s">
        <v>4589</v>
      </c>
      <c r="C1170" s="3" t="s">
        <v>4590</v>
      </c>
      <c r="D1170" s="2">
        <v>1.0028027568273113E-4</v>
      </c>
      <c r="E1170" s="8" t="s">
        <v>4591</v>
      </c>
      <c r="F1170" s="9" t="s">
        <v>15</v>
      </c>
      <c r="G1170" s="9" t="s">
        <v>16</v>
      </c>
      <c r="H1170" s="9" t="s">
        <v>16</v>
      </c>
      <c r="I1170" s="9"/>
      <c r="J1170" s="9"/>
      <c r="K1170" s="9"/>
    </row>
    <row r="1171" hidden="1">
      <c r="A1171" s="3" t="s">
        <v>4592</v>
      </c>
      <c r="B1171" s="2" t="s">
        <v>4593</v>
      </c>
      <c r="C1171" s="3" t="s">
        <v>4594</v>
      </c>
      <c r="D1171" s="2">
        <v>1.0028027568273113E-4</v>
      </c>
      <c r="E1171" s="8" t="s">
        <v>4595</v>
      </c>
      <c r="F1171" s="9" t="s">
        <v>15</v>
      </c>
      <c r="G1171" s="9" t="s">
        <v>16</v>
      </c>
      <c r="H1171" s="9" t="s">
        <v>16</v>
      </c>
      <c r="I1171" s="9"/>
      <c r="J1171" s="9"/>
      <c r="K1171" s="9"/>
    </row>
    <row r="1172" hidden="1">
      <c r="A1172" s="3" t="s">
        <v>4596</v>
      </c>
      <c r="B1172" s="2" t="s">
        <v>4597</v>
      </c>
      <c r="C1172" s="3" t="s">
        <v>4598</v>
      </c>
      <c r="D1172" s="2">
        <v>1.0028027568273113E-4</v>
      </c>
      <c r="E1172" s="8" t="s">
        <v>4599</v>
      </c>
      <c r="F1172" s="9" t="s">
        <v>15</v>
      </c>
      <c r="G1172" s="9" t="s">
        <v>16</v>
      </c>
      <c r="H1172" s="9" t="s">
        <v>16</v>
      </c>
      <c r="I1172" s="9"/>
      <c r="J1172" s="9"/>
      <c r="K1172" s="9"/>
    </row>
    <row r="1173" hidden="1">
      <c r="A1173" s="3" t="s">
        <v>4600</v>
      </c>
      <c r="B1173" s="2" t="s">
        <v>4601</v>
      </c>
      <c r="C1173" s="3" t="s">
        <v>4602</v>
      </c>
      <c r="D1173" s="2">
        <v>1.0028027568273113E-4</v>
      </c>
      <c r="E1173" s="8" t="s">
        <v>4603</v>
      </c>
      <c r="F1173" s="9" t="s">
        <v>15</v>
      </c>
      <c r="G1173" s="9" t="s">
        <v>16</v>
      </c>
      <c r="H1173" s="9" t="s">
        <v>16</v>
      </c>
      <c r="I1173" s="9"/>
      <c r="J1173" s="9"/>
      <c r="K1173" s="9"/>
    </row>
    <row r="1174" hidden="1">
      <c r="A1174" s="3" t="s">
        <v>4604</v>
      </c>
      <c r="B1174" s="2" t="s">
        <v>4605</v>
      </c>
      <c r="C1174" s="3" t="s">
        <v>4606</v>
      </c>
      <c r="D1174" s="2">
        <v>1.0028027568273113E-4</v>
      </c>
      <c r="E1174" s="8" t="s">
        <v>4607</v>
      </c>
      <c r="F1174" s="9" t="s">
        <v>15</v>
      </c>
      <c r="G1174" s="9" t="s">
        <v>16</v>
      </c>
      <c r="H1174" s="9" t="s">
        <v>16</v>
      </c>
      <c r="I1174" s="9"/>
      <c r="J1174" s="9"/>
      <c r="K1174" s="9"/>
    </row>
    <row r="1175" hidden="1">
      <c r="A1175" s="3" t="s">
        <v>4608</v>
      </c>
      <c r="B1175" s="2" t="s">
        <v>4609</v>
      </c>
      <c r="C1175" s="3" t="s">
        <v>4610</v>
      </c>
      <c r="D1175" s="2">
        <v>1.0028027568273113E-4</v>
      </c>
      <c r="E1175" s="8" t="s">
        <v>4611</v>
      </c>
      <c r="F1175" s="9" t="s">
        <v>15</v>
      </c>
      <c r="G1175" s="9" t="s">
        <v>16</v>
      </c>
      <c r="H1175" s="9" t="s">
        <v>16</v>
      </c>
      <c r="I1175" s="9"/>
      <c r="J1175" s="9"/>
      <c r="K1175" s="9"/>
    </row>
    <row r="1176" hidden="1">
      <c r="A1176" s="3" t="s">
        <v>4612</v>
      </c>
      <c r="B1176" s="2" t="s">
        <v>4613</v>
      </c>
      <c r="C1176" s="3" t="s">
        <v>4614</v>
      </c>
      <c r="D1176" s="2">
        <v>1.0028027568273113E-4</v>
      </c>
      <c r="E1176" s="8" t="s">
        <v>4615</v>
      </c>
      <c r="F1176" s="9" t="s">
        <v>15</v>
      </c>
      <c r="G1176" s="9" t="s">
        <v>16</v>
      </c>
      <c r="H1176" s="9" t="s">
        <v>16</v>
      </c>
      <c r="I1176" s="9"/>
      <c r="J1176" s="9"/>
      <c r="K1176" s="9"/>
    </row>
    <row r="1177" hidden="1">
      <c r="A1177" s="3" t="s">
        <v>4616</v>
      </c>
      <c r="B1177" s="2" t="s">
        <v>4617</v>
      </c>
      <c r="C1177" s="3" t="s">
        <v>4618</v>
      </c>
      <c r="D1177" s="2">
        <v>1.0028027568273113E-4</v>
      </c>
      <c r="E1177" s="8" t="s">
        <v>4619</v>
      </c>
      <c r="F1177" s="9" t="s">
        <v>15</v>
      </c>
      <c r="G1177" s="9" t="s">
        <v>16</v>
      </c>
      <c r="H1177" s="9" t="s">
        <v>16</v>
      </c>
      <c r="I1177" s="9"/>
      <c r="J1177" s="9"/>
      <c r="K1177" s="9"/>
    </row>
    <row r="1178" hidden="1">
      <c r="A1178" s="3" t="s">
        <v>4620</v>
      </c>
      <c r="B1178" s="2" t="s">
        <v>4621</v>
      </c>
      <c r="C1178" s="3" t="s">
        <v>4622</v>
      </c>
      <c r="D1178" s="2">
        <v>1.0028027568273113E-4</v>
      </c>
      <c r="E1178" s="8" t="s">
        <v>4623</v>
      </c>
      <c r="F1178" s="9" t="s">
        <v>15</v>
      </c>
      <c r="G1178" s="9" t="s">
        <v>16</v>
      </c>
      <c r="H1178" s="9" t="s">
        <v>16</v>
      </c>
      <c r="I1178" s="9"/>
      <c r="J1178" s="9"/>
      <c r="K1178" s="9"/>
    </row>
    <row r="1179" hidden="1">
      <c r="A1179" s="3" t="s">
        <v>4624</v>
      </c>
      <c r="B1179" s="2" t="s">
        <v>4625</v>
      </c>
      <c r="C1179" s="3"/>
      <c r="D1179" s="2">
        <v>1.0028027568273113E-4</v>
      </c>
      <c r="E1179" s="8" t="s">
        <v>4626</v>
      </c>
      <c r="F1179" s="9" t="s">
        <v>15</v>
      </c>
      <c r="G1179" s="9" t="s">
        <v>16</v>
      </c>
      <c r="H1179" s="9" t="s">
        <v>16</v>
      </c>
      <c r="I1179" s="9"/>
      <c r="J1179" s="9"/>
      <c r="K1179" s="9"/>
    </row>
    <row r="1180" hidden="1">
      <c r="A1180" s="3" t="s">
        <v>4627</v>
      </c>
      <c r="B1180" s="2" t="s">
        <v>4628</v>
      </c>
      <c r="C1180" s="3" t="s">
        <v>4629</v>
      </c>
      <c r="D1180" s="2">
        <v>1.0028027568273113E-4</v>
      </c>
      <c r="E1180" s="8" t="s">
        <v>4630</v>
      </c>
      <c r="F1180" s="9" t="s">
        <v>15</v>
      </c>
      <c r="G1180" s="9" t="s">
        <v>16</v>
      </c>
      <c r="H1180" s="9" t="s">
        <v>16</v>
      </c>
      <c r="I1180" s="9"/>
      <c r="J1180" s="9"/>
      <c r="K1180" s="9"/>
    </row>
    <row r="1181" hidden="1">
      <c r="A1181" s="3" t="s">
        <v>4631</v>
      </c>
      <c r="B1181" s="2" t="s">
        <v>4632</v>
      </c>
      <c r="C1181" s="3" t="s">
        <v>4633</v>
      </c>
      <c r="D1181" s="2">
        <v>1.0028027568273113E-4</v>
      </c>
      <c r="E1181" s="8" t="s">
        <v>4634</v>
      </c>
      <c r="F1181" s="9" t="s">
        <v>15</v>
      </c>
      <c r="G1181" s="9" t="s">
        <v>16</v>
      </c>
      <c r="H1181" s="9" t="s">
        <v>16</v>
      </c>
      <c r="I1181" s="9"/>
      <c r="J1181" s="9"/>
      <c r="K1181" s="9"/>
    </row>
    <row r="1182" hidden="1">
      <c r="A1182" s="3" t="s">
        <v>4635</v>
      </c>
      <c r="B1182" s="2" t="s">
        <v>4636</v>
      </c>
      <c r="C1182" s="3" t="s">
        <v>4637</v>
      </c>
      <c r="D1182" s="2">
        <v>1.0028027568273113E-4</v>
      </c>
      <c r="E1182" s="8" t="s">
        <v>4572</v>
      </c>
      <c r="F1182" s="9" t="s">
        <v>15</v>
      </c>
      <c r="G1182" s="9" t="s">
        <v>16</v>
      </c>
      <c r="H1182" s="9" t="s">
        <v>16</v>
      </c>
      <c r="I1182" s="9"/>
      <c r="J1182" s="9"/>
      <c r="K1182" s="9"/>
    </row>
    <row r="1183" hidden="1">
      <c r="A1183" s="3" t="s">
        <v>4638</v>
      </c>
      <c r="B1183" s="2" t="s">
        <v>4639</v>
      </c>
      <c r="C1183" s="3" t="s">
        <v>4640</v>
      </c>
      <c r="D1183" s="2">
        <v>1.0028027568273113E-4</v>
      </c>
      <c r="E1183" s="8" t="s">
        <v>4641</v>
      </c>
      <c r="F1183" s="9" t="s">
        <v>15</v>
      </c>
      <c r="G1183" s="9" t="s">
        <v>16</v>
      </c>
      <c r="H1183" s="9" t="s">
        <v>16</v>
      </c>
      <c r="I1183" s="9"/>
      <c r="J1183" s="9"/>
      <c r="K1183" s="9"/>
    </row>
    <row r="1184" hidden="1">
      <c r="A1184" s="3" t="s">
        <v>4642</v>
      </c>
      <c r="B1184" s="2" t="s">
        <v>4643</v>
      </c>
      <c r="C1184" s="3" t="s">
        <v>4644</v>
      </c>
      <c r="D1184" s="2">
        <v>1.0028027568273113E-4</v>
      </c>
      <c r="E1184" s="8" t="s">
        <v>4349</v>
      </c>
      <c r="F1184" s="9" t="s">
        <v>15</v>
      </c>
      <c r="G1184" s="9" t="s">
        <v>16</v>
      </c>
      <c r="H1184" s="9" t="s">
        <v>16</v>
      </c>
      <c r="I1184" s="9"/>
      <c r="J1184" s="9"/>
      <c r="K1184" s="9"/>
    </row>
    <row r="1185" hidden="1">
      <c r="A1185" s="3" t="s">
        <v>4645</v>
      </c>
      <c r="B1185" s="2" t="s">
        <v>4646</v>
      </c>
      <c r="C1185" s="3" t="s">
        <v>4647</v>
      </c>
      <c r="D1185" s="2">
        <v>1.0028027568273113E-4</v>
      </c>
      <c r="E1185" s="8" t="s">
        <v>4648</v>
      </c>
      <c r="F1185" s="9" t="s">
        <v>15</v>
      </c>
      <c r="G1185" s="9" t="s">
        <v>16</v>
      </c>
      <c r="H1185" s="9" t="s">
        <v>16</v>
      </c>
      <c r="I1185" s="9"/>
      <c r="J1185" s="9"/>
      <c r="K1185" s="9"/>
    </row>
    <row r="1186" hidden="1">
      <c r="A1186" s="3" t="s">
        <v>4649</v>
      </c>
      <c r="B1186" s="2" t="s">
        <v>4650</v>
      </c>
      <c r="C1186" s="3" t="s">
        <v>4651</v>
      </c>
      <c r="D1186" s="2">
        <v>1.0028027568273113E-4</v>
      </c>
      <c r="E1186" s="8" t="s">
        <v>4652</v>
      </c>
      <c r="F1186" s="9" t="s">
        <v>15</v>
      </c>
      <c r="G1186" s="9" t="s">
        <v>16</v>
      </c>
      <c r="H1186" s="9" t="s">
        <v>16</v>
      </c>
      <c r="I1186" s="9"/>
      <c r="J1186" s="9"/>
      <c r="K1186" s="9"/>
    </row>
    <row r="1187" hidden="1">
      <c r="A1187" s="3" t="s">
        <v>4653</v>
      </c>
      <c r="B1187" s="2" t="s">
        <v>4654</v>
      </c>
      <c r="C1187" s="3" t="s">
        <v>4655</v>
      </c>
      <c r="D1187" s="2">
        <v>1.0028027568273113E-4</v>
      </c>
      <c r="E1187" s="8" t="s">
        <v>3017</v>
      </c>
      <c r="F1187" s="9" t="s">
        <v>15</v>
      </c>
      <c r="G1187" s="9" t="s">
        <v>16</v>
      </c>
      <c r="H1187" s="9" t="s">
        <v>16</v>
      </c>
      <c r="I1187" s="9"/>
      <c r="J1187" s="9"/>
      <c r="K1187" s="9"/>
    </row>
    <row r="1188" hidden="1">
      <c r="A1188" s="3" t="s">
        <v>4656</v>
      </c>
      <c r="B1188" s="2" t="s">
        <v>4657</v>
      </c>
      <c r="C1188" s="3" t="s">
        <v>4658</v>
      </c>
      <c r="D1188" s="2">
        <v>1.0028027568273113E-4</v>
      </c>
      <c r="E1188" s="8" t="s">
        <v>4659</v>
      </c>
      <c r="F1188" s="9" t="s">
        <v>15</v>
      </c>
      <c r="G1188" s="9" t="s">
        <v>16</v>
      </c>
      <c r="H1188" s="9" t="s">
        <v>16</v>
      </c>
      <c r="I1188" s="9"/>
      <c r="J1188" s="9"/>
      <c r="K1188" s="9"/>
    </row>
    <row r="1189" hidden="1">
      <c r="A1189" s="3" t="s">
        <v>4660</v>
      </c>
      <c r="B1189" s="2" t="s">
        <v>4661</v>
      </c>
      <c r="C1189" s="3"/>
      <c r="D1189" s="2">
        <v>1.0028027568273113E-4</v>
      </c>
      <c r="E1189" s="8" t="s">
        <v>4662</v>
      </c>
      <c r="F1189" s="9" t="s">
        <v>15</v>
      </c>
      <c r="G1189" s="9" t="s">
        <v>16</v>
      </c>
      <c r="H1189" s="9" t="s">
        <v>16</v>
      </c>
      <c r="I1189" s="9"/>
      <c r="J1189" s="9"/>
      <c r="K1189" s="9"/>
    </row>
    <row r="1190" hidden="1">
      <c r="A1190" s="3" t="s">
        <v>4663</v>
      </c>
      <c r="B1190" s="2" t="s">
        <v>4664</v>
      </c>
      <c r="C1190" s="3" t="s">
        <v>4665</v>
      </c>
      <c r="D1190" s="2">
        <v>1.0028027568273113E-4</v>
      </c>
      <c r="E1190" s="8" t="s">
        <v>4549</v>
      </c>
      <c r="F1190" s="9" t="s">
        <v>15</v>
      </c>
      <c r="G1190" s="9" t="s">
        <v>16</v>
      </c>
      <c r="H1190" s="9" t="s">
        <v>16</v>
      </c>
      <c r="I1190" s="9"/>
      <c r="J1190" s="9"/>
      <c r="K1190" s="9"/>
    </row>
    <row r="1191" hidden="1">
      <c r="A1191" s="3" t="s">
        <v>4666</v>
      </c>
      <c r="B1191" s="2" t="s">
        <v>4667</v>
      </c>
      <c r="C1191" s="3" t="s">
        <v>4668</v>
      </c>
      <c r="D1191" s="2">
        <v>1.0028027568273113E-4</v>
      </c>
      <c r="E1191" s="8" t="s">
        <v>4669</v>
      </c>
      <c r="F1191" s="9" t="s">
        <v>15</v>
      </c>
      <c r="G1191" s="9" t="s">
        <v>16</v>
      </c>
      <c r="H1191" s="9" t="s">
        <v>16</v>
      </c>
      <c r="I1191" s="9"/>
      <c r="J1191" s="9"/>
      <c r="K1191" s="9"/>
    </row>
    <row r="1192" hidden="1">
      <c r="A1192" s="3" t="s">
        <v>4670</v>
      </c>
      <c r="B1192" s="2" t="s">
        <v>4671</v>
      </c>
      <c r="C1192" s="3" t="s">
        <v>4672</v>
      </c>
      <c r="D1192" s="2">
        <v>1.0028027568273113E-4</v>
      </c>
      <c r="E1192" s="8" t="s">
        <v>4673</v>
      </c>
      <c r="F1192" s="9" t="s">
        <v>15</v>
      </c>
      <c r="G1192" s="9" t="s">
        <v>16</v>
      </c>
      <c r="H1192" s="9" t="s">
        <v>16</v>
      </c>
      <c r="I1192" s="9"/>
      <c r="J1192" s="9"/>
      <c r="K1192" s="9"/>
    </row>
    <row r="1193" hidden="1">
      <c r="A1193" s="3" t="s">
        <v>4674</v>
      </c>
      <c r="B1193" s="2" t="s">
        <v>4675</v>
      </c>
      <c r="C1193" s="3" t="s">
        <v>4676</v>
      </c>
      <c r="D1193" s="2">
        <v>1.0028027568273113E-4</v>
      </c>
      <c r="E1193" s="8" t="s">
        <v>4677</v>
      </c>
      <c r="F1193" s="9" t="s">
        <v>15</v>
      </c>
      <c r="G1193" s="9" t="s">
        <v>16</v>
      </c>
      <c r="H1193" s="9" t="s">
        <v>16</v>
      </c>
      <c r="I1193" s="9"/>
      <c r="J1193" s="9"/>
      <c r="K1193" s="9"/>
    </row>
    <row r="1194" hidden="1">
      <c r="A1194" s="3" t="s">
        <v>4678</v>
      </c>
      <c r="B1194" s="2" t="s">
        <v>4679</v>
      </c>
      <c r="C1194" s="3" t="s">
        <v>4680</v>
      </c>
      <c r="D1194" s="2">
        <v>1.0028027568273113E-4</v>
      </c>
      <c r="E1194" s="8" t="s">
        <v>4681</v>
      </c>
      <c r="F1194" s="9" t="s">
        <v>15</v>
      </c>
      <c r="G1194" s="9" t="s">
        <v>16</v>
      </c>
      <c r="H1194" s="9" t="s">
        <v>16</v>
      </c>
      <c r="I1194" s="9"/>
      <c r="J1194" s="9"/>
      <c r="K1194" s="9"/>
    </row>
    <row r="1195" hidden="1">
      <c r="A1195" s="3" t="s">
        <v>4682</v>
      </c>
      <c r="B1195" s="2" t="s">
        <v>4683</v>
      </c>
      <c r="C1195" s="3" t="s">
        <v>4684</v>
      </c>
      <c r="D1195" s="2">
        <v>1.0028027568273113E-4</v>
      </c>
      <c r="E1195" s="8" t="s">
        <v>4685</v>
      </c>
      <c r="F1195" s="9" t="s">
        <v>15</v>
      </c>
      <c r="G1195" s="9" t="s">
        <v>16</v>
      </c>
      <c r="H1195" s="9" t="s">
        <v>16</v>
      </c>
      <c r="I1195" s="9"/>
      <c r="J1195" s="9"/>
      <c r="K1195" s="9"/>
    </row>
    <row r="1196" hidden="1">
      <c r="A1196" s="3" t="s">
        <v>4686</v>
      </c>
      <c r="B1196" s="2" t="s">
        <v>4687</v>
      </c>
      <c r="C1196" s="3" t="s">
        <v>4688</v>
      </c>
      <c r="D1196" s="2">
        <v>1.0028027568273113E-4</v>
      </c>
      <c r="E1196" s="8" t="s">
        <v>4689</v>
      </c>
      <c r="F1196" s="9" t="s">
        <v>15</v>
      </c>
      <c r="G1196" s="9" t="s">
        <v>16</v>
      </c>
      <c r="H1196" s="9" t="s">
        <v>16</v>
      </c>
      <c r="I1196" s="9"/>
      <c r="J1196" s="9"/>
      <c r="K1196" s="9"/>
    </row>
    <row r="1197" hidden="1">
      <c r="A1197" s="3" t="s">
        <v>4690</v>
      </c>
      <c r="B1197" s="2" t="s">
        <v>4691</v>
      </c>
      <c r="C1197" s="3" t="s">
        <v>4692</v>
      </c>
      <c r="D1197" s="2">
        <v>1.0028027568273113E-4</v>
      </c>
      <c r="E1197" s="8" t="s">
        <v>4693</v>
      </c>
      <c r="F1197" s="9" t="s">
        <v>15</v>
      </c>
      <c r="G1197" s="9" t="s">
        <v>16</v>
      </c>
      <c r="H1197" s="9" t="s">
        <v>16</v>
      </c>
      <c r="I1197" s="9"/>
      <c r="J1197" s="9"/>
      <c r="K1197" s="9"/>
    </row>
    <row r="1198" hidden="1">
      <c r="A1198" s="3" t="s">
        <v>4694</v>
      </c>
      <c r="B1198" s="2" t="s">
        <v>4695</v>
      </c>
      <c r="C1198" s="3" t="s">
        <v>4696</v>
      </c>
      <c r="D1198" s="2">
        <v>1.0028027568273113E-4</v>
      </c>
      <c r="E1198" s="8" t="s">
        <v>4697</v>
      </c>
      <c r="F1198" s="9" t="s">
        <v>15</v>
      </c>
      <c r="G1198" s="9" t="s">
        <v>16</v>
      </c>
      <c r="H1198" s="9" t="s">
        <v>16</v>
      </c>
      <c r="I1198" s="9"/>
      <c r="J1198" s="9"/>
      <c r="K1198" s="9"/>
    </row>
    <row r="1199" hidden="1">
      <c r="A1199" s="3" t="s">
        <v>4698</v>
      </c>
      <c r="B1199" s="2" t="s">
        <v>4699</v>
      </c>
      <c r="C1199" s="3" t="s">
        <v>4700</v>
      </c>
      <c r="D1199" s="2">
        <v>1.0028027568273113E-4</v>
      </c>
      <c r="E1199" s="8" t="s">
        <v>4701</v>
      </c>
      <c r="F1199" s="9" t="s">
        <v>15</v>
      </c>
      <c r="G1199" s="9" t="s">
        <v>16</v>
      </c>
      <c r="H1199" s="9" t="s">
        <v>16</v>
      </c>
      <c r="I1199" s="9"/>
      <c r="J1199" s="9"/>
      <c r="K1199" s="9"/>
    </row>
    <row r="1200" hidden="1">
      <c r="A1200" s="3" t="s">
        <v>4702</v>
      </c>
      <c r="B1200" s="2" t="s">
        <v>4703</v>
      </c>
      <c r="C1200" s="3" t="s">
        <v>4704</v>
      </c>
      <c r="D1200" s="2">
        <v>1.0028027568273113E-4</v>
      </c>
      <c r="E1200" s="8" t="s">
        <v>4705</v>
      </c>
      <c r="F1200" s="9" t="s">
        <v>15</v>
      </c>
      <c r="G1200" s="9" t="s">
        <v>16</v>
      </c>
      <c r="H1200" s="9" t="s">
        <v>16</v>
      </c>
      <c r="I1200" s="9"/>
      <c r="J1200" s="9"/>
      <c r="K1200" s="9"/>
    </row>
    <row r="1201" hidden="1">
      <c r="A1201" s="3" t="s">
        <v>4706</v>
      </c>
      <c r="B1201" s="2" t="s">
        <v>4707</v>
      </c>
      <c r="C1201" s="3" t="s">
        <v>4708</v>
      </c>
      <c r="D1201" s="2">
        <v>1.0028027568273113E-4</v>
      </c>
      <c r="E1201" s="8" t="s">
        <v>4709</v>
      </c>
      <c r="F1201" s="9" t="s">
        <v>15</v>
      </c>
      <c r="G1201" s="9" t="s">
        <v>16</v>
      </c>
      <c r="H1201" s="9" t="s">
        <v>16</v>
      </c>
      <c r="I1201" s="9"/>
      <c r="J1201" s="9"/>
      <c r="K1201" s="9"/>
    </row>
    <row r="1202" hidden="1">
      <c r="A1202" s="3" t="s">
        <v>4710</v>
      </c>
      <c r="B1202" s="2" t="s">
        <v>4711</v>
      </c>
      <c r="C1202" s="3"/>
      <c r="D1202" s="2">
        <v>1.0028027568273113E-4</v>
      </c>
      <c r="E1202" s="8" t="s">
        <v>3358</v>
      </c>
      <c r="F1202" s="9" t="s">
        <v>15</v>
      </c>
      <c r="G1202" s="9" t="s">
        <v>16</v>
      </c>
      <c r="H1202" s="9" t="s">
        <v>16</v>
      </c>
      <c r="I1202" s="9"/>
      <c r="J1202" s="9"/>
      <c r="K1202" s="9"/>
    </row>
    <row r="1203" hidden="1">
      <c r="A1203" s="3" t="s">
        <v>4712</v>
      </c>
      <c r="B1203" s="2" t="s">
        <v>4713</v>
      </c>
      <c r="C1203" s="3"/>
      <c r="D1203" s="2">
        <v>1.0028027568273113E-4</v>
      </c>
      <c r="E1203" s="8" t="s">
        <v>4714</v>
      </c>
      <c r="F1203" s="9" t="s">
        <v>15</v>
      </c>
      <c r="G1203" s="9" t="s">
        <v>16</v>
      </c>
      <c r="H1203" s="9" t="s">
        <v>16</v>
      </c>
      <c r="I1203" s="9"/>
      <c r="J1203" s="9"/>
      <c r="K1203" s="9"/>
    </row>
    <row r="1204" hidden="1">
      <c r="A1204" s="3" t="s">
        <v>4715</v>
      </c>
      <c r="B1204" s="2" t="s">
        <v>4716</v>
      </c>
      <c r="C1204" s="3" t="s">
        <v>4717</v>
      </c>
      <c r="D1204" s="2">
        <v>1.0028027568273113E-4</v>
      </c>
      <c r="E1204" s="8" t="s">
        <v>4718</v>
      </c>
      <c r="F1204" s="9" t="s">
        <v>15</v>
      </c>
      <c r="G1204" s="9" t="s">
        <v>16</v>
      </c>
      <c r="H1204" s="9" t="s">
        <v>16</v>
      </c>
      <c r="I1204" s="9"/>
      <c r="J1204" s="9"/>
      <c r="K1204" s="9"/>
    </row>
    <row r="1205" hidden="1">
      <c r="A1205" s="3" t="s">
        <v>4719</v>
      </c>
      <c r="B1205" s="2" t="s">
        <v>4720</v>
      </c>
      <c r="C1205" s="3" t="s">
        <v>4721</v>
      </c>
      <c r="D1205" s="2">
        <v>1.0028027568273113E-4</v>
      </c>
      <c r="E1205" s="8" t="s">
        <v>4722</v>
      </c>
      <c r="F1205" s="9" t="s">
        <v>15</v>
      </c>
      <c r="G1205" s="9" t="s">
        <v>16</v>
      </c>
      <c r="H1205" s="9" t="s">
        <v>16</v>
      </c>
      <c r="I1205" s="9"/>
      <c r="J1205" s="9"/>
      <c r="K1205" s="9"/>
    </row>
    <row r="1206" hidden="1">
      <c r="A1206" s="3" t="s">
        <v>4723</v>
      </c>
      <c r="B1206" s="2" t="s">
        <v>4724</v>
      </c>
      <c r="C1206" s="3" t="s">
        <v>4725</v>
      </c>
      <c r="D1206" s="2">
        <v>1.0028027568273113E-4</v>
      </c>
      <c r="E1206" s="8" t="s">
        <v>4726</v>
      </c>
      <c r="F1206" s="9" t="s">
        <v>15</v>
      </c>
      <c r="G1206" s="9" t="s">
        <v>16</v>
      </c>
      <c r="H1206" s="9" t="s">
        <v>16</v>
      </c>
      <c r="I1206" s="9"/>
      <c r="J1206" s="9"/>
      <c r="K1206" s="9"/>
    </row>
    <row r="1207" hidden="1">
      <c r="A1207" s="3" t="s">
        <v>4727</v>
      </c>
      <c r="B1207" s="2" t="s">
        <v>4728</v>
      </c>
      <c r="C1207" s="3" t="s">
        <v>4729</v>
      </c>
      <c r="D1207" s="2">
        <v>1.0028027568273113E-4</v>
      </c>
      <c r="E1207" s="8" t="s">
        <v>4730</v>
      </c>
      <c r="F1207" s="9" t="s">
        <v>15</v>
      </c>
      <c r="G1207" s="9" t="s">
        <v>16</v>
      </c>
      <c r="H1207" s="9" t="s">
        <v>16</v>
      </c>
      <c r="I1207" s="9"/>
      <c r="J1207" s="9"/>
      <c r="K1207" s="9"/>
    </row>
    <row r="1208" hidden="1">
      <c r="A1208" s="3" t="s">
        <v>4731</v>
      </c>
      <c r="B1208" s="2" t="s">
        <v>4732</v>
      </c>
      <c r="C1208" s="3" t="s">
        <v>4733</v>
      </c>
      <c r="D1208" s="2">
        <v>1.0028027568273113E-4</v>
      </c>
      <c r="E1208" s="8" t="s">
        <v>4734</v>
      </c>
      <c r="F1208" s="9" t="s">
        <v>15</v>
      </c>
      <c r="G1208" s="9" t="s">
        <v>16</v>
      </c>
      <c r="H1208" s="9" t="s">
        <v>16</v>
      </c>
      <c r="I1208" s="9"/>
      <c r="J1208" s="9"/>
      <c r="K1208" s="9"/>
    </row>
    <row r="1209" hidden="1">
      <c r="A1209" s="3" t="s">
        <v>4735</v>
      </c>
      <c r="B1209" s="2" t="s">
        <v>4736</v>
      </c>
      <c r="C1209" s="3"/>
      <c r="D1209" s="2">
        <v>1.0028027568273113E-4</v>
      </c>
      <c r="E1209" s="8" t="s">
        <v>4737</v>
      </c>
      <c r="F1209" s="9" t="s">
        <v>15</v>
      </c>
      <c r="G1209" s="9" t="s">
        <v>16</v>
      </c>
      <c r="H1209" s="9" t="s">
        <v>16</v>
      </c>
      <c r="I1209" s="9"/>
      <c r="J1209" s="9"/>
      <c r="K1209" s="9"/>
    </row>
    <row r="1210" hidden="1">
      <c r="A1210" s="3" t="s">
        <v>4738</v>
      </c>
      <c r="B1210" s="2" t="s">
        <v>4739</v>
      </c>
      <c r="C1210" s="3" t="s">
        <v>4740</v>
      </c>
      <c r="D1210" s="2">
        <v>1.0028027568273113E-4</v>
      </c>
      <c r="E1210" s="8" t="s">
        <v>4741</v>
      </c>
      <c r="F1210" s="9" t="s">
        <v>15</v>
      </c>
      <c r="G1210" s="9" t="s">
        <v>16</v>
      </c>
      <c r="H1210" s="9" t="s">
        <v>16</v>
      </c>
      <c r="I1210" s="9"/>
      <c r="J1210" s="9"/>
      <c r="K1210" s="9"/>
    </row>
    <row r="1211" hidden="1">
      <c r="A1211" s="3" t="s">
        <v>4742</v>
      </c>
      <c r="B1211" s="2" t="s">
        <v>4743</v>
      </c>
      <c r="C1211" s="3" t="s">
        <v>4744</v>
      </c>
      <c r="D1211" s="2">
        <v>1.0028027568273113E-4</v>
      </c>
      <c r="E1211" s="8" t="s">
        <v>4528</v>
      </c>
      <c r="F1211" s="9" t="s">
        <v>15</v>
      </c>
      <c r="G1211" s="9" t="s">
        <v>16</v>
      </c>
      <c r="H1211" s="9" t="s">
        <v>16</v>
      </c>
      <c r="I1211" s="9"/>
      <c r="J1211" s="9"/>
      <c r="K1211" s="9"/>
    </row>
    <row r="1212" hidden="1">
      <c r="A1212" s="3" t="s">
        <v>4745</v>
      </c>
      <c r="B1212" s="2" t="s">
        <v>4746</v>
      </c>
      <c r="C1212" s="3" t="s">
        <v>4747</v>
      </c>
      <c r="D1212" s="2">
        <v>1.0028027568273113E-4</v>
      </c>
      <c r="E1212" s="8" t="s">
        <v>4748</v>
      </c>
      <c r="F1212" s="9" t="s">
        <v>15</v>
      </c>
      <c r="G1212" s="9" t="s">
        <v>16</v>
      </c>
      <c r="H1212" s="9" t="s">
        <v>16</v>
      </c>
      <c r="I1212" s="9"/>
      <c r="J1212" s="9"/>
      <c r="K1212" s="9"/>
    </row>
    <row r="1213" hidden="1">
      <c r="A1213" s="3" t="s">
        <v>4749</v>
      </c>
      <c r="B1213" s="2" t="s">
        <v>4750</v>
      </c>
      <c r="C1213" s="3" t="s">
        <v>4751</v>
      </c>
      <c r="D1213" s="2">
        <v>1.0028027568273113E-4</v>
      </c>
      <c r="E1213" s="8" t="s">
        <v>4752</v>
      </c>
      <c r="F1213" s="9" t="s">
        <v>15</v>
      </c>
      <c r="G1213" s="9" t="s">
        <v>16</v>
      </c>
      <c r="H1213" s="9" t="s">
        <v>16</v>
      </c>
      <c r="I1213" s="9"/>
      <c r="J1213" s="9"/>
      <c r="K1213" s="9"/>
    </row>
    <row r="1214" hidden="1">
      <c r="A1214" s="3" t="s">
        <v>4753</v>
      </c>
      <c r="B1214" s="2" t="s">
        <v>4754</v>
      </c>
      <c r="C1214" s="3"/>
      <c r="D1214" s="2">
        <v>1.0028027568273113E-4</v>
      </c>
      <c r="E1214" s="8" t="s">
        <v>4595</v>
      </c>
      <c r="F1214" s="9" t="s">
        <v>15</v>
      </c>
      <c r="G1214" s="9" t="s">
        <v>16</v>
      </c>
      <c r="H1214" s="9" t="s">
        <v>16</v>
      </c>
      <c r="I1214" s="9"/>
      <c r="J1214" s="9"/>
      <c r="K1214" s="9"/>
    </row>
    <row r="1215" hidden="1">
      <c r="A1215" s="3" t="s">
        <v>4755</v>
      </c>
      <c r="B1215" s="2" t="s">
        <v>4756</v>
      </c>
      <c r="C1215" s="3" t="s">
        <v>4757</v>
      </c>
      <c r="D1215" s="2">
        <v>1.0028027568273113E-4</v>
      </c>
      <c r="E1215" s="8" t="s">
        <v>4758</v>
      </c>
      <c r="F1215" s="9" t="s">
        <v>15</v>
      </c>
      <c r="G1215" s="9" t="s">
        <v>16</v>
      </c>
      <c r="H1215" s="9" t="s">
        <v>16</v>
      </c>
      <c r="I1215" s="9"/>
      <c r="J1215" s="9"/>
      <c r="K1215" s="9"/>
    </row>
    <row r="1216" hidden="1">
      <c r="A1216" s="3" t="s">
        <v>4759</v>
      </c>
      <c r="B1216" s="2" t="s">
        <v>4760</v>
      </c>
      <c r="C1216" s="3" t="s">
        <v>4761</v>
      </c>
      <c r="D1216" s="2">
        <v>1.0028027568273113E-4</v>
      </c>
      <c r="E1216" s="8" t="s">
        <v>4762</v>
      </c>
      <c r="F1216" s="9" t="s">
        <v>15</v>
      </c>
      <c r="G1216" s="9" t="s">
        <v>16</v>
      </c>
      <c r="H1216" s="9" t="s">
        <v>16</v>
      </c>
      <c r="I1216" s="9"/>
      <c r="J1216" s="9"/>
      <c r="K1216" s="9"/>
    </row>
    <row r="1217" hidden="1">
      <c r="A1217" s="3" t="s">
        <v>4763</v>
      </c>
      <c r="B1217" s="2" t="s">
        <v>4764</v>
      </c>
      <c r="C1217" s="3" t="s">
        <v>4765</v>
      </c>
      <c r="D1217" s="2">
        <v>1.0028027568273113E-4</v>
      </c>
      <c r="E1217" s="8" t="s">
        <v>4766</v>
      </c>
      <c r="F1217" s="9" t="s">
        <v>15</v>
      </c>
      <c r="G1217" s="9" t="s">
        <v>16</v>
      </c>
      <c r="H1217" s="9" t="s">
        <v>16</v>
      </c>
      <c r="I1217" s="9"/>
      <c r="J1217" s="9"/>
      <c r="K1217" s="9"/>
    </row>
    <row r="1218" hidden="1">
      <c r="A1218" s="3" t="s">
        <v>4767</v>
      </c>
      <c r="B1218" s="2" t="s">
        <v>4768</v>
      </c>
      <c r="C1218" s="3" t="s">
        <v>4769</v>
      </c>
      <c r="D1218" s="2">
        <v>1.0028027568273113E-4</v>
      </c>
      <c r="E1218" s="8" t="s">
        <v>4770</v>
      </c>
      <c r="F1218" s="9" t="s">
        <v>15</v>
      </c>
      <c r="G1218" s="9" t="s">
        <v>16</v>
      </c>
      <c r="H1218" s="9" t="s">
        <v>16</v>
      </c>
      <c r="I1218" s="9"/>
      <c r="J1218" s="9"/>
      <c r="K1218" s="9"/>
    </row>
    <row r="1219" hidden="1">
      <c r="A1219" s="3" t="s">
        <v>4771</v>
      </c>
      <c r="B1219" s="2" t="s">
        <v>4772</v>
      </c>
      <c r="C1219" s="3" t="s">
        <v>4773</v>
      </c>
      <c r="D1219" s="2">
        <v>1.0028027568273113E-4</v>
      </c>
      <c r="E1219" s="8" t="s">
        <v>4204</v>
      </c>
      <c r="F1219" s="9" t="s">
        <v>15</v>
      </c>
      <c r="G1219" s="9" t="s">
        <v>16</v>
      </c>
      <c r="H1219" s="9" t="s">
        <v>16</v>
      </c>
      <c r="I1219" s="9"/>
      <c r="J1219" s="9"/>
      <c r="K1219" s="9"/>
    </row>
    <row r="1220" hidden="1">
      <c r="A1220" s="3" t="s">
        <v>4774</v>
      </c>
      <c r="B1220" s="2" t="s">
        <v>4775</v>
      </c>
      <c r="C1220" s="3" t="s">
        <v>4776</v>
      </c>
      <c r="D1220" s="2">
        <v>1.0028027568273113E-4</v>
      </c>
      <c r="E1220" s="8" t="s">
        <v>4777</v>
      </c>
      <c r="F1220" s="9" t="s">
        <v>15</v>
      </c>
      <c r="G1220" s="9" t="s">
        <v>16</v>
      </c>
      <c r="H1220" s="9" t="s">
        <v>16</v>
      </c>
      <c r="I1220" s="9"/>
      <c r="J1220" s="9"/>
      <c r="K1220" s="9"/>
    </row>
    <row r="1221" hidden="1">
      <c r="A1221" s="3" t="s">
        <v>4778</v>
      </c>
      <c r="B1221" s="2" t="s">
        <v>4779</v>
      </c>
      <c r="C1221" s="3" t="s">
        <v>4780</v>
      </c>
      <c r="D1221" s="2">
        <v>1.0028027568273113E-4</v>
      </c>
      <c r="E1221" s="8" t="s">
        <v>4781</v>
      </c>
      <c r="F1221" s="9" t="s">
        <v>15</v>
      </c>
      <c r="G1221" s="9" t="s">
        <v>16</v>
      </c>
      <c r="H1221" s="9" t="s">
        <v>16</v>
      </c>
      <c r="I1221" s="9"/>
      <c r="J1221" s="9"/>
      <c r="K1221" s="9"/>
    </row>
    <row r="1222" hidden="1">
      <c r="A1222" s="3" t="s">
        <v>4782</v>
      </c>
      <c r="B1222" s="2" t="s">
        <v>4783</v>
      </c>
      <c r="C1222" s="3" t="s">
        <v>4784</v>
      </c>
      <c r="D1222" s="2">
        <v>1.0028027568273113E-4</v>
      </c>
      <c r="E1222" s="8" t="s">
        <v>4785</v>
      </c>
      <c r="F1222" s="9" t="s">
        <v>15</v>
      </c>
      <c r="G1222" s="9" t="s">
        <v>16</v>
      </c>
      <c r="H1222" s="9" t="s">
        <v>16</v>
      </c>
      <c r="I1222" s="9"/>
      <c r="J1222" s="9"/>
      <c r="K1222" s="9"/>
    </row>
    <row r="1223" hidden="1">
      <c r="A1223" s="3" t="s">
        <v>4786</v>
      </c>
      <c r="B1223" s="2" t="s">
        <v>4787</v>
      </c>
      <c r="C1223" s="3" t="s">
        <v>4788</v>
      </c>
      <c r="D1223" s="2">
        <v>1.0028027568273113E-4</v>
      </c>
      <c r="E1223" s="8" t="s">
        <v>4789</v>
      </c>
      <c r="F1223" s="9" t="s">
        <v>15</v>
      </c>
      <c r="G1223" s="9" t="s">
        <v>16</v>
      </c>
      <c r="H1223" s="9" t="s">
        <v>16</v>
      </c>
      <c r="I1223" s="9"/>
      <c r="J1223" s="9"/>
      <c r="K1223" s="9"/>
    </row>
    <row r="1224" hidden="1">
      <c r="A1224" s="3" t="s">
        <v>4790</v>
      </c>
      <c r="B1224" s="2" t="s">
        <v>4791</v>
      </c>
      <c r="C1224" s="3"/>
      <c r="D1224" s="2">
        <v>1.0028027568273113E-4</v>
      </c>
      <c r="E1224" s="8" t="s">
        <v>4792</v>
      </c>
      <c r="F1224" s="9" t="s">
        <v>15</v>
      </c>
      <c r="G1224" s="9" t="s">
        <v>16</v>
      </c>
      <c r="H1224" s="9" t="s">
        <v>16</v>
      </c>
      <c r="I1224" s="9"/>
      <c r="J1224" s="9"/>
      <c r="K1224" s="9"/>
    </row>
    <row r="1225" hidden="1">
      <c r="A1225" s="3" t="s">
        <v>4793</v>
      </c>
      <c r="B1225" s="2" t="s">
        <v>4794</v>
      </c>
      <c r="C1225" s="3" t="s">
        <v>4795</v>
      </c>
      <c r="D1225" s="2">
        <v>1.0028027568273113E-4</v>
      </c>
      <c r="E1225" s="8" t="s">
        <v>4796</v>
      </c>
      <c r="F1225" s="9" t="s">
        <v>15</v>
      </c>
      <c r="G1225" s="9" t="s">
        <v>16</v>
      </c>
      <c r="H1225" s="9" t="s">
        <v>16</v>
      </c>
      <c r="I1225" s="9"/>
      <c r="J1225" s="9"/>
      <c r="K1225" s="9"/>
    </row>
    <row r="1226" hidden="1">
      <c r="A1226" s="3" t="s">
        <v>4797</v>
      </c>
      <c r="B1226" s="2" t="s">
        <v>4798</v>
      </c>
      <c r="C1226" s="3" t="s">
        <v>4799</v>
      </c>
      <c r="D1226" s="2">
        <v>1.0028027568273113E-4</v>
      </c>
      <c r="E1226" s="8" t="s">
        <v>4800</v>
      </c>
      <c r="F1226" s="9" t="s">
        <v>15</v>
      </c>
      <c r="G1226" s="9" t="s">
        <v>16</v>
      </c>
      <c r="H1226" s="9" t="s">
        <v>16</v>
      </c>
      <c r="I1226" s="9"/>
      <c r="J1226" s="9"/>
      <c r="K1226" s="9"/>
    </row>
    <row r="1227" hidden="1">
      <c r="A1227" s="3" t="s">
        <v>4801</v>
      </c>
      <c r="B1227" s="2" t="s">
        <v>4802</v>
      </c>
      <c r="C1227" s="3" t="s">
        <v>4803</v>
      </c>
      <c r="D1227" s="2">
        <v>1.0028027568273113E-4</v>
      </c>
      <c r="E1227" s="8" t="s">
        <v>4804</v>
      </c>
      <c r="F1227" s="9" t="s">
        <v>15</v>
      </c>
      <c r="G1227" s="9" t="s">
        <v>16</v>
      </c>
      <c r="H1227" s="9" t="s">
        <v>16</v>
      </c>
      <c r="I1227" s="9"/>
      <c r="J1227" s="9"/>
      <c r="K1227" s="9"/>
    </row>
    <row r="1228" hidden="1">
      <c r="A1228" s="3" t="s">
        <v>4805</v>
      </c>
      <c r="B1228" s="2" t="s">
        <v>4806</v>
      </c>
      <c r="C1228" s="3"/>
      <c r="D1228" s="2">
        <v>1.0028027568273113E-4</v>
      </c>
      <c r="E1228" s="8" t="s">
        <v>4807</v>
      </c>
      <c r="F1228" s="9" t="s">
        <v>15</v>
      </c>
      <c r="G1228" s="9" t="s">
        <v>16</v>
      </c>
      <c r="H1228" s="9" t="s">
        <v>16</v>
      </c>
      <c r="I1228" s="9"/>
      <c r="J1228" s="9"/>
      <c r="K1228" s="9"/>
    </row>
    <row r="1229" hidden="1">
      <c r="A1229" s="3" t="s">
        <v>4808</v>
      </c>
      <c r="B1229" s="2" t="s">
        <v>4809</v>
      </c>
      <c r="C1229" s="3"/>
      <c r="D1229" s="2">
        <v>1.0028027568273113E-4</v>
      </c>
      <c r="E1229" s="8" t="s">
        <v>2843</v>
      </c>
      <c r="F1229" s="9" t="s">
        <v>15</v>
      </c>
      <c r="G1229" s="9" t="s">
        <v>16</v>
      </c>
      <c r="H1229" s="9" t="s">
        <v>16</v>
      </c>
      <c r="I1229" s="9"/>
      <c r="J1229" s="9"/>
      <c r="K1229" s="9"/>
    </row>
    <row r="1230" hidden="1">
      <c r="A1230" s="3" t="s">
        <v>4810</v>
      </c>
      <c r="B1230" s="2" t="s">
        <v>4811</v>
      </c>
      <c r="C1230" s="3" t="s">
        <v>4812</v>
      </c>
      <c r="D1230" s="2">
        <v>1.0028027568273113E-4</v>
      </c>
      <c r="E1230" s="8" t="s">
        <v>4813</v>
      </c>
      <c r="F1230" s="9" t="s">
        <v>15</v>
      </c>
      <c r="G1230" s="9" t="s">
        <v>16</v>
      </c>
      <c r="H1230" s="9" t="s">
        <v>16</v>
      </c>
      <c r="I1230" s="9"/>
      <c r="J1230" s="9"/>
      <c r="K1230" s="9"/>
    </row>
    <row r="1231" hidden="1">
      <c r="A1231" s="3" t="s">
        <v>4814</v>
      </c>
      <c r="B1231" s="2" t="s">
        <v>4815</v>
      </c>
      <c r="C1231" s="3" t="s">
        <v>4816</v>
      </c>
      <c r="D1231" s="2">
        <v>1.0028027568273113E-4</v>
      </c>
      <c r="E1231" s="8" t="s">
        <v>4817</v>
      </c>
      <c r="F1231" s="9" t="s">
        <v>15</v>
      </c>
      <c r="G1231" s="9" t="s">
        <v>16</v>
      </c>
      <c r="H1231" s="9" t="s">
        <v>16</v>
      </c>
      <c r="I1231" s="9"/>
      <c r="J1231" s="9"/>
      <c r="K1231" s="9"/>
    </row>
    <row r="1232" hidden="1">
      <c r="A1232" s="3" t="s">
        <v>4818</v>
      </c>
      <c r="B1232" s="2" t="s">
        <v>4819</v>
      </c>
      <c r="C1232" s="3" t="s">
        <v>4820</v>
      </c>
      <c r="D1232" s="2">
        <v>1.0028027568273113E-4</v>
      </c>
      <c r="E1232" s="8" t="s">
        <v>4821</v>
      </c>
      <c r="F1232" s="9" t="s">
        <v>15</v>
      </c>
      <c r="G1232" s="9" t="s">
        <v>16</v>
      </c>
      <c r="H1232" s="9" t="s">
        <v>16</v>
      </c>
      <c r="I1232" s="9"/>
      <c r="J1232" s="9"/>
      <c r="K1232" s="9"/>
    </row>
    <row r="1233" hidden="1">
      <c r="A1233" s="3" t="s">
        <v>4822</v>
      </c>
      <c r="B1233" s="2" t="s">
        <v>4823</v>
      </c>
      <c r="C1233" s="3" t="s">
        <v>4824</v>
      </c>
      <c r="D1233" s="2">
        <v>1.0028027568273113E-4</v>
      </c>
      <c r="E1233" s="8" t="s">
        <v>4825</v>
      </c>
      <c r="F1233" s="9" t="s">
        <v>15</v>
      </c>
      <c r="G1233" s="9" t="s">
        <v>16</v>
      </c>
      <c r="H1233" s="9" t="s">
        <v>16</v>
      </c>
      <c r="I1233" s="9"/>
      <c r="J1233" s="9"/>
      <c r="K1233" s="9"/>
    </row>
    <row r="1234" hidden="1">
      <c r="A1234" s="3" t="s">
        <v>4826</v>
      </c>
      <c r="B1234" s="2" t="s">
        <v>4827</v>
      </c>
      <c r="C1234" s="3" t="s">
        <v>4828</v>
      </c>
      <c r="D1234" s="2">
        <v>1.0028027568273113E-4</v>
      </c>
      <c r="E1234" s="8" t="s">
        <v>4829</v>
      </c>
      <c r="F1234" s="9" t="s">
        <v>15</v>
      </c>
      <c r="G1234" s="9" t="s">
        <v>16</v>
      </c>
      <c r="H1234" s="9" t="s">
        <v>16</v>
      </c>
      <c r="I1234" s="9"/>
      <c r="J1234" s="9"/>
      <c r="K1234" s="9"/>
    </row>
    <row r="1235" hidden="1">
      <c r="A1235" s="3" t="s">
        <v>4830</v>
      </c>
      <c r="B1235" s="2" t="s">
        <v>4831</v>
      </c>
      <c r="C1235" s="3" t="s">
        <v>4832</v>
      </c>
      <c r="D1235" s="2">
        <v>1.0028027568273113E-4</v>
      </c>
      <c r="E1235" s="8" t="s">
        <v>4833</v>
      </c>
      <c r="F1235" s="9" t="s">
        <v>15</v>
      </c>
      <c r="G1235" s="9" t="s">
        <v>16</v>
      </c>
      <c r="H1235" s="9" t="s">
        <v>16</v>
      </c>
      <c r="I1235" s="9"/>
      <c r="J1235" s="9"/>
      <c r="K1235" s="9"/>
    </row>
    <row r="1236" hidden="1">
      <c r="A1236" s="3" t="s">
        <v>4834</v>
      </c>
      <c r="B1236" s="2" t="s">
        <v>4835</v>
      </c>
      <c r="C1236" s="3" t="s">
        <v>4836</v>
      </c>
      <c r="D1236" s="2">
        <v>1.0028027568273113E-4</v>
      </c>
      <c r="E1236" s="8" t="s">
        <v>4837</v>
      </c>
      <c r="F1236" s="9" t="s">
        <v>15</v>
      </c>
      <c r="G1236" s="9" t="s">
        <v>16</v>
      </c>
      <c r="H1236" s="9" t="s">
        <v>16</v>
      </c>
      <c r="I1236" s="9"/>
      <c r="J1236" s="9"/>
      <c r="K1236" s="9"/>
    </row>
    <row r="1237" hidden="1">
      <c r="A1237" s="3" t="s">
        <v>4838</v>
      </c>
      <c r="B1237" s="2" t="s">
        <v>4839</v>
      </c>
      <c r="C1237" s="3" t="s">
        <v>4840</v>
      </c>
      <c r="D1237" s="2">
        <v>1.0028027568273113E-4</v>
      </c>
      <c r="E1237" s="8" t="s">
        <v>4841</v>
      </c>
      <c r="F1237" s="9" t="s">
        <v>15</v>
      </c>
      <c r="G1237" s="9" t="s">
        <v>16</v>
      </c>
      <c r="H1237" s="9" t="s">
        <v>16</v>
      </c>
      <c r="I1237" s="9"/>
      <c r="J1237" s="9"/>
      <c r="K1237" s="9"/>
    </row>
    <row r="1238" hidden="1">
      <c r="A1238" s="3" t="s">
        <v>4842</v>
      </c>
      <c r="B1238" s="2" t="s">
        <v>4843</v>
      </c>
      <c r="C1238" s="3" t="s">
        <v>4844</v>
      </c>
      <c r="D1238" s="2">
        <v>1.0028027568273113E-4</v>
      </c>
      <c r="E1238" s="8" t="s">
        <v>4845</v>
      </c>
      <c r="F1238" s="9" t="s">
        <v>15</v>
      </c>
      <c r="G1238" s="9" t="s">
        <v>16</v>
      </c>
      <c r="H1238" s="9" t="s">
        <v>16</v>
      </c>
      <c r="I1238" s="9"/>
      <c r="J1238" s="9"/>
      <c r="K1238" s="9"/>
    </row>
    <row r="1239" hidden="1">
      <c r="A1239" s="3" t="s">
        <v>4846</v>
      </c>
      <c r="B1239" s="2" t="s">
        <v>4847</v>
      </c>
      <c r="C1239" s="3" t="s">
        <v>4848</v>
      </c>
      <c r="D1239" s="2">
        <v>1.0028027568273113E-4</v>
      </c>
      <c r="E1239" s="8" t="s">
        <v>4849</v>
      </c>
      <c r="F1239" s="9" t="s">
        <v>15</v>
      </c>
      <c r="G1239" s="9" t="s">
        <v>16</v>
      </c>
      <c r="H1239" s="9" t="s">
        <v>16</v>
      </c>
      <c r="I1239" s="9"/>
      <c r="J1239" s="9"/>
      <c r="K1239" s="9"/>
    </row>
    <row r="1240" hidden="1">
      <c r="A1240" s="3" t="s">
        <v>4850</v>
      </c>
      <c r="B1240" s="2" t="s">
        <v>4851</v>
      </c>
      <c r="C1240" s="3" t="s">
        <v>4852</v>
      </c>
      <c r="D1240" s="2">
        <v>1.0028027568273113E-4</v>
      </c>
      <c r="E1240" s="8" t="s">
        <v>4853</v>
      </c>
      <c r="F1240" s="9" t="s">
        <v>15</v>
      </c>
      <c r="G1240" s="9" t="s">
        <v>16</v>
      </c>
      <c r="H1240" s="9" t="s">
        <v>16</v>
      </c>
      <c r="I1240" s="9"/>
      <c r="J1240" s="9"/>
      <c r="K1240" s="9"/>
    </row>
    <row r="1241" hidden="1">
      <c r="A1241" s="3" t="s">
        <v>4854</v>
      </c>
      <c r="B1241" s="2" t="s">
        <v>4855</v>
      </c>
      <c r="C1241" s="3" t="s">
        <v>4856</v>
      </c>
      <c r="D1241" s="2">
        <v>1.0028027568273113E-4</v>
      </c>
      <c r="E1241" s="8" t="s">
        <v>4857</v>
      </c>
      <c r="F1241" s="9" t="s">
        <v>15</v>
      </c>
      <c r="G1241" s="9" t="s">
        <v>16</v>
      </c>
      <c r="H1241" s="9" t="s">
        <v>16</v>
      </c>
      <c r="I1241" s="9"/>
      <c r="J1241" s="9"/>
      <c r="K1241" s="9"/>
    </row>
    <row r="1242" hidden="1">
      <c r="A1242" s="3" t="s">
        <v>4858</v>
      </c>
      <c r="B1242" s="2" t="s">
        <v>4859</v>
      </c>
      <c r="C1242" s="3"/>
      <c r="D1242" s="2">
        <v>1.0028027568273113E-4</v>
      </c>
      <c r="E1242" s="8" t="s">
        <v>4860</v>
      </c>
      <c r="F1242" s="9" t="s">
        <v>15</v>
      </c>
      <c r="G1242" s="9" t="s">
        <v>16</v>
      </c>
      <c r="H1242" s="9" t="s">
        <v>16</v>
      </c>
      <c r="I1242" s="9"/>
      <c r="J1242" s="9"/>
      <c r="K1242" s="9"/>
    </row>
    <row r="1243" hidden="1">
      <c r="A1243" s="3" t="s">
        <v>4861</v>
      </c>
      <c r="B1243" s="2" t="s">
        <v>4862</v>
      </c>
      <c r="C1243" s="3" t="s">
        <v>4863</v>
      </c>
      <c r="D1243" s="2">
        <v>1.0028027568273113E-4</v>
      </c>
      <c r="E1243" s="8" t="s">
        <v>4864</v>
      </c>
      <c r="F1243" s="9" t="s">
        <v>15</v>
      </c>
      <c r="G1243" s="9" t="s">
        <v>16</v>
      </c>
      <c r="H1243" s="9" t="s">
        <v>16</v>
      </c>
      <c r="I1243" s="9"/>
      <c r="J1243" s="9"/>
      <c r="K1243" s="9"/>
    </row>
    <row r="1244" hidden="1">
      <c r="A1244" s="3" t="s">
        <v>4865</v>
      </c>
      <c r="B1244" s="2" t="s">
        <v>4866</v>
      </c>
      <c r="C1244" s="3" t="s">
        <v>4867</v>
      </c>
      <c r="D1244" s="2">
        <v>1.0028027568273113E-4</v>
      </c>
      <c r="E1244" s="8" t="s">
        <v>4868</v>
      </c>
      <c r="F1244" s="9" t="s">
        <v>15</v>
      </c>
      <c r="G1244" s="9" t="s">
        <v>16</v>
      </c>
      <c r="H1244" s="9" t="s">
        <v>16</v>
      </c>
      <c r="I1244" s="9"/>
      <c r="J1244" s="9"/>
      <c r="K1244" s="9"/>
    </row>
    <row r="1245" hidden="1">
      <c r="A1245" s="3" t="s">
        <v>4869</v>
      </c>
      <c r="B1245" s="2" t="s">
        <v>4870</v>
      </c>
      <c r="C1245" s="3" t="s">
        <v>4871</v>
      </c>
      <c r="D1245" s="2">
        <v>1.0028027568273113E-4</v>
      </c>
      <c r="E1245" s="8" t="s">
        <v>4872</v>
      </c>
      <c r="F1245" s="9" t="s">
        <v>15</v>
      </c>
      <c r="G1245" s="9" t="s">
        <v>16</v>
      </c>
      <c r="H1245" s="9" t="s">
        <v>16</v>
      </c>
      <c r="I1245" s="9"/>
      <c r="J1245" s="9"/>
      <c r="K1245" s="9"/>
    </row>
    <row r="1246" hidden="1">
      <c r="A1246" s="3" t="s">
        <v>4873</v>
      </c>
      <c r="B1246" s="2" t="s">
        <v>4874</v>
      </c>
      <c r="C1246" s="3" t="s">
        <v>4875</v>
      </c>
      <c r="D1246" s="2">
        <v>1.0028027568273113E-4</v>
      </c>
      <c r="E1246" s="8" t="s">
        <v>4876</v>
      </c>
      <c r="F1246" s="9" t="s">
        <v>15</v>
      </c>
      <c r="G1246" s="9" t="s">
        <v>16</v>
      </c>
      <c r="H1246" s="9" t="s">
        <v>16</v>
      </c>
      <c r="I1246" s="9"/>
      <c r="J1246" s="9"/>
      <c r="K1246" s="9"/>
    </row>
    <row r="1247" hidden="1">
      <c r="A1247" s="3" t="s">
        <v>4877</v>
      </c>
      <c r="B1247" s="2" t="s">
        <v>4878</v>
      </c>
      <c r="C1247" s="3" t="s">
        <v>4879</v>
      </c>
      <c r="D1247" s="2">
        <v>1.0028027568273113E-4</v>
      </c>
      <c r="E1247" s="8" t="s">
        <v>4880</v>
      </c>
      <c r="F1247" s="9" t="s">
        <v>15</v>
      </c>
      <c r="G1247" s="9" t="s">
        <v>16</v>
      </c>
      <c r="H1247" s="9" t="s">
        <v>16</v>
      </c>
      <c r="I1247" s="9"/>
      <c r="J1247" s="9"/>
      <c r="K1247" s="9"/>
    </row>
    <row r="1248" hidden="1">
      <c r="A1248" s="3" t="s">
        <v>4881</v>
      </c>
      <c r="B1248" s="2" t="s">
        <v>4882</v>
      </c>
      <c r="C1248" s="3" t="s">
        <v>4883</v>
      </c>
      <c r="D1248" s="2">
        <v>1.0028027568273113E-4</v>
      </c>
      <c r="E1248" s="8" t="s">
        <v>4884</v>
      </c>
      <c r="F1248" s="9" t="s">
        <v>15</v>
      </c>
      <c r="G1248" s="9" t="s">
        <v>16</v>
      </c>
      <c r="H1248" s="9" t="s">
        <v>16</v>
      </c>
      <c r="I1248" s="9"/>
      <c r="J1248" s="9"/>
      <c r="K1248" s="9"/>
    </row>
    <row r="1249" hidden="1">
      <c r="A1249" s="3" t="s">
        <v>4885</v>
      </c>
      <c r="B1249" s="2" t="s">
        <v>4886</v>
      </c>
      <c r="C1249" s="3" t="s">
        <v>4887</v>
      </c>
      <c r="D1249" s="2">
        <v>1.0028027568273113E-4</v>
      </c>
      <c r="E1249" s="8" t="s">
        <v>368</v>
      </c>
      <c r="F1249" s="9" t="s">
        <v>15</v>
      </c>
      <c r="G1249" s="9" t="s">
        <v>16</v>
      </c>
      <c r="H1249" s="9" t="s">
        <v>16</v>
      </c>
      <c r="I1249" s="9"/>
      <c r="J1249" s="9"/>
      <c r="K1249" s="9"/>
    </row>
    <row r="1250" hidden="1">
      <c r="A1250" s="3" t="s">
        <v>4888</v>
      </c>
      <c r="B1250" s="2" t="s">
        <v>4889</v>
      </c>
      <c r="C1250" s="3" t="s">
        <v>4890</v>
      </c>
      <c r="D1250" s="2">
        <v>1.0028027568273113E-4</v>
      </c>
      <c r="E1250" s="8" t="s">
        <v>4891</v>
      </c>
      <c r="F1250" s="9" t="s">
        <v>15</v>
      </c>
      <c r="G1250" s="9" t="s">
        <v>16</v>
      </c>
      <c r="H1250" s="9" t="s">
        <v>16</v>
      </c>
      <c r="I1250" s="9"/>
      <c r="J1250" s="9"/>
      <c r="K1250" s="9"/>
    </row>
    <row r="1251" hidden="1">
      <c r="A1251" s="3" t="s">
        <v>4892</v>
      </c>
      <c r="B1251" s="2" t="s">
        <v>4893</v>
      </c>
      <c r="C1251" s="3"/>
      <c r="D1251" s="2">
        <v>1.0028027568273113E-4</v>
      </c>
      <c r="E1251" s="8" t="s">
        <v>4894</v>
      </c>
      <c r="F1251" s="9" t="s">
        <v>15</v>
      </c>
      <c r="G1251" s="9" t="s">
        <v>16</v>
      </c>
      <c r="H1251" s="9" t="s">
        <v>16</v>
      </c>
      <c r="I1251" s="9"/>
      <c r="J1251" s="9"/>
      <c r="K1251" s="9"/>
    </row>
    <row r="1252" hidden="1">
      <c r="A1252" s="3" t="s">
        <v>4895</v>
      </c>
      <c r="B1252" s="2" t="s">
        <v>4896</v>
      </c>
      <c r="C1252" s="3" t="s">
        <v>4897</v>
      </c>
      <c r="D1252" s="2">
        <v>1.0028027568273113E-4</v>
      </c>
      <c r="E1252" s="8" t="s">
        <v>4898</v>
      </c>
      <c r="F1252" s="9" t="s">
        <v>15</v>
      </c>
      <c r="G1252" s="9" t="s">
        <v>16</v>
      </c>
      <c r="H1252" s="9" t="s">
        <v>16</v>
      </c>
      <c r="I1252" s="9"/>
      <c r="J1252" s="9"/>
      <c r="K1252" s="9"/>
    </row>
    <row r="1253" hidden="1">
      <c r="A1253" s="3" t="s">
        <v>4899</v>
      </c>
      <c r="B1253" s="2" t="s">
        <v>4900</v>
      </c>
      <c r="C1253" s="3" t="s">
        <v>4901</v>
      </c>
      <c r="D1253" s="2">
        <v>1.0028027568273113E-4</v>
      </c>
      <c r="E1253" s="8" t="s">
        <v>4902</v>
      </c>
      <c r="F1253" s="9" t="s">
        <v>15</v>
      </c>
      <c r="G1253" s="9" t="s">
        <v>16</v>
      </c>
      <c r="H1253" s="9" t="s">
        <v>16</v>
      </c>
      <c r="I1253" s="9"/>
      <c r="J1253" s="9"/>
      <c r="K1253" s="9"/>
    </row>
    <row r="1254" hidden="1">
      <c r="A1254" s="3" t="s">
        <v>4903</v>
      </c>
      <c r="B1254" s="2" t="s">
        <v>4904</v>
      </c>
      <c r="C1254" s="3" t="s">
        <v>4905</v>
      </c>
      <c r="D1254" s="2">
        <v>1.0028027568273113E-4</v>
      </c>
      <c r="E1254" s="8" t="s">
        <v>4906</v>
      </c>
      <c r="F1254" s="9" t="s">
        <v>15</v>
      </c>
      <c r="G1254" s="9" t="s">
        <v>16</v>
      </c>
      <c r="H1254" s="9" t="s">
        <v>16</v>
      </c>
      <c r="I1254" s="9"/>
      <c r="J1254" s="9"/>
      <c r="K1254" s="9"/>
    </row>
    <row r="1255" hidden="1">
      <c r="A1255" s="3" t="s">
        <v>4907</v>
      </c>
      <c r="B1255" s="2" t="s">
        <v>4908</v>
      </c>
      <c r="C1255" s="3" t="s">
        <v>4909</v>
      </c>
      <c r="D1255" s="2">
        <v>1.0028027568273113E-4</v>
      </c>
      <c r="E1255" s="8" t="s">
        <v>214</v>
      </c>
      <c r="F1255" s="9" t="s">
        <v>15</v>
      </c>
      <c r="G1255" s="9" t="s">
        <v>16</v>
      </c>
      <c r="H1255" s="9" t="s">
        <v>16</v>
      </c>
      <c r="I1255" s="9"/>
      <c r="J1255" s="9"/>
      <c r="K1255" s="9"/>
    </row>
    <row r="1256" hidden="1">
      <c r="A1256" s="3" t="s">
        <v>4910</v>
      </c>
      <c r="B1256" s="2" t="s">
        <v>4911</v>
      </c>
      <c r="C1256" s="3"/>
      <c r="D1256" s="2">
        <v>1.0028027568273113E-4</v>
      </c>
      <c r="E1256" s="8" t="s">
        <v>4501</v>
      </c>
      <c r="F1256" s="9" t="s">
        <v>15</v>
      </c>
      <c r="G1256" s="9" t="s">
        <v>16</v>
      </c>
      <c r="H1256" s="9" t="s">
        <v>16</v>
      </c>
      <c r="I1256" s="9"/>
      <c r="J1256" s="9"/>
      <c r="K1256" s="9"/>
    </row>
    <row r="1257" hidden="1">
      <c r="A1257" s="3" t="s">
        <v>4912</v>
      </c>
      <c r="B1257" s="2" t="s">
        <v>4913</v>
      </c>
      <c r="C1257" s="3" t="s">
        <v>4914</v>
      </c>
      <c r="D1257" s="2">
        <v>1.0028027568273113E-4</v>
      </c>
      <c r="E1257" s="8" t="s">
        <v>4915</v>
      </c>
      <c r="F1257" s="9" t="s">
        <v>15</v>
      </c>
      <c r="G1257" s="9" t="s">
        <v>16</v>
      </c>
      <c r="H1257" s="9" t="s">
        <v>16</v>
      </c>
      <c r="I1257" s="9"/>
      <c r="J1257" s="9"/>
      <c r="K1257" s="9"/>
    </row>
    <row r="1258" hidden="1">
      <c r="A1258" s="3" t="s">
        <v>4916</v>
      </c>
      <c r="B1258" s="2" t="s">
        <v>4917</v>
      </c>
      <c r="C1258" s="3" t="s">
        <v>4918</v>
      </c>
      <c r="D1258" s="2">
        <v>1.0028027568273113E-4</v>
      </c>
      <c r="E1258" s="8" t="s">
        <v>4919</v>
      </c>
      <c r="F1258" s="9" t="s">
        <v>15</v>
      </c>
      <c r="G1258" s="9" t="s">
        <v>16</v>
      </c>
      <c r="H1258" s="9" t="s">
        <v>16</v>
      </c>
      <c r="I1258" s="9"/>
      <c r="J1258" s="9"/>
      <c r="K1258" s="9"/>
    </row>
    <row r="1259" hidden="1">
      <c r="A1259" s="3" t="s">
        <v>4920</v>
      </c>
      <c r="B1259" s="2" t="s">
        <v>4921</v>
      </c>
      <c r="C1259" s="3" t="s">
        <v>4922</v>
      </c>
      <c r="D1259" s="2">
        <v>1.0028027568273113E-4</v>
      </c>
      <c r="E1259" s="8" t="s">
        <v>4923</v>
      </c>
      <c r="F1259" s="9" t="s">
        <v>15</v>
      </c>
      <c r="G1259" s="9" t="s">
        <v>16</v>
      </c>
      <c r="H1259" s="9" t="s">
        <v>16</v>
      </c>
      <c r="I1259" s="9"/>
      <c r="J1259" s="9"/>
      <c r="K1259" s="9"/>
    </row>
    <row r="1260" hidden="1">
      <c r="A1260" s="3" t="s">
        <v>4924</v>
      </c>
      <c r="B1260" s="2" t="s">
        <v>4925</v>
      </c>
      <c r="C1260" s="3" t="s">
        <v>4926</v>
      </c>
      <c r="D1260" s="2">
        <v>1.0028027568273113E-4</v>
      </c>
      <c r="E1260" s="8" t="s">
        <v>4927</v>
      </c>
      <c r="F1260" s="9" t="s">
        <v>15</v>
      </c>
      <c r="G1260" s="9" t="s">
        <v>16</v>
      </c>
      <c r="H1260" s="9" t="s">
        <v>16</v>
      </c>
      <c r="I1260" s="9"/>
      <c r="J1260" s="9"/>
      <c r="K1260" s="9"/>
    </row>
    <row r="1261" hidden="1">
      <c r="A1261" s="3" t="s">
        <v>4928</v>
      </c>
      <c r="B1261" s="2" t="s">
        <v>4929</v>
      </c>
      <c r="C1261" s="3" t="s">
        <v>4930</v>
      </c>
      <c r="D1261" s="2">
        <v>1.0028027568273113E-4</v>
      </c>
      <c r="E1261" s="8" t="s">
        <v>4931</v>
      </c>
      <c r="F1261" s="9" t="s">
        <v>15</v>
      </c>
      <c r="G1261" s="9" t="s">
        <v>16</v>
      </c>
      <c r="H1261" s="9" t="s">
        <v>16</v>
      </c>
      <c r="I1261" s="9"/>
      <c r="J1261" s="9"/>
      <c r="K1261" s="9"/>
    </row>
    <row r="1262" hidden="1">
      <c r="A1262" s="3" t="s">
        <v>4932</v>
      </c>
      <c r="B1262" s="2" t="s">
        <v>4933</v>
      </c>
      <c r="C1262" s="3" t="s">
        <v>4934</v>
      </c>
      <c r="D1262" s="2">
        <v>1.0028027568273113E-4</v>
      </c>
      <c r="E1262" s="8" t="s">
        <v>4935</v>
      </c>
      <c r="F1262" s="9" t="s">
        <v>15</v>
      </c>
      <c r="G1262" s="9" t="s">
        <v>16</v>
      </c>
      <c r="H1262" s="9" t="s">
        <v>16</v>
      </c>
      <c r="I1262" s="9"/>
      <c r="J1262" s="9"/>
      <c r="K1262" s="9"/>
    </row>
    <row r="1263" hidden="1">
      <c r="A1263" s="3" t="s">
        <v>4936</v>
      </c>
      <c r="B1263" s="2" t="s">
        <v>4937</v>
      </c>
      <c r="C1263" s="3" t="s">
        <v>4938</v>
      </c>
      <c r="D1263" s="2">
        <v>1.0028027568273113E-4</v>
      </c>
      <c r="E1263" s="8" t="s">
        <v>4939</v>
      </c>
      <c r="F1263" s="9" t="s">
        <v>15</v>
      </c>
      <c r="G1263" s="9" t="s">
        <v>16</v>
      </c>
      <c r="H1263" s="9" t="s">
        <v>16</v>
      </c>
      <c r="I1263" s="9"/>
      <c r="J1263" s="9"/>
      <c r="K1263" s="9"/>
    </row>
    <row r="1264" hidden="1">
      <c r="A1264" s="3" t="s">
        <v>4940</v>
      </c>
      <c r="B1264" s="2" t="s">
        <v>4941</v>
      </c>
      <c r="C1264" s="3" t="s">
        <v>4942</v>
      </c>
      <c r="D1264" s="2">
        <v>1.0028027568273113E-4</v>
      </c>
      <c r="E1264" s="8" t="s">
        <v>4943</v>
      </c>
      <c r="F1264" s="9" t="s">
        <v>15</v>
      </c>
      <c r="G1264" s="9" t="s">
        <v>16</v>
      </c>
      <c r="H1264" s="9" t="s">
        <v>16</v>
      </c>
      <c r="I1264" s="9"/>
      <c r="J1264" s="9"/>
      <c r="K1264" s="9"/>
    </row>
    <row r="1265" hidden="1">
      <c r="A1265" s="3" t="s">
        <v>4944</v>
      </c>
      <c r="B1265" s="2" t="s">
        <v>4945</v>
      </c>
      <c r="C1265" s="3" t="s">
        <v>4946</v>
      </c>
      <c r="D1265" s="2">
        <v>1.0028027568273113E-4</v>
      </c>
      <c r="E1265" s="8" t="s">
        <v>4947</v>
      </c>
      <c r="F1265" s="9" t="s">
        <v>15</v>
      </c>
      <c r="G1265" s="9" t="s">
        <v>16</v>
      </c>
      <c r="H1265" s="9" t="s">
        <v>16</v>
      </c>
      <c r="I1265" s="9"/>
      <c r="J1265" s="9"/>
      <c r="K1265" s="9"/>
    </row>
    <row r="1266" hidden="1">
      <c r="A1266" s="3" t="s">
        <v>4948</v>
      </c>
      <c r="B1266" s="2" t="s">
        <v>4949</v>
      </c>
      <c r="C1266" s="3" t="s">
        <v>4950</v>
      </c>
      <c r="D1266" s="2">
        <v>1.0028027568273113E-4</v>
      </c>
      <c r="E1266" s="8" t="s">
        <v>4951</v>
      </c>
      <c r="F1266" s="9" t="s">
        <v>15</v>
      </c>
      <c r="G1266" s="9" t="s">
        <v>16</v>
      </c>
      <c r="H1266" s="9" t="s">
        <v>16</v>
      </c>
      <c r="I1266" s="9"/>
      <c r="J1266" s="9"/>
      <c r="K1266" s="9"/>
    </row>
    <row r="1267" hidden="1">
      <c r="A1267" s="3" t="s">
        <v>4952</v>
      </c>
      <c r="B1267" s="2" t="s">
        <v>4953</v>
      </c>
      <c r="C1267" s="3" t="s">
        <v>4954</v>
      </c>
      <c r="D1267" s="2">
        <v>1.0028027568273113E-4</v>
      </c>
      <c r="E1267" s="8" t="s">
        <v>4955</v>
      </c>
      <c r="F1267" s="9" t="s">
        <v>15</v>
      </c>
      <c r="G1267" s="9" t="s">
        <v>16</v>
      </c>
      <c r="H1267" s="9" t="s">
        <v>16</v>
      </c>
      <c r="I1267" s="9"/>
      <c r="J1267" s="9"/>
      <c r="K1267" s="9"/>
    </row>
    <row r="1268" hidden="1">
      <c r="A1268" s="3" t="s">
        <v>4956</v>
      </c>
      <c r="B1268" s="2" t="s">
        <v>4957</v>
      </c>
      <c r="C1268" s="3"/>
      <c r="D1268" s="2">
        <v>1.0028027568273113E-4</v>
      </c>
      <c r="E1268" s="8" t="s">
        <v>4252</v>
      </c>
      <c r="F1268" s="9" t="s">
        <v>15</v>
      </c>
      <c r="G1268" s="9" t="s">
        <v>16</v>
      </c>
      <c r="H1268" s="9" t="s">
        <v>16</v>
      </c>
      <c r="I1268" s="9"/>
      <c r="J1268" s="9"/>
      <c r="K1268" s="9"/>
    </row>
    <row r="1269" hidden="1">
      <c r="A1269" s="3" t="s">
        <v>4958</v>
      </c>
      <c r="B1269" s="2" t="s">
        <v>4959</v>
      </c>
      <c r="C1269" s="3" t="s">
        <v>4960</v>
      </c>
      <c r="D1269" s="2">
        <v>1.0028027568273113E-4</v>
      </c>
      <c r="E1269" s="8" t="s">
        <v>4961</v>
      </c>
      <c r="F1269" s="9" t="s">
        <v>15</v>
      </c>
      <c r="G1269" s="9" t="s">
        <v>16</v>
      </c>
      <c r="H1269" s="9" t="s">
        <v>16</v>
      </c>
      <c r="I1269" s="9"/>
      <c r="J1269" s="9"/>
      <c r="K1269" s="9"/>
    </row>
    <row r="1270" hidden="1">
      <c r="A1270" s="3" t="s">
        <v>4962</v>
      </c>
      <c r="B1270" s="2" t="s">
        <v>4963</v>
      </c>
      <c r="C1270" s="3" t="s">
        <v>4964</v>
      </c>
      <c r="D1270" s="2">
        <v>1.0028027568273113E-4</v>
      </c>
      <c r="E1270" s="8" t="s">
        <v>4965</v>
      </c>
      <c r="F1270" s="9" t="s">
        <v>15</v>
      </c>
      <c r="G1270" s="9" t="s">
        <v>16</v>
      </c>
      <c r="H1270" s="9" t="s">
        <v>16</v>
      </c>
      <c r="I1270" s="9"/>
      <c r="J1270" s="9"/>
      <c r="K1270" s="9"/>
    </row>
    <row r="1271" hidden="1">
      <c r="A1271" s="3" t="s">
        <v>4966</v>
      </c>
      <c r="B1271" s="2" t="s">
        <v>4967</v>
      </c>
      <c r="C1271" s="3" t="s">
        <v>4968</v>
      </c>
      <c r="D1271" s="2">
        <v>1.0028027568273113E-4</v>
      </c>
      <c r="E1271" s="8" t="s">
        <v>4969</v>
      </c>
      <c r="F1271" s="9" t="s">
        <v>15</v>
      </c>
      <c r="G1271" s="9" t="s">
        <v>16</v>
      </c>
      <c r="H1271" s="9" t="s">
        <v>16</v>
      </c>
      <c r="I1271" s="9"/>
      <c r="J1271" s="9"/>
      <c r="K1271" s="9"/>
    </row>
    <row r="1272" hidden="1">
      <c r="A1272" s="3" t="s">
        <v>4970</v>
      </c>
      <c r="B1272" s="2" t="s">
        <v>4971</v>
      </c>
      <c r="C1272" s="3" t="s">
        <v>4972</v>
      </c>
      <c r="D1272" s="2">
        <v>1.0028027568273113E-4</v>
      </c>
      <c r="E1272" s="8" t="s">
        <v>4973</v>
      </c>
      <c r="F1272" s="9" t="s">
        <v>15</v>
      </c>
      <c r="G1272" s="9" t="s">
        <v>16</v>
      </c>
      <c r="H1272" s="9" t="s">
        <v>16</v>
      </c>
      <c r="I1272" s="9"/>
      <c r="J1272" s="9"/>
      <c r="K1272" s="9"/>
    </row>
    <row r="1273" hidden="1">
      <c r="A1273" s="3" t="s">
        <v>4974</v>
      </c>
      <c r="B1273" s="2" t="s">
        <v>4975</v>
      </c>
      <c r="C1273" s="3" t="s">
        <v>4976</v>
      </c>
      <c r="D1273" s="2">
        <v>1.0028027568273113E-4</v>
      </c>
      <c r="E1273" s="8" t="s">
        <v>4977</v>
      </c>
      <c r="F1273" s="9" t="s">
        <v>15</v>
      </c>
      <c r="G1273" s="9" t="s">
        <v>16</v>
      </c>
      <c r="H1273" s="9" t="s">
        <v>16</v>
      </c>
      <c r="I1273" s="9"/>
      <c r="J1273" s="9"/>
      <c r="K1273" s="9"/>
    </row>
    <row r="1274" hidden="1">
      <c r="A1274" s="3" t="s">
        <v>4978</v>
      </c>
      <c r="B1274" s="2" t="s">
        <v>4979</v>
      </c>
      <c r="C1274" s="3" t="s">
        <v>4980</v>
      </c>
      <c r="D1274" s="2">
        <v>1.0028027568273113E-4</v>
      </c>
      <c r="E1274" s="8" t="s">
        <v>4981</v>
      </c>
      <c r="F1274" s="9" t="s">
        <v>15</v>
      </c>
      <c r="G1274" s="9" t="s">
        <v>16</v>
      </c>
      <c r="H1274" s="9" t="s">
        <v>16</v>
      </c>
      <c r="I1274" s="9"/>
      <c r="J1274" s="9"/>
      <c r="K1274" s="9"/>
    </row>
    <row r="1275" hidden="1">
      <c r="A1275" s="3" t="s">
        <v>4982</v>
      </c>
      <c r="B1275" s="2" t="s">
        <v>4983</v>
      </c>
      <c r="C1275" s="3" t="s">
        <v>4984</v>
      </c>
      <c r="D1275" s="2">
        <v>1.0028027568273113E-4</v>
      </c>
      <c r="E1275" s="8" t="s">
        <v>4985</v>
      </c>
      <c r="F1275" s="9" t="s">
        <v>15</v>
      </c>
      <c r="G1275" s="9" t="s">
        <v>16</v>
      </c>
      <c r="H1275" s="9" t="s">
        <v>16</v>
      </c>
      <c r="I1275" s="9"/>
      <c r="J1275" s="9"/>
      <c r="K1275" s="9"/>
    </row>
    <row r="1276" hidden="1">
      <c r="A1276" s="3" t="s">
        <v>4986</v>
      </c>
      <c r="B1276" s="2" t="s">
        <v>4987</v>
      </c>
      <c r="C1276" s="3" t="s">
        <v>4988</v>
      </c>
      <c r="D1276" s="2">
        <v>1.0028027568273113E-4</v>
      </c>
      <c r="E1276" s="8" t="s">
        <v>4989</v>
      </c>
      <c r="F1276" s="9" t="s">
        <v>15</v>
      </c>
      <c r="G1276" s="9" t="s">
        <v>16</v>
      </c>
      <c r="H1276" s="9" t="s">
        <v>16</v>
      </c>
      <c r="I1276" s="9"/>
      <c r="J1276" s="9"/>
      <c r="K1276" s="9"/>
    </row>
    <row r="1277" hidden="1">
      <c r="A1277" s="3" t="s">
        <v>4990</v>
      </c>
      <c r="B1277" s="2" t="s">
        <v>4991</v>
      </c>
      <c r="C1277" s="3" t="s">
        <v>4992</v>
      </c>
      <c r="D1277" s="2">
        <v>1.0028027568273113E-4</v>
      </c>
      <c r="E1277" s="8" t="s">
        <v>4993</v>
      </c>
      <c r="F1277" s="9" t="s">
        <v>15</v>
      </c>
      <c r="G1277" s="9" t="s">
        <v>16</v>
      </c>
      <c r="H1277" s="9" t="s">
        <v>16</v>
      </c>
      <c r="I1277" s="9"/>
      <c r="J1277" s="9"/>
      <c r="K1277" s="9"/>
    </row>
    <row r="1278" hidden="1">
      <c r="A1278" s="3" t="s">
        <v>4994</v>
      </c>
      <c r="B1278" s="2" t="s">
        <v>4995</v>
      </c>
      <c r="C1278" s="3" t="s">
        <v>4996</v>
      </c>
      <c r="D1278" s="2">
        <v>1.0028027568273113E-4</v>
      </c>
      <c r="E1278" s="8" t="s">
        <v>4997</v>
      </c>
      <c r="F1278" s="9" t="s">
        <v>15</v>
      </c>
      <c r="G1278" s="9" t="s">
        <v>16</v>
      </c>
      <c r="H1278" s="9" t="s">
        <v>16</v>
      </c>
      <c r="I1278" s="9"/>
      <c r="J1278" s="9"/>
      <c r="K1278" s="9"/>
    </row>
    <row r="1279" hidden="1">
      <c r="A1279" s="3" t="s">
        <v>4998</v>
      </c>
      <c r="B1279" s="2" t="s">
        <v>4999</v>
      </c>
      <c r="C1279" s="3" t="s">
        <v>5000</v>
      </c>
      <c r="D1279" s="2">
        <v>1.0028027568273113E-4</v>
      </c>
      <c r="E1279" s="8" t="s">
        <v>5001</v>
      </c>
      <c r="F1279" s="9" t="s">
        <v>15</v>
      </c>
      <c r="G1279" s="9" t="s">
        <v>16</v>
      </c>
      <c r="H1279" s="9" t="s">
        <v>16</v>
      </c>
      <c r="I1279" s="9"/>
      <c r="J1279" s="9"/>
      <c r="K1279" s="9"/>
    </row>
    <row r="1280" hidden="1">
      <c r="A1280" s="3" t="s">
        <v>5002</v>
      </c>
      <c r="B1280" s="2" t="s">
        <v>5003</v>
      </c>
      <c r="C1280" s="3" t="s">
        <v>5004</v>
      </c>
      <c r="D1280" s="2">
        <v>1.0028027568273113E-4</v>
      </c>
      <c r="E1280" s="8" t="s">
        <v>5005</v>
      </c>
      <c r="F1280" s="9" t="s">
        <v>15</v>
      </c>
      <c r="G1280" s="9" t="s">
        <v>16</v>
      </c>
      <c r="H1280" s="9" t="s">
        <v>16</v>
      </c>
      <c r="I1280" s="9"/>
      <c r="J1280" s="9"/>
      <c r="K1280" s="9"/>
    </row>
    <row r="1281" hidden="1">
      <c r="A1281" s="3" t="s">
        <v>5006</v>
      </c>
      <c r="B1281" s="2" t="s">
        <v>5007</v>
      </c>
      <c r="C1281" s="3" t="s">
        <v>5008</v>
      </c>
      <c r="D1281" s="2">
        <v>1.0028027568273113E-4</v>
      </c>
      <c r="E1281" s="8" t="s">
        <v>4681</v>
      </c>
      <c r="F1281" s="9" t="s">
        <v>15</v>
      </c>
      <c r="G1281" s="9" t="s">
        <v>16</v>
      </c>
      <c r="H1281" s="9" t="s">
        <v>16</v>
      </c>
      <c r="I1281" s="9"/>
      <c r="J1281" s="9"/>
      <c r="K1281" s="9"/>
    </row>
    <row r="1282" hidden="1">
      <c r="A1282" s="3" t="s">
        <v>5009</v>
      </c>
      <c r="B1282" s="2" t="s">
        <v>5010</v>
      </c>
      <c r="C1282" s="3" t="s">
        <v>5011</v>
      </c>
      <c r="D1282" s="2">
        <v>1.0028027568273113E-4</v>
      </c>
      <c r="E1282" s="8" t="s">
        <v>5012</v>
      </c>
      <c r="F1282" s="9" t="s">
        <v>15</v>
      </c>
      <c r="G1282" s="9" t="s">
        <v>16</v>
      </c>
      <c r="H1282" s="9" t="s">
        <v>16</v>
      </c>
      <c r="I1282" s="9"/>
      <c r="J1282" s="9"/>
      <c r="K1282" s="9"/>
    </row>
    <row r="1283" hidden="1">
      <c r="A1283" s="3" t="s">
        <v>5013</v>
      </c>
      <c r="B1283" s="2" t="s">
        <v>5014</v>
      </c>
      <c r="C1283" s="3" t="s">
        <v>5015</v>
      </c>
      <c r="D1283" s="2">
        <v>1.0028027568273113E-4</v>
      </c>
      <c r="E1283" s="8" t="s">
        <v>4281</v>
      </c>
      <c r="F1283" s="9" t="s">
        <v>15</v>
      </c>
      <c r="G1283" s="9" t="s">
        <v>16</v>
      </c>
      <c r="H1283" s="9" t="s">
        <v>16</v>
      </c>
      <c r="I1283" s="9"/>
      <c r="J1283" s="9"/>
      <c r="K1283" s="9"/>
    </row>
    <row r="1284" hidden="1">
      <c r="A1284" s="3" t="s">
        <v>5016</v>
      </c>
      <c r="B1284" s="2" t="s">
        <v>5017</v>
      </c>
      <c r="C1284" s="3" t="s">
        <v>5018</v>
      </c>
      <c r="D1284" s="2">
        <v>1.0028027568273113E-4</v>
      </c>
      <c r="E1284" s="8" t="s">
        <v>5019</v>
      </c>
      <c r="F1284" s="9" t="s">
        <v>15</v>
      </c>
      <c r="G1284" s="9" t="s">
        <v>16</v>
      </c>
      <c r="H1284" s="9" t="s">
        <v>16</v>
      </c>
      <c r="I1284" s="9"/>
      <c r="J1284" s="9"/>
      <c r="K1284" s="9"/>
    </row>
    <row r="1285" hidden="1">
      <c r="A1285" s="3" t="s">
        <v>5020</v>
      </c>
      <c r="B1285" s="2" t="s">
        <v>5021</v>
      </c>
      <c r="C1285" s="3" t="s">
        <v>5022</v>
      </c>
      <c r="D1285" s="2">
        <v>1.0028027568273113E-4</v>
      </c>
      <c r="E1285" s="8" t="s">
        <v>5023</v>
      </c>
      <c r="F1285" s="9" t="s">
        <v>15</v>
      </c>
      <c r="G1285" s="9" t="s">
        <v>16</v>
      </c>
      <c r="H1285" s="9" t="s">
        <v>16</v>
      </c>
      <c r="I1285" s="9"/>
      <c r="J1285" s="9"/>
      <c r="K1285" s="9"/>
    </row>
    <row r="1286" hidden="1">
      <c r="A1286" s="3" t="s">
        <v>5024</v>
      </c>
      <c r="B1286" s="2" t="s">
        <v>5025</v>
      </c>
      <c r="C1286" s="3" t="s">
        <v>5026</v>
      </c>
      <c r="D1286" s="2">
        <v>1.0028027568273113E-4</v>
      </c>
      <c r="E1286" s="8" t="s">
        <v>5027</v>
      </c>
      <c r="F1286" s="9" t="s">
        <v>15</v>
      </c>
      <c r="G1286" s="9" t="s">
        <v>16</v>
      </c>
      <c r="H1286" s="9" t="s">
        <v>16</v>
      </c>
      <c r="I1286" s="9"/>
      <c r="J1286" s="9"/>
      <c r="K1286" s="9"/>
    </row>
    <row r="1287" hidden="1">
      <c r="A1287" s="3" t="s">
        <v>5028</v>
      </c>
      <c r="B1287" s="2" t="s">
        <v>5029</v>
      </c>
      <c r="C1287" s="3" t="s">
        <v>5030</v>
      </c>
      <c r="D1287" s="2">
        <v>1.0028027568273113E-4</v>
      </c>
      <c r="E1287" s="8" t="s">
        <v>5031</v>
      </c>
      <c r="F1287" s="9" t="s">
        <v>15</v>
      </c>
      <c r="G1287" s="9" t="s">
        <v>16</v>
      </c>
      <c r="H1287" s="9" t="s">
        <v>16</v>
      </c>
      <c r="I1287" s="9"/>
      <c r="J1287" s="9"/>
      <c r="K1287" s="9"/>
    </row>
    <row r="1288" hidden="1">
      <c r="A1288" s="3" t="s">
        <v>5032</v>
      </c>
      <c r="B1288" s="2" t="s">
        <v>5033</v>
      </c>
      <c r="C1288" s="3" t="s">
        <v>5034</v>
      </c>
      <c r="D1288" s="2">
        <v>1.0028027568273113E-4</v>
      </c>
      <c r="E1288" s="8" t="s">
        <v>5035</v>
      </c>
      <c r="F1288" s="9" t="s">
        <v>15</v>
      </c>
      <c r="G1288" s="9" t="s">
        <v>16</v>
      </c>
      <c r="H1288" s="9" t="s">
        <v>16</v>
      </c>
      <c r="I1288" s="9"/>
      <c r="J1288" s="9"/>
      <c r="K1288" s="9"/>
    </row>
    <row r="1289" hidden="1">
      <c r="A1289" s="3" t="s">
        <v>5036</v>
      </c>
      <c r="B1289" s="2" t="s">
        <v>5037</v>
      </c>
      <c r="C1289" s="3" t="s">
        <v>5038</v>
      </c>
      <c r="D1289" s="2">
        <v>1.0028027568273113E-4</v>
      </c>
      <c r="E1289" s="8" t="s">
        <v>5039</v>
      </c>
      <c r="F1289" s="9" t="s">
        <v>15</v>
      </c>
      <c r="G1289" s="9" t="s">
        <v>16</v>
      </c>
      <c r="H1289" s="9" t="s">
        <v>16</v>
      </c>
      <c r="I1289" s="9"/>
      <c r="J1289" s="9"/>
      <c r="K1289" s="9"/>
    </row>
    <row r="1290" hidden="1">
      <c r="A1290" s="3" t="s">
        <v>5040</v>
      </c>
      <c r="B1290" s="2" t="s">
        <v>5041</v>
      </c>
      <c r="C1290" s="3" t="s">
        <v>5042</v>
      </c>
      <c r="D1290" s="2">
        <v>1.0028027568273113E-4</v>
      </c>
      <c r="E1290" s="8" t="s">
        <v>5043</v>
      </c>
      <c r="F1290" s="9" t="s">
        <v>15</v>
      </c>
      <c r="G1290" s="9" t="s">
        <v>16</v>
      </c>
      <c r="H1290" s="9" t="s">
        <v>16</v>
      </c>
      <c r="I1290" s="9"/>
      <c r="J1290" s="9"/>
      <c r="K1290" s="9"/>
    </row>
    <row r="1291" hidden="1">
      <c r="A1291" s="3" t="s">
        <v>5044</v>
      </c>
      <c r="B1291" s="2" t="s">
        <v>5045</v>
      </c>
      <c r="C1291" s="3" t="s">
        <v>5046</v>
      </c>
      <c r="D1291" s="2">
        <v>1.0028027568273113E-4</v>
      </c>
      <c r="E1291" s="8" t="s">
        <v>5047</v>
      </c>
      <c r="F1291" s="9" t="s">
        <v>15</v>
      </c>
      <c r="G1291" s="9" t="s">
        <v>16</v>
      </c>
      <c r="H1291" s="9" t="s">
        <v>16</v>
      </c>
      <c r="I1291" s="9"/>
      <c r="J1291" s="9"/>
      <c r="K1291" s="9"/>
    </row>
    <row r="1292" hidden="1">
      <c r="A1292" s="3" t="s">
        <v>5048</v>
      </c>
      <c r="B1292" s="2" t="s">
        <v>5049</v>
      </c>
      <c r="C1292" s="3" t="s">
        <v>5050</v>
      </c>
      <c r="D1292" s="2">
        <v>1.0028027568273113E-4</v>
      </c>
      <c r="E1292" s="8" t="s">
        <v>5051</v>
      </c>
      <c r="F1292" s="9" t="s">
        <v>15</v>
      </c>
      <c r="G1292" s="9" t="s">
        <v>16</v>
      </c>
      <c r="H1292" s="9" t="s">
        <v>16</v>
      </c>
      <c r="I1292" s="9"/>
      <c r="J1292" s="9"/>
      <c r="K1292" s="9"/>
    </row>
    <row r="1293" hidden="1">
      <c r="A1293" s="3" t="s">
        <v>5052</v>
      </c>
      <c r="B1293" s="2" t="s">
        <v>5053</v>
      </c>
      <c r="C1293" s="3" t="s">
        <v>5054</v>
      </c>
      <c r="D1293" s="2">
        <v>1.0028027568273113E-4</v>
      </c>
      <c r="E1293" s="8" t="s">
        <v>5055</v>
      </c>
      <c r="F1293" s="9" t="s">
        <v>15</v>
      </c>
      <c r="G1293" s="9" t="s">
        <v>16</v>
      </c>
      <c r="H1293" s="9" t="s">
        <v>16</v>
      </c>
      <c r="I1293" s="9"/>
      <c r="J1293" s="9"/>
      <c r="K1293" s="9"/>
    </row>
    <row r="1294" hidden="1">
      <c r="A1294" s="3" t="s">
        <v>5056</v>
      </c>
      <c r="B1294" s="2" t="s">
        <v>5057</v>
      </c>
      <c r="C1294" s="3" t="s">
        <v>5058</v>
      </c>
      <c r="D1294" s="2">
        <v>1.0028027568273113E-4</v>
      </c>
      <c r="E1294" s="8" t="s">
        <v>5059</v>
      </c>
      <c r="F1294" s="9" t="s">
        <v>15</v>
      </c>
      <c r="G1294" s="9" t="s">
        <v>16</v>
      </c>
      <c r="H1294" s="9" t="s">
        <v>16</v>
      </c>
      <c r="I1294" s="9"/>
      <c r="J1294" s="9"/>
      <c r="K1294" s="9"/>
    </row>
    <row r="1295" hidden="1">
      <c r="A1295" s="3" t="s">
        <v>5060</v>
      </c>
      <c r="B1295" s="2" t="s">
        <v>5061</v>
      </c>
      <c r="C1295" s="3" t="s">
        <v>5062</v>
      </c>
      <c r="D1295" s="2">
        <v>1.0028027568273113E-4</v>
      </c>
      <c r="E1295" s="8" t="s">
        <v>5063</v>
      </c>
      <c r="F1295" s="9" t="s">
        <v>15</v>
      </c>
      <c r="G1295" s="9" t="s">
        <v>16</v>
      </c>
      <c r="H1295" s="9" t="s">
        <v>16</v>
      </c>
      <c r="I1295" s="9"/>
      <c r="J1295" s="9"/>
      <c r="K1295" s="9"/>
    </row>
    <row r="1296" hidden="1">
      <c r="A1296" s="3" t="s">
        <v>5064</v>
      </c>
      <c r="B1296" s="2" t="s">
        <v>5065</v>
      </c>
      <c r="C1296" s="3" t="s">
        <v>5066</v>
      </c>
      <c r="D1296" s="2">
        <v>1.0028027568273113E-4</v>
      </c>
      <c r="E1296" s="8" t="s">
        <v>5067</v>
      </c>
      <c r="F1296" s="9" t="s">
        <v>15</v>
      </c>
      <c r="G1296" s="9" t="s">
        <v>16</v>
      </c>
      <c r="H1296" s="9" t="s">
        <v>16</v>
      </c>
      <c r="I1296" s="9"/>
      <c r="J1296" s="9"/>
      <c r="K1296" s="9"/>
    </row>
    <row r="1297" hidden="1">
      <c r="A1297" s="3" t="s">
        <v>5068</v>
      </c>
      <c r="B1297" s="2" t="s">
        <v>5069</v>
      </c>
      <c r="C1297" s="3" t="s">
        <v>5070</v>
      </c>
      <c r="D1297" s="2">
        <v>1.0028027568273113E-4</v>
      </c>
      <c r="E1297" s="8" t="s">
        <v>5071</v>
      </c>
      <c r="F1297" s="9" t="s">
        <v>15</v>
      </c>
      <c r="G1297" s="9" t="s">
        <v>16</v>
      </c>
      <c r="H1297" s="9" t="s">
        <v>16</v>
      </c>
      <c r="I1297" s="9"/>
      <c r="J1297" s="9"/>
      <c r="K1297" s="9"/>
    </row>
    <row r="1298" hidden="1">
      <c r="A1298" s="3" t="s">
        <v>5072</v>
      </c>
      <c r="B1298" s="2" t="s">
        <v>5073</v>
      </c>
      <c r="C1298" s="3"/>
      <c r="D1298" s="2">
        <v>1.0028027568273113E-4</v>
      </c>
      <c r="E1298" s="8" t="s">
        <v>5074</v>
      </c>
      <c r="F1298" s="9" t="s">
        <v>15</v>
      </c>
      <c r="G1298" s="9" t="s">
        <v>16</v>
      </c>
      <c r="H1298" s="9" t="s">
        <v>16</v>
      </c>
      <c r="I1298" s="9"/>
      <c r="J1298" s="9"/>
      <c r="K1298" s="9"/>
    </row>
    <row r="1299" hidden="1">
      <c r="A1299" s="3" t="s">
        <v>5075</v>
      </c>
      <c r="B1299" s="2" t="s">
        <v>5076</v>
      </c>
      <c r="C1299" s="3" t="s">
        <v>5077</v>
      </c>
      <c r="D1299" s="2">
        <v>1.0028027568273113E-4</v>
      </c>
      <c r="E1299" s="8" t="s">
        <v>4374</v>
      </c>
      <c r="F1299" s="9" t="s">
        <v>15</v>
      </c>
      <c r="G1299" s="9" t="s">
        <v>16</v>
      </c>
      <c r="H1299" s="9" t="s">
        <v>16</v>
      </c>
      <c r="I1299" s="9"/>
      <c r="J1299" s="9"/>
      <c r="K1299" s="9"/>
    </row>
    <row r="1300" hidden="1">
      <c r="A1300" s="3" t="s">
        <v>5078</v>
      </c>
      <c r="B1300" s="2" t="s">
        <v>5079</v>
      </c>
      <c r="C1300" s="3" t="s">
        <v>5080</v>
      </c>
      <c r="D1300" s="2">
        <v>1.0028027568273113E-4</v>
      </c>
      <c r="E1300" s="8" t="s">
        <v>5081</v>
      </c>
      <c r="F1300" s="9" t="s">
        <v>15</v>
      </c>
      <c r="G1300" s="9" t="s">
        <v>16</v>
      </c>
      <c r="H1300" s="9" t="s">
        <v>16</v>
      </c>
      <c r="I1300" s="9"/>
      <c r="J1300" s="9"/>
      <c r="K1300" s="9"/>
    </row>
    <row r="1301" hidden="1">
      <c r="A1301" s="3" t="s">
        <v>5082</v>
      </c>
      <c r="B1301" s="2" t="s">
        <v>5083</v>
      </c>
      <c r="C1301" s="3" t="s">
        <v>5084</v>
      </c>
      <c r="D1301" s="2">
        <v>1.0028027568273113E-4</v>
      </c>
      <c r="E1301" s="8" t="s">
        <v>5085</v>
      </c>
      <c r="F1301" s="9" t="s">
        <v>15</v>
      </c>
      <c r="G1301" s="9" t="s">
        <v>16</v>
      </c>
      <c r="H1301" s="9" t="s">
        <v>16</v>
      </c>
      <c r="I1301" s="9"/>
      <c r="J1301" s="9"/>
      <c r="K1301" s="9"/>
    </row>
    <row r="1302" hidden="1">
      <c r="A1302" s="3" t="s">
        <v>5086</v>
      </c>
      <c r="B1302" s="2" t="s">
        <v>5087</v>
      </c>
      <c r="C1302" s="3" t="s">
        <v>5088</v>
      </c>
      <c r="D1302" s="2">
        <v>1.0028027568273113E-4</v>
      </c>
      <c r="E1302" s="8" t="s">
        <v>5089</v>
      </c>
      <c r="F1302" s="9" t="s">
        <v>15</v>
      </c>
      <c r="G1302" s="9" t="s">
        <v>16</v>
      </c>
      <c r="H1302" s="9" t="s">
        <v>16</v>
      </c>
      <c r="I1302" s="9"/>
      <c r="J1302" s="9"/>
      <c r="K1302" s="9"/>
    </row>
    <row r="1303" hidden="1">
      <c r="A1303" s="3" t="s">
        <v>5090</v>
      </c>
      <c r="B1303" s="2" t="s">
        <v>5091</v>
      </c>
      <c r="C1303" s="3" t="s">
        <v>5092</v>
      </c>
      <c r="D1303" s="2">
        <v>1.0028027568273113E-4</v>
      </c>
      <c r="E1303" s="8" t="s">
        <v>5093</v>
      </c>
      <c r="F1303" s="9" t="s">
        <v>15</v>
      </c>
      <c r="G1303" s="9" t="s">
        <v>16</v>
      </c>
      <c r="H1303" s="9" t="s">
        <v>16</v>
      </c>
      <c r="I1303" s="9"/>
      <c r="J1303" s="9"/>
      <c r="K1303" s="9"/>
    </row>
    <row r="1304" hidden="1">
      <c r="A1304" s="3" t="s">
        <v>5094</v>
      </c>
      <c r="B1304" s="2" t="s">
        <v>5095</v>
      </c>
      <c r="C1304" s="3" t="s">
        <v>5096</v>
      </c>
      <c r="D1304" s="2">
        <v>1.0028027568273113E-4</v>
      </c>
      <c r="E1304" s="8" t="s">
        <v>5097</v>
      </c>
      <c r="F1304" s="9" t="s">
        <v>15</v>
      </c>
      <c r="G1304" s="9" t="s">
        <v>16</v>
      </c>
      <c r="H1304" s="9" t="s">
        <v>16</v>
      </c>
      <c r="I1304" s="9"/>
      <c r="J1304" s="9"/>
      <c r="K1304" s="9"/>
    </row>
    <row r="1305" hidden="1">
      <c r="A1305" s="3" t="s">
        <v>5098</v>
      </c>
      <c r="B1305" s="2" t="s">
        <v>5099</v>
      </c>
      <c r="C1305" s="3"/>
      <c r="D1305" s="2">
        <v>1.0028027568273113E-4</v>
      </c>
      <c r="E1305" s="8" t="s">
        <v>5100</v>
      </c>
      <c r="F1305" s="9" t="s">
        <v>15</v>
      </c>
      <c r="G1305" s="9" t="s">
        <v>16</v>
      </c>
      <c r="H1305" s="9" t="s">
        <v>16</v>
      </c>
      <c r="I1305" s="9"/>
      <c r="J1305" s="9"/>
      <c r="K1305" s="9"/>
    </row>
    <row r="1306" hidden="1">
      <c r="A1306" s="3" t="s">
        <v>5072</v>
      </c>
      <c r="B1306" s="2" t="s">
        <v>5101</v>
      </c>
      <c r="C1306" s="3" t="s">
        <v>5102</v>
      </c>
      <c r="D1306" s="2">
        <v>1.0028027568273113E-4</v>
      </c>
      <c r="E1306" s="8" t="s">
        <v>5103</v>
      </c>
      <c r="F1306" s="9" t="s">
        <v>15</v>
      </c>
      <c r="G1306" s="9" t="s">
        <v>16</v>
      </c>
      <c r="H1306" s="9" t="s">
        <v>16</v>
      </c>
      <c r="I1306" s="9"/>
      <c r="J1306" s="9"/>
      <c r="K1306" s="9"/>
    </row>
    <row r="1307" hidden="1">
      <c r="A1307" s="3" t="s">
        <v>5104</v>
      </c>
      <c r="B1307" s="2" t="s">
        <v>5105</v>
      </c>
      <c r="C1307" s="3" t="s">
        <v>5106</v>
      </c>
      <c r="D1307" s="2">
        <v>1.0028027568273113E-4</v>
      </c>
      <c r="E1307" s="8" t="s">
        <v>4174</v>
      </c>
      <c r="F1307" s="9" t="s">
        <v>15</v>
      </c>
      <c r="G1307" s="9" t="s">
        <v>16</v>
      </c>
      <c r="H1307" s="9" t="s">
        <v>16</v>
      </c>
      <c r="I1307" s="9"/>
      <c r="J1307" s="9"/>
      <c r="K1307" s="9"/>
    </row>
    <row r="1308" hidden="1">
      <c r="A1308" s="3" t="s">
        <v>5107</v>
      </c>
      <c r="B1308" s="2" t="s">
        <v>5108</v>
      </c>
      <c r="C1308" s="3" t="s">
        <v>5109</v>
      </c>
      <c r="D1308" s="2">
        <v>1.0028027568273113E-4</v>
      </c>
      <c r="E1308" s="8" t="s">
        <v>5110</v>
      </c>
      <c r="F1308" s="9" t="s">
        <v>15</v>
      </c>
      <c r="G1308" s="9" t="s">
        <v>16</v>
      </c>
      <c r="H1308" s="9" t="s">
        <v>16</v>
      </c>
      <c r="I1308" s="9"/>
      <c r="J1308" s="9"/>
      <c r="K1308" s="9"/>
    </row>
    <row r="1309" hidden="1">
      <c r="A1309" s="3" t="s">
        <v>5111</v>
      </c>
      <c r="B1309" s="2" t="s">
        <v>5112</v>
      </c>
      <c r="C1309" s="3"/>
      <c r="D1309" s="2">
        <v>1.0028027568273113E-4</v>
      </c>
      <c r="E1309" s="8" t="s">
        <v>5113</v>
      </c>
      <c r="F1309" s="9" t="s">
        <v>15</v>
      </c>
      <c r="G1309" s="9" t="s">
        <v>16</v>
      </c>
      <c r="H1309" s="9" t="s">
        <v>16</v>
      </c>
      <c r="I1309" s="9"/>
      <c r="J1309" s="9"/>
      <c r="K1309" s="9"/>
    </row>
    <row r="1310" hidden="1">
      <c r="A1310" s="3" t="s">
        <v>5114</v>
      </c>
      <c r="B1310" s="2" t="s">
        <v>5115</v>
      </c>
      <c r="C1310" s="3" t="s">
        <v>5116</v>
      </c>
      <c r="D1310" s="2">
        <v>1.0028027568273113E-4</v>
      </c>
      <c r="E1310" s="8" t="s">
        <v>5117</v>
      </c>
      <c r="F1310" s="9" t="s">
        <v>15</v>
      </c>
      <c r="G1310" s="9" t="s">
        <v>16</v>
      </c>
      <c r="H1310" s="9" t="s">
        <v>16</v>
      </c>
      <c r="I1310" s="9"/>
      <c r="J1310" s="9"/>
      <c r="K1310" s="9"/>
    </row>
    <row r="1311" hidden="1">
      <c r="A1311" s="3" t="s">
        <v>5118</v>
      </c>
      <c r="B1311" s="2" t="s">
        <v>5119</v>
      </c>
      <c r="C1311" s="3" t="s">
        <v>5120</v>
      </c>
      <c r="D1311" s="2">
        <v>1.0028027568273113E-4</v>
      </c>
      <c r="E1311" s="8" t="s">
        <v>5121</v>
      </c>
      <c r="F1311" s="9" t="s">
        <v>15</v>
      </c>
      <c r="G1311" s="9" t="s">
        <v>16</v>
      </c>
      <c r="H1311" s="9" t="s">
        <v>16</v>
      </c>
      <c r="I1311" s="9"/>
      <c r="J1311" s="9"/>
      <c r="K1311" s="9"/>
    </row>
    <row r="1312" hidden="1">
      <c r="A1312" s="3" t="s">
        <v>5122</v>
      </c>
      <c r="B1312" s="2" t="s">
        <v>5123</v>
      </c>
      <c r="C1312" s="3" t="s">
        <v>5124</v>
      </c>
      <c r="D1312" s="2">
        <v>1.0028027568273113E-4</v>
      </c>
      <c r="E1312" s="8" t="s">
        <v>5125</v>
      </c>
      <c r="F1312" s="9" t="s">
        <v>15</v>
      </c>
      <c r="G1312" s="9" t="s">
        <v>16</v>
      </c>
      <c r="H1312" s="9" t="s">
        <v>16</v>
      </c>
      <c r="I1312" s="9"/>
      <c r="J1312" s="9"/>
      <c r="K1312" s="9"/>
    </row>
    <row r="1313" hidden="1">
      <c r="A1313" s="3" t="s">
        <v>5126</v>
      </c>
      <c r="B1313" s="2" t="s">
        <v>5127</v>
      </c>
      <c r="C1313" s="3" t="s">
        <v>5128</v>
      </c>
      <c r="D1313" s="2">
        <v>1.0028027568273113E-4</v>
      </c>
      <c r="E1313" s="8" t="s">
        <v>5129</v>
      </c>
      <c r="F1313" s="9" t="s">
        <v>15</v>
      </c>
      <c r="G1313" s="9" t="s">
        <v>16</v>
      </c>
      <c r="H1313" s="9" t="s">
        <v>16</v>
      </c>
      <c r="I1313" s="9"/>
      <c r="J1313" s="9"/>
      <c r="K1313" s="9"/>
    </row>
    <row r="1314" hidden="1">
      <c r="A1314" s="3" t="s">
        <v>5130</v>
      </c>
      <c r="B1314" s="2" t="s">
        <v>5131</v>
      </c>
      <c r="C1314" s="3" t="s">
        <v>5132</v>
      </c>
      <c r="D1314" s="2">
        <v>1.0028027568273113E-4</v>
      </c>
      <c r="E1314" s="8" t="s">
        <v>5133</v>
      </c>
      <c r="F1314" s="9" t="s">
        <v>15</v>
      </c>
      <c r="G1314" s="9" t="s">
        <v>16</v>
      </c>
      <c r="H1314" s="9" t="s">
        <v>16</v>
      </c>
      <c r="I1314" s="9"/>
      <c r="J1314" s="9"/>
      <c r="K1314" s="9"/>
    </row>
    <row r="1315" hidden="1">
      <c r="A1315" s="3" t="s">
        <v>5134</v>
      </c>
      <c r="B1315" s="2" t="s">
        <v>5135</v>
      </c>
      <c r="C1315" s="3" t="s">
        <v>5136</v>
      </c>
      <c r="D1315" s="2">
        <v>1.0028027568273113E-4</v>
      </c>
      <c r="E1315" s="8" t="s">
        <v>5137</v>
      </c>
      <c r="F1315" s="9" t="s">
        <v>15</v>
      </c>
      <c r="G1315" s="9" t="s">
        <v>16</v>
      </c>
      <c r="H1315" s="9" t="s">
        <v>16</v>
      </c>
      <c r="I1315" s="9"/>
      <c r="J1315" s="9"/>
      <c r="K1315" s="9"/>
    </row>
    <row r="1316" hidden="1">
      <c r="A1316" s="3" t="s">
        <v>5138</v>
      </c>
      <c r="B1316" s="2" t="s">
        <v>5139</v>
      </c>
      <c r="C1316" s="3" t="s">
        <v>5140</v>
      </c>
      <c r="D1316" s="2">
        <v>1.0028027568273113E-4</v>
      </c>
      <c r="E1316" s="8" t="s">
        <v>5141</v>
      </c>
      <c r="F1316" s="9" t="s">
        <v>15</v>
      </c>
      <c r="G1316" s="9" t="s">
        <v>16</v>
      </c>
      <c r="H1316" s="9" t="s">
        <v>16</v>
      </c>
      <c r="I1316" s="9"/>
      <c r="J1316" s="9"/>
      <c r="K1316" s="9"/>
    </row>
    <row r="1317" hidden="1">
      <c r="A1317" s="3" t="s">
        <v>5142</v>
      </c>
      <c r="B1317" s="2" t="s">
        <v>5143</v>
      </c>
      <c r="C1317" s="3"/>
      <c r="D1317" s="2">
        <v>1.0028027568273113E-4</v>
      </c>
      <c r="E1317" s="8" t="s">
        <v>5144</v>
      </c>
      <c r="F1317" s="9" t="s">
        <v>15</v>
      </c>
      <c r="G1317" s="9" t="s">
        <v>16</v>
      </c>
      <c r="H1317" s="9" t="s">
        <v>16</v>
      </c>
      <c r="I1317" s="9"/>
      <c r="J1317" s="9"/>
      <c r="K1317" s="9"/>
    </row>
    <row r="1318" hidden="1">
      <c r="A1318" s="3" t="s">
        <v>5145</v>
      </c>
      <c r="B1318" s="2" t="s">
        <v>5146</v>
      </c>
      <c r="C1318" s="3"/>
      <c r="D1318" s="2">
        <v>1.0028027568273113E-4</v>
      </c>
      <c r="E1318" s="8" t="s">
        <v>5147</v>
      </c>
      <c r="F1318" s="9" t="s">
        <v>15</v>
      </c>
      <c r="G1318" s="9" t="s">
        <v>16</v>
      </c>
      <c r="H1318" s="9" t="s">
        <v>16</v>
      </c>
      <c r="I1318" s="9"/>
      <c r="J1318" s="9"/>
      <c r="K1318" s="9"/>
    </row>
    <row r="1319" hidden="1">
      <c r="A1319" s="3" t="s">
        <v>5148</v>
      </c>
      <c r="B1319" s="2" t="s">
        <v>5149</v>
      </c>
      <c r="C1319" s="3" t="s">
        <v>5150</v>
      </c>
      <c r="D1319" s="2">
        <v>1.0028027568273113E-4</v>
      </c>
      <c r="E1319" s="8" t="s">
        <v>5151</v>
      </c>
      <c r="F1319" s="9" t="s">
        <v>15</v>
      </c>
      <c r="G1319" s="9" t="s">
        <v>16</v>
      </c>
      <c r="H1319" s="9" t="s">
        <v>16</v>
      </c>
      <c r="I1319" s="9"/>
      <c r="J1319" s="9"/>
      <c r="K1319" s="9"/>
    </row>
    <row r="1320" hidden="1">
      <c r="A1320" s="3" t="s">
        <v>5152</v>
      </c>
      <c r="B1320" s="2" t="s">
        <v>5153</v>
      </c>
      <c r="C1320" s="3" t="s">
        <v>5154</v>
      </c>
      <c r="D1320" s="2">
        <v>1.0028027568273113E-4</v>
      </c>
      <c r="E1320" s="8" t="s">
        <v>5155</v>
      </c>
      <c r="F1320" s="9" t="s">
        <v>15</v>
      </c>
      <c r="G1320" s="9" t="s">
        <v>16</v>
      </c>
      <c r="H1320" s="9" t="s">
        <v>16</v>
      </c>
      <c r="I1320" s="9"/>
      <c r="J1320" s="9"/>
      <c r="K1320" s="9"/>
    </row>
    <row r="1321" hidden="1">
      <c r="A1321" s="3" t="s">
        <v>5156</v>
      </c>
      <c r="B1321" s="2" t="s">
        <v>5157</v>
      </c>
      <c r="C1321" s="3"/>
      <c r="D1321" s="2">
        <v>1.0028027568273113E-4</v>
      </c>
      <c r="E1321" s="8" t="s">
        <v>5158</v>
      </c>
      <c r="F1321" s="9" t="s">
        <v>15</v>
      </c>
      <c r="G1321" s="9" t="s">
        <v>16</v>
      </c>
      <c r="H1321" s="9" t="s">
        <v>16</v>
      </c>
      <c r="I1321" s="9"/>
      <c r="J1321" s="9"/>
      <c r="K1321" s="9"/>
    </row>
    <row r="1322" hidden="1">
      <c r="A1322" s="3" t="s">
        <v>5159</v>
      </c>
      <c r="B1322" s="2" t="s">
        <v>5160</v>
      </c>
      <c r="C1322" s="3" t="s">
        <v>5161</v>
      </c>
      <c r="D1322" s="2">
        <v>1.0028027568273113E-4</v>
      </c>
      <c r="E1322" s="8" t="s">
        <v>5162</v>
      </c>
      <c r="F1322" s="9" t="s">
        <v>15</v>
      </c>
      <c r="G1322" s="9" t="s">
        <v>16</v>
      </c>
      <c r="H1322" s="9" t="s">
        <v>16</v>
      </c>
      <c r="I1322" s="9"/>
      <c r="J1322" s="9"/>
      <c r="K1322" s="9"/>
    </row>
    <row r="1323" hidden="1">
      <c r="A1323" s="3" t="s">
        <v>5163</v>
      </c>
      <c r="B1323" s="2" t="s">
        <v>5164</v>
      </c>
      <c r="C1323" s="3"/>
      <c r="D1323" s="2">
        <v>1.0028027568273113E-4</v>
      </c>
      <c r="E1323" s="8" t="s">
        <v>5165</v>
      </c>
      <c r="F1323" s="9" t="s">
        <v>15</v>
      </c>
      <c r="G1323" s="9" t="s">
        <v>16</v>
      </c>
      <c r="H1323" s="9" t="s">
        <v>16</v>
      </c>
      <c r="I1323" s="9"/>
      <c r="J1323" s="9"/>
      <c r="K1323" s="9"/>
    </row>
    <row r="1324" hidden="1">
      <c r="A1324" s="3" t="s">
        <v>5166</v>
      </c>
      <c r="B1324" s="2" t="s">
        <v>5167</v>
      </c>
      <c r="C1324" s="3" t="s">
        <v>5168</v>
      </c>
      <c r="D1324" s="2">
        <v>1.0028027568273113E-4</v>
      </c>
      <c r="E1324" s="8" t="s">
        <v>5169</v>
      </c>
      <c r="F1324" s="9" t="s">
        <v>15</v>
      </c>
      <c r="G1324" s="9" t="s">
        <v>16</v>
      </c>
      <c r="H1324" s="9" t="s">
        <v>16</v>
      </c>
      <c r="I1324" s="9"/>
      <c r="J1324" s="9"/>
      <c r="K1324" s="9"/>
    </row>
    <row r="1325" hidden="1">
      <c r="A1325" s="3" t="s">
        <v>5170</v>
      </c>
      <c r="B1325" s="2" t="s">
        <v>5171</v>
      </c>
      <c r="C1325" s="3"/>
      <c r="D1325" s="2">
        <v>1.0028027568273113E-4</v>
      </c>
      <c r="E1325" s="8" t="s">
        <v>5172</v>
      </c>
      <c r="F1325" s="9" t="s">
        <v>15</v>
      </c>
      <c r="G1325" s="9" t="s">
        <v>16</v>
      </c>
      <c r="H1325" s="9" t="s">
        <v>16</v>
      </c>
      <c r="I1325" s="9"/>
      <c r="J1325" s="9"/>
      <c r="K1325" s="9"/>
    </row>
    <row r="1326" hidden="1">
      <c r="A1326" s="3" t="s">
        <v>5173</v>
      </c>
      <c r="B1326" s="2" t="s">
        <v>5174</v>
      </c>
      <c r="C1326" s="3"/>
      <c r="D1326" s="2">
        <v>1.0028027568273113E-4</v>
      </c>
      <c r="E1326" s="8" t="s">
        <v>5175</v>
      </c>
      <c r="F1326" s="9" t="s">
        <v>15</v>
      </c>
      <c r="G1326" s="9" t="s">
        <v>16</v>
      </c>
      <c r="H1326" s="9" t="s">
        <v>16</v>
      </c>
      <c r="I1326" s="9"/>
      <c r="J1326" s="9"/>
      <c r="K1326" s="9"/>
    </row>
    <row r="1327" hidden="1">
      <c r="A1327" s="3" t="s">
        <v>5176</v>
      </c>
      <c r="B1327" s="2" t="s">
        <v>5177</v>
      </c>
      <c r="C1327" s="3" t="s">
        <v>114</v>
      </c>
      <c r="D1327" s="2">
        <v>1.0028027568273113E-4</v>
      </c>
      <c r="E1327" s="8" t="s">
        <v>5178</v>
      </c>
      <c r="F1327" s="9" t="s">
        <v>15</v>
      </c>
      <c r="G1327" s="9" t="s">
        <v>16</v>
      </c>
      <c r="H1327" s="9" t="s">
        <v>16</v>
      </c>
      <c r="I1327" s="9"/>
      <c r="J1327" s="9"/>
      <c r="K1327" s="9"/>
    </row>
    <row r="1328" hidden="1">
      <c r="A1328" s="3" t="s">
        <v>5179</v>
      </c>
      <c r="B1328" s="2" t="s">
        <v>5180</v>
      </c>
      <c r="C1328" s="3" t="s">
        <v>5181</v>
      </c>
      <c r="D1328" s="2">
        <v>1.0028027568273113E-4</v>
      </c>
      <c r="E1328" s="8" t="s">
        <v>5182</v>
      </c>
      <c r="F1328" s="9" t="s">
        <v>15</v>
      </c>
      <c r="G1328" s="9" t="s">
        <v>16</v>
      </c>
      <c r="H1328" s="9" t="s">
        <v>16</v>
      </c>
      <c r="I1328" s="9"/>
      <c r="J1328" s="9"/>
      <c r="K1328" s="9"/>
    </row>
    <row r="1329" hidden="1">
      <c r="A1329" s="3" t="s">
        <v>5183</v>
      </c>
      <c r="B1329" s="2" t="s">
        <v>5184</v>
      </c>
      <c r="C1329" s="3" t="s">
        <v>5185</v>
      </c>
      <c r="D1329" s="2">
        <v>1.0028027568273113E-4</v>
      </c>
      <c r="E1329" s="8" t="s">
        <v>4144</v>
      </c>
      <c r="F1329" s="9" t="s">
        <v>15</v>
      </c>
      <c r="G1329" s="9" t="s">
        <v>16</v>
      </c>
      <c r="H1329" s="9" t="s">
        <v>16</v>
      </c>
      <c r="I1329" s="9"/>
      <c r="J1329" s="9"/>
      <c r="K1329" s="9"/>
    </row>
    <row r="1330" hidden="1">
      <c r="A1330" s="3" t="s">
        <v>5186</v>
      </c>
      <c r="B1330" s="2" t="s">
        <v>5187</v>
      </c>
      <c r="C1330" s="3" t="s">
        <v>5188</v>
      </c>
      <c r="D1330" s="2">
        <v>1.0028027568273113E-4</v>
      </c>
      <c r="E1330" s="8" t="s">
        <v>5189</v>
      </c>
      <c r="F1330" s="9" t="s">
        <v>15</v>
      </c>
      <c r="G1330" s="9" t="s">
        <v>16</v>
      </c>
      <c r="H1330" s="9" t="s">
        <v>16</v>
      </c>
      <c r="I1330" s="9"/>
      <c r="J1330" s="9"/>
      <c r="K1330" s="9"/>
    </row>
    <row r="1331" hidden="1">
      <c r="A1331" s="3" t="s">
        <v>5190</v>
      </c>
      <c r="B1331" s="2" t="s">
        <v>5191</v>
      </c>
      <c r="C1331" s="3" t="s">
        <v>5192</v>
      </c>
      <c r="D1331" s="2">
        <v>1.0028027568273113E-4</v>
      </c>
      <c r="E1331" s="8" t="s">
        <v>5193</v>
      </c>
      <c r="F1331" s="9" t="s">
        <v>15</v>
      </c>
      <c r="G1331" s="9" t="s">
        <v>16</v>
      </c>
      <c r="H1331" s="9" t="s">
        <v>16</v>
      </c>
      <c r="I1331" s="9"/>
      <c r="J1331" s="9"/>
      <c r="K1331" s="9"/>
    </row>
    <row r="1332" hidden="1">
      <c r="A1332" s="3" t="s">
        <v>5194</v>
      </c>
      <c r="B1332" s="2" t="s">
        <v>5195</v>
      </c>
      <c r="C1332" s="3" t="s">
        <v>5196</v>
      </c>
      <c r="D1332" s="2">
        <v>1.0028027568273113E-4</v>
      </c>
      <c r="E1332" s="8" t="s">
        <v>5197</v>
      </c>
      <c r="F1332" s="9" t="s">
        <v>15</v>
      </c>
      <c r="G1332" s="9" t="s">
        <v>16</v>
      </c>
      <c r="H1332" s="9" t="s">
        <v>16</v>
      </c>
      <c r="I1332" s="9"/>
      <c r="J1332" s="9"/>
      <c r="K1332" s="9"/>
    </row>
    <row r="1333" hidden="1">
      <c r="A1333" s="3" t="s">
        <v>5198</v>
      </c>
      <c r="B1333" s="2" t="s">
        <v>5199</v>
      </c>
      <c r="C1333" s="3" t="s">
        <v>5200</v>
      </c>
      <c r="D1333" s="2">
        <v>1.0028027568273113E-4</v>
      </c>
      <c r="E1333" s="8" t="s">
        <v>5201</v>
      </c>
      <c r="F1333" s="9" t="s">
        <v>15</v>
      </c>
      <c r="G1333" s="9" t="s">
        <v>16</v>
      </c>
      <c r="H1333" s="9" t="s">
        <v>16</v>
      </c>
      <c r="I1333" s="9"/>
      <c r="J1333" s="9"/>
      <c r="K1333" s="9"/>
    </row>
    <row r="1334" hidden="1">
      <c r="A1334" s="3" t="s">
        <v>5202</v>
      </c>
      <c r="B1334" s="2" t="s">
        <v>5203</v>
      </c>
      <c r="C1334" s="3" t="s">
        <v>5204</v>
      </c>
      <c r="D1334" s="2">
        <v>1.0028027568273113E-4</v>
      </c>
      <c r="E1334" s="8" t="s">
        <v>5205</v>
      </c>
      <c r="F1334" s="9" t="s">
        <v>15</v>
      </c>
      <c r="G1334" s="9" t="s">
        <v>16</v>
      </c>
      <c r="H1334" s="9" t="s">
        <v>16</v>
      </c>
      <c r="I1334" s="9"/>
      <c r="J1334" s="9"/>
      <c r="K1334" s="9"/>
    </row>
    <row r="1335" hidden="1">
      <c r="A1335" s="3" t="s">
        <v>5206</v>
      </c>
      <c r="B1335" s="2" t="s">
        <v>5207</v>
      </c>
      <c r="C1335" s="3" t="s">
        <v>5208</v>
      </c>
      <c r="D1335" s="2">
        <v>1.0028027568273113E-4</v>
      </c>
      <c r="E1335" s="8" t="s">
        <v>5209</v>
      </c>
      <c r="F1335" s="9" t="s">
        <v>15</v>
      </c>
      <c r="G1335" s="9" t="s">
        <v>16</v>
      </c>
      <c r="H1335" s="9" t="s">
        <v>16</v>
      </c>
      <c r="I1335" s="9"/>
      <c r="J1335" s="9"/>
      <c r="K1335" s="9"/>
    </row>
    <row r="1336" hidden="1">
      <c r="A1336" s="3" t="s">
        <v>5210</v>
      </c>
      <c r="B1336" s="2" t="s">
        <v>5211</v>
      </c>
      <c r="C1336" s="3" t="s">
        <v>5212</v>
      </c>
      <c r="D1336" s="2">
        <v>1.0028027568273113E-4</v>
      </c>
      <c r="E1336" s="8" t="s">
        <v>5213</v>
      </c>
      <c r="F1336" s="9" t="s">
        <v>15</v>
      </c>
      <c r="G1336" s="9" t="s">
        <v>16</v>
      </c>
      <c r="H1336" s="9" t="s">
        <v>16</v>
      </c>
      <c r="I1336" s="9"/>
      <c r="J1336" s="9"/>
      <c r="K1336" s="9"/>
    </row>
    <row r="1337" hidden="1">
      <c r="A1337" s="3" t="s">
        <v>5214</v>
      </c>
      <c r="B1337" s="2" t="s">
        <v>5215</v>
      </c>
      <c r="C1337" s="3" t="s">
        <v>5216</v>
      </c>
      <c r="D1337" s="2">
        <v>1.0028027568273113E-4</v>
      </c>
      <c r="E1337" s="8" t="s">
        <v>5217</v>
      </c>
      <c r="F1337" s="9" t="s">
        <v>15</v>
      </c>
      <c r="G1337" s="9" t="s">
        <v>16</v>
      </c>
      <c r="H1337" s="9" t="s">
        <v>16</v>
      </c>
      <c r="I1337" s="9"/>
      <c r="J1337" s="9"/>
      <c r="K1337" s="9"/>
    </row>
    <row r="1338" hidden="1">
      <c r="A1338" s="3" t="s">
        <v>5218</v>
      </c>
      <c r="B1338" s="2" t="s">
        <v>5219</v>
      </c>
      <c r="C1338" s="3" t="s">
        <v>5220</v>
      </c>
      <c r="D1338" s="2">
        <v>1.0028027568273113E-4</v>
      </c>
      <c r="E1338" s="8" t="s">
        <v>5221</v>
      </c>
      <c r="F1338" s="9" t="s">
        <v>15</v>
      </c>
      <c r="G1338" s="9" t="s">
        <v>16</v>
      </c>
      <c r="H1338" s="9" t="s">
        <v>16</v>
      </c>
      <c r="I1338" s="9"/>
      <c r="J1338" s="9"/>
      <c r="K1338" s="9"/>
    </row>
    <row r="1339" hidden="1">
      <c r="A1339" s="3" t="s">
        <v>5222</v>
      </c>
      <c r="B1339" s="2" t="s">
        <v>5223</v>
      </c>
      <c r="C1339" s="3" t="s">
        <v>5224</v>
      </c>
      <c r="D1339" s="2">
        <v>1.0028027568273113E-4</v>
      </c>
      <c r="E1339" s="8" t="s">
        <v>5225</v>
      </c>
      <c r="F1339" s="9" t="s">
        <v>15</v>
      </c>
      <c r="G1339" s="9" t="s">
        <v>16</v>
      </c>
      <c r="H1339" s="9" t="s">
        <v>16</v>
      </c>
      <c r="I1339" s="9"/>
      <c r="J1339" s="9"/>
      <c r="K1339" s="9"/>
    </row>
    <row r="1340" hidden="1">
      <c r="A1340" s="3" t="s">
        <v>5226</v>
      </c>
      <c r="B1340" s="2" t="s">
        <v>5227</v>
      </c>
      <c r="C1340" s="3" t="s">
        <v>5228</v>
      </c>
      <c r="D1340" s="2">
        <v>1.0028027568273113E-4</v>
      </c>
      <c r="E1340" s="8" t="s">
        <v>3108</v>
      </c>
      <c r="F1340" s="9" t="s">
        <v>15</v>
      </c>
      <c r="G1340" s="9" t="s">
        <v>16</v>
      </c>
      <c r="H1340" s="9" t="s">
        <v>16</v>
      </c>
      <c r="I1340" s="9"/>
      <c r="J1340" s="9"/>
      <c r="K1340" s="9"/>
    </row>
    <row r="1341" hidden="1">
      <c r="A1341" s="3" t="s">
        <v>5229</v>
      </c>
      <c r="B1341" s="2" t="s">
        <v>5230</v>
      </c>
      <c r="C1341" s="3" t="s">
        <v>5231</v>
      </c>
      <c r="D1341" s="2">
        <v>1.0028027568273113E-4</v>
      </c>
      <c r="E1341" s="8" t="s">
        <v>5232</v>
      </c>
      <c r="F1341" s="9" t="s">
        <v>15</v>
      </c>
      <c r="G1341" s="9" t="s">
        <v>16</v>
      </c>
      <c r="H1341" s="9" t="s">
        <v>16</v>
      </c>
      <c r="I1341" s="9"/>
      <c r="J1341" s="9"/>
      <c r="K1341" s="9"/>
    </row>
    <row r="1342" hidden="1">
      <c r="A1342" s="3" t="s">
        <v>5233</v>
      </c>
      <c r="B1342" s="2" t="s">
        <v>5234</v>
      </c>
      <c r="C1342" s="3" t="s">
        <v>5235</v>
      </c>
      <c r="D1342" s="2">
        <v>1.0028027568273113E-4</v>
      </c>
      <c r="E1342" s="8" t="s">
        <v>5236</v>
      </c>
      <c r="F1342" s="9" t="s">
        <v>15</v>
      </c>
      <c r="G1342" s="9" t="s">
        <v>16</v>
      </c>
      <c r="H1342" s="9" t="s">
        <v>16</v>
      </c>
      <c r="I1342" s="9"/>
      <c r="J1342" s="9"/>
      <c r="K1342" s="9"/>
    </row>
    <row r="1343" hidden="1">
      <c r="A1343" s="3" t="s">
        <v>5237</v>
      </c>
      <c r="B1343" s="2" t="s">
        <v>5238</v>
      </c>
      <c r="C1343" s="3" t="s">
        <v>5239</v>
      </c>
      <c r="D1343" s="2">
        <v>1.0028027568273113E-4</v>
      </c>
      <c r="E1343" s="8" t="s">
        <v>5240</v>
      </c>
      <c r="F1343" s="9" t="s">
        <v>15</v>
      </c>
      <c r="G1343" s="9" t="s">
        <v>16</v>
      </c>
      <c r="H1343" s="9" t="s">
        <v>16</v>
      </c>
      <c r="I1343" s="9"/>
      <c r="J1343" s="9"/>
      <c r="K1343" s="9"/>
    </row>
    <row r="1344" hidden="1">
      <c r="A1344" s="3" t="s">
        <v>5241</v>
      </c>
      <c r="B1344" s="2" t="s">
        <v>5242</v>
      </c>
      <c r="C1344" s="3" t="s">
        <v>5243</v>
      </c>
      <c r="D1344" s="2">
        <v>1.0028027568273113E-4</v>
      </c>
      <c r="E1344" s="8" t="s">
        <v>5244</v>
      </c>
      <c r="F1344" s="9" t="s">
        <v>15</v>
      </c>
      <c r="G1344" s="9" t="s">
        <v>16</v>
      </c>
      <c r="H1344" s="9" t="s">
        <v>16</v>
      </c>
      <c r="I1344" s="9"/>
      <c r="J1344" s="9"/>
      <c r="K1344" s="9"/>
    </row>
    <row r="1345" hidden="1">
      <c r="A1345" s="3" t="s">
        <v>5245</v>
      </c>
      <c r="B1345" s="2" t="s">
        <v>5246</v>
      </c>
      <c r="C1345" s="3" t="s">
        <v>5247</v>
      </c>
      <c r="D1345" s="2">
        <v>1.0028027568273113E-4</v>
      </c>
      <c r="E1345" s="8" t="s">
        <v>5248</v>
      </c>
      <c r="F1345" s="9" t="s">
        <v>15</v>
      </c>
      <c r="G1345" s="9" t="s">
        <v>16</v>
      </c>
      <c r="H1345" s="9" t="s">
        <v>16</v>
      </c>
      <c r="I1345" s="9"/>
      <c r="J1345" s="9"/>
      <c r="K1345" s="9"/>
    </row>
    <row r="1346" hidden="1">
      <c r="A1346" s="3" t="s">
        <v>5249</v>
      </c>
      <c r="B1346" s="2" t="s">
        <v>5250</v>
      </c>
      <c r="C1346" s="3" t="s">
        <v>5251</v>
      </c>
      <c r="D1346" s="2">
        <v>1.0028027568273113E-4</v>
      </c>
      <c r="E1346" s="8" t="s">
        <v>5252</v>
      </c>
      <c r="F1346" s="9" t="s">
        <v>15</v>
      </c>
      <c r="G1346" s="9" t="s">
        <v>16</v>
      </c>
      <c r="H1346" s="9" t="s">
        <v>16</v>
      </c>
      <c r="I1346" s="9"/>
      <c r="J1346" s="9"/>
      <c r="K1346" s="9"/>
    </row>
    <row r="1347" hidden="1">
      <c r="A1347" s="3" t="s">
        <v>5253</v>
      </c>
      <c r="B1347" s="2" t="s">
        <v>5254</v>
      </c>
      <c r="C1347" s="3" t="s">
        <v>5255</v>
      </c>
      <c r="D1347" s="2">
        <v>1.0028027568273113E-4</v>
      </c>
      <c r="E1347" s="8" t="s">
        <v>4752</v>
      </c>
      <c r="F1347" s="9" t="s">
        <v>15</v>
      </c>
      <c r="G1347" s="9" t="s">
        <v>16</v>
      </c>
      <c r="H1347" s="9" t="s">
        <v>16</v>
      </c>
      <c r="I1347" s="9"/>
      <c r="J1347" s="9"/>
      <c r="K1347" s="9"/>
    </row>
    <row r="1348" hidden="1">
      <c r="A1348" s="3" t="s">
        <v>5256</v>
      </c>
      <c r="B1348" s="2" t="s">
        <v>5257</v>
      </c>
      <c r="C1348" s="3" t="s">
        <v>5258</v>
      </c>
      <c r="D1348" s="2">
        <v>1.0028027568273113E-4</v>
      </c>
      <c r="E1348" s="8" t="s">
        <v>5259</v>
      </c>
      <c r="F1348" s="9" t="s">
        <v>15</v>
      </c>
      <c r="G1348" s="9" t="s">
        <v>16</v>
      </c>
      <c r="H1348" s="9" t="s">
        <v>16</v>
      </c>
      <c r="I1348" s="9"/>
      <c r="J1348" s="9"/>
      <c r="K1348" s="9"/>
    </row>
    <row r="1349" hidden="1">
      <c r="A1349" s="3" t="s">
        <v>5260</v>
      </c>
      <c r="B1349" s="2" t="s">
        <v>5261</v>
      </c>
      <c r="C1349" s="3" t="s">
        <v>5262</v>
      </c>
      <c r="D1349" s="2">
        <v>1.0028027568273113E-4</v>
      </c>
      <c r="E1349" s="8" t="s">
        <v>5263</v>
      </c>
      <c r="F1349" s="9" t="s">
        <v>15</v>
      </c>
      <c r="G1349" s="9" t="s">
        <v>16</v>
      </c>
      <c r="H1349" s="9" t="s">
        <v>16</v>
      </c>
      <c r="I1349" s="9"/>
      <c r="J1349" s="9"/>
      <c r="K1349" s="9"/>
    </row>
    <row r="1350" hidden="1">
      <c r="A1350" s="3" t="s">
        <v>5264</v>
      </c>
      <c r="B1350" s="2" t="s">
        <v>5265</v>
      </c>
      <c r="C1350" s="3" t="s">
        <v>5266</v>
      </c>
      <c r="D1350" s="2">
        <v>1.0028027568273113E-4</v>
      </c>
      <c r="E1350" s="8" t="s">
        <v>5267</v>
      </c>
      <c r="F1350" s="9" t="s">
        <v>15</v>
      </c>
      <c r="G1350" s="9" t="s">
        <v>16</v>
      </c>
      <c r="H1350" s="9" t="s">
        <v>16</v>
      </c>
      <c r="I1350" s="9"/>
      <c r="J1350" s="9"/>
      <c r="K1350" s="9"/>
    </row>
    <row r="1351" hidden="1">
      <c r="A1351" s="3" t="s">
        <v>5268</v>
      </c>
      <c r="B1351" s="2" t="s">
        <v>5269</v>
      </c>
      <c r="C1351" s="3" t="s">
        <v>5270</v>
      </c>
      <c r="D1351" s="2">
        <v>1.0028027568273113E-4</v>
      </c>
      <c r="E1351" s="8" t="s">
        <v>5271</v>
      </c>
      <c r="F1351" s="9" t="s">
        <v>15</v>
      </c>
      <c r="G1351" s="9" t="s">
        <v>16</v>
      </c>
      <c r="H1351" s="9" t="s">
        <v>16</v>
      </c>
      <c r="I1351" s="9"/>
      <c r="J1351" s="9"/>
      <c r="K1351" s="9"/>
    </row>
    <row r="1352" hidden="1">
      <c r="A1352" s="3" t="s">
        <v>5272</v>
      </c>
      <c r="B1352" s="2" t="s">
        <v>5273</v>
      </c>
      <c r="C1352" s="3"/>
      <c r="D1352" s="2">
        <v>1.0028027568273113E-4</v>
      </c>
      <c r="E1352" s="8" t="s">
        <v>5274</v>
      </c>
      <c r="F1352" s="9" t="s">
        <v>15</v>
      </c>
      <c r="G1352" s="9" t="s">
        <v>16</v>
      </c>
      <c r="H1352" s="9" t="s">
        <v>16</v>
      </c>
      <c r="I1352" s="9"/>
      <c r="J1352" s="9"/>
      <c r="K1352" s="9"/>
    </row>
    <row r="1353" hidden="1">
      <c r="A1353" s="3" t="s">
        <v>5275</v>
      </c>
      <c r="B1353" s="2" t="s">
        <v>5276</v>
      </c>
      <c r="C1353" s="3" t="s">
        <v>5277</v>
      </c>
      <c r="D1353" s="2">
        <v>1.0028027568273113E-4</v>
      </c>
      <c r="E1353" s="8" t="s">
        <v>5278</v>
      </c>
      <c r="F1353" s="9" t="s">
        <v>15</v>
      </c>
      <c r="G1353" s="9" t="s">
        <v>16</v>
      </c>
      <c r="H1353" s="9" t="s">
        <v>16</v>
      </c>
      <c r="I1353" s="9"/>
      <c r="J1353" s="9"/>
      <c r="K1353" s="9"/>
    </row>
    <row r="1354" hidden="1">
      <c r="A1354" s="3" t="s">
        <v>5279</v>
      </c>
      <c r="B1354" s="2" t="s">
        <v>5280</v>
      </c>
      <c r="C1354" s="3" t="s">
        <v>5281</v>
      </c>
      <c r="D1354" s="2">
        <v>1.0028027568273113E-4</v>
      </c>
      <c r="E1354" s="8" t="s">
        <v>5282</v>
      </c>
      <c r="F1354" s="9" t="s">
        <v>15</v>
      </c>
      <c r="G1354" s="9" t="s">
        <v>16</v>
      </c>
      <c r="H1354" s="9" t="s">
        <v>16</v>
      </c>
      <c r="I1354" s="9"/>
      <c r="J1354" s="9"/>
      <c r="K1354" s="9"/>
    </row>
    <row r="1355" hidden="1">
      <c r="A1355" s="3" t="s">
        <v>5283</v>
      </c>
      <c r="B1355" s="2" t="s">
        <v>5284</v>
      </c>
      <c r="C1355" s="3" t="s">
        <v>5285</v>
      </c>
      <c r="D1355" s="2">
        <v>1.0028027568273113E-4</v>
      </c>
      <c r="E1355" s="8" t="s">
        <v>5286</v>
      </c>
      <c r="F1355" s="9" t="s">
        <v>15</v>
      </c>
      <c r="G1355" s="9" t="s">
        <v>16</v>
      </c>
      <c r="H1355" s="9" t="s">
        <v>16</v>
      </c>
      <c r="I1355" s="9"/>
      <c r="J1355" s="9"/>
      <c r="K1355" s="9"/>
    </row>
    <row r="1356" hidden="1">
      <c r="A1356" s="3" t="s">
        <v>5287</v>
      </c>
      <c r="B1356" s="2" t="s">
        <v>5288</v>
      </c>
      <c r="C1356" s="3" t="s">
        <v>5289</v>
      </c>
      <c r="D1356" s="2">
        <v>1.0028027568273113E-4</v>
      </c>
      <c r="E1356" s="8" t="s">
        <v>5290</v>
      </c>
      <c r="F1356" s="9" t="s">
        <v>15</v>
      </c>
      <c r="G1356" s="9" t="s">
        <v>16</v>
      </c>
      <c r="H1356" s="9" t="s">
        <v>16</v>
      </c>
      <c r="I1356" s="9"/>
      <c r="J1356" s="9"/>
      <c r="K1356" s="9"/>
    </row>
    <row r="1357" hidden="1">
      <c r="A1357" s="3" t="s">
        <v>5291</v>
      </c>
      <c r="B1357" s="2" t="s">
        <v>5292</v>
      </c>
      <c r="C1357" s="3"/>
      <c r="D1357" s="2">
        <v>1.0028027568273113E-4</v>
      </c>
      <c r="E1357" s="8" t="s">
        <v>5293</v>
      </c>
      <c r="F1357" s="9" t="s">
        <v>15</v>
      </c>
      <c r="G1357" s="9" t="s">
        <v>16</v>
      </c>
      <c r="H1357" s="9" t="s">
        <v>16</v>
      </c>
      <c r="I1357" s="9"/>
      <c r="J1357" s="9"/>
      <c r="K1357" s="9"/>
    </row>
    <row r="1358" hidden="1">
      <c r="A1358" s="3" t="s">
        <v>5294</v>
      </c>
      <c r="B1358" s="2" t="s">
        <v>5295</v>
      </c>
      <c r="C1358" s="3" t="s">
        <v>5296</v>
      </c>
      <c r="D1358" s="2">
        <v>1.0028027568273113E-4</v>
      </c>
      <c r="E1358" s="8" t="s">
        <v>5297</v>
      </c>
      <c r="F1358" s="9" t="s">
        <v>15</v>
      </c>
      <c r="G1358" s="9" t="s">
        <v>16</v>
      </c>
      <c r="H1358" s="9" t="s">
        <v>16</v>
      </c>
      <c r="I1358" s="9"/>
      <c r="J1358" s="9"/>
      <c r="K1358" s="9"/>
    </row>
    <row r="1359" hidden="1">
      <c r="A1359" s="3" t="s">
        <v>5298</v>
      </c>
      <c r="B1359" s="2" t="s">
        <v>5299</v>
      </c>
      <c r="C1359" s="3" t="s">
        <v>5300</v>
      </c>
      <c r="D1359" s="2">
        <v>1.0028027568273113E-4</v>
      </c>
      <c r="E1359" s="8" t="s">
        <v>5301</v>
      </c>
      <c r="F1359" s="9" t="s">
        <v>15</v>
      </c>
      <c r="G1359" s="9" t="s">
        <v>16</v>
      </c>
      <c r="H1359" s="9" t="s">
        <v>16</v>
      </c>
      <c r="I1359" s="9"/>
      <c r="J1359" s="9"/>
      <c r="K1359" s="9"/>
    </row>
    <row r="1360" hidden="1">
      <c r="A1360" s="3" t="s">
        <v>5302</v>
      </c>
      <c r="B1360" s="2" t="s">
        <v>5303</v>
      </c>
      <c r="C1360" s="3" t="s">
        <v>5304</v>
      </c>
      <c r="D1360" s="2">
        <v>1.0028027568273113E-4</v>
      </c>
      <c r="E1360" s="8" t="s">
        <v>5305</v>
      </c>
      <c r="F1360" s="9" t="s">
        <v>15</v>
      </c>
      <c r="G1360" s="9" t="s">
        <v>16</v>
      </c>
      <c r="H1360" s="9" t="s">
        <v>16</v>
      </c>
      <c r="I1360" s="9"/>
      <c r="J1360" s="9"/>
      <c r="K1360" s="9"/>
    </row>
    <row r="1361" hidden="1">
      <c r="A1361" s="3" t="s">
        <v>5306</v>
      </c>
      <c r="B1361" s="2" t="s">
        <v>5307</v>
      </c>
      <c r="C1361" s="3" t="s">
        <v>5308</v>
      </c>
      <c r="D1361" s="2">
        <v>1.0028027568273113E-4</v>
      </c>
      <c r="E1361" s="8" t="s">
        <v>5309</v>
      </c>
      <c r="F1361" s="9" t="s">
        <v>15</v>
      </c>
      <c r="G1361" s="9" t="s">
        <v>16</v>
      </c>
      <c r="H1361" s="9" t="s">
        <v>16</v>
      </c>
      <c r="I1361" s="9"/>
      <c r="J1361" s="9"/>
      <c r="K1361" s="9"/>
    </row>
    <row r="1362" hidden="1">
      <c r="A1362" s="3" t="s">
        <v>5310</v>
      </c>
      <c r="B1362" s="2" t="s">
        <v>5311</v>
      </c>
      <c r="C1362" s="3" t="s">
        <v>5312</v>
      </c>
      <c r="D1362" s="2">
        <v>1.0028027568273113E-4</v>
      </c>
      <c r="E1362" s="8" t="s">
        <v>5313</v>
      </c>
      <c r="F1362" s="9" t="s">
        <v>15</v>
      </c>
      <c r="G1362" s="9" t="s">
        <v>16</v>
      </c>
      <c r="H1362" s="9" t="s">
        <v>16</v>
      </c>
      <c r="I1362" s="9"/>
      <c r="J1362" s="9"/>
      <c r="K1362" s="9"/>
    </row>
    <row r="1363" hidden="1">
      <c r="A1363" s="3" t="s">
        <v>5314</v>
      </c>
      <c r="B1363" s="2" t="s">
        <v>5315</v>
      </c>
      <c r="C1363" s="3" t="s">
        <v>5316</v>
      </c>
      <c r="D1363" s="2">
        <v>1.0028027568273113E-4</v>
      </c>
      <c r="E1363" s="8" t="s">
        <v>5317</v>
      </c>
      <c r="F1363" s="9" t="s">
        <v>15</v>
      </c>
      <c r="G1363" s="9" t="s">
        <v>16</v>
      </c>
      <c r="H1363" s="9" t="s">
        <v>16</v>
      </c>
      <c r="I1363" s="9"/>
      <c r="J1363" s="9"/>
      <c r="K1363" s="9"/>
    </row>
    <row r="1364" hidden="1">
      <c r="A1364" s="3" t="s">
        <v>5318</v>
      </c>
      <c r="B1364" s="2" t="s">
        <v>5319</v>
      </c>
      <c r="C1364" s="3" t="s">
        <v>5320</v>
      </c>
      <c r="D1364" s="2">
        <v>1.0028027568273113E-4</v>
      </c>
      <c r="E1364" s="8" t="s">
        <v>5321</v>
      </c>
      <c r="F1364" s="9" t="s">
        <v>15</v>
      </c>
      <c r="G1364" s="9" t="s">
        <v>16</v>
      </c>
      <c r="H1364" s="9" t="s">
        <v>16</v>
      </c>
      <c r="I1364" s="9"/>
      <c r="J1364" s="9"/>
      <c r="K1364" s="9"/>
    </row>
    <row r="1365" hidden="1">
      <c r="A1365" s="3" t="s">
        <v>5322</v>
      </c>
      <c r="B1365" s="2" t="s">
        <v>5323</v>
      </c>
      <c r="C1365" s="3" t="s">
        <v>5324</v>
      </c>
      <c r="D1365" s="2">
        <v>1.0028027568273113E-4</v>
      </c>
      <c r="E1365" s="8" t="s">
        <v>341</v>
      </c>
      <c r="F1365" s="9" t="s">
        <v>15</v>
      </c>
      <c r="G1365" s="9" t="s">
        <v>16</v>
      </c>
      <c r="H1365" s="9" t="s">
        <v>16</v>
      </c>
      <c r="I1365" s="9"/>
      <c r="J1365" s="9"/>
      <c r="K1365" s="9"/>
    </row>
    <row r="1366" hidden="1">
      <c r="A1366" s="3" t="s">
        <v>5325</v>
      </c>
      <c r="B1366" s="2" t="s">
        <v>5326</v>
      </c>
      <c r="C1366" s="3"/>
      <c r="D1366" s="2">
        <v>1.0028027568273113E-4</v>
      </c>
      <c r="E1366" s="8" t="s">
        <v>5327</v>
      </c>
      <c r="F1366" s="9" t="s">
        <v>15</v>
      </c>
      <c r="G1366" s="9" t="s">
        <v>16</v>
      </c>
      <c r="H1366" s="9" t="s">
        <v>16</v>
      </c>
      <c r="I1366" s="9"/>
      <c r="J1366" s="9"/>
      <c r="K1366" s="9"/>
    </row>
    <row r="1367" hidden="1">
      <c r="A1367" s="3" t="s">
        <v>5328</v>
      </c>
      <c r="B1367" s="2" t="s">
        <v>5329</v>
      </c>
      <c r="C1367" s="3" t="s">
        <v>5330</v>
      </c>
      <c r="D1367" s="2">
        <v>1.0028027568273113E-4</v>
      </c>
      <c r="E1367" s="8" t="s">
        <v>158</v>
      </c>
      <c r="F1367" s="9" t="s">
        <v>15</v>
      </c>
      <c r="G1367" s="9" t="s">
        <v>16</v>
      </c>
      <c r="H1367" s="9" t="s">
        <v>16</v>
      </c>
      <c r="I1367" s="9"/>
      <c r="J1367" s="9"/>
      <c r="K1367" s="9"/>
    </row>
    <row r="1368" hidden="1">
      <c r="A1368" s="3" t="s">
        <v>5331</v>
      </c>
      <c r="B1368" s="2" t="s">
        <v>5332</v>
      </c>
      <c r="C1368" s="3" t="s">
        <v>5333</v>
      </c>
      <c r="D1368" s="2">
        <v>1.0028027568273113E-4</v>
      </c>
      <c r="E1368" s="8" t="s">
        <v>5334</v>
      </c>
      <c r="F1368" s="9" t="s">
        <v>15</v>
      </c>
      <c r="G1368" s="9" t="s">
        <v>16</v>
      </c>
      <c r="H1368" s="9" t="s">
        <v>16</v>
      </c>
      <c r="I1368" s="9"/>
      <c r="J1368" s="9"/>
      <c r="K1368" s="9"/>
    </row>
    <row r="1369" hidden="1">
      <c r="A1369" s="3" t="s">
        <v>5335</v>
      </c>
      <c r="B1369" s="2" t="s">
        <v>5336</v>
      </c>
      <c r="C1369" s="3"/>
      <c r="D1369" s="2">
        <v>1.0028027568273113E-4</v>
      </c>
      <c r="E1369" s="8" t="s">
        <v>3240</v>
      </c>
      <c r="F1369" s="9" t="s">
        <v>15</v>
      </c>
      <c r="G1369" s="9" t="s">
        <v>16</v>
      </c>
      <c r="H1369" s="9" t="s">
        <v>16</v>
      </c>
      <c r="I1369" s="9"/>
      <c r="J1369" s="9"/>
      <c r="K1369" s="9"/>
    </row>
    <row r="1370" hidden="1">
      <c r="A1370" s="3" t="s">
        <v>5337</v>
      </c>
      <c r="B1370" s="2" t="s">
        <v>5338</v>
      </c>
      <c r="C1370" s="3" t="s">
        <v>5339</v>
      </c>
      <c r="D1370" s="2">
        <v>1.0028027568273113E-4</v>
      </c>
      <c r="E1370" s="8" t="s">
        <v>4081</v>
      </c>
      <c r="F1370" s="9" t="s">
        <v>15</v>
      </c>
      <c r="G1370" s="9" t="s">
        <v>16</v>
      </c>
      <c r="H1370" s="9" t="s">
        <v>16</v>
      </c>
      <c r="I1370" s="9"/>
      <c r="J1370" s="9"/>
      <c r="K1370" s="9"/>
    </row>
    <row r="1371" hidden="1">
      <c r="A1371" s="3" t="s">
        <v>5340</v>
      </c>
      <c r="B1371" s="2" t="s">
        <v>5341</v>
      </c>
      <c r="C1371" s="3"/>
      <c r="D1371" s="2">
        <v>1.0028027568273113E-4</v>
      </c>
      <c r="E1371" s="8" t="s">
        <v>5342</v>
      </c>
      <c r="F1371" s="9" t="s">
        <v>15</v>
      </c>
      <c r="G1371" s="9" t="s">
        <v>16</v>
      </c>
      <c r="H1371" s="9" t="s">
        <v>16</v>
      </c>
      <c r="I1371" s="9"/>
      <c r="J1371" s="9"/>
      <c r="K1371" s="9"/>
    </row>
    <row r="1372" hidden="1">
      <c r="A1372" s="3" t="s">
        <v>5343</v>
      </c>
      <c r="B1372" s="2" t="s">
        <v>5344</v>
      </c>
      <c r="C1372" s="3" t="s">
        <v>5345</v>
      </c>
      <c r="D1372" s="2">
        <v>1.0028027568273113E-4</v>
      </c>
      <c r="E1372" s="8" t="s">
        <v>5346</v>
      </c>
      <c r="F1372" s="9" t="s">
        <v>15</v>
      </c>
      <c r="G1372" s="9" t="s">
        <v>16</v>
      </c>
      <c r="H1372" s="9" t="s">
        <v>16</v>
      </c>
      <c r="I1372" s="9"/>
      <c r="J1372" s="9"/>
      <c r="K1372" s="9"/>
    </row>
    <row r="1373" hidden="1">
      <c r="A1373" s="3" t="s">
        <v>5347</v>
      </c>
      <c r="B1373" s="2" t="s">
        <v>5348</v>
      </c>
      <c r="C1373" s="3" t="s">
        <v>5349</v>
      </c>
      <c r="D1373" s="2">
        <v>1.0028027568273113E-4</v>
      </c>
      <c r="E1373" s="8" t="s">
        <v>5350</v>
      </c>
      <c r="F1373" s="9" t="s">
        <v>15</v>
      </c>
      <c r="G1373" s="9" t="s">
        <v>16</v>
      </c>
      <c r="H1373" s="9" t="s">
        <v>16</v>
      </c>
      <c r="I1373" s="9"/>
      <c r="J1373" s="9"/>
      <c r="K1373" s="9"/>
    </row>
    <row r="1374" hidden="1">
      <c r="A1374" s="3" t="s">
        <v>5351</v>
      </c>
      <c r="B1374" s="2" t="s">
        <v>5352</v>
      </c>
      <c r="C1374" s="3" t="s">
        <v>5353</v>
      </c>
      <c r="D1374" s="2">
        <v>1.0028027568273113E-4</v>
      </c>
      <c r="E1374" s="8" t="s">
        <v>5354</v>
      </c>
      <c r="F1374" s="9" t="s">
        <v>15</v>
      </c>
      <c r="G1374" s="9" t="s">
        <v>16</v>
      </c>
      <c r="H1374" s="9" t="s">
        <v>16</v>
      </c>
      <c r="I1374" s="9"/>
      <c r="J1374" s="9"/>
      <c r="K1374" s="9"/>
    </row>
    <row r="1375" hidden="1">
      <c r="A1375" s="3" t="s">
        <v>5355</v>
      </c>
      <c r="B1375" s="2" t="s">
        <v>5356</v>
      </c>
      <c r="C1375" s="3" t="s">
        <v>5357</v>
      </c>
      <c r="D1375" s="2">
        <v>1.0028027568273113E-4</v>
      </c>
      <c r="E1375" s="8" t="s">
        <v>5358</v>
      </c>
      <c r="F1375" s="9" t="s">
        <v>15</v>
      </c>
      <c r="G1375" s="9" t="s">
        <v>16</v>
      </c>
      <c r="H1375" s="9" t="s">
        <v>16</v>
      </c>
      <c r="I1375" s="9"/>
      <c r="J1375" s="9"/>
      <c r="K1375" s="9"/>
    </row>
    <row r="1376" hidden="1">
      <c r="A1376" s="3" t="s">
        <v>5359</v>
      </c>
      <c r="B1376" s="2" t="s">
        <v>5360</v>
      </c>
      <c r="C1376" s="3" t="s">
        <v>5361</v>
      </c>
      <c r="D1376" s="2">
        <v>1.0028027568273113E-4</v>
      </c>
      <c r="E1376" s="8" t="s">
        <v>5362</v>
      </c>
      <c r="F1376" s="9" t="s">
        <v>15</v>
      </c>
      <c r="G1376" s="9" t="s">
        <v>16</v>
      </c>
      <c r="H1376" s="9" t="s">
        <v>16</v>
      </c>
      <c r="I1376" s="9"/>
      <c r="J1376" s="9"/>
      <c r="K1376" s="9"/>
    </row>
    <row r="1377" hidden="1">
      <c r="A1377" s="3" t="s">
        <v>5363</v>
      </c>
      <c r="B1377" s="2" t="s">
        <v>5364</v>
      </c>
      <c r="C1377" s="3" t="s">
        <v>5365</v>
      </c>
      <c r="D1377" s="2">
        <v>1.0028027568273113E-4</v>
      </c>
      <c r="E1377" s="8" t="s">
        <v>5366</v>
      </c>
      <c r="F1377" s="9" t="s">
        <v>15</v>
      </c>
      <c r="G1377" s="9" t="s">
        <v>16</v>
      </c>
      <c r="H1377" s="9" t="s">
        <v>16</v>
      </c>
      <c r="I1377" s="9"/>
      <c r="J1377" s="9"/>
      <c r="K1377" s="9"/>
    </row>
    <row r="1378" hidden="1">
      <c r="A1378" s="3" t="s">
        <v>5367</v>
      </c>
      <c r="B1378" s="2" t="s">
        <v>5368</v>
      </c>
      <c r="C1378" s="3" t="s">
        <v>5369</v>
      </c>
      <c r="D1378" s="2">
        <v>1.0028027568273113E-4</v>
      </c>
      <c r="E1378" s="8" t="s">
        <v>5370</v>
      </c>
      <c r="F1378" s="9" t="s">
        <v>15</v>
      </c>
      <c r="G1378" s="9" t="s">
        <v>16</v>
      </c>
      <c r="H1378" s="9" t="s">
        <v>16</v>
      </c>
      <c r="I1378" s="9"/>
      <c r="J1378" s="9"/>
      <c r="K1378" s="9"/>
    </row>
    <row r="1379" hidden="1">
      <c r="A1379" s="3" t="s">
        <v>5371</v>
      </c>
      <c r="B1379" s="2" t="s">
        <v>5372</v>
      </c>
      <c r="C1379" s="3" t="s">
        <v>5373</v>
      </c>
      <c r="D1379" s="2">
        <v>1.0028027568273113E-4</v>
      </c>
      <c r="E1379" s="8" t="s">
        <v>5374</v>
      </c>
      <c r="F1379" s="9" t="s">
        <v>15</v>
      </c>
      <c r="G1379" s="9" t="s">
        <v>16</v>
      </c>
      <c r="H1379" s="9" t="s">
        <v>16</v>
      </c>
      <c r="I1379" s="9"/>
      <c r="J1379" s="9"/>
      <c r="K1379" s="9"/>
    </row>
    <row r="1380" hidden="1">
      <c r="A1380" s="3" t="s">
        <v>5375</v>
      </c>
      <c r="B1380" s="2" t="s">
        <v>5376</v>
      </c>
      <c r="C1380" s="3" t="s">
        <v>5377</v>
      </c>
      <c r="D1380" s="2">
        <v>1.0028027568273113E-4</v>
      </c>
      <c r="E1380" s="8" t="s">
        <v>5378</v>
      </c>
      <c r="F1380" s="9" t="s">
        <v>15</v>
      </c>
      <c r="G1380" s="9" t="s">
        <v>16</v>
      </c>
      <c r="H1380" s="9" t="s">
        <v>16</v>
      </c>
      <c r="I1380" s="9"/>
      <c r="J1380" s="9"/>
      <c r="K1380" s="9"/>
    </row>
    <row r="1381" hidden="1">
      <c r="A1381" s="3" t="s">
        <v>5379</v>
      </c>
      <c r="B1381" s="2" t="s">
        <v>5380</v>
      </c>
      <c r="C1381" s="3" t="s">
        <v>5381</v>
      </c>
      <c r="D1381" s="2">
        <v>1.0028027568273113E-4</v>
      </c>
      <c r="E1381" s="8" t="s">
        <v>5382</v>
      </c>
      <c r="F1381" s="9" t="s">
        <v>15</v>
      </c>
      <c r="G1381" s="9" t="s">
        <v>16</v>
      </c>
      <c r="H1381" s="9" t="s">
        <v>16</v>
      </c>
      <c r="I1381" s="9"/>
      <c r="J1381" s="9"/>
      <c r="K1381" s="9"/>
    </row>
    <row r="1382" hidden="1">
      <c r="A1382" s="3" t="s">
        <v>5383</v>
      </c>
      <c r="B1382" s="2" t="s">
        <v>5384</v>
      </c>
      <c r="C1382" s="3" t="s">
        <v>5385</v>
      </c>
      <c r="D1382" s="2">
        <v>1.0028027568273113E-4</v>
      </c>
      <c r="E1382" s="8" t="s">
        <v>5386</v>
      </c>
      <c r="F1382" s="9" t="s">
        <v>15</v>
      </c>
      <c r="G1382" s="9" t="s">
        <v>16</v>
      </c>
      <c r="H1382" s="9" t="s">
        <v>16</v>
      </c>
      <c r="I1382" s="9"/>
      <c r="J1382" s="9"/>
      <c r="K1382" s="9"/>
    </row>
    <row r="1383" hidden="1">
      <c r="A1383" s="3" t="s">
        <v>5387</v>
      </c>
      <c r="B1383" s="2" t="s">
        <v>5388</v>
      </c>
      <c r="C1383" s="3"/>
      <c r="D1383" s="2">
        <v>1.0028027568273113E-4</v>
      </c>
      <c r="E1383" s="8" t="s">
        <v>5389</v>
      </c>
      <c r="F1383" s="9" t="s">
        <v>15</v>
      </c>
      <c r="G1383" s="9" t="s">
        <v>16</v>
      </c>
      <c r="H1383" s="9" t="s">
        <v>16</v>
      </c>
      <c r="I1383" s="9"/>
      <c r="J1383" s="9"/>
      <c r="K1383" s="9"/>
    </row>
    <row r="1384" hidden="1">
      <c r="A1384" s="3" t="s">
        <v>5390</v>
      </c>
      <c r="B1384" s="2" t="s">
        <v>5391</v>
      </c>
      <c r="C1384" s="3" t="s">
        <v>5392</v>
      </c>
      <c r="D1384" s="2">
        <v>1.0028027568273113E-4</v>
      </c>
      <c r="E1384" s="8" t="s">
        <v>5393</v>
      </c>
      <c r="F1384" s="9" t="s">
        <v>15</v>
      </c>
      <c r="G1384" s="9" t="s">
        <v>16</v>
      </c>
      <c r="H1384" s="9" t="s">
        <v>16</v>
      </c>
      <c r="I1384" s="9"/>
      <c r="J1384" s="9"/>
      <c r="K1384" s="9"/>
    </row>
    <row r="1385" hidden="1">
      <c r="A1385" s="3" t="s">
        <v>5394</v>
      </c>
      <c r="B1385" s="2" t="s">
        <v>5395</v>
      </c>
      <c r="C1385" s="3" t="s">
        <v>5396</v>
      </c>
      <c r="D1385" s="2">
        <v>1.0028027568273113E-4</v>
      </c>
      <c r="E1385" s="8" t="s">
        <v>5397</v>
      </c>
      <c r="F1385" s="9" t="s">
        <v>15</v>
      </c>
      <c r="G1385" s="9" t="s">
        <v>16</v>
      </c>
      <c r="H1385" s="9" t="s">
        <v>16</v>
      </c>
      <c r="I1385" s="9"/>
      <c r="J1385" s="9"/>
      <c r="K1385" s="9"/>
    </row>
    <row r="1386" hidden="1">
      <c r="A1386" s="3" t="s">
        <v>5398</v>
      </c>
      <c r="B1386" s="2" t="s">
        <v>5399</v>
      </c>
      <c r="C1386" s="3" t="s">
        <v>5400</v>
      </c>
      <c r="D1386" s="2">
        <v>1.0028027568273113E-4</v>
      </c>
      <c r="E1386" s="8" t="s">
        <v>4204</v>
      </c>
      <c r="F1386" s="9" t="s">
        <v>15</v>
      </c>
      <c r="G1386" s="9" t="s">
        <v>16</v>
      </c>
      <c r="H1386" s="9" t="s">
        <v>16</v>
      </c>
      <c r="I1386" s="9"/>
      <c r="J1386" s="9"/>
      <c r="K1386" s="9"/>
    </row>
    <row r="1387" hidden="1">
      <c r="A1387" s="3" t="s">
        <v>5401</v>
      </c>
      <c r="B1387" s="2" t="s">
        <v>5402</v>
      </c>
      <c r="C1387" s="3" t="s">
        <v>5403</v>
      </c>
      <c r="D1387" s="2">
        <v>1.0028027568273113E-4</v>
      </c>
      <c r="E1387" s="8" t="s">
        <v>5404</v>
      </c>
      <c r="F1387" s="9" t="s">
        <v>15</v>
      </c>
      <c r="G1387" s="9" t="s">
        <v>16</v>
      </c>
      <c r="H1387" s="9" t="s">
        <v>16</v>
      </c>
      <c r="I1387" s="9"/>
      <c r="J1387" s="9"/>
      <c r="K1387" s="9"/>
    </row>
    <row r="1388" hidden="1">
      <c r="A1388" s="3" t="s">
        <v>5405</v>
      </c>
      <c r="B1388" s="2" t="s">
        <v>5406</v>
      </c>
      <c r="C1388" s="3" t="s">
        <v>5407</v>
      </c>
      <c r="D1388" s="2">
        <v>1.0028027568273113E-4</v>
      </c>
      <c r="E1388" s="8" t="s">
        <v>5408</v>
      </c>
      <c r="F1388" s="9" t="s">
        <v>15</v>
      </c>
      <c r="G1388" s="9" t="s">
        <v>16</v>
      </c>
      <c r="H1388" s="9" t="s">
        <v>16</v>
      </c>
      <c r="I1388" s="9"/>
      <c r="J1388" s="9"/>
      <c r="K1388" s="9"/>
    </row>
    <row r="1389" hidden="1">
      <c r="A1389" s="3" t="s">
        <v>5409</v>
      </c>
      <c r="B1389" s="2" t="s">
        <v>5410</v>
      </c>
      <c r="C1389" s="3" t="s">
        <v>5411</v>
      </c>
      <c r="D1389" s="2">
        <v>1.0028027568273113E-4</v>
      </c>
      <c r="E1389" s="8" t="s">
        <v>5412</v>
      </c>
      <c r="F1389" s="9" t="s">
        <v>15</v>
      </c>
      <c r="G1389" s="9" t="s">
        <v>16</v>
      </c>
      <c r="H1389" s="9" t="s">
        <v>16</v>
      </c>
      <c r="I1389" s="9"/>
      <c r="J1389" s="9"/>
      <c r="K1389" s="9"/>
    </row>
    <row r="1390" hidden="1">
      <c r="A1390" s="3" t="s">
        <v>5413</v>
      </c>
      <c r="B1390" s="2" t="s">
        <v>5414</v>
      </c>
      <c r="C1390" s="3" t="s">
        <v>5415</v>
      </c>
      <c r="D1390" s="2">
        <v>1.0028027568273113E-4</v>
      </c>
      <c r="E1390" s="8" t="s">
        <v>5416</v>
      </c>
      <c r="F1390" s="9" t="s">
        <v>15</v>
      </c>
      <c r="G1390" s="9" t="s">
        <v>16</v>
      </c>
      <c r="H1390" s="9" t="s">
        <v>16</v>
      </c>
      <c r="I1390" s="9"/>
      <c r="J1390" s="9"/>
      <c r="K1390" s="9"/>
    </row>
    <row r="1391" hidden="1">
      <c r="A1391" s="3" t="s">
        <v>5417</v>
      </c>
      <c r="B1391" s="2" t="s">
        <v>5418</v>
      </c>
      <c r="C1391" s="3" t="s">
        <v>5419</v>
      </c>
      <c r="D1391" s="2">
        <v>1.0028027568273113E-4</v>
      </c>
      <c r="E1391" s="8" t="s">
        <v>5420</v>
      </c>
      <c r="F1391" s="9" t="s">
        <v>15</v>
      </c>
      <c r="G1391" s="9" t="s">
        <v>16</v>
      </c>
      <c r="H1391" s="9" t="s">
        <v>16</v>
      </c>
      <c r="I1391" s="9"/>
      <c r="J1391" s="9"/>
      <c r="K1391" s="9"/>
    </row>
    <row r="1392" hidden="1">
      <c r="A1392" s="3" t="s">
        <v>5421</v>
      </c>
      <c r="B1392" s="2" t="s">
        <v>5422</v>
      </c>
      <c r="C1392" s="3" t="s">
        <v>5423</v>
      </c>
      <c r="D1392" s="2">
        <v>1.0028027568273113E-4</v>
      </c>
      <c r="E1392" s="8" t="s">
        <v>5424</v>
      </c>
      <c r="F1392" s="9" t="s">
        <v>15</v>
      </c>
      <c r="G1392" s="9" t="s">
        <v>16</v>
      </c>
      <c r="H1392" s="9" t="s">
        <v>16</v>
      </c>
      <c r="I1392" s="9"/>
      <c r="J1392" s="9"/>
      <c r="K1392" s="9"/>
    </row>
    <row r="1393" hidden="1">
      <c r="A1393" s="3" t="s">
        <v>5425</v>
      </c>
      <c r="B1393" s="2" t="s">
        <v>5426</v>
      </c>
      <c r="C1393" s="3" t="s">
        <v>5427</v>
      </c>
      <c r="D1393" s="2">
        <v>1.0028027568273113E-4</v>
      </c>
      <c r="E1393" s="8" t="s">
        <v>5428</v>
      </c>
      <c r="F1393" s="9" t="s">
        <v>15</v>
      </c>
      <c r="G1393" s="9" t="s">
        <v>16</v>
      </c>
      <c r="H1393" s="9" t="s">
        <v>16</v>
      </c>
      <c r="I1393" s="9"/>
      <c r="J1393" s="9"/>
      <c r="K1393" s="9"/>
    </row>
    <row r="1394" hidden="1">
      <c r="A1394" s="3" t="s">
        <v>5429</v>
      </c>
      <c r="B1394" s="2" t="s">
        <v>5430</v>
      </c>
      <c r="C1394" s="3" t="s">
        <v>5431</v>
      </c>
      <c r="D1394" s="2">
        <v>1.0028027568273113E-4</v>
      </c>
      <c r="E1394" s="8" t="s">
        <v>5432</v>
      </c>
      <c r="F1394" s="9" t="s">
        <v>15</v>
      </c>
      <c r="G1394" s="9" t="s">
        <v>16</v>
      </c>
      <c r="H1394" s="9" t="s">
        <v>16</v>
      </c>
      <c r="I1394" s="9"/>
      <c r="J1394" s="9"/>
      <c r="K1394" s="9"/>
    </row>
    <row r="1395" hidden="1">
      <c r="A1395" s="3" t="s">
        <v>5433</v>
      </c>
      <c r="B1395" s="2" t="s">
        <v>5434</v>
      </c>
      <c r="C1395" s="3"/>
      <c r="D1395" s="2">
        <v>1.0028027568273113E-4</v>
      </c>
      <c r="E1395" s="8" t="s">
        <v>5435</v>
      </c>
      <c r="F1395" s="9" t="s">
        <v>15</v>
      </c>
      <c r="G1395" s="9" t="s">
        <v>16</v>
      </c>
      <c r="H1395" s="9" t="s">
        <v>16</v>
      </c>
      <c r="I1395" s="9"/>
      <c r="J1395" s="9"/>
      <c r="K1395" s="9"/>
    </row>
    <row r="1396" hidden="1">
      <c r="A1396" s="3" t="s">
        <v>5436</v>
      </c>
      <c r="B1396" s="2" t="s">
        <v>5437</v>
      </c>
      <c r="C1396" s="3"/>
      <c r="D1396" s="2">
        <v>1.0028027568273113E-4</v>
      </c>
      <c r="E1396" s="8" t="s">
        <v>5438</v>
      </c>
      <c r="F1396" s="9" t="s">
        <v>15</v>
      </c>
      <c r="G1396" s="9" t="s">
        <v>16</v>
      </c>
      <c r="H1396" s="9" t="s">
        <v>16</v>
      </c>
      <c r="I1396" s="9"/>
      <c r="J1396" s="9"/>
      <c r="K1396" s="9"/>
    </row>
    <row r="1397" hidden="1">
      <c r="A1397" s="3" t="s">
        <v>5439</v>
      </c>
      <c r="B1397" s="2" t="s">
        <v>5440</v>
      </c>
      <c r="C1397" s="3" t="s">
        <v>5441</v>
      </c>
      <c r="D1397" s="2">
        <v>1.0028027568273113E-4</v>
      </c>
      <c r="E1397" s="8" t="s">
        <v>5442</v>
      </c>
      <c r="F1397" s="9" t="s">
        <v>15</v>
      </c>
      <c r="G1397" s="9" t="s">
        <v>16</v>
      </c>
      <c r="H1397" s="9" t="s">
        <v>16</v>
      </c>
      <c r="I1397" s="9"/>
      <c r="J1397" s="9"/>
      <c r="K1397" s="9"/>
    </row>
    <row r="1398" hidden="1">
      <c r="A1398" s="3" t="s">
        <v>5443</v>
      </c>
      <c r="B1398" s="2" t="s">
        <v>5444</v>
      </c>
      <c r="C1398" s="3" t="s">
        <v>5445</v>
      </c>
      <c r="D1398" s="2">
        <v>1.0028027568273113E-4</v>
      </c>
      <c r="E1398" s="8" t="s">
        <v>5446</v>
      </c>
      <c r="F1398" s="9" t="s">
        <v>15</v>
      </c>
      <c r="G1398" s="9" t="s">
        <v>16</v>
      </c>
      <c r="H1398" s="9" t="s">
        <v>16</v>
      </c>
      <c r="I1398" s="9"/>
      <c r="J1398" s="9"/>
      <c r="K1398" s="9"/>
    </row>
    <row r="1399" hidden="1">
      <c r="A1399" s="3" t="s">
        <v>5447</v>
      </c>
      <c r="B1399" s="2" t="s">
        <v>5448</v>
      </c>
      <c r="C1399" s="3" t="s">
        <v>5449</v>
      </c>
      <c r="D1399" s="2">
        <v>1.0028027568273113E-4</v>
      </c>
      <c r="E1399" s="8" t="s">
        <v>5450</v>
      </c>
      <c r="F1399" s="9" t="s">
        <v>15</v>
      </c>
      <c r="G1399" s="9" t="s">
        <v>16</v>
      </c>
      <c r="H1399" s="9" t="s">
        <v>16</v>
      </c>
      <c r="I1399" s="9"/>
      <c r="J1399" s="9"/>
      <c r="K1399" s="9"/>
    </row>
    <row r="1400" hidden="1">
      <c r="A1400" s="3" t="s">
        <v>5451</v>
      </c>
      <c r="B1400" s="2" t="s">
        <v>5452</v>
      </c>
      <c r="C1400" s="3" t="s">
        <v>5453</v>
      </c>
      <c r="D1400" s="2">
        <v>1.0028027568273113E-4</v>
      </c>
      <c r="E1400" s="8" t="s">
        <v>5454</v>
      </c>
      <c r="F1400" s="9" t="s">
        <v>15</v>
      </c>
      <c r="G1400" s="9" t="s">
        <v>16</v>
      </c>
      <c r="H1400" s="9" t="s">
        <v>16</v>
      </c>
      <c r="I1400" s="9"/>
      <c r="J1400" s="9"/>
      <c r="K1400" s="9"/>
    </row>
    <row r="1401" hidden="1">
      <c r="A1401" s="3" t="s">
        <v>5455</v>
      </c>
      <c r="B1401" s="2" t="s">
        <v>5456</v>
      </c>
      <c r="C1401" s="3" t="s">
        <v>5457</v>
      </c>
      <c r="D1401" s="2">
        <v>1.0028027568273113E-4</v>
      </c>
      <c r="E1401" s="8" t="s">
        <v>5458</v>
      </c>
      <c r="F1401" s="9" t="s">
        <v>15</v>
      </c>
      <c r="G1401" s="9" t="s">
        <v>16</v>
      </c>
      <c r="H1401" s="9" t="s">
        <v>16</v>
      </c>
      <c r="I1401" s="9"/>
      <c r="J1401" s="9"/>
      <c r="K1401" s="9"/>
    </row>
    <row r="1402" hidden="1">
      <c r="A1402" s="3" t="s">
        <v>5459</v>
      </c>
      <c r="B1402" s="2" t="s">
        <v>5460</v>
      </c>
      <c r="C1402" s="3" t="s">
        <v>5461</v>
      </c>
      <c r="D1402" s="2">
        <v>1.0028027568273113E-4</v>
      </c>
      <c r="E1402" s="8" t="s">
        <v>5462</v>
      </c>
      <c r="F1402" s="9" t="s">
        <v>15</v>
      </c>
      <c r="G1402" s="9" t="s">
        <v>16</v>
      </c>
      <c r="H1402" s="9" t="s">
        <v>16</v>
      </c>
      <c r="I1402" s="9"/>
      <c r="J1402" s="9"/>
      <c r="K1402" s="9"/>
    </row>
    <row r="1403" hidden="1">
      <c r="A1403" s="3" t="s">
        <v>5463</v>
      </c>
      <c r="B1403" s="2" t="s">
        <v>5464</v>
      </c>
      <c r="C1403" s="3" t="s">
        <v>5465</v>
      </c>
      <c r="D1403" s="2">
        <v>1.0028027568273113E-4</v>
      </c>
      <c r="E1403" s="8" t="s">
        <v>5466</v>
      </c>
      <c r="F1403" s="9" t="s">
        <v>15</v>
      </c>
      <c r="G1403" s="9" t="s">
        <v>16</v>
      </c>
      <c r="H1403" s="9" t="s">
        <v>16</v>
      </c>
      <c r="I1403" s="9"/>
      <c r="J1403" s="9"/>
      <c r="K1403" s="9"/>
    </row>
    <row r="1404" hidden="1">
      <c r="A1404" s="3" t="s">
        <v>5467</v>
      </c>
      <c r="B1404" s="2" t="s">
        <v>5468</v>
      </c>
      <c r="C1404" s="3" t="s">
        <v>5469</v>
      </c>
      <c r="D1404" s="2">
        <v>1.0028027568273113E-4</v>
      </c>
      <c r="E1404" s="8" t="s">
        <v>5470</v>
      </c>
      <c r="F1404" s="9" t="s">
        <v>15</v>
      </c>
      <c r="G1404" s="9" t="s">
        <v>16</v>
      </c>
      <c r="H1404" s="9" t="s">
        <v>16</v>
      </c>
      <c r="I1404" s="9"/>
      <c r="J1404" s="9"/>
      <c r="K1404" s="9"/>
    </row>
    <row r="1405" hidden="1">
      <c r="A1405" s="3" t="s">
        <v>5471</v>
      </c>
      <c r="B1405" s="2" t="s">
        <v>5472</v>
      </c>
      <c r="C1405" s="3" t="s">
        <v>5473</v>
      </c>
      <c r="D1405" s="2">
        <v>1.0028027568273113E-4</v>
      </c>
      <c r="E1405" s="8" t="s">
        <v>1968</v>
      </c>
      <c r="F1405" s="9" t="s">
        <v>15</v>
      </c>
      <c r="G1405" s="9" t="s">
        <v>16</v>
      </c>
      <c r="H1405" s="9" t="s">
        <v>16</v>
      </c>
      <c r="I1405" s="9"/>
      <c r="J1405" s="9"/>
      <c r="K1405" s="9"/>
    </row>
    <row r="1406" hidden="1">
      <c r="A1406" s="3" t="s">
        <v>1092</v>
      </c>
      <c r="B1406" s="2" t="s">
        <v>5474</v>
      </c>
      <c r="C1406" s="3" t="s">
        <v>5475</v>
      </c>
      <c r="D1406" s="2">
        <v>1.0028027568273113E-4</v>
      </c>
      <c r="E1406" s="8" t="s">
        <v>4346</v>
      </c>
      <c r="F1406" s="9" t="s">
        <v>15</v>
      </c>
      <c r="G1406" s="9" t="s">
        <v>16</v>
      </c>
      <c r="H1406" s="9" t="s">
        <v>16</v>
      </c>
      <c r="I1406" s="9"/>
      <c r="J1406" s="9"/>
      <c r="K1406" s="9"/>
    </row>
    <row r="1407" hidden="1">
      <c r="A1407" s="3" t="s">
        <v>5476</v>
      </c>
      <c r="B1407" s="2" t="s">
        <v>5477</v>
      </c>
      <c r="C1407" s="3" t="s">
        <v>5478</v>
      </c>
      <c r="D1407" s="2">
        <v>1.0028027568273113E-4</v>
      </c>
      <c r="E1407" s="8" t="s">
        <v>5479</v>
      </c>
      <c r="F1407" s="9" t="s">
        <v>15</v>
      </c>
      <c r="G1407" s="9" t="s">
        <v>16</v>
      </c>
      <c r="H1407" s="9" t="s">
        <v>16</v>
      </c>
      <c r="I1407" s="9"/>
      <c r="J1407" s="9"/>
      <c r="K1407" s="9"/>
    </row>
    <row r="1408" hidden="1">
      <c r="A1408" s="3" t="s">
        <v>5480</v>
      </c>
      <c r="B1408" s="2" t="s">
        <v>5481</v>
      </c>
      <c r="C1408" s="3"/>
      <c r="D1408" s="2">
        <v>1.0028027568273113E-4</v>
      </c>
      <c r="E1408" s="8" t="s">
        <v>5442</v>
      </c>
      <c r="F1408" s="9" t="s">
        <v>15</v>
      </c>
      <c r="G1408" s="9" t="s">
        <v>16</v>
      </c>
      <c r="H1408" s="9" t="s">
        <v>16</v>
      </c>
      <c r="I1408" s="9"/>
      <c r="J1408" s="9"/>
      <c r="K1408" s="9"/>
    </row>
    <row r="1409" hidden="1">
      <c r="A1409" s="3" t="s">
        <v>5482</v>
      </c>
      <c r="B1409" s="2" t="s">
        <v>5483</v>
      </c>
      <c r="C1409" s="3" t="s">
        <v>5484</v>
      </c>
      <c r="D1409" s="2">
        <v>1.0028027568273113E-4</v>
      </c>
      <c r="E1409" s="8" t="s">
        <v>5485</v>
      </c>
      <c r="F1409" s="9" t="s">
        <v>15</v>
      </c>
      <c r="G1409" s="9" t="s">
        <v>16</v>
      </c>
      <c r="H1409" s="9" t="s">
        <v>16</v>
      </c>
      <c r="I1409" s="9"/>
      <c r="J1409" s="9"/>
      <c r="K1409" s="9"/>
    </row>
    <row r="1410" hidden="1">
      <c r="A1410" s="3" t="s">
        <v>5486</v>
      </c>
      <c r="B1410" s="2" t="s">
        <v>5487</v>
      </c>
      <c r="C1410" s="3" t="s">
        <v>5488</v>
      </c>
      <c r="D1410" s="2">
        <v>1.0028027568273113E-4</v>
      </c>
      <c r="E1410" s="8" t="s">
        <v>5489</v>
      </c>
      <c r="F1410" s="9" t="s">
        <v>15</v>
      </c>
      <c r="G1410" s="9" t="s">
        <v>16</v>
      </c>
      <c r="H1410" s="9" t="s">
        <v>16</v>
      </c>
      <c r="I1410" s="9"/>
      <c r="J1410" s="9"/>
      <c r="K1410" s="9"/>
    </row>
    <row r="1411" hidden="1">
      <c r="A1411" s="3" t="s">
        <v>5490</v>
      </c>
      <c r="B1411" s="2" t="s">
        <v>5491</v>
      </c>
      <c r="C1411" s="3"/>
      <c r="D1411" s="2">
        <v>1.0028027568273113E-4</v>
      </c>
      <c r="E1411" s="8" t="s">
        <v>5492</v>
      </c>
      <c r="F1411" s="9" t="s">
        <v>15</v>
      </c>
      <c r="G1411" s="9" t="s">
        <v>16</v>
      </c>
      <c r="H1411" s="9" t="s">
        <v>16</v>
      </c>
      <c r="I1411" s="9"/>
      <c r="J1411" s="9"/>
      <c r="K1411" s="9"/>
    </row>
    <row r="1412" hidden="1">
      <c r="A1412" s="3" t="s">
        <v>5493</v>
      </c>
      <c r="B1412" s="2" t="s">
        <v>5494</v>
      </c>
      <c r="C1412" s="3" t="s">
        <v>5495</v>
      </c>
      <c r="D1412" s="2">
        <v>1.0028027568273113E-4</v>
      </c>
      <c r="E1412" s="8" t="s">
        <v>5496</v>
      </c>
      <c r="F1412" s="9" t="s">
        <v>15</v>
      </c>
      <c r="G1412" s="9" t="s">
        <v>16</v>
      </c>
      <c r="H1412" s="9" t="s">
        <v>16</v>
      </c>
      <c r="I1412" s="9"/>
      <c r="J1412" s="9"/>
      <c r="K1412" s="9"/>
    </row>
    <row r="1413" hidden="1">
      <c r="A1413" s="3" t="s">
        <v>5497</v>
      </c>
      <c r="B1413" s="2" t="s">
        <v>5498</v>
      </c>
      <c r="C1413" s="3" t="s">
        <v>5499</v>
      </c>
      <c r="D1413" s="2">
        <v>1.0028027568273113E-4</v>
      </c>
      <c r="E1413" s="8" t="s">
        <v>5500</v>
      </c>
      <c r="F1413" s="9" t="s">
        <v>15</v>
      </c>
      <c r="G1413" s="9" t="s">
        <v>16</v>
      </c>
      <c r="H1413" s="9" t="s">
        <v>16</v>
      </c>
      <c r="I1413" s="9"/>
      <c r="J1413" s="9"/>
      <c r="K1413" s="9"/>
    </row>
    <row r="1414" hidden="1">
      <c r="A1414" s="3" t="s">
        <v>5501</v>
      </c>
      <c r="B1414" s="2" t="s">
        <v>5502</v>
      </c>
      <c r="C1414" s="3" t="s">
        <v>5503</v>
      </c>
      <c r="D1414" s="2">
        <v>1.0028027568273113E-4</v>
      </c>
      <c r="E1414" s="8" t="s">
        <v>5504</v>
      </c>
      <c r="F1414" s="9" t="s">
        <v>15</v>
      </c>
      <c r="G1414" s="9" t="s">
        <v>16</v>
      </c>
      <c r="H1414" s="9" t="s">
        <v>16</v>
      </c>
      <c r="I1414" s="9"/>
      <c r="J1414" s="9"/>
      <c r="K1414" s="9"/>
    </row>
    <row r="1415" hidden="1">
      <c r="A1415" s="3" t="s">
        <v>5505</v>
      </c>
      <c r="B1415" s="2" t="s">
        <v>5506</v>
      </c>
      <c r="C1415" s="3"/>
      <c r="D1415" s="2">
        <v>1.0028027568273113E-4</v>
      </c>
      <c r="E1415" s="8" t="s">
        <v>5507</v>
      </c>
      <c r="F1415" s="9" t="s">
        <v>15</v>
      </c>
      <c r="G1415" s="9" t="s">
        <v>16</v>
      </c>
      <c r="H1415" s="9" t="s">
        <v>16</v>
      </c>
      <c r="I1415" s="9"/>
      <c r="J1415" s="9"/>
      <c r="K1415" s="9"/>
    </row>
    <row r="1416" hidden="1">
      <c r="A1416" s="3" t="s">
        <v>5508</v>
      </c>
      <c r="B1416" s="2" t="s">
        <v>5509</v>
      </c>
      <c r="C1416" s="3" t="s">
        <v>5510</v>
      </c>
      <c r="D1416" s="2">
        <v>1.0028027568273113E-4</v>
      </c>
      <c r="E1416" s="8" t="s">
        <v>5511</v>
      </c>
      <c r="F1416" s="9" t="s">
        <v>15</v>
      </c>
      <c r="G1416" s="9" t="s">
        <v>16</v>
      </c>
      <c r="H1416" s="9" t="s">
        <v>16</v>
      </c>
      <c r="I1416" s="9"/>
      <c r="J1416" s="9"/>
      <c r="K1416" s="9"/>
    </row>
    <row r="1417" hidden="1">
      <c r="A1417" s="3" t="s">
        <v>5512</v>
      </c>
      <c r="B1417" s="2" t="s">
        <v>5513</v>
      </c>
      <c r="C1417" s="3"/>
      <c r="D1417" s="2">
        <v>1.0028027568273113E-4</v>
      </c>
      <c r="E1417" s="8" t="s">
        <v>5514</v>
      </c>
      <c r="F1417" s="9" t="s">
        <v>15</v>
      </c>
      <c r="G1417" s="9" t="s">
        <v>16</v>
      </c>
      <c r="H1417" s="9" t="s">
        <v>16</v>
      </c>
      <c r="I1417" s="9"/>
      <c r="J1417" s="9"/>
      <c r="K1417" s="9"/>
    </row>
    <row r="1418" hidden="1">
      <c r="A1418" s="3" t="s">
        <v>5515</v>
      </c>
      <c r="B1418" s="2" t="s">
        <v>5516</v>
      </c>
      <c r="C1418" s="3" t="s">
        <v>5517</v>
      </c>
      <c r="D1418" s="2">
        <v>1.0028027568273113E-4</v>
      </c>
      <c r="E1418" s="8" t="s">
        <v>5518</v>
      </c>
      <c r="F1418" s="9" t="s">
        <v>15</v>
      </c>
      <c r="G1418" s="9" t="s">
        <v>16</v>
      </c>
      <c r="H1418" s="9" t="s">
        <v>16</v>
      </c>
      <c r="I1418" s="9"/>
      <c r="J1418" s="9"/>
      <c r="K1418" s="9"/>
    </row>
    <row r="1419" hidden="1">
      <c r="A1419" s="3" t="s">
        <v>5519</v>
      </c>
      <c r="B1419" s="2" t="s">
        <v>5520</v>
      </c>
      <c r="C1419" s="3" t="s">
        <v>5521</v>
      </c>
      <c r="D1419" s="2">
        <v>1.0028027568273113E-4</v>
      </c>
      <c r="E1419" s="8" t="s">
        <v>5522</v>
      </c>
      <c r="F1419" s="9" t="s">
        <v>15</v>
      </c>
      <c r="G1419" s="9" t="s">
        <v>16</v>
      </c>
      <c r="H1419" s="9" t="s">
        <v>16</v>
      </c>
      <c r="I1419" s="9"/>
      <c r="J1419" s="9"/>
      <c r="K1419" s="9"/>
    </row>
    <row r="1420" hidden="1">
      <c r="A1420" s="3" t="s">
        <v>5523</v>
      </c>
      <c r="B1420" s="2" t="s">
        <v>5524</v>
      </c>
      <c r="C1420" s="3" t="s">
        <v>5525</v>
      </c>
      <c r="D1420" s="2">
        <v>1.0028027568273113E-4</v>
      </c>
      <c r="E1420" s="8" t="s">
        <v>5526</v>
      </c>
      <c r="F1420" s="9" t="s">
        <v>15</v>
      </c>
      <c r="G1420" s="9" t="s">
        <v>16</v>
      </c>
      <c r="H1420" s="9" t="s">
        <v>16</v>
      </c>
      <c r="I1420" s="9"/>
      <c r="J1420" s="9"/>
      <c r="K1420" s="9"/>
    </row>
    <row r="1421" hidden="1">
      <c r="A1421" s="3" t="s">
        <v>5527</v>
      </c>
      <c r="B1421" s="2" t="s">
        <v>5528</v>
      </c>
      <c r="C1421" s="3" t="s">
        <v>5529</v>
      </c>
      <c r="D1421" s="2">
        <v>1.0028027568273113E-4</v>
      </c>
      <c r="E1421" s="8" t="s">
        <v>5530</v>
      </c>
      <c r="F1421" s="9" t="s">
        <v>15</v>
      </c>
      <c r="G1421" s="9" t="s">
        <v>16</v>
      </c>
      <c r="H1421" s="9" t="s">
        <v>16</v>
      </c>
      <c r="I1421" s="9"/>
      <c r="J1421" s="9"/>
      <c r="K1421" s="9"/>
    </row>
    <row r="1422" hidden="1">
      <c r="A1422" s="3" t="s">
        <v>5531</v>
      </c>
      <c r="B1422" s="2" t="s">
        <v>5532</v>
      </c>
      <c r="C1422" s="3" t="s">
        <v>5533</v>
      </c>
      <c r="D1422" s="2">
        <v>1.0028027568273113E-4</v>
      </c>
      <c r="E1422" s="8" t="s">
        <v>1972</v>
      </c>
      <c r="F1422" s="9" t="s">
        <v>15</v>
      </c>
      <c r="G1422" s="9" t="s">
        <v>16</v>
      </c>
      <c r="H1422" s="9" t="s">
        <v>16</v>
      </c>
      <c r="I1422" s="9"/>
      <c r="J1422" s="9"/>
      <c r="K1422" s="9"/>
    </row>
    <row r="1423" hidden="1">
      <c r="A1423" s="3" t="s">
        <v>5534</v>
      </c>
      <c r="B1423" s="2" t="s">
        <v>5535</v>
      </c>
      <c r="C1423" s="3"/>
      <c r="D1423" s="2">
        <v>1.0028027568273113E-4</v>
      </c>
      <c r="E1423" s="8" t="s">
        <v>5536</v>
      </c>
      <c r="F1423" s="9" t="s">
        <v>15</v>
      </c>
      <c r="G1423" s="9" t="s">
        <v>16</v>
      </c>
      <c r="H1423" s="9" t="s">
        <v>16</v>
      </c>
      <c r="I1423" s="9"/>
      <c r="J1423" s="9"/>
      <c r="K1423" s="9"/>
    </row>
    <row r="1424" hidden="1">
      <c r="A1424" s="3" t="s">
        <v>5537</v>
      </c>
      <c r="B1424" s="2" t="s">
        <v>5538</v>
      </c>
      <c r="C1424" s="3" t="s">
        <v>5539</v>
      </c>
      <c r="D1424" s="2">
        <v>1.0028027568273113E-4</v>
      </c>
      <c r="E1424" s="8" t="s">
        <v>5540</v>
      </c>
      <c r="F1424" s="9" t="s">
        <v>15</v>
      </c>
      <c r="G1424" s="9" t="s">
        <v>16</v>
      </c>
      <c r="H1424" s="9" t="s">
        <v>16</v>
      </c>
      <c r="I1424" s="9"/>
      <c r="J1424" s="9"/>
      <c r="K1424" s="9"/>
    </row>
    <row r="1425" hidden="1">
      <c r="A1425" s="3" t="s">
        <v>5541</v>
      </c>
      <c r="B1425" s="2" t="s">
        <v>5542</v>
      </c>
      <c r="C1425" s="3" t="s">
        <v>5543</v>
      </c>
      <c r="D1425" s="2">
        <v>1.0028027568273113E-4</v>
      </c>
      <c r="E1425" s="8" t="s">
        <v>5544</v>
      </c>
      <c r="F1425" s="9" t="s">
        <v>15</v>
      </c>
      <c r="G1425" s="9" t="s">
        <v>16</v>
      </c>
      <c r="H1425" s="9" t="s">
        <v>16</v>
      </c>
      <c r="I1425" s="9"/>
      <c r="J1425" s="9"/>
      <c r="K1425" s="9"/>
    </row>
    <row r="1426" hidden="1">
      <c r="A1426" s="3" t="s">
        <v>5545</v>
      </c>
      <c r="B1426" s="2" t="s">
        <v>5546</v>
      </c>
      <c r="C1426" s="3" t="s">
        <v>5547</v>
      </c>
      <c r="D1426" s="2">
        <v>1.0028027568273113E-4</v>
      </c>
      <c r="E1426" s="8" t="s">
        <v>5548</v>
      </c>
      <c r="F1426" s="9" t="s">
        <v>15</v>
      </c>
      <c r="G1426" s="9" t="s">
        <v>16</v>
      </c>
      <c r="H1426" s="9" t="s">
        <v>16</v>
      </c>
      <c r="I1426" s="9"/>
      <c r="J1426" s="9"/>
      <c r="K1426" s="9"/>
    </row>
    <row r="1427" hidden="1">
      <c r="A1427" s="3" t="s">
        <v>5549</v>
      </c>
      <c r="B1427" s="2" t="s">
        <v>5550</v>
      </c>
      <c r="C1427" s="3" t="s">
        <v>5551</v>
      </c>
      <c r="D1427" s="2">
        <v>1.0028027568273113E-4</v>
      </c>
      <c r="E1427" s="8" t="s">
        <v>5552</v>
      </c>
      <c r="F1427" s="9" t="s">
        <v>15</v>
      </c>
      <c r="G1427" s="9" t="s">
        <v>16</v>
      </c>
      <c r="H1427" s="9" t="s">
        <v>16</v>
      </c>
      <c r="I1427" s="9"/>
      <c r="J1427" s="9"/>
      <c r="K1427" s="9"/>
    </row>
    <row r="1428" hidden="1">
      <c r="A1428" s="3" t="s">
        <v>5553</v>
      </c>
      <c r="B1428" s="2" t="s">
        <v>5554</v>
      </c>
      <c r="C1428" s="3" t="s">
        <v>5555</v>
      </c>
      <c r="D1428" s="2">
        <v>1.0028027568273113E-4</v>
      </c>
      <c r="E1428" s="8" t="s">
        <v>5556</v>
      </c>
      <c r="F1428" s="9" t="s">
        <v>15</v>
      </c>
      <c r="G1428" s="9" t="s">
        <v>16</v>
      </c>
      <c r="H1428" s="9" t="s">
        <v>16</v>
      </c>
      <c r="I1428" s="9"/>
      <c r="J1428" s="9"/>
      <c r="K1428" s="9"/>
    </row>
    <row r="1429" hidden="1">
      <c r="A1429" s="3" t="s">
        <v>5557</v>
      </c>
      <c r="B1429" s="2" t="s">
        <v>5558</v>
      </c>
      <c r="C1429" s="3" t="s">
        <v>5559</v>
      </c>
      <c r="D1429" s="2">
        <v>1.0028027568273113E-4</v>
      </c>
      <c r="E1429" s="8" t="s">
        <v>5560</v>
      </c>
      <c r="F1429" s="9" t="s">
        <v>15</v>
      </c>
      <c r="G1429" s="9" t="s">
        <v>16</v>
      </c>
      <c r="H1429" s="9" t="s">
        <v>16</v>
      </c>
      <c r="I1429" s="9"/>
      <c r="J1429" s="9"/>
      <c r="K1429" s="9"/>
    </row>
    <row r="1430" hidden="1">
      <c r="A1430" s="3" t="s">
        <v>5561</v>
      </c>
      <c r="B1430" s="2" t="s">
        <v>5562</v>
      </c>
      <c r="C1430" s="3" t="s">
        <v>5563</v>
      </c>
      <c r="D1430" s="2">
        <v>1.0028027568273113E-4</v>
      </c>
      <c r="E1430" s="8" t="s">
        <v>5564</v>
      </c>
      <c r="F1430" s="9" t="s">
        <v>15</v>
      </c>
      <c r="G1430" s="9" t="s">
        <v>16</v>
      </c>
      <c r="H1430" s="9" t="s">
        <v>16</v>
      </c>
      <c r="I1430" s="9"/>
      <c r="J1430" s="9"/>
      <c r="K1430" s="9"/>
    </row>
    <row r="1431" hidden="1">
      <c r="A1431" s="3" t="s">
        <v>5565</v>
      </c>
      <c r="B1431" s="2" t="s">
        <v>5566</v>
      </c>
      <c r="C1431" s="3" t="s">
        <v>5567</v>
      </c>
      <c r="D1431" s="2">
        <v>1.0028027568273113E-4</v>
      </c>
      <c r="E1431" s="8" t="s">
        <v>5568</v>
      </c>
      <c r="F1431" s="9" t="s">
        <v>15</v>
      </c>
      <c r="G1431" s="9" t="s">
        <v>16</v>
      </c>
      <c r="H1431" s="9" t="s">
        <v>16</v>
      </c>
      <c r="I1431" s="9"/>
      <c r="J1431" s="9"/>
      <c r="K1431" s="9"/>
    </row>
    <row r="1432" hidden="1">
      <c r="A1432" s="3" t="s">
        <v>5569</v>
      </c>
      <c r="B1432" s="2" t="s">
        <v>5570</v>
      </c>
      <c r="C1432" s="3" t="s">
        <v>5571</v>
      </c>
      <c r="D1432" s="2">
        <v>1.0028027568273113E-4</v>
      </c>
      <c r="E1432" s="8" t="s">
        <v>5572</v>
      </c>
      <c r="F1432" s="9" t="s">
        <v>15</v>
      </c>
      <c r="G1432" s="9" t="s">
        <v>16</v>
      </c>
      <c r="H1432" s="9" t="s">
        <v>16</v>
      </c>
      <c r="I1432" s="9"/>
      <c r="J1432" s="9"/>
      <c r="K1432" s="9"/>
    </row>
    <row r="1433" hidden="1">
      <c r="A1433" s="3" t="s">
        <v>5573</v>
      </c>
      <c r="B1433" s="2" t="s">
        <v>5574</v>
      </c>
      <c r="C1433" s="3" t="s">
        <v>5575</v>
      </c>
      <c r="D1433" s="2">
        <v>1.0028027568273113E-4</v>
      </c>
      <c r="E1433" s="8" t="s">
        <v>5576</v>
      </c>
      <c r="F1433" s="9" t="s">
        <v>15</v>
      </c>
      <c r="G1433" s="9" t="s">
        <v>16</v>
      </c>
      <c r="H1433" s="9" t="s">
        <v>16</v>
      </c>
      <c r="I1433" s="9"/>
      <c r="J1433" s="9"/>
      <c r="K1433" s="9"/>
    </row>
    <row r="1434" hidden="1">
      <c r="A1434" s="3" t="s">
        <v>5577</v>
      </c>
      <c r="B1434" s="2" t="s">
        <v>5578</v>
      </c>
      <c r="C1434" s="3" t="s">
        <v>5579</v>
      </c>
      <c r="D1434" s="2">
        <v>1.0028027568273113E-4</v>
      </c>
      <c r="E1434" s="8" t="s">
        <v>5580</v>
      </c>
      <c r="F1434" s="9" t="s">
        <v>15</v>
      </c>
      <c r="G1434" s="9" t="s">
        <v>16</v>
      </c>
      <c r="H1434" s="9" t="s">
        <v>16</v>
      </c>
      <c r="I1434" s="9"/>
      <c r="J1434" s="9"/>
      <c r="K1434" s="9"/>
    </row>
    <row r="1435" hidden="1">
      <c r="A1435" s="3" t="s">
        <v>5581</v>
      </c>
      <c r="B1435" s="2" t="s">
        <v>5582</v>
      </c>
      <c r="C1435" s="3" t="s">
        <v>5583</v>
      </c>
      <c r="D1435" s="2">
        <v>1.0028027568273113E-4</v>
      </c>
      <c r="E1435" s="8" t="s">
        <v>5584</v>
      </c>
      <c r="F1435" s="9" t="s">
        <v>15</v>
      </c>
      <c r="G1435" s="9" t="s">
        <v>16</v>
      </c>
      <c r="H1435" s="9" t="s">
        <v>16</v>
      </c>
      <c r="I1435" s="9"/>
      <c r="J1435" s="9"/>
      <c r="K1435" s="9"/>
    </row>
    <row r="1436" hidden="1">
      <c r="A1436" s="3" t="s">
        <v>5585</v>
      </c>
      <c r="B1436" s="2" t="s">
        <v>5586</v>
      </c>
      <c r="C1436" s="3" t="s">
        <v>5587</v>
      </c>
      <c r="D1436" s="2">
        <v>1.0028027568273113E-4</v>
      </c>
      <c r="E1436" s="8" t="s">
        <v>5588</v>
      </c>
      <c r="F1436" s="9" t="s">
        <v>15</v>
      </c>
      <c r="G1436" s="9" t="s">
        <v>16</v>
      </c>
      <c r="H1436" s="9" t="s">
        <v>16</v>
      </c>
      <c r="I1436" s="9"/>
      <c r="J1436" s="9"/>
      <c r="K1436" s="9"/>
    </row>
    <row r="1437" hidden="1">
      <c r="A1437" s="3" t="s">
        <v>5589</v>
      </c>
      <c r="B1437" s="2" t="s">
        <v>5590</v>
      </c>
      <c r="C1437" s="3" t="s">
        <v>5591</v>
      </c>
      <c r="D1437" s="2">
        <v>1.0028027568273113E-4</v>
      </c>
      <c r="E1437" s="8" t="s">
        <v>5592</v>
      </c>
      <c r="F1437" s="9" t="s">
        <v>15</v>
      </c>
      <c r="G1437" s="9" t="s">
        <v>16</v>
      </c>
      <c r="H1437" s="9" t="s">
        <v>16</v>
      </c>
      <c r="I1437" s="9"/>
      <c r="J1437" s="9"/>
      <c r="K1437" s="9"/>
    </row>
    <row r="1438" hidden="1">
      <c r="A1438" s="3" t="s">
        <v>5593</v>
      </c>
      <c r="B1438" s="2" t="s">
        <v>5594</v>
      </c>
      <c r="C1438" s="3" t="s">
        <v>5595</v>
      </c>
      <c r="D1438" s="2">
        <v>1.0028027568273113E-4</v>
      </c>
      <c r="E1438" s="8" t="s">
        <v>5596</v>
      </c>
      <c r="F1438" s="9" t="s">
        <v>15</v>
      </c>
      <c r="G1438" s="9" t="s">
        <v>16</v>
      </c>
      <c r="H1438" s="9" t="s">
        <v>16</v>
      </c>
      <c r="I1438" s="9"/>
      <c r="J1438" s="9"/>
      <c r="K1438" s="9"/>
    </row>
    <row r="1439" hidden="1">
      <c r="A1439" s="3" t="s">
        <v>5597</v>
      </c>
      <c r="B1439" s="2" t="s">
        <v>5598</v>
      </c>
      <c r="C1439" s="3" t="s">
        <v>5599</v>
      </c>
      <c r="D1439" s="2">
        <v>1.0028027568273113E-4</v>
      </c>
      <c r="E1439" s="8" t="s">
        <v>5600</v>
      </c>
      <c r="F1439" s="9" t="s">
        <v>15</v>
      </c>
      <c r="G1439" s="9" t="s">
        <v>16</v>
      </c>
      <c r="H1439" s="9" t="s">
        <v>16</v>
      </c>
      <c r="I1439" s="9"/>
      <c r="J1439" s="9"/>
      <c r="K1439" s="9"/>
    </row>
    <row r="1440" hidden="1">
      <c r="A1440" s="3" t="s">
        <v>5601</v>
      </c>
      <c r="B1440" s="2" t="s">
        <v>5602</v>
      </c>
      <c r="C1440" s="3" t="s">
        <v>5603</v>
      </c>
      <c r="D1440" s="2">
        <v>1.0028027568273113E-4</v>
      </c>
      <c r="E1440" s="8" t="s">
        <v>5604</v>
      </c>
      <c r="F1440" s="9" t="s">
        <v>15</v>
      </c>
      <c r="G1440" s="9" t="s">
        <v>16</v>
      </c>
      <c r="H1440" s="9" t="s">
        <v>16</v>
      </c>
      <c r="I1440" s="9"/>
      <c r="J1440" s="9"/>
      <c r="K1440" s="9"/>
    </row>
    <row r="1441" hidden="1">
      <c r="A1441" s="3" t="s">
        <v>5605</v>
      </c>
      <c r="B1441" s="2" t="s">
        <v>5606</v>
      </c>
      <c r="C1441" s="3"/>
      <c r="D1441" s="2">
        <v>1.0028027568273113E-4</v>
      </c>
      <c r="E1441" s="8" t="s">
        <v>5607</v>
      </c>
      <c r="F1441" s="9" t="s">
        <v>15</v>
      </c>
      <c r="G1441" s="9" t="s">
        <v>16</v>
      </c>
      <c r="H1441" s="9" t="s">
        <v>16</v>
      </c>
      <c r="I1441" s="9"/>
      <c r="J1441" s="9"/>
      <c r="K1441" s="9"/>
    </row>
    <row r="1442" hidden="1">
      <c r="A1442" s="3" t="s">
        <v>5608</v>
      </c>
      <c r="B1442" s="2" t="s">
        <v>5609</v>
      </c>
      <c r="C1442" s="3" t="s">
        <v>5610</v>
      </c>
      <c r="D1442" s="2">
        <v>1.0028027568273113E-4</v>
      </c>
      <c r="E1442" s="8" t="s">
        <v>5611</v>
      </c>
      <c r="F1442" s="9" t="s">
        <v>15</v>
      </c>
      <c r="G1442" s="9" t="s">
        <v>16</v>
      </c>
      <c r="H1442" s="9" t="s">
        <v>16</v>
      </c>
      <c r="I1442" s="9"/>
      <c r="J1442" s="9"/>
      <c r="K1442" s="9"/>
    </row>
    <row r="1443" hidden="1">
      <c r="A1443" s="3" t="s">
        <v>5612</v>
      </c>
      <c r="B1443" s="2" t="s">
        <v>5613</v>
      </c>
      <c r="C1443" s="3" t="s">
        <v>5614</v>
      </c>
      <c r="D1443" s="2">
        <v>1.0028027568273113E-4</v>
      </c>
      <c r="E1443" s="8" t="s">
        <v>5615</v>
      </c>
      <c r="F1443" s="9" t="s">
        <v>15</v>
      </c>
      <c r="G1443" s="9" t="s">
        <v>16</v>
      </c>
      <c r="H1443" s="9" t="s">
        <v>16</v>
      </c>
      <c r="I1443" s="9"/>
      <c r="J1443" s="9"/>
      <c r="K1443" s="9"/>
    </row>
    <row r="1444" hidden="1">
      <c r="A1444" s="3" t="s">
        <v>5616</v>
      </c>
      <c r="B1444" s="2" t="s">
        <v>5617</v>
      </c>
      <c r="C1444" s="3" t="s">
        <v>5618</v>
      </c>
      <c r="D1444" s="2">
        <v>1.0028027568273113E-4</v>
      </c>
      <c r="E1444" s="8" t="s">
        <v>5619</v>
      </c>
      <c r="F1444" s="9" t="s">
        <v>15</v>
      </c>
      <c r="G1444" s="9" t="s">
        <v>16</v>
      </c>
      <c r="H1444" s="9" t="s">
        <v>16</v>
      </c>
      <c r="I1444" s="9"/>
      <c r="J1444" s="9"/>
      <c r="K1444" s="9"/>
    </row>
    <row r="1445" hidden="1">
      <c r="A1445" s="3" t="s">
        <v>5620</v>
      </c>
      <c r="B1445" s="2" t="s">
        <v>5621</v>
      </c>
      <c r="C1445" s="3" t="s">
        <v>5622</v>
      </c>
      <c r="D1445" s="2">
        <v>1.0028027568273113E-4</v>
      </c>
      <c r="E1445" s="8" t="s">
        <v>210</v>
      </c>
      <c r="F1445" s="9" t="s">
        <v>15</v>
      </c>
      <c r="G1445" s="9" t="s">
        <v>16</v>
      </c>
      <c r="H1445" s="9" t="s">
        <v>16</v>
      </c>
      <c r="I1445" s="9"/>
      <c r="J1445" s="9"/>
      <c r="K1445" s="9"/>
    </row>
    <row r="1446">
      <c r="A1446" s="3" t="s">
        <v>5623</v>
      </c>
      <c r="B1446" s="2" t="s">
        <v>5624</v>
      </c>
      <c r="C1446" s="3" t="s">
        <v>5625</v>
      </c>
      <c r="D1446" s="2">
        <v>1.0028027568273113E-4</v>
      </c>
      <c r="E1446" s="8" t="s">
        <v>5374</v>
      </c>
      <c r="F1446" s="9" t="s">
        <v>16</v>
      </c>
      <c r="G1446" s="9" t="s">
        <v>16</v>
      </c>
      <c r="H1446" s="9" t="s">
        <v>16</v>
      </c>
      <c r="I1446" s="9" t="s">
        <v>16</v>
      </c>
      <c r="J1446" s="9" t="s">
        <v>16</v>
      </c>
      <c r="K1446" s="9" t="s">
        <v>16</v>
      </c>
    </row>
    <row r="1447" hidden="1">
      <c r="A1447" s="3" t="s">
        <v>5626</v>
      </c>
      <c r="B1447" s="2" t="s">
        <v>5627</v>
      </c>
      <c r="C1447" s="3" t="s">
        <v>5628</v>
      </c>
      <c r="D1447" s="2">
        <v>1.0028027568273113E-4</v>
      </c>
      <c r="E1447" s="8" t="s">
        <v>1008</v>
      </c>
      <c r="F1447" s="9" t="s">
        <v>15</v>
      </c>
      <c r="G1447" s="9" t="s">
        <v>16</v>
      </c>
      <c r="H1447" s="9" t="s">
        <v>16</v>
      </c>
      <c r="I1447" s="9"/>
      <c r="J1447" s="9"/>
      <c r="K1447" s="9"/>
    </row>
    <row r="1448" hidden="1">
      <c r="A1448" s="3" t="s">
        <v>5629</v>
      </c>
      <c r="B1448" s="2" t="s">
        <v>5630</v>
      </c>
      <c r="C1448" s="3"/>
      <c r="D1448" s="2">
        <v>1.0028027568273113E-4</v>
      </c>
      <c r="E1448" s="8" t="s">
        <v>5631</v>
      </c>
      <c r="F1448" s="9" t="s">
        <v>15</v>
      </c>
      <c r="G1448" s="9" t="s">
        <v>16</v>
      </c>
      <c r="H1448" s="9" t="s">
        <v>16</v>
      </c>
      <c r="I1448" s="9"/>
      <c r="J1448" s="9"/>
      <c r="K1448" s="9"/>
    </row>
    <row r="1449" hidden="1">
      <c r="A1449" s="3" t="s">
        <v>5632</v>
      </c>
      <c r="B1449" s="2" t="s">
        <v>5633</v>
      </c>
      <c r="C1449" s="3" t="s">
        <v>5634</v>
      </c>
      <c r="D1449" s="2">
        <v>1.0028027568273113E-4</v>
      </c>
      <c r="E1449" s="8" t="s">
        <v>818</v>
      </c>
      <c r="F1449" s="9" t="s">
        <v>15</v>
      </c>
      <c r="G1449" s="9" t="s">
        <v>16</v>
      </c>
      <c r="H1449" s="9" t="s">
        <v>16</v>
      </c>
      <c r="I1449" s="9"/>
      <c r="J1449" s="9"/>
      <c r="K1449" s="9"/>
    </row>
    <row r="1450" hidden="1">
      <c r="A1450" s="3" t="s">
        <v>5635</v>
      </c>
      <c r="B1450" s="2" t="s">
        <v>5636</v>
      </c>
      <c r="C1450" s="3" t="s">
        <v>5637</v>
      </c>
      <c r="D1450" s="2">
        <v>1.0028027568273113E-4</v>
      </c>
      <c r="E1450" s="8" t="s">
        <v>5638</v>
      </c>
      <c r="F1450" s="9" t="s">
        <v>15</v>
      </c>
      <c r="G1450" s="9" t="s">
        <v>16</v>
      </c>
      <c r="H1450" s="9" t="s">
        <v>16</v>
      </c>
      <c r="I1450" s="9"/>
      <c r="J1450" s="9"/>
      <c r="K1450" s="9"/>
    </row>
    <row r="1451" hidden="1">
      <c r="A1451" s="3" t="s">
        <v>5639</v>
      </c>
      <c r="B1451" s="2" t="s">
        <v>5640</v>
      </c>
      <c r="C1451" s="3" t="s">
        <v>5641</v>
      </c>
      <c r="D1451" s="2">
        <v>1.0028027568273113E-4</v>
      </c>
      <c r="E1451" s="8" t="s">
        <v>5511</v>
      </c>
      <c r="F1451" s="9" t="s">
        <v>15</v>
      </c>
      <c r="G1451" s="9" t="s">
        <v>16</v>
      </c>
      <c r="H1451" s="9" t="s">
        <v>16</v>
      </c>
      <c r="I1451" s="9"/>
      <c r="J1451" s="9"/>
      <c r="K1451" s="9"/>
    </row>
    <row r="1452" hidden="1">
      <c r="A1452" s="3" t="s">
        <v>5642</v>
      </c>
      <c r="B1452" s="2" t="s">
        <v>5643</v>
      </c>
      <c r="C1452" s="3" t="s">
        <v>5644</v>
      </c>
      <c r="D1452" s="2">
        <v>1.0028027568273113E-4</v>
      </c>
      <c r="E1452" s="8" t="s">
        <v>5645</v>
      </c>
      <c r="F1452" s="9" t="s">
        <v>15</v>
      </c>
      <c r="G1452" s="9" t="s">
        <v>16</v>
      </c>
      <c r="H1452" s="9" t="s">
        <v>16</v>
      </c>
      <c r="I1452" s="9"/>
      <c r="J1452" s="9"/>
      <c r="K1452" s="9"/>
    </row>
    <row r="1453" hidden="1">
      <c r="A1453" s="3" t="s">
        <v>5646</v>
      </c>
      <c r="B1453" s="2" t="s">
        <v>5647</v>
      </c>
      <c r="C1453" s="3" t="s">
        <v>5648</v>
      </c>
      <c r="D1453" s="2">
        <v>1.0028027568273113E-4</v>
      </c>
      <c r="E1453" s="8" t="s">
        <v>5649</v>
      </c>
      <c r="F1453" s="9" t="s">
        <v>15</v>
      </c>
      <c r="G1453" s="9" t="s">
        <v>16</v>
      </c>
      <c r="H1453" s="9" t="s">
        <v>16</v>
      </c>
      <c r="I1453" s="9"/>
      <c r="J1453" s="9"/>
      <c r="K1453" s="9"/>
    </row>
    <row r="1454" hidden="1">
      <c r="A1454" s="3" t="s">
        <v>5650</v>
      </c>
      <c r="B1454" s="2" t="s">
        <v>5651</v>
      </c>
      <c r="C1454" s="3" t="s">
        <v>5652</v>
      </c>
      <c r="D1454" s="2">
        <v>1.0028027568273113E-4</v>
      </c>
      <c r="E1454" s="8" t="s">
        <v>5653</v>
      </c>
      <c r="F1454" s="9" t="s">
        <v>15</v>
      </c>
      <c r="G1454" s="9" t="s">
        <v>16</v>
      </c>
      <c r="H1454" s="9" t="s">
        <v>16</v>
      </c>
      <c r="I1454" s="9"/>
      <c r="J1454" s="9"/>
      <c r="K1454" s="9"/>
    </row>
    <row r="1455" hidden="1">
      <c r="A1455" s="3" t="s">
        <v>5654</v>
      </c>
      <c r="B1455" s="2" t="s">
        <v>5655</v>
      </c>
      <c r="C1455" s="3" t="s">
        <v>5656</v>
      </c>
      <c r="D1455" s="2">
        <v>1.0028027568273113E-4</v>
      </c>
      <c r="E1455" s="8" t="s">
        <v>5657</v>
      </c>
      <c r="F1455" s="9" t="s">
        <v>15</v>
      </c>
      <c r="G1455" s="9" t="s">
        <v>16</v>
      </c>
      <c r="H1455" s="9" t="s">
        <v>16</v>
      </c>
      <c r="I1455" s="9"/>
      <c r="J1455" s="9"/>
      <c r="K1455" s="9"/>
    </row>
    <row r="1456" hidden="1">
      <c r="A1456" s="3" t="s">
        <v>5658</v>
      </c>
      <c r="B1456" s="2" t="s">
        <v>5659</v>
      </c>
      <c r="C1456" s="3" t="s">
        <v>5660</v>
      </c>
      <c r="D1456" s="2">
        <v>1.0028027568273113E-4</v>
      </c>
      <c r="E1456" s="8" t="s">
        <v>5661</v>
      </c>
      <c r="F1456" s="9" t="s">
        <v>15</v>
      </c>
      <c r="G1456" s="9" t="s">
        <v>16</v>
      </c>
      <c r="H1456" s="9" t="s">
        <v>16</v>
      </c>
      <c r="I1456" s="9"/>
      <c r="J1456" s="9"/>
      <c r="K1456" s="9"/>
    </row>
    <row r="1457" hidden="1">
      <c r="A1457" s="3" t="s">
        <v>5662</v>
      </c>
      <c r="B1457" s="2" t="s">
        <v>5663</v>
      </c>
      <c r="C1457" s="3" t="s">
        <v>5664</v>
      </c>
      <c r="D1457" s="2">
        <v>1.0028027568273113E-4</v>
      </c>
      <c r="E1457" s="8" t="s">
        <v>5665</v>
      </c>
      <c r="F1457" s="9" t="s">
        <v>15</v>
      </c>
      <c r="G1457" s="9" t="s">
        <v>16</v>
      </c>
      <c r="H1457" s="9" t="s">
        <v>16</v>
      </c>
      <c r="I1457" s="9"/>
      <c r="J1457" s="9"/>
      <c r="K1457" s="9"/>
    </row>
    <row r="1458" hidden="1">
      <c r="A1458" s="3" t="s">
        <v>5666</v>
      </c>
      <c r="B1458" s="2" t="s">
        <v>5667</v>
      </c>
      <c r="C1458" s="3" t="s">
        <v>5668</v>
      </c>
      <c r="D1458" s="2">
        <v>1.0028027568273113E-4</v>
      </c>
      <c r="E1458" s="8" t="s">
        <v>5669</v>
      </c>
      <c r="F1458" s="9" t="s">
        <v>15</v>
      </c>
      <c r="G1458" s="9" t="s">
        <v>16</v>
      </c>
      <c r="H1458" s="9" t="s">
        <v>16</v>
      </c>
      <c r="I1458" s="9"/>
      <c r="J1458" s="9"/>
      <c r="K1458" s="9"/>
    </row>
    <row r="1459" hidden="1">
      <c r="A1459" s="3" t="s">
        <v>5670</v>
      </c>
      <c r="B1459" s="2" t="s">
        <v>5671</v>
      </c>
      <c r="C1459" s="3"/>
      <c r="D1459" s="2">
        <v>1.0028027568273113E-4</v>
      </c>
      <c r="E1459" s="8" t="s">
        <v>5556</v>
      </c>
      <c r="F1459" s="9" t="s">
        <v>15</v>
      </c>
      <c r="G1459" s="9" t="s">
        <v>16</v>
      </c>
      <c r="H1459" s="9" t="s">
        <v>16</v>
      </c>
      <c r="I1459" s="9"/>
      <c r="J1459" s="9"/>
      <c r="K1459" s="9"/>
    </row>
    <row r="1460" hidden="1">
      <c r="A1460" s="3" t="s">
        <v>5672</v>
      </c>
      <c r="B1460" s="2" t="s">
        <v>5673</v>
      </c>
      <c r="C1460" s="3" t="s">
        <v>5674</v>
      </c>
      <c r="D1460" s="2">
        <v>1.0028027568273113E-4</v>
      </c>
      <c r="E1460" s="8" t="s">
        <v>5675</v>
      </c>
      <c r="F1460" s="9" t="s">
        <v>15</v>
      </c>
      <c r="G1460" s="9" t="s">
        <v>16</v>
      </c>
      <c r="H1460" s="9" t="s">
        <v>16</v>
      </c>
      <c r="I1460" s="9"/>
      <c r="J1460" s="9"/>
      <c r="K1460" s="9"/>
    </row>
    <row r="1461" hidden="1">
      <c r="A1461" s="3" t="s">
        <v>5676</v>
      </c>
      <c r="B1461" s="2" t="s">
        <v>5677</v>
      </c>
      <c r="C1461" s="3" t="s">
        <v>5678</v>
      </c>
      <c r="D1461" s="2">
        <v>1.0028027568273113E-4</v>
      </c>
      <c r="E1461" s="8" t="s">
        <v>5679</v>
      </c>
      <c r="F1461" s="9" t="s">
        <v>15</v>
      </c>
      <c r="G1461" s="9" t="s">
        <v>16</v>
      </c>
      <c r="H1461" s="9" t="s">
        <v>16</v>
      </c>
      <c r="I1461" s="9"/>
      <c r="J1461" s="9"/>
      <c r="K1461" s="9"/>
    </row>
    <row r="1462" hidden="1">
      <c r="A1462" s="3" t="s">
        <v>5680</v>
      </c>
      <c r="B1462" s="2" t="s">
        <v>5681</v>
      </c>
      <c r="C1462" s="3" t="s">
        <v>5682</v>
      </c>
      <c r="D1462" s="2">
        <v>1.0028027568273113E-4</v>
      </c>
      <c r="E1462" s="8" t="s">
        <v>5683</v>
      </c>
      <c r="F1462" s="9" t="s">
        <v>15</v>
      </c>
      <c r="G1462" s="9" t="s">
        <v>16</v>
      </c>
      <c r="H1462" s="9" t="s">
        <v>16</v>
      </c>
      <c r="I1462" s="9"/>
      <c r="J1462" s="9"/>
      <c r="K1462" s="9"/>
    </row>
    <row r="1463" hidden="1">
      <c r="A1463" s="3" t="s">
        <v>5684</v>
      </c>
      <c r="B1463" s="2" t="s">
        <v>5685</v>
      </c>
      <c r="C1463" s="3" t="s">
        <v>5686</v>
      </c>
      <c r="D1463" s="2">
        <v>1.0028027568273113E-4</v>
      </c>
      <c r="E1463" s="8" t="s">
        <v>5687</v>
      </c>
      <c r="F1463" s="9" t="s">
        <v>15</v>
      </c>
      <c r="G1463" s="9" t="s">
        <v>16</v>
      </c>
      <c r="H1463" s="9" t="s">
        <v>16</v>
      </c>
      <c r="I1463" s="9"/>
      <c r="J1463" s="9"/>
      <c r="K1463" s="9"/>
    </row>
    <row r="1464" hidden="1">
      <c r="A1464" s="3" t="s">
        <v>5688</v>
      </c>
      <c r="B1464" s="2" t="s">
        <v>5689</v>
      </c>
      <c r="C1464" s="3" t="s">
        <v>5690</v>
      </c>
      <c r="D1464" s="2">
        <v>1.0028027568273113E-4</v>
      </c>
      <c r="E1464" s="8" t="s">
        <v>5691</v>
      </c>
      <c r="F1464" s="9" t="s">
        <v>15</v>
      </c>
      <c r="G1464" s="9" t="s">
        <v>16</v>
      </c>
      <c r="H1464" s="9" t="s">
        <v>16</v>
      </c>
      <c r="I1464" s="9"/>
      <c r="J1464" s="9"/>
      <c r="K1464" s="9"/>
    </row>
    <row r="1465" hidden="1">
      <c r="A1465" s="3" t="s">
        <v>5692</v>
      </c>
      <c r="B1465" s="2" t="s">
        <v>5693</v>
      </c>
      <c r="C1465" s="3" t="s">
        <v>5694</v>
      </c>
      <c r="D1465" s="2">
        <v>1.0028027568273113E-4</v>
      </c>
      <c r="E1465" s="8" t="s">
        <v>5695</v>
      </c>
      <c r="F1465" s="9" t="s">
        <v>15</v>
      </c>
      <c r="G1465" s="9" t="s">
        <v>16</v>
      </c>
      <c r="H1465" s="9" t="s">
        <v>16</v>
      </c>
      <c r="I1465" s="9"/>
      <c r="J1465" s="9"/>
      <c r="K1465" s="9"/>
    </row>
    <row r="1466" hidden="1">
      <c r="A1466" s="3" t="s">
        <v>5696</v>
      </c>
      <c r="B1466" s="2" t="s">
        <v>5697</v>
      </c>
      <c r="C1466" s="3" t="s">
        <v>5698</v>
      </c>
      <c r="D1466" s="2">
        <v>1.0028027568273113E-4</v>
      </c>
      <c r="E1466" s="8" t="s">
        <v>5699</v>
      </c>
      <c r="F1466" s="9" t="s">
        <v>15</v>
      </c>
      <c r="G1466" s="9" t="s">
        <v>16</v>
      </c>
      <c r="H1466" s="9" t="s">
        <v>16</v>
      </c>
      <c r="I1466" s="9"/>
      <c r="J1466" s="9"/>
      <c r="K1466" s="9"/>
    </row>
    <row r="1467" hidden="1">
      <c r="A1467" s="3" t="s">
        <v>5700</v>
      </c>
      <c r="B1467" s="2" t="s">
        <v>5701</v>
      </c>
      <c r="C1467" s="3" t="s">
        <v>5702</v>
      </c>
      <c r="D1467" s="2">
        <v>1.0028027568273113E-4</v>
      </c>
      <c r="E1467" s="8" t="s">
        <v>5703</v>
      </c>
      <c r="F1467" s="9" t="s">
        <v>15</v>
      </c>
      <c r="G1467" s="9" t="s">
        <v>16</v>
      </c>
      <c r="H1467" s="9" t="s">
        <v>16</v>
      </c>
      <c r="I1467" s="9"/>
      <c r="J1467" s="9"/>
      <c r="K1467" s="9"/>
    </row>
    <row r="1468" hidden="1">
      <c r="A1468" s="3" t="s">
        <v>5704</v>
      </c>
      <c r="B1468" s="2" t="s">
        <v>5705</v>
      </c>
      <c r="C1468" s="3" t="s">
        <v>5706</v>
      </c>
      <c r="D1468" s="2">
        <v>1.0028027568273113E-4</v>
      </c>
      <c r="E1468" s="8" t="s">
        <v>1016</v>
      </c>
      <c r="F1468" s="9" t="s">
        <v>15</v>
      </c>
      <c r="G1468" s="9" t="s">
        <v>16</v>
      </c>
      <c r="H1468" s="9" t="s">
        <v>16</v>
      </c>
      <c r="I1468" s="9"/>
      <c r="J1468" s="9"/>
      <c r="K1468" s="9"/>
    </row>
    <row r="1469" hidden="1">
      <c r="A1469" s="3" t="s">
        <v>5707</v>
      </c>
      <c r="B1469" s="2" t="s">
        <v>5708</v>
      </c>
      <c r="C1469" s="3" t="s">
        <v>5709</v>
      </c>
      <c r="D1469" s="2">
        <v>1.0028027568273113E-4</v>
      </c>
      <c r="E1469" s="8" t="s">
        <v>5710</v>
      </c>
      <c r="F1469" s="9" t="s">
        <v>15</v>
      </c>
      <c r="G1469" s="9" t="s">
        <v>16</v>
      </c>
      <c r="H1469" s="9" t="s">
        <v>16</v>
      </c>
      <c r="I1469" s="9"/>
      <c r="J1469" s="9"/>
      <c r="K1469" s="9"/>
    </row>
    <row r="1470" hidden="1">
      <c r="A1470" s="3" t="s">
        <v>5711</v>
      </c>
      <c r="B1470" s="2" t="s">
        <v>5712</v>
      </c>
      <c r="C1470" s="3" t="s">
        <v>5713</v>
      </c>
      <c r="D1470" s="2">
        <v>1.0028027568273113E-4</v>
      </c>
      <c r="E1470" s="8" t="s">
        <v>5714</v>
      </c>
      <c r="F1470" s="9" t="s">
        <v>15</v>
      </c>
      <c r="G1470" s="9" t="s">
        <v>16</v>
      </c>
      <c r="H1470" s="9" t="s">
        <v>16</v>
      </c>
      <c r="I1470" s="9"/>
      <c r="J1470" s="9"/>
      <c r="K1470" s="9"/>
    </row>
    <row r="1471" hidden="1">
      <c r="A1471" s="3" t="s">
        <v>5715</v>
      </c>
      <c r="B1471" s="2" t="s">
        <v>5716</v>
      </c>
      <c r="C1471" s="3" t="s">
        <v>5717</v>
      </c>
      <c r="D1471" s="2">
        <v>1.0028027568273113E-4</v>
      </c>
      <c r="E1471" s="8" t="s">
        <v>5718</v>
      </c>
      <c r="F1471" s="9" t="s">
        <v>15</v>
      </c>
      <c r="G1471" s="9" t="s">
        <v>16</v>
      </c>
      <c r="H1471" s="9" t="s">
        <v>16</v>
      </c>
      <c r="I1471" s="9"/>
      <c r="J1471" s="9"/>
      <c r="K1471" s="9"/>
    </row>
    <row r="1472" hidden="1">
      <c r="A1472" s="3" t="s">
        <v>5719</v>
      </c>
      <c r="B1472" s="2" t="s">
        <v>5720</v>
      </c>
      <c r="C1472" s="3"/>
      <c r="D1472" s="2">
        <v>1.0028027568273113E-4</v>
      </c>
      <c r="E1472" s="8" t="s">
        <v>5721</v>
      </c>
      <c r="F1472" s="9" t="s">
        <v>15</v>
      </c>
      <c r="G1472" s="9" t="s">
        <v>16</v>
      </c>
      <c r="H1472" s="9" t="s">
        <v>16</v>
      </c>
      <c r="I1472" s="9"/>
      <c r="J1472" s="9"/>
      <c r="K1472" s="9"/>
    </row>
    <row r="1473" hidden="1">
      <c r="A1473" s="3" t="s">
        <v>5722</v>
      </c>
      <c r="B1473" s="2" t="s">
        <v>5723</v>
      </c>
      <c r="C1473" s="3" t="s">
        <v>5724</v>
      </c>
      <c r="D1473" s="2">
        <v>1.0028027568273113E-4</v>
      </c>
      <c r="E1473" s="8" t="s">
        <v>5725</v>
      </c>
      <c r="F1473" s="9" t="s">
        <v>15</v>
      </c>
      <c r="G1473" s="9" t="s">
        <v>16</v>
      </c>
      <c r="H1473" s="9" t="s">
        <v>16</v>
      </c>
      <c r="I1473" s="9"/>
      <c r="J1473" s="9"/>
      <c r="K1473" s="9"/>
    </row>
    <row r="1474" hidden="1">
      <c r="A1474" s="3" t="s">
        <v>5726</v>
      </c>
      <c r="B1474" s="2" t="s">
        <v>5727</v>
      </c>
      <c r="C1474" s="3" t="s">
        <v>5728</v>
      </c>
      <c r="D1474" s="2">
        <v>1.0028027568273113E-4</v>
      </c>
      <c r="E1474" s="8" t="s">
        <v>5729</v>
      </c>
      <c r="F1474" s="9" t="s">
        <v>15</v>
      </c>
      <c r="G1474" s="9" t="s">
        <v>16</v>
      </c>
      <c r="H1474" s="9" t="s">
        <v>16</v>
      </c>
      <c r="I1474" s="9"/>
      <c r="J1474" s="9"/>
      <c r="K1474" s="9"/>
    </row>
    <row r="1475" hidden="1">
      <c r="A1475" s="3" t="s">
        <v>5730</v>
      </c>
      <c r="B1475" s="2" t="s">
        <v>5731</v>
      </c>
      <c r="C1475" s="3"/>
      <c r="D1475" s="2">
        <v>1.0028027568273113E-4</v>
      </c>
      <c r="E1475" s="8" t="s">
        <v>5327</v>
      </c>
      <c r="F1475" s="9" t="s">
        <v>15</v>
      </c>
      <c r="G1475" s="9" t="s">
        <v>16</v>
      </c>
      <c r="H1475" s="9" t="s">
        <v>16</v>
      </c>
      <c r="I1475" s="9"/>
      <c r="J1475" s="9"/>
      <c r="K1475" s="9"/>
    </row>
    <row r="1476" hidden="1">
      <c r="A1476" s="3" t="s">
        <v>5732</v>
      </c>
      <c r="B1476" s="2" t="s">
        <v>5733</v>
      </c>
      <c r="C1476" s="3"/>
      <c r="D1476" s="2">
        <v>1.0028027568273113E-4</v>
      </c>
      <c r="E1476" s="8" t="s">
        <v>5734</v>
      </c>
      <c r="F1476" s="9" t="s">
        <v>15</v>
      </c>
      <c r="G1476" s="9" t="s">
        <v>16</v>
      </c>
      <c r="H1476" s="9" t="s">
        <v>16</v>
      </c>
      <c r="I1476" s="9"/>
      <c r="J1476" s="9"/>
      <c r="K1476" s="9"/>
    </row>
    <row r="1477" hidden="1">
      <c r="A1477" s="3" t="s">
        <v>5735</v>
      </c>
      <c r="B1477" s="2" t="s">
        <v>5736</v>
      </c>
      <c r="C1477" s="3" t="s">
        <v>5737</v>
      </c>
      <c r="D1477" s="2">
        <v>1.0028027568273113E-4</v>
      </c>
      <c r="E1477" s="8" t="s">
        <v>4212</v>
      </c>
      <c r="F1477" s="9" t="s">
        <v>15</v>
      </c>
      <c r="G1477" s="9" t="s">
        <v>16</v>
      </c>
      <c r="H1477" s="9" t="s">
        <v>16</v>
      </c>
      <c r="I1477" s="9"/>
      <c r="J1477" s="9"/>
      <c r="K1477" s="9"/>
    </row>
    <row r="1478" hidden="1">
      <c r="A1478" s="3" t="s">
        <v>5738</v>
      </c>
      <c r="B1478" s="2" t="s">
        <v>5739</v>
      </c>
      <c r="C1478" s="3" t="s">
        <v>5740</v>
      </c>
      <c r="D1478" s="2">
        <v>1.0028027568273113E-4</v>
      </c>
      <c r="E1478" s="8" t="s">
        <v>5741</v>
      </c>
      <c r="F1478" s="9" t="s">
        <v>15</v>
      </c>
      <c r="G1478" s="9" t="s">
        <v>16</v>
      </c>
      <c r="H1478" s="9" t="s">
        <v>16</v>
      </c>
      <c r="I1478" s="9"/>
      <c r="J1478" s="9"/>
      <c r="K1478" s="9"/>
    </row>
    <row r="1479" hidden="1">
      <c r="A1479" s="3" t="s">
        <v>5742</v>
      </c>
      <c r="B1479" s="2" t="s">
        <v>5743</v>
      </c>
      <c r="C1479" s="3" t="s">
        <v>5744</v>
      </c>
      <c r="D1479" s="2">
        <v>1.0028027568273113E-4</v>
      </c>
      <c r="E1479" s="8" t="s">
        <v>5745</v>
      </c>
      <c r="F1479" s="9" t="s">
        <v>15</v>
      </c>
      <c r="G1479" s="9" t="s">
        <v>16</v>
      </c>
      <c r="H1479" s="9" t="s">
        <v>16</v>
      </c>
      <c r="I1479" s="9"/>
      <c r="J1479" s="9"/>
      <c r="K1479" s="9"/>
    </row>
    <row r="1480" hidden="1">
      <c r="A1480" s="3" t="s">
        <v>5746</v>
      </c>
      <c r="B1480" s="2" t="s">
        <v>5747</v>
      </c>
      <c r="C1480" s="3" t="s">
        <v>5748</v>
      </c>
      <c r="D1480" s="2">
        <v>1.0028027568273113E-4</v>
      </c>
      <c r="E1480" s="8" t="s">
        <v>5749</v>
      </c>
      <c r="F1480" s="9" t="s">
        <v>15</v>
      </c>
      <c r="G1480" s="9" t="s">
        <v>16</v>
      </c>
      <c r="H1480" s="9" t="s">
        <v>16</v>
      </c>
      <c r="I1480" s="9"/>
      <c r="J1480" s="9"/>
      <c r="K1480" s="9"/>
    </row>
    <row r="1481" hidden="1">
      <c r="A1481" s="3" t="s">
        <v>5750</v>
      </c>
      <c r="B1481" s="2" t="s">
        <v>5751</v>
      </c>
      <c r="C1481" s="3"/>
      <c r="D1481" s="2">
        <v>1.0028027568273113E-4</v>
      </c>
      <c r="E1481" s="8" t="s">
        <v>5752</v>
      </c>
      <c r="F1481" s="9" t="s">
        <v>15</v>
      </c>
      <c r="G1481" s="9" t="s">
        <v>16</v>
      </c>
      <c r="H1481" s="9" t="s">
        <v>16</v>
      </c>
      <c r="I1481" s="9"/>
      <c r="J1481" s="9"/>
      <c r="K1481" s="9"/>
    </row>
    <row r="1482" hidden="1">
      <c r="A1482" s="3" t="s">
        <v>5753</v>
      </c>
      <c r="B1482" s="2" t="s">
        <v>5754</v>
      </c>
      <c r="C1482" s="3" t="s">
        <v>5755</v>
      </c>
      <c r="D1482" s="2">
        <v>1.0028027568273113E-4</v>
      </c>
      <c r="E1482" s="8" t="s">
        <v>5756</v>
      </c>
      <c r="F1482" s="9" t="s">
        <v>15</v>
      </c>
      <c r="G1482" s="9" t="s">
        <v>16</v>
      </c>
      <c r="H1482" s="9" t="s">
        <v>16</v>
      </c>
      <c r="I1482" s="9"/>
      <c r="J1482" s="9"/>
      <c r="K1482" s="9"/>
    </row>
    <row r="1483" hidden="1">
      <c r="A1483" s="3" t="s">
        <v>5757</v>
      </c>
      <c r="B1483" s="2" t="s">
        <v>5758</v>
      </c>
      <c r="C1483" s="3" t="s">
        <v>5759</v>
      </c>
      <c r="D1483" s="2">
        <v>1.0028027568273113E-4</v>
      </c>
      <c r="E1483" s="8" t="s">
        <v>5760</v>
      </c>
      <c r="F1483" s="9" t="s">
        <v>15</v>
      </c>
      <c r="G1483" s="9" t="s">
        <v>16</v>
      </c>
      <c r="H1483" s="9" t="s">
        <v>16</v>
      </c>
      <c r="I1483" s="9"/>
      <c r="J1483" s="9"/>
      <c r="K1483" s="9"/>
    </row>
    <row r="1484" hidden="1">
      <c r="A1484" s="3" t="s">
        <v>5761</v>
      </c>
      <c r="B1484" s="2" t="s">
        <v>5762</v>
      </c>
      <c r="C1484" s="3" t="s">
        <v>5763</v>
      </c>
      <c r="D1484" s="2">
        <v>1.0028027568273113E-4</v>
      </c>
      <c r="E1484" s="8" t="s">
        <v>5764</v>
      </c>
      <c r="F1484" s="9" t="s">
        <v>15</v>
      </c>
      <c r="G1484" s="9" t="s">
        <v>16</v>
      </c>
      <c r="H1484" s="9" t="s">
        <v>16</v>
      </c>
      <c r="I1484" s="9"/>
      <c r="J1484" s="9"/>
      <c r="K1484" s="9"/>
    </row>
    <row r="1485" hidden="1">
      <c r="A1485" s="3" t="s">
        <v>5765</v>
      </c>
      <c r="B1485" s="2" t="s">
        <v>5766</v>
      </c>
      <c r="C1485" s="3" t="s">
        <v>5767</v>
      </c>
      <c r="D1485" s="2">
        <v>1.0028027568273113E-4</v>
      </c>
      <c r="E1485" s="8" t="s">
        <v>5768</v>
      </c>
      <c r="F1485" s="9" t="s">
        <v>15</v>
      </c>
      <c r="G1485" s="9" t="s">
        <v>16</v>
      </c>
      <c r="H1485" s="9" t="s">
        <v>16</v>
      </c>
      <c r="I1485" s="9"/>
      <c r="J1485" s="9"/>
      <c r="K1485" s="9"/>
    </row>
    <row r="1486" hidden="1">
      <c r="A1486" s="3" t="s">
        <v>5769</v>
      </c>
      <c r="B1486" s="2" t="s">
        <v>5770</v>
      </c>
      <c r="C1486" s="11" t="s">
        <v>5771</v>
      </c>
      <c r="D1486" s="2">
        <v>1.0028027568273113E-4</v>
      </c>
      <c r="E1486" s="8" t="s">
        <v>5772</v>
      </c>
      <c r="F1486" s="9" t="s">
        <v>15</v>
      </c>
      <c r="G1486" s="9" t="s">
        <v>16</v>
      </c>
      <c r="H1486" s="9" t="s">
        <v>16</v>
      </c>
      <c r="I1486" s="9"/>
      <c r="J1486" s="9"/>
      <c r="K1486" s="9"/>
    </row>
    <row r="1487" hidden="1">
      <c r="A1487" s="3" t="s">
        <v>5773</v>
      </c>
      <c r="B1487" s="2" t="s">
        <v>5774</v>
      </c>
      <c r="C1487" s="3"/>
      <c r="D1487" s="2">
        <v>1.0028027568273113E-4</v>
      </c>
      <c r="E1487" s="8" t="s">
        <v>1945</v>
      </c>
      <c r="F1487" s="9" t="s">
        <v>15</v>
      </c>
      <c r="G1487" s="9" t="s">
        <v>16</v>
      </c>
      <c r="H1487" s="9" t="s">
        <v>16</v>
      </c>
      <c r="I1487" s="9"/>
      <c r="J1487" s="9"/>
      <c r="K1487" s="9"/>
    </row>
    <row r="1488" hidden="1">
      <c r="A1488" s="3" t="s">
        <v>5775</v>
      </c>
      <c r="B1488" s="2" t="s">
        <v>5776</v>
      </c>
      <c r="C1488" s="3" t="s">
        <v>5777</v>
      </c>
      <c r="D1488" s="2">
        <v>1.0028027568273113E-4</v>
      </c>
      <c r="E1488" s="8" t="s">
        <v>5778</v>
      </c>
      <c r="F1488" s="9" t="s">
        <v>15</v>
      </c>
      <c r="G1488" s="9" t="s">
        <v>16</v>
      </c>
      <c r="H1488" s="9" t="s">
        <v>16</v>
      </c>
      <c r="I1488" s="9"/>
      <c r="J1488" s="9"/>
      <c r="K1488" s="9"/>
    </row>
    <row r="1489" hidden="1">
      <c r="A1489" s="3" t="s">
        <v>5779</v>
      </c>
      <c r="B1489" s="2" t="s">
        <v>5780</v>
      </c>
      <c r="C1489" s="3" t="s">
        <v>5781</v>
      </c>
      <c r="D1489" s="2">
        <v>1.0028027568273113E-4</v>
      </c>
      <c r="E1489" s="8" t="s">
        <v>5782</v>
      </c>
      <c r="F1489" s="9" t="s">
        <v>15</v>
      </c>
      <c r="G1489" s="9" t="s">
        <v>16</v>
      </c>
      <c r="H1489" s="9" t="s">
        <v>16</v>
      </c>
      <c r="I1489" s="9"/>
      <c r="J1489" s="9"/>
      <c r="K1489" s="9"/>
    </row>
    <row r="1490" hidden="1">
      <c r="A1490" s="3" t="s">
        <v>5783</v>
      </c>
      <c r="B1490" s="2" t="s">
        <v>5784</v>
      </c>
      <c r="C1490" s="3" t="s">
        <v>5785</v>
      </c>
      <c r="D1490" s="2">
        <v>1.0028027568273113E-4</v>
      </c>
      <c r="E1490" s="8" t="s">
        <v>5786</v>
      </c>
      <c r="F1490" s="9" t="s">
        <v>15</v>
      </c>
      <c r="G1490" s="9" t="s">
        <v>16</v>
      </c>
      <c r="H1490" s="9" t="s">
        <v>16</v>
      </c>
      <c r="I1490" s="9"/>
      <c r="J1490" s="9"/>
      <c r="K1490" s="9"/>
    </row>
    <row r="1491" hidden="1">
      <c r="A1491" s="3" t="s">
        <v>5787</v>
      </c>
      <c r="B1491" s="2" t="s">
        <v>5788</v>
      </c>
      <c r="C1491" s="3" t="s">
        <v>5789</v>
      </c>
      <c r="D1491" s="2">
        <v>1.0028027568273113E-4</v>
      </c>
      <c r="E1491" s="8" t="s">
        <v>5790</v>
      </c>
      <c r="F1491" s="9" t="s">
        <v>15</v>
      </c>
      <c r="G1491" s="9" t="s">
        <v>16</v>
      </c>
      <c r="H1491" s="9" t="s">
        <v>16</v>
      </c>
      <c r="I1491" s="9"/>
      <c r="J1491" s="9"/>
      <c r="K1491" s="9"/>
    </row>
    <row r="1492" hidden="1">
      <c r="A1492" s="3" t="s">
        <v>5791</v>
      </c>
      <c r="B1492" s="2" t="s">
        <v>5792</v>
      </c>
      <c r="C1492" s="3" t="s">
        <v>5793</v>
      </c>
      <c r="D1492" s="2">
        <v>1.0028027568273113E-4</v>
      </c>
      <c r="E1492" s="8" t="s">
        <v>5794</v>
      </c>
      <c r="F1492" s="9" t="s">
        <v>15</v>
      </c>
      <c r="G1492" s="9" t="s">
        <v>16</v>
      </c>
      <c r="H1492" s="9" t="s">
        <v>16</v>
      </c>
      <c r="I1492" s="9"/>
      <c r="J1492" s="9"/>
      <c r="K1492" s="9"/>
    </row>
    <row r="1493" hidden="1">
      <c r="A1493" s="3" t="s">
        <v>5795</v>
      </c>
      <c r="B1493" s="2" t="s">
        <v>5796</v>
      </c>
      <c r="C1493" s="3" t="s">
        <v>5797</v>
      </c>
      <c r="D1493" s="2">
        <v>1.0028027568273113E-4</v>
      </c>
      <c r="E1493" s="8" t="s">
        <v>5798</v>
      </c>
      <c r="F1493" s="9" t="s">
        <v>15</v>
      </c>
      <c r="G1493" s="9" t="s">
        <v>16</v>
      </c>
      <c r="H1493" s="9" t="s">
        <v>16</v>
      </c>
      <c r="I1493" s="9"/>
      <c r="J1493" s="9"/>
      <c r="K1493" s="9"/>
    </row>
    <row r="1494" hidden="1">
      <c r="A1494" s="3" t="s">
        <v>5799</v>
      </c>
      <c r="B1494" s="2" t="s">
        <v>5800</v>
      </c>
      <c r="C1494" s="3" t="s">
        <v>5801</v>
      </c>
      <c r="D1494" s="2">
        <v>1.0028027568273113E-4</v>
      </c>
      <c r="E1494" s="8" t="s">
        <v>5802</v>
      </c>
      <c r="F1494" s="9" t="s">
        <v>15</v>
      </c>
      <c r="G1494" s="9" t="s">
        <v>16</v>
      </c>
      <c r="H1494" s="9" t="s">
        <v>16</v>
      </c>
      <c r="I1494" s="9"/>
      <c r="J1494" s="9"/>
      <c r="K1494" s="9"/>
    </row>
    <row r="1495" hidden="1">
      <c r="A1495" s="3" t="s">
        <v>5803</v>
      </c>
      <c r="B1495" s="2" t="s">
        <v>5804</v>
      </c>
      <c r="C1495" s="3" t="s">
        <v>5805</v>
      </c>
      <c r="D1495" s="2">
        <v>1.0028027568273113E-4</v>
      </c>
      <c r="E1495" s="8" t="s">
        <v>5806</v>
      </c>
      <c r="F1495" s="9" t="s">
        <v>15</v>
      </c>
      <c r="G1495" s="9" t="s">
        <v>16</v>
      </c>
      <c r="H1495" s="9" t="s">
        <v>16</v>
      </c>
      <c r="I1495" s="9"/>
      <c r="J1495" s="9"/>
      <c r="K1495" s="9"/>
    </row>
    <row r="1496" hidden="1">
      <c r="A1496" s="3" t="s">
        <v>5807</v>
      </c>
      <c r="B1496" s="2" t="s">
        <v>5808</v>
      </c>
      <c r="C1496" s="3" t="s">
        <v>5809</v>
      </c>
      <c r="D1496" s="2">
        <v>1.0028027568273113E-4</v>
      </c>
      <c r="E1496" s="8" t="s">
        <v>5810</v>
      </c>
      <c r="F1496" s="9" t="s">
        <v>15</v>
      </c>
      <c r="G1496" s="9" t="s">
        <v>16</v>
      </c>
      <c r="H1496" s="9" t="s">
        <v>16</v>
      </c>
      <c r="I1496" s="9"/>
      <c r="J1496" s="9"/>
      <c r="K1496" s="9"/>
    </row>
    <row r="1497" hidden="1">
      <c r="A1497" s="3" t="s">
        <v>5811</v>
      </c>
      <c r="B1497" s="2" t="s">
        <v>5812</v>
      </c>
      <c r="C1497" s="3" t="s">
        <v>5813</v>
      </c>
      <c r="D1497" s="2">
        <v>1.0028027568273113E-4</v>
      </c>
      <c r="E1497" s="8" t="s">
        <v>5814</v>
      </c>
      <c r="F1497" s="9" t="s">
        <v>15</v>
      </c>
      <c r="G1497" s="9" t="s">
        <v>16</v>
      </c>
      <c r="H1497" s="9" t="s">
        <v>16</v>
      </c>
      <c r="I1497" s="9"/>
      <c r="J1497" s="9"/>
      <c r="K1497" s="9"/>
    </row>
    <row r="1498" hidden="1">
      <c r="A1498" s="3" t="s">
        <v>5815</v>
      </c>
      <c r="B1498" s="2" t="s">
        <v>5816</v>
      </c>
      <c r="C1498" s="3"/>
      <c r="D1498" s="2">
        <v>1.0028027568273113E-4</v>
      </c>
      <c r="E1498" s="8" t="s">
        <v>5817</v>
      </c>
      <c r="F1498" s="9" t="s">
        <v>15</v>
      </c>
      <c r="G1498" s="9" t="s">
        <v>16</v>
      </c>
      <c r="H1498" s="9" t="s">
        <v>16</v>
      </c>
      <c r="I1498" s="9"/>
      <c r="J1498" s="9"/>
      <c r="K1498" s="9"/>
    </row>
    <row r="1499" hidden="1">
      <c r="A1499" s="3" t="s">
        <v>5818</v>
      </c>
      <c r="B1499" s="2" t="s">
        <v>5819</v>
      </c>
      <c r="C1499" s="3" t="s">
        <v>5820</v>
      </c>
      <c r="D1499" s="2">
        <v>1.0028027568273113E-4</v>
      </c>
      <c r="E1499" s="8" t="s">
        <v>5821</v>
      </c>
      <c r="F1499" s="9" t="s">
        <v>15</v>
      </c>
      <c r="G1499" s="9" t="s">
        <v>16</v>
      </c>
      <c r="H1499" s="9" t="s">
        <v>16</v>
      </c>
      <c r="I1499" s="9"/>
      <c r="J1499" s="9"/>
      <c r="K1499" s="9"/>
    </row>
    <row r="1500" hidden="1">
      <c r="A1500" s="3" t="s">
        <v>5822</v>
      </c>
      <c r="B1500" s="2" t="s">
        <v>5823</v>
      </c>
      <c r="C1500" s="3" t="s">
        <v>5824</v>
      </c>
      <c r="D1500" s="2">
        <v>1.0028027568273113E-4</v>
      </c>
      <c r="E1500" s="8" t="s">
        <v>5825</v>
      </c>
      <c r="F1500" s="9" t="s">
        <v>15</v>
      </c>
      <c r="G1500" s="9" t="s">
        <v>16</v>
      </c>
      <c r="H1500" s="9" t="s">
        <v>16</v>
      </c>
      <c r="I1500" s="9"/>
      <c r="J1500" s="9"/>
      <c r="K1500" s="9"/>
    </row>
    <row r="1501" hidden="1">
      <c r="A1501" s="3" t="s">
        <v>5826</v>
      </c>
      <c r="B1501" s="2" t="s">
        <v>5827</v>
      </c>
      <c r="C1501" s="3" t="s">
        <v>5828</v>
      </c>
      <c r="D1501" s="2">
        <v>1.0028027568273113E-4</v>
      </c>
      <c r="E1501" s="8" t="s">
        <v>5829</v>
      </c>
      <c r="F1501" s="9" t="s">
        <v>15</v>
      </c>
      <c r="G1501" s="9" t="s">
        <v>16</v>
      </c>
      <c r="H1501" s="9" t="s">
        <v>16</v>
      </c>
      <c r="I1501" s="9"/>
      <c r="J1501" s="9"/>
      <c r="K1501" s="9"/>
    </row>
    <row r="1502" hidden="1">
      <c r="A1502" s="3" t="s">
        <v>5830</v>
      </c>
      <c r="B1502" s="2" t="s">
        <v>5831</v>
      </c>
      <c r="C1502" s="3" t="s">
        <v>5832</v>
      </c>
      <c r="D1502" s="2">
        <v>1.0028027568273113E-4</v>
      </c>
      <c r="E1502" s="8" t="s">
        <v>5833</v>
      </c>
      <c r="F1502" s="9" t="s">
        <v>15</v>
      </c>
      <c r="G1502" s="9" t="s">
        <v>16</v>
      </c>
      <c r="H1502" s="9" t="s">
        <v>16</v>
      </c>
      <c r="I1502" s="9"/>
      <c r="J1502" s="9"/>
      <c r="K1502" s="9"/>
    </row>
    <row r="1503" hidden="1">
      <c r="A1503" s="3" t="s">
        <v>5834</v>
      </c>
      <c r="B1503" s="2" t="s">
        <v>5835</v>
      </c>
      <c r="C1503" s="3" t="s">
        <v>5836</v>
      </c>
      <c r="D1503" s="2">
        <v>1.0028027568273113E-4</v>
      </c>
      <c r="E1503" s="8" t="s">
        <v>5837</v>
      </c>
      <c r="F1503" s="9" t="s">
        <v>15</v>
      </c>
      <c r="G1503" s="9" t="s">
        <v>16</v>
      </c>
      <c r="H1503" s="9" t="s">
        <v>16</v>
      </c>
      <c r="I1503" s="9"/>
      <c r="J1503" s="9"/>
      <c r="K1503" s="9"/>
    </row>
    <row r="1504" hidden="1">
      <c r="A1504" s="3" t="s">
        <v>5838</v>
      </c>
      <c r="B1504" s="2" t="s">
        <v>5839</v>
      </c>
      <c r="C1504" s="3" t="s">
        <v>5840</v>
      </c>
      <c r="D1504" s="2">
        <v>1.0028027568273113E-4</v>
      </c>
      <c r="E1504" s="8" t="s">
        <v>5841</v>
      </c>
      <c r="F1504" s="9" t="s">
        <v>15</v>
      </c>
      <c r="G1504" s="9" t="s">
        <v>16</v>
      </c>
      <c r="H1504" s="9" t="s">
        <v>16</v>
      </c>
      <c r="I1504" s="9"/>
      <c r="J1504" s="9"/>
      <c r="K1504" s="9"/>
    </row>
    <row r="1505" hidden="1">
      <c r="A1505" s="3" t="s">
        <v>5842</v>
      </c>
      <c r="B1505" s="2" t="s">
        <v>5843</v>
      </c>
      <c r="C1505" s="3" t="s">
        <v>5844</v>
      </c>
      <c r="D1505" s="2">
        <v>1.0028027568273113E-4</v>
      </c>
      <c r="E1505" s="8" t="s">
        <v>5845</v>
      </c>
      <c r="F1505" s="9" t="s">
        <v>15</v>
      </c>
      <c r="G1505" s="9" t="s">
        <v>16</v>
      </c>
      <c r="H1505" s="9" t="s">
        <v>16</v>
      </c>
      <c r="I1505" s="9"/>
      <c r="J1505" s="9"/>
      <c r="K1505" s="9"/>
    </row>
    <row r="1506" hidden="1">
      <c r="A1506" s="3" t="s">
        <v>5846</v>
      </c>
      <c r="B1506" s="2" t="s">
        <v>5847</v>
      </c>
      <c r="C1506" s="3"/>
      <c r="D1506" s="2">
        <v>1.0028027568273113E-4</v>
      </c>
      <c r="E1506" s="8" t="s">
        <v>5019</v>
      </c>
      <c r="F1506" s="9" t="s">
        <v>15</v>
      </c>
      <c r="G1506" s="9" t="s">
        <v>16</v>
      </c>
      <c r="H1506" s="9" t="s">
        <v>16</v>
      </c>
      <c r="I1506" s="9"/>
      <c r="J1506" s="9"/>
      <c r="K1506" s="9"/>
    </row>
    <row r="1507" hidden="1">
      <c r="A1507" s="3" t="s">
        <v>5848</v>
      </c>
      <c r="B1507" s="2" t="s">
        <v>5849</v>
      </c>
      <c r="C1507" s="3"/>
      <c r="D1507" s="2">
        <v>1.0028027568273113E-4</v>
      </c>
      <c r="E1507" s="8" t="s">
        <v>5850</v>
      </c>
      <c r="F1507" s="9" t="s">
        <v>15</v>
      </c>
      <c r="G1507" s="9" t="s">
        <v>16</v>
      </c>
      <c r="H1507" s="9" t="s">
        <v>16</v>
      </c>
      <c r="I1507" s="9"/>
      <c r="J1507" s="9"/>
      <c r="K1507" s="9"/>
    </row>
    <row r="1508" hidden="1">
      <c r="A1508" s="3" t="s">
        <v>5851</v>
      </c>
      <c r="B1508" s="2" t="s">
        <v>5852</v>
      </c>
      <c r="C1508" s="3" t="s">
        <v>5853</v>
      </c>
      <c r="D1508" s="2">
        <v>1.0028027568273113E-4</v>
      </c>
      <c r="E1508" s="8" t="s">
        <v>5854</v>
      </c>
      <c r="F1508" s="9" t="s">
        <v>15</v>
      </c>
      <c r="G1508" s="9" t="s">
        <v>16</v>
      </c>
      <c r="H1508" s="9" t="s">
        <v>16</v>
      </c>
      <c r="I1508" s="9"/>
      <c r="J1508" s="9"/>
      <c r="K1508" s="9"/>
    </row>
    <row r="1509" hidden="1">
      <c r="A1509" s="3" t="s">
        <v>5855</v>
      </c>
      <c r="B1509" s="2" t="s">
        <v>5856</v>
      </c>
      <c r="C1509" s="3" t="s">
        <v>5857</v>
      </c>
      <c r="D1509" s="2">
        <v>1.0028027568273113E-4</v>
      </c>
      <c r="E1509" s="8" t="s">
        <v>5858</v>
      </c>
      <c r="F1509" s="9" t="s">
        <v>15</v>
      </c>
      <c r="G1509" s="9" t="s">
        <v>16</v>
      </c>
      <c r="H1509" s="9" t="s">
        <v>16</v>
      </c>
      <c r="I1509" s="9"/>
      <c r="J1509" s="9"/>
      <c r="K1509" s="9"/>
    </row>
    <row r="1510" hidden="1">
      <c r="A1510" s="3" t="s">
        <v>5859</v>
      </c>
      <c r="B1510" s="2" t="s">
        <v>5860</v>
      </c>
      <c r="C1510" s="3" t="s">
        <v>5861</v>
      </c>
      <c r="D1510" s="2">
        <v>1.0028027568273113E-4</v>
      </c>
      <c r="E1510" s="8" t="s">
        <v>5862</v>
      </c>
      <c r="F1510" s="9" t="s">
        <v>15</v>
      </c>
      <c r="G1510" s="9" t="s">
        <v>16</v>
      </c>
      <c r="H1510" s="9" t="s">
        <v>16</v>
      </c>
      <c r="I1510" s="9"/>
      <c r="J1510" s="9"/>
      <c r="K1510" s="9"/>
    </row>
    <row r="1511" hidden="1">
      <c r="A1511" s="3" t="s">
        <v>5863</v>
      </c>
      <c r="B1511" s="2" t="s">
        <v>5864</v>
      </c>
      <c r="C1511" s="3" t="s">
        <v>5865</v>
      </c>
      <c r="D1511" s="2">
        <v>1.0028027568273113E-4</v>
      </c>
      <c r="E1511" s="8" t="s">
        <v>1929</v>
      </c>
      <c r="F1511" s="9" t="s">
        <v>15</v>
      </c>
      <c r="G1511" s="9" t="s">
        <v>16</v>
      </c>
      <c r="H1511" s="9" t="s">
        <v>16</v>
      </c>
      <c r="I1511" s="9"/>
      <c r="J1511" s="9"/>
      <c r="K1511" s="9"/>
    </row>
    <row r="1512" hidden="1">
      <c r="A1512" s="3" t="s">
        <v>5866</v>
      </c>
      <c r="B1512" s="2" t="s">
        <v>5867</v>
      </c>
      <c r="C1512" s="3" t="s">
        <v>5868</v>
      </c>
      <c r="D1512" s="2">
        <v>1.0028027568273113E-4</v>
      </c>
      <c r="E1512" s="8" t="s">
        <v>5869</v>
      </c>
      <c r="F1512" s="9" t="s">
        <v>15</v>
      </c>
      <c r="G1512" s="9" t="s">
        <v>16</v>
      </c>
      <c r="H1512" s="9" t="s">
        <v>16</v>
      </c>
      <c r="I1512" s="9"/>
      <c r="J1512" s="9"/>
      <c r="K1512" s="9"/>
    </row>
    <row r="1513" hidden="1">
      <c r="A1513" s="3" t="s">
        <v>5870</v>
      </c>
      <c r="B1513" s="2" t="s">
        <v>5871</v>
      </c>
      <c r="C1513" s="3" t="s">
        <v>5872</v>
      </c>
      <c r="D1513" s="2">
        <v>1.0028027568273113E-4</v>
      </c>
      <c r="E1513" s="8" t="s">
        <v>5873</v>
      </c>
      <c r="F1513" s="9" t="s">
        <v>15</v>
      </c>
      <c r="G1513" s="9" t="s">
        <v>16</v>
      </c>
      <c r="H1513" s="9" t="s">
        <v>16</v>
      </c>
      <c r="I1513" s="9"/>
      <c r="J1513" s="9"/>
      <c r="K1513" s="9"/>
    </row>
    <row r="1514" hidden="1">
      <c r="A1514" s="3" t="s">
        <v>5874</v>
      </c>
      <c r="B1514" s="2" t="s">
        <v>5875</v>
      </c>
      <c r="C1514" s="3"/>
      <c r="D1514" s="2">
        <v>1.0028027568273113E-4</v>
      </c>
      <c r="E1514" s="8" t="s">
        <v>5876</v>
      </c>
      <c r="F1514" s="9" t="s">
        <v>15</v>
      </c>
      <c r="G1514" s="9" t="s">
        <v>16</v>
      </c>
      <c r="H1514" s="9" t="s">
        <v>16</v>
      </c>
      <c r="I1514" s="9"/>
      <c r="J1514" s="9"/>
      <c r="K1514" s="9"/>
    </row>
    <row r="1515" hidden="1">
      <c r="A1515" s="3" t="s">
        <v>5877</v>
      </c>
      <c r="B1515" s="2" t="s">
        <v>5878</v>
      </c>
      <c r="C1515" s="3" t="s">
        <v>5879</v>
      </c>
      <c r="D1515" s="2">
        <v>1.0028027568273113E-4</v>
      </c>
      <c r="E1515" s="8" t="s">
        <v>5880</v>
      </c>
      <c r="F1515" s="9" t="s">
        <v>15</v>
      </c>
      <c r="G1515" s="9" t="s">
        <v>16</v>
      </c>
      <c r="H1515" s="9" t="s">
        <v>16</v>
      </c>
      <c r="I1515" s="9"/>
      <c r="J1515" s="9"/>
      <c r="K1515" s="9"/>
    </row>
    <row r="1516" hidden="1">
      <c r="A1516" s="3" t="s">
        <v>5881</v>
      </c>
      <c r="B1516" s="2" t="s">
        <v>5882</v>
      </c>
      <c r="C1516" s="3" t="s">
        <v>5883</v>
      </c>
      <c r="D1516" s="2">
        <v>1.0028027568273113E-4</v>
      </c>
      <c r="E1516" s="8" t="s">
        <v>3406</v>
      </c>
      <c r="F1516" s="9" t="s">
        <v>15</v>
      </c>
      <c r="G1516" s="9" t="s">
        <v>16</v>
      </c>
      <c r="H1516" s="9" t="s">
        <v>16</v>
      </c>
      <c r="I1516" s="9"/>
      <c r="J1516" s="9"/>
      <c r="K1516" s="9"/>
    </row>
    <row r="1517" hidden="1">
      <c r="A1517" s="3" t="s">
        <v>5884</v>
      </c>
      <c r="B1517" s="2" t="s">
        <v>5885</v>
      </c>
      <c r="C1517" s="3" t="s">
        <v>5886</v>
      </c>
      <c r="D1517" s="2">
        <v>1.0028027568273113E-4</v>
      </c>
      <c r="E1517" s="8" t="s">
        <v>4319</v>
      </c>
      <c r="F1517" s="9" t="s">
        <v>15</v>
      </c>
      <c r="G1517" s="9" t="s">
        <v>16</v>
      </c>
      <c r="H1517" s="9" t="s">
        <v>16</v>
      </c>
      <c r="I1517" s="9"/>
      <c r="J1517" s="9"/>
      <c r="K1517" s="9"/>
    </row>
    <row r="1518" hidden="1">
      <c r="A1518" s="3" t="s">
        <v>5887</v>
      </c>
      <c r="B1518" s="2" t="s">
        <v>5888</v>
      </c>
      <c r="C1518" s="3" t="s">
        <v>5889</v>
      </c>
      <c r="D1518" s="2">
        <v>1.0028027568273113E-4</v>
      </c>
      <c r="E1518" s="8" t="s">
        <v>5890</v>
      </c>
      <c r="F1518" s="9" t="s">
        <v>15</v>
      </c>
      <c r="G1518" s="9" t="s">
        <v>16</v>
      </c>
      <c r="H1518" s="9" t="s">
        <v>16</v>
      </c>
      <c r="I1518" s="9"/>
      <c r="J1518" s="9"/>
      <c r="K1518" s="9"/>
    </row>
    <row r="1519" hidden="1">
      <c r="A1519" s="3" t="s">
        <v>5891</v>
      </c>
      <c r="B1519" s="2" t="s">
        <v>5892</v>
      </c>
      <c r="C1519" s="3" t="s">
        <v>5893</v>
      </c>
      <c r="D1519" s="2">
        <v>1.0028027568273113E-4</v>
      </c>
      <c r="E1519" s="8" t="s">
        <v>1129</v>
      </c>
      <c r="F1519" s="9" t="s">
        <v>15</v>
      </c>
      <c r="G1519" s="9" t="s">
        <v>16</v>
      </c>
      <c r="H1519" s="9" t="s">
        <v>16</v>
      </c>
      <c r="I1519" s="9"/>
      <c r="J1519" s="9"/>
      <c r="K1519" s="9"/>
    </row>
    <row r="1520" hidden="1">
      <c r="A1520" s="3" t="s">
        <v>5894</v>
      </c>
      <c r="B1520" s="2" t="s">
        <v>5895</v>
      </c>
      <c r="C1520" s="3" t="s">
        <v>5896</v>
      </c>
      <c r="D1520" s="2">
        <v>1.0028027568273113E-4</v>
      </c>
      <c r="E1520" s="8" t="s">
        <v>5725</v>
      </c>
      <c r="F1520" s="9" t="s">
        <v>15</v>
      </c>
      <c r="G1520" s="9" t="s">
        <v>16</v>
      </c>
      <c r="H1520" s="9" t="s">
        <v>16</v>
      </c>
      <c r="I1520" s="9"/>
      <c r="J1520" s="9"/>
      <c r="K1520" s="9"/>
    </row>
    <row r="1521" hidden="1">
      <c r="A1521" s="3" t="s">
        <v>5897</v>
      </c>
      <c r="B1521" s="2" t="s">
        <v>5898</v>
      </c>
      <c r="C1521" s="3" t="s">
        <v>5899</v>
      </c>
      <c r="D1521" s="2">
        <v>1.0028027568273113E-4</v>
      </c>
      <c r="E1521" s="8" t="s">
        <v>5900</v>
      </c>
      <c r="F1521" s="9" t="s">
        <v>15</v>
      </c>
      <c r="G1521" s="9" t="s">
        <v>16</v>
      </c>
      <c r="H1521" s="9" t="s">
        <v>16</v>
      </c>
      <c r="I1521" s="9"/>
      <c r="J1521" s="9"/>
      <c r="K1521" s="9"/>
    </row>
    <row r="1522" hidden="1">
      <c r="A1522" s="3" t="s">
        <v>5901</v>
      </c>
      <c r="B1522" s="2" t="s">
        <v>5902</v>
      </c>
      <c r="C1522" s="3" t="s">
        <v>5903</v>
      </c>
      <c r="D1522" s="2">
        <v>1.0028027568273113E-4</v>
      </c>
      <c r="E1522" s="8" t="s">
        <v>5904</v>
      </c>
      <c r="F1522" s="9" t="s">
        <v>15</v>
      </c>
      <c r="G1522" s="9" t="s">
        <v>16</v>
      </c>
      <c r="H1522" s="9" t="s">
        <v>16</v>
      </c>
      <c r="I1522" s="9"/>
      <c r="J1522" s="9"/>
      <c r="K1522" s="9"/>
    </row>
    <row r="1523" hidden="1">
      <c r="A1523" s="3" t="s">
        <v>5905</v>
      </c>
      <c r="B1523" s="2" t="s">
        <v>5906</v>
      </c>
      <c r="C1523" s="3" t="s">
        <v>5907</v>
      </c>
      <c r="D1523" s="2">
        <v>1.0028027568273113E-4</v>
      </c>
      <c r="E1523" s="8" t="s">
        <v>5908</v>
      </c>
      <c r="F1523" s="9" t="s">
        <v>15</v>
      </c>
      <c r="G1523" s="9" t="s">
        <v>16</v>
      </c>
      <c r="H1523" s="9" t="s">
        <v>16</v>
      </c>
      <c r="I1523" s="9"/>
      <c r="J1523" s="9"/>
      <c r="K1523" s="9"/>
    </row>
    <row r="1524" hidden="1">
      <c r="A1524" s="3" t="s">
        <v>5909</v>
      </c>
      <c r="B1524" s="2" t="s">
        <v>5910</v>
      </c>
      <c r="C1524" s="3" t="s">
        <v>5911</v>
      </c>
      <c r="D1524" s="2">
        <v>1.0028027568273113E-4</v>
      </c>
      <c r="E1524" s="8" t="s">
        <v>5912</v>
      </c>
      <c r="F1524" s="9" t="s">
        <v>15</v>
      </c>
      <c r="G1524" s="9" t="s">
        <v>16</v>
      </c>
      <c r="H1524" s="9" t="s">
        <v>16</v>
      </c>
      <c r="I1524" s="9"/>
      <c r="J1524" s="9"/>
      <c r="K1524" s="9"/>
    </row>
    <row r="1525" hidden="1">
      <c r="A1525" s="3" t="s">
        <v>5913</v>
      </c>
      <c r="B1525" s="2" t="s">
        <v>5914</v>
      </c>
      <c r="C1525" s="3" t="s">
        <v>5915</v>
      </c>
      <c r="D1525" s="2">
        <v>1.0028027568273113E-4</v>
      </c>
      <c r="E1525" s="8" t="s">
        <v>1106</v>
      </c>
      <c r="F1525" s="9" t="s">
        <v>15</v>
      </c>
      <c r="G1525" s="9" t="s">
        <v>16</v>
      </c>
      <c r="H1525" s="9" t="s">
        <v>16</v>
      </c>
      <c r="I1525" s="9"/>
      <c r="J1525" s="9"/>
      <c r="K1525" s="9"/>
    </row>
    <row r="1526" hidden="1">
      <c r="A1526" s="3" t="s">
        <v>5916</v>
      </c>
      <c r="B1526" s="2" t="s">
        <v>5917</v>
      </c>
      <c r="C1526" s="3" t="s">
        <v>5918</v>
      </c>
      <c r="D1526" s="2">
        <v>1.0028027568273113E-4</v>
      </c>
      <c r="E1526" s="8" t="s">
        <v>3930</v>
      </c>
      <c r="F1526" s="9" t="s">
        <v>15</v>
      </c>
      <c r="G1526" s="9" t="s">
        <v>16</v>
      </c>
      <c r="H1526" s="9" t="s">
        <v>16</v>
      </c>
      <c r="I1526" s="9"/>
      <c r="J1526" s="9"/>
      <c r="K1526" s="9"/>
    </row>
    <row r="1527" hidden="1">
      <c r="A1527" s="3" t="s">
        <v>5919</v>
      </c>
      <c r="B1527" s="2" t="s">
        <v>5920</v>
      </c>
      <c r="C1527" s="3" t="s">
        <v>5921</v>
      </c>
      <c r="D1527" s="2">
        <v>1.0028027568273113E-4</v>
      </c>
      <c r="E1527" s="8" t="s">
        <v>5922</v>
      </c>
      <c r="F1527" s="9" t="s">
        <v>15</v>
      </c>
      <c r="G1527" s="9" t="s">
        <v>16</v>
      </c>
      <c r="H1527" s="9" t="s">
        <v>16</v>
      </c>
      <c r="I1527" s="9"/>
      <c r="J1527" s="9"/>
      <c r="K1527" s="9"/>
    </row>
    <row r="1528" hidden="1">
      <c r="A1528" s="3" t="s">
        <v>5923</v>
      </c>
      <c r="B1528" s="2" t="s">
        <v>5924</v>
      </c>
      <c r="C1528" s="3" t="s">
        <v>5925</v>
      </c>
      <c r="D1528" s="2">
        <v>1.0028027568273113E-4</v>
      </c>
      <c r="E1528" s="8" t="s">
        <v>5926</v>
      </c>
      <c r="F1528" s="9" t="s">
        <v>15</v>
      </c>
      <c r="G1528" s="9" t="s">
        <v>16</v>
      </c>
      <c r="H1528" s="9" t="s">
        <v>16</v>
      </c>
      <c r="I1528" s="9"/>
      <c r="J1528" s="9"/>
      <c r="K1528" s="9"/>
    </row>
    <row r="1529" hidden="1">
      <c r="A1529" s="3" t="s">
        <v>5927</v>
      </c>
      <c r="B1529" s="2" t="s">
        <v>5928</v>
      </c>
      <c r="C1529" s="3" t="s">
        <v>5929</v>
      </c>
      <c r="D1529" s="2">
        <v>1.0028027568273113E-4</v>
      </c>
      <c r="E1529" s="8" t="s">
        <v>5930</v>
      </c>
      <c r="F1529" s="9" t="s">
        <v>15</v>
      </c>
      <c r="G1529" s="9" t="s">
        <v>16</v>
      </c>
      <c r="H1529" s="9" t="s">
        <v>16</v>
      </c>
      <c r="I1529" s="9"/>
      <c r="J1529" s="9"/>
      <c r="K1529" s="9"/>
    </row>
    <row r="1530" hidden="1">
      <c r="A1530" s="3" t="s">
        <v>5931</v>
      </c>
      <c r="B1530" s="2" t="s">
        <v>5932</v>
      </c>
      <c r="C1530" s="3" t="s">
        <v>5933</v>
      </c>
      <c r="D1530" s="2">
        <v>1.0028027568273113E-4</v>
      </c>
      <c r="E1530" s="8" t="s">
        <v>5934</v>
      </c>
      <c r="F1530" s="9" t="s">
        <v>15</v>
      </c>
      <c r="G1530" s="9" t="s">
        <v>16</v>
      </c>
      <c r="H1530" s="9" t="s">
        <v>16</v>
      </c>
      <c r="I1530" s="9"/>
      <c r="J1530" s="9"/>
      <c r="K1530" s="9"/>
    </row>
    <row r="1531" hidden="1">
      <c r="A1531" s="3" t="s">
        <v>5935</v>
      </c>
      <c r="B1531" s="2" t="s">
        <v>5936</v>
      </c>
      <c r="C1531" s="3"/>
      <c r="D1531" s="2">
        <v>1.0028027568273113E-4</v>
      </c>
      <c r="E1531" s="8" t="s">
        <v>5937</v>
      </c>
      <c r="F1531" s="9" t="s">
        <v>15</v>
      </c>
      <c r="G1531" s="9" t="s">
        <v>16</v>
      </c>
      <c r="H1531" s="9" t="s">
        <v>16</v>
      </c>
      <c r="I1531" s="9"/>
      <c r="J1531" s="9"/>
      <c r="K1531" s="9"/>
    </row>
    <row r="1532" hidden="1">
      <c r="A1532" s="3" t="s">
        <v>5938</v>
      </c>
      <c r="B1532" s="2" t="s">
        <v>5939</v>
      </c>
      <c r="C1532" s="3" t="s">
        <v>5940</v>
      </c>
      <c r="D1532" s="2">
        <v>1.0028027568273113E-4</v>
      </c>
      <c r="E1532" s="8" t="s">
        <v>5941</v>
      </c>
      <c r="F1532" s="9" t="s">
        <v>15</v>
      </c>
      <c r="G1532" s="9" t="s">
        <v>16</v>
      </c>
      <c r="H1532" s="9" t="s">
        <v>16</v>
      </c>
      <c r="I1532" s="9"/>
      <c r="J1532" s="9"/>
      <c r="K1532" s="9"/>
    </row>
    <row r="1533" hidden="1">
      <c r="A1533" s="3" t="s">
        <v>5942</v>
      </c>
      <c r="B1533" s="2" t="s">
        <v>5943</v>
      </c>
      <c r="C1533" s="3" t="s">
        <v>5944</v>
      </c>
      <c r="D1533" s="2">
        <v>1.0028027568273113E-4</v>
      </c>
      <c r="E1533" s="8" t="s">
        <v>5945</v>
      </c>
      <c r="F1533" s="9" t="s">
        <v>15</v>
      </c>
      <c r="G1533" s="9" t="s">
        <v>16</v>
      </c>
      <c r="H1533" s="9" t="s">
        <v>16</v>
      </c>
      <c r="I1533" s="9"/>
      <c r="J1533" s="9"/>
      <c r="K1533" s="9"/>
    </row>
    <row r="1534" hidden="1">
      <c r="A1534" s="3" t="s">
        <v>5946</v>
      </c>
      <c r="B1534" s="2" t="s">
        <v>5947</v>
      </c>
      <c r="C1534" s="3" t="s">
        <v>5948</v>
      </c>
      <c r="D1534" s="2">
        <v>1.0028027568273113E-4</v>
      </c>
      <c r="E1534" s="8" t="s">
        <v>5949</v>
      </c>
      <c r="F1534" s="9" t="s">
        <v>15</v>
      </c>
      <c r="G1534" s="9" t="s">
        <v>16</v>
      </c>
      <c r="H1534" s="9" t="s">
        <v>16</v>
      </c>
      <c r="I1534" s="9"/>
      <c r="J1534" s="9"/>
      <c r="K1534" s="9"/>
    </row>
    <row r="1535" hidden="1">
      <c r="A1535" s="3" t="s">
        <v>5950</v>
      </c>
      <c r="B1535" s="2" t="s">
        <v>5951</v>
      </c>
      <c r="C1535" s="3" t="s">
        <v>5952</v>
      </c>
      <c r="D1535" s="2">
        <v>1.0028027568273113E-4</v>
      </c>
      <c r="E1535" s="8" t="s">
        <v>5953</v>
      </c>
      <c r="F1535" s="9" t="s">
        <v>15</v>
      </c>
      <c r="G1535" s="9" t="s">
        <v>16</v>
      </c>
      <c r="H1535" s="9" t="s">
        <v>16</v>
      </c>
      <c r="I1535" s="9"/>
      <c r="J1535" s="9"/>
      <c r="K1535" s="9"/>
    </row>
    <row r="1536" hidden="1">
      <c r="A1536" s="3" t="s">
        <v>5954</v>
      </c>
      <c r="B1536" s="2" t="s">
        <v>5955</v>
      </c>
      <c r="C1536" s="3"/>
      <c r="D1536" s="2">
        <v>1.0028027568273113E-4</v>
      </c>
      <c r="E1536" s="8" t="s">
        <v>5956</v>
      </c>
      <c r="F1536" s="9" t="s">
        <v>15</v>
      </c>
      <c r="G1536" s="9" t="s">
        <v>16</v>
      </c>
      <c r="H1536" s="9" t="s">
        <v>16</v>
      </c>
      <c r="I1536" s="9"/>
      <c r="J1536" s="9"/>
      <c r="K1536" s="9"/>
    </row>
    <row r="1537" hidden="1">
      <c r="A1537" s="3" t="s">
        <v>5957</v>
      </c>
      <c r="B1537" s="2" t="s">
        <v>5958</v>
      </c>
      <c r="C1537" s="3" t="s">
        <v>5959</v>
      </c>
      <c r="D1537" s="2">
        <v>1.0028027568273113E-4</v>
      </c>
      <c r="E1537" s="8" t="s">
        <v>5960</v>
      </c>
      <c r="F1537" s="9" t="s">
        <v>15</v>
      </c>
      <c r="G1537" s="9" t="s">
        <v>16</v>
      </c>
      <c r="H1537" s="9" t="s">
        <v>16</v>
      </c>
      <c r="I1537" s="9"/>
      <c r="J1537" s="9"/>
      <c r="K1537" s="9"/>
    </row>
    <row r="1538" hidden="1">
      <c r="A1538" s="3" t="s">
        <v>5961</v>
      </c>
      <c r="B1538" s="2" t="s">
        <v>5962</v>
      </c>
      <c r="C1538" s="3" t="s">
        <v>5963</v>
      </c>
      <c r="D1538" s="2">
        <v>1.0028027568273113E-4</v>
      </c>
      <c r="E1538" s="8" t="s">
        <v>5964</v>
      </c>
      <c r="F1538" s="9" t="s">
        <v>15</v>
      </c>
      <c r="G1538" s="9" t="s">
        <v>16</v>
      </c>
      <c r="H1538" s="9" t="s">
        <v>16</v>
      </c>
      <c r="I1538" s="9"/>
      <c r="J1538" s="9"/>
      <c r="K1538" s="9"/>
    </row>
    <row r="1539" hidden="1">
      <c r="A1539" s="3" t="s">
        <v>5965</v>
      </c>
      <c r="B1539" s="2" t="s">
        <v>5966</v>
      </c>
      <c r="C1539" s="3"/>
      <c r="D1539" s="2">
        <v>1.0028027568273113E-4</v>
      </c>
      <c r="E1539" s="8" t="s">
        <v>4989</v>
      </c>
      <c r="F1539" s="9" t="s">
        <v>15</v>
      </c>
      <c r="G1539" s="9" t="s">
        <v>16</v>
      </c>
      <c r="H1539" s="9" t="s">
        <v>16</v>
      </c>
      <c r="I1539" s="9"/>
      <c r="J1539" s="9"/>
      <c r="K1539" s="9"/>
    </row>
    <row r="1540" hidden="1">
      <c r="A1540" s="3" t="s">
        <v>5967</v>
      </c>
      <c r="B1540" s="2" t="s">
        <v>5968</v>
      </c>
      <c r="C1540" s="3" t="s">
        <v>5969</v>
      </c>
      <c r="D1540" s="2">
        <v>1.0028027568273113E-4</v>
      </c>
      <c r="E1540" s="8" t="s">
        <v>5970</v>
      </c>
      <c r="F1540" s="9" t="s">
        <v>15</v>
      </c>
      <c r="G1540" s="9" t="s">
        <v>16</v>
      </c>
      <c r="H1540" s="9" t="s">
        <v>16</v>
      </c>
      <c r="I1540" s="9"/>
      <c r="J1540" s="9"/>
      <c r="K1540" s="9"/>
    </row>
    <row r="1541" hidden="1">
      <c r="A1541" s="3" t="s">
        <v>5971</v>
      </c>
      <c r="B1541" s="2" t="s">
        <v>5972</v>
      </c>
      <c r="C1541" s="3" t="s">
        <v>5973</v>
      </c>
      <c r="D1541" s="2">
        <v>1.0028027568273113E-4</v>
      </c>
      <c r="E1541" s="8" t="s">
        <v>5974</v>
      </c>
      <c r="F1541" s="9" t="s">
        <v>15</v>
      </c>
      <c r="G1541" s="9" t="s">
        <v>16</v>
      </c>
      <c r="H1541" s="9" t="s">
        <v>16</v>
      </c>
      <c r="I1541" s="9"/>
      <c r="J1541" s="9"/>
      <c r="K1541" s="9"/>
    </row>
    <row r="1542" hidden="1">
      <c r="A1542" s="3" t="s">
        <v>5975</v>
      </c>
      <c r="B1542" s="2" t="s">
        <v>5976</v>
      </c>
      <c r="C1542" s="3" t="s">
        <v>5977</v>
      </c>
      <c r="D1542" s="2">
        <v>1.0028027568273113E-4</v>
      </c>
      <c r="E1542" s="8" t="s">
        <v>5978</v>
      </c>
      <c r="F1542" s="9" t="s">
        <v>15</v>
      </c>
      <c r="G1542" s="9" t="s">
        <v>16</v>
      </c>
      <c r="H1542" s="9" t="s">
        <v>16</v>
      </c>
      <c r="I1542" s="9"/>
      <c r="J1542" s="9"/>
      <c r="K1542" s="9"/>
    </row>
    <row r="1543" hidden="1">
      <c r="A1543" s="3" t="s">
        <v>5979</v>
      </c>
      <c r="B1543" s="2" t="s">
        <v>5980</v>
      </c>
      <c r="C1543" s="3" t="s">
        <v>5981</v>
      </c>
      <c r="D1543" s="2">
        <v>1.0028027568273113E-4</v>
      </c>
      <c r="E1543" s="8" t="s">
        <v>5982</v>
      </c>
      <c r="F1543" s="9" t="s">
        <v>15</v>
      </c>
      <c r="G1543" s="9" t="s">
        <v>16</v>
      </c>
      <c r="H1543" s="9" t="s">
        <v>16</v>
      </c>
      <c r="I1543" s="9"/>
      <c r="J1543" s="9"/>
      <c r="K1543" s="9"/>
    </row>
    <row r="1544" hidden="1">
      <c r="A1544" s="3" t="s">
        <v>5983</v>
      </c>
      <c r="B1544" s="2" t="s">
        <v>5984</v>
      </c>
      <c r="C1544" s="3"/>
      <c r="D1544" s="2">
        <v>1.0028027568273113E-4</v>
      </c>
      <c r="E1544" s="8" t="s">
        <v>5985</v>
      </c>
      <c r="F1544" s="9" t="s">
        <v>15</v>
      </c>
      <c r="G1544" s="9" t="s">
        <v>16</v>
      </c>
      <c r="H1544" s="9" t="s">
        <v>16</v>
      </c>
      <c r="I1544" s="9"/>
      <c r="J1544" s="9"/>
      <c r="K1544" s="9"/>
    </row>
    <row r="1545" hidden="1">
      <c r="A1545" s="3" t="s">
        <v>5986</v>
      </c>
      <c r="B1545" s="2" t="s">
        <v>5987</v>
      </c>
      <c r="C1545" s="3" t="s">
        <v>5988</v>
      </c>
      <c r="D1545" s="2">
        <v>1.0028027568273113E-4</v>
      </c>
      <c r="E1545" s="8" t="s">
        <v>5989</v>
      </c>
      <c r="F1545" s="9" t="s">
        <v>15</v>
      </c>
      <c r="G1545" s="9" t="s">
        <v>16</v>
      </c>
      <c r="H1545" s="9" t="s">
        <v>16</v>
      </c>
      <c r="I1545" s="9"/>
      <c r="J1545" s="9"/>
      <c r="K1545" s="9"/>
    </row>
    <row r="1546" hidden="1">
      <c r="A1546" s="3" t="s">
        <v>5990</v>
      </c>
      <c r="B1546" s="2" t="s">
        <v>5991</v>
      </c>
      <c r="C1546" s="3" t="s">
        <v>5992</v>
      </c>
      <c r="D1546" s="2">
        <v>1.0028027568273113E-4</v>
      </c>
      <c r="E1546" s="8" t="s">
        <v>5993</v>
      </c>
      <c r="F1546" s="9" t="s">
        <v>15</v>
      </c>
      <c r="G1546" s="9" t="s">
        <v>16</v>
      </c>
      <c r="H1546" s="9" t="s">
        <v>16</v>
      </c>
      <c r="I1546" s="9"/>
      <c r="J1546" s="9"/>
      <c r="K1546" s="9"/>
    </row>
    <row r="1547" hidden="1">
      <c r="A1547" s="3" t="s">
        <v>5994</v>
      </c>
      <c r="B1547" s="2" t="s">
        <v>5995</v>
      </c>
      <c r="C1547" s="3" t="s">
        <v>5996</v>
      </c>
      <c r="D1547" s="2">
        <v>1.0028027568273113E-4</v>
      </c>
      <c r="E1547" s="8" t="s">
        <v>4961</v>
      </c>
      <c r="F1547" s="9" t="s">
        <v>15</v>
      </c>
      <c r="G1547" s="9" t="s">
        <v>16</v>
      </c>
      <c r="H1547" s="9" t="s">
        <v>16</v>
      </c>
      <c r="I1547" s="9"/>
      <c r="J1547" s="9"/>
      <c r="K1547" s="9"/>
    </row>
    <row r="1548" hidden="1">
      <c r="A1548" s="3" t="s">
        <v>5997</v>
      </c>
      <c r="B1548" s="2" t="s">
        <v>5998</v>
      </c>
      <c r="C1548" s="3" t="s">
        <v>5999</v>
      </c>
      <c r="D1548" s="2">
        <v>1.0028027568273113E-4</v>
      </c>
      <c r="E1548" s="8" t="s">
        <v>5850</v>
      </c>
      <c r="F1548" s="9" t="s">
        <v>15</v>
      </c>
      <c r="G1548" s="9" t="s">
        <v>16</v>
      </c>
      <c r="H1548" s="9" t="s">
        <v>16</v>
      </c>
      <c r="I1548" s="9"/>
      <c r="J1548" s="9"/>
      <c r="K1548" s="9"/>
    </row>
    <row r="1549" hidden="1">
      <c r="A1549" s="3" t="s">
        <v>6000</v>
      </c>
      <c r="B1549" s="2" t="s">
        <v>6001</v>
      </c>
      <c r="C1549" s="3" t="s">
        <v>6002</v>
      </c>
      <c r="D1549" s="2">
        <v>1.0028027568273113E-4</v>
      </c>
      <c r="E1549" s="8" t="s">
        <v>6003</v>
      </c>
      <c r="F1549" s="9" t="s">
        <v>15</v>
      </c>
      <c r="G1549" s="9" t="s">
        <v>16</v>
      </c>
      <c r="H1549" s="9" t="s">
        <v>16</v>
      </c>
      <c r="I1549" s="9"/>
      <c r="J1549" s="9"/>
      <c r="K1549" s="9"/>
    </row>
    <row r="1550" hidden="1">
      <c r="A1550" s="3" t="s">
        <v>6004</v>
      </c>
      <c r="B1550" s="2" t="s">
        <v>6005</v>
      </c>
      <c r="C1550" s="3" t="s">
        <v>6006</v>
      </c>
      <c r="D1550" s="2">
        <v>1.0028027568273113E-4</v>
      </c>
      <c r="E1550" s="8" t="s">
        <v>6007</v>
      </c>
      <c r="F1550" s="9" t="s">
        <v>15</v>
      </c>
      <c r="G1550" s="9" t="s">
        <v>16</v>
      </c>
      <c r="H1550" s="9" t="s">
        <v>16</v>
      </c>
      <c r="I1550" s="9"/>
      <c r="J1550" s="9"/>
      <c r="K1550" s="9"/>
    </row>
    <row r="1551" hidden="1">
      <c r="A1551" s="3" t="s">
        <v>6008</v>
      </c>
      <c r="B1551" s="2" t="s">
        <v>6009</v>
      </c>
      <c r="C1551" s="3" t="s">
        <v>6010</v>
      </c>
      <c r="D1551" s="2">
        <v>1.0028027568273113E-4</v>
      </c>
      <c r="E1551" s="8" t="s">
        <v>6011</v>
      </c>
      <c r="F1551" s="9" t="s">
        <v>15</v>
      </c>
      <c r="G1551" s="9" t="s">
        <v>16</v>
      </c>
      <c r="H1551" s="9" t="s">
        <v>16</v>
      </c>
      <c r="I1551" s="9"/>
      <c r="J1551" s="9"/>
      <c r="K1551" s="9"/>
    </row>
    <row r="1552" hidden="1">
      <c r="A1552" s="3" t="s">
        <v>6012</v>
      </c>
      <c r="B1552" s="2" t="s">
        <v>6013</v>
      </c>
      <c r="C1552" s="3" t="s">
        <v>6014</v>
      </c>
      <c r="D1552" s="2">
        <v>1.0028027568273113E-4</v>
      </c>
      <c r="E1552" s="8" t="s">
        <v>6015</v>
      </c>
      <c r="F1552" s="9" t="s">
        <v>15</v>
      </c>
      <c r="G1552" s="9" t="s">
        <v>16</v>
      </c>
      <c r="H1552" s="9" t="s">
        <v>16</v>
      </c>
      <c r="I1552" s="9"/>
      <c r="J1552" s="9"/>
      <c r="K1552" s="9"/>
    </row>
    <row r="1553" hidden="1">
      <c r="A1553" s="3" t="s">
        <v>6016</v>
      </c>
      <c r="B1553" s="2" t="s">
        <v>6017</v>
      </c>
      <c r="C1553" s="3" t="s">
        <v>6018</v>
      </c>
      <c r="D1553" s="2">
        <v>1.0028027568273113E-4</v>
      </c>
      <c r="E1553" s="8" t="s">
        <v>4117</v>
      </c>
      <c r="F1553" s="9" t="s">
        <v>15</v>
      </c>
      <c r="G1553" s="9" t="s">
        <v>16</v>
      </c>
      <c r="H1553" s="9" t="s">
        <v>16</v>
      </c>
      <c r="I1553" s="9"/>
      <c r="J1553" s="9"/>
      <c r="K1553" s="9"/>
    </row>
    <row r="1554" hidden="1">
      <c r="A1554" s="3" t="s">
        <v>6019</v>
      </c>
      <c r="B1554" s="2" t="s">
        <v>6020</v>
      </c>
      <c r="C1554" s="3" t="s">
        <v>6021</v>
      </c>
      <c r="D1554" s="2">
        <v>1.0028027568273113E-4</v>
      </c>
      <c r="E1554" s="8" t="s">
        <v>6022</v>
      </c>
      <c r="F1554" s="9" t="s">
        <v>15</v>
      </c>
      <c r="G1554" s="9" t="s">
        <v>16</v>
      </c>
      <c r="H1554" s="9" t="s">
        <v>16</v>
      </c>
      <c r="I1554" s="9"/>
      <c r="J1554" s="9"/>
      <c r="K1554" s="9"/>
    </row>
    <row r="1555" hidden="1">
      <c r="A1555" s="3" t="s">
        <v>6023</v>
      </c>
      <c r="B1555" s="2" t="s">
        <v>6024</v>
      </c>
      <c r="C1555" s="3" t="s">
        <v>6025</v>
      </c>
      <c r="D1555" s="2">
        <v>1.0028027568273113E-4</v>
      </c>
      <c r="E1555" s="8" t="s">
        <v>6026</v>
      </c>
      <c r="F1555" s="9" t="s">
        <v>15</v>
      </c>
      <c r="G1555" s="9" t="s">
        <v>16</v>
      </c>
      <c r="H1555" s="9" t="s">
        <v>16</v>
      </c>
      <c r="I1555" s="9"/>
      <c r="J1555" s="9"/>
      <c r="K1555" s="9"/>
    </row>
    <row r="1556" hidden="1">
      <c r="A1556" s="3" t="s">
        <v>6027</v>
      </c>
      <c r="B1556" s="2" t="s">
        <v>6028</v>
      </c>
      <c r="C1556" s="3" t="s">
        <v>6029</v>
      </c>
      <c r="D1556" s="2">
        <v>1.0028027568273113E-4</v>
      </c>
      <c r="E1556" s="8" t="s">
        <v>6030</v>
      </c>
      <c r="F1556" s="9" t="s">
        <v>15</v>
      </c>
      <c r="G1556" s="9" t="s">
        <v>16</v>
      </c>
      <c r="H1556" s="9" t="s">
        <v>16</v>
      </c>
      <c r="I1556" s="9"/>
      <c r="J1556" s="9"/>
      <c r="K1556" s="9"/>
    </row>
    <row r="1557" hidden="1">
      <c r="A1557" s="3" t="s">
        <v>6031</v>
      </c>
      <c r="B1557" s="2" t="s">
        <v>6032</v>
      </c>
      <c r="C1557" s="3" t="s">
        <v>6033</v>
      </c>
      <c r="D1557" s="2">
        <v>1.0028027568273113E-4</v>
      </c>
      <c r="E1557" s="8" t="s">
        <v>6034</v>
      </c>
      <c r="F1557" s="9" t="s">
        <v>15</v>
      </c>
      <c r="G1557" s="9" t="s">
        <v>16</v>
      </c>
      <c r="H1557" s="9" t="s">
        <v>16</v>
      </c>
      <c r="I1557" s="9"/>
      <c r="J1557" s="9"/>
      <c r="K1557" s="9"/>
    </row>
    <row r="1558" hidden="1">
      <c r="A1558" s="3" t="s">
        <v>6035</v>
      </c>
      <c r="B1558" s="2" t="s">
        <v>6036</v>
      </c>
      <c r="C1558" s="3" t="s">
        <v>6037</v>
      </c>
      <c r="D1558" s="2">
        <v>1.0028027568273113E-4</v>
      </c>
      <c r="E1558" s="8" t="s">
        <v>6038</v>
      </c>
      <c r="F1558" s="9" t="s">
        <v>15</v>
      </c>
      <c r="G1558" s="9" t="s">
        <v>16</v>
      </c>
      <c r="H1558" s="9" t="s">
        <v>16</v>
      </c>
      <c r="I1558" s="9"/>
      <c r="J1558" s="9"/>
      <c r="K1558" s="9"/>
    </row>
    <row r="1559" hidden="1">
      <c r="A1559" s="3" t="s">
        <v>6039</v>
      </c>
      <c r="B1559" s="2" t="s">
        <v>6040</v>
      </c>
      <c r="C1559" s="3" t="s">
        <v>6041</v>
      </c>
      <c r="D1559" s="2">
        <v>1.0028027568273113E-4</v>
      </c>
      <c r="E1559" s="8" t="s">
        <v>4549</v>
      </c>
      <c r="F1559" s="9" t="s">
        <v>15</v>
      </c>
      <c r="G1559" s="9" t="s">
        <v>16</v>
      </c>
      <c r="H1559" s="9" t="s">
        <v>16</v>
      </c>
      <c r="I1559" s="9"/>
      <c r="J1559" s="9"/>
      <c r="K1559" s="9"/>
    </row>
    <row r="1560" hidden="1">
      <c r="A1560" s="3" t="s">
        <v>6042</v>
      </c>
      <c r="B1560" s="2" t="s">
        <v>6043</v>
      </c>
      <c r="C1560" s="3" t="s">
        <v>6044</v>
      </c>
      <c r="D1560" s="2">
        <v>1.0028027568273113E-4</v>
      </c>
      <c r="E1560" s="8" t="s">
        <v>6045</v>
      </c>
      <c r="F1560" s="9" t="s">
        <v>15</v>
      </c>
      <c r="G1560" s="9" t="s">
        <v>16</v>
      </c>
      <c r="H1560" s="9" t="s">
        <v>16</v>
      </c>
      <c r="I1560" s="9"/>
      <c r="J1560" s="9"/>
      <c r="K1560" s="9"/>
    </row>
    <row r="1561" hidden="1">
      <c r="A1561" s="3" t="s">
        <v>6046</v>
      </c>
      <c r="B1561" s="2" t="s">
        <v>6047</v>
      </c>
      <c r="C1561" s="3" t="s">
        <v>6048</v>
      </c>
      <c r="D1561" s="2">
        <v>1.0028027568273113E-4</v>
      </c>
      <c r="E1561" s="8" t="s">
        <v>4718</v>
      </c>
      <c r="F1561" s="9" t="s">
        <v>15</v>
      </c>
      <c r="G1561" s="9" t="s">
        <v>16</v>
      </c>
      <c r="H1561" s="9" t="s">
        <v>16</v>
      </c>
      <c r="I1561" s="9"/>
      <c r="J1561" s="9"/>
      <c r="K1561" s="9"/>
    </row>
    <row r="1562" hidden="1">
      <c r="A1562" s="3" t="s">
        <v>6049</v>
      </c>
      <c r="B1562" s="2" t="s">
        <v>6050</v>
      </c>
      <c r="C1562" s="3"/>
      <c r="D1562" s="2">
        <v>1.0028027568273113E-4</v>
      </c>
      <c r="E1562" s="8" t="s">
        <v>6051</v>
      </c>
      <c r="F1562" s="9" t="s">
        <v>15</v>
      </c>
      <c r="G1562" s="9" t="s">
        <v>16</v>
      </c>
      <c r="H1562" s="9" t="s">
        <v>16</v>
      </c>
      <c r="I1562" s="9"/>
      <c r="J1562" s="9"/>
      <c r="K1562" s="9"/>
    </row>
    <row r="1563" hidden="1">
      <c r="A1563" s="3" t="s">
        <v>6052</v>
      </c>
      <c r="B1563" s="2" t="s">
        <v>6053</v>
      </c>
      <c r="C1563" s="3" t="s">
        <v>6054</v>
      </c>
      <c r="D1563" s="2">
        <v>1.0028027568273113E-4</v>
      </c>
      <c r="E1563" s="8" t="s">
        <v>6055</v>
      </c>
      <c r="F1563" s="9" t="s">
        <v>15</v>
      </c>
      <c r="G1563" s="9" t="s">
        <v>16</v>
      </c>
      <c r="H1563" s="9" t="s">
        <v>16</v>
      </c>
      <c r="I1563" s="9"/>
      <c r="J1563" s="9"/>
      <c r="K1563" s="9"/>
    </row>
    <row r="1564" hidden="1">
      <c r="A1564" s="3" t="s">
        <v>6056</v>
      </c>
      <c r="B1564" s="2" t="s">
        <v>6057</v>
      </c>
      <c r="C1564" s="3" t="s">
        <v>6058</v>
      </c>
      <c r="D1564" s="2">
        <v>1.0028027568273113E-4</v>
      </c>
      <c r="E1564" s="8" t="s">
        <v>6059</v>
      </c>
      <c r="F1564" s="9" t="s">
        <v>15</v>
      </c>
      <c r="G1564" s="9" t="s">
        <v>16</v>
      </c>
      <c r="H1564" s="9" t="s">
        <v>16</v>
      </c>
      <c r="I1564" s="9"/>
      <c r="J1564" s="9"/>
      <c r="K1564" s="9"/>
    </row>
    <row r="1565" hidden="1">
      <c r="A1565" s="3" t="s">
        <v>6060</v>
      </c>
      <c r="B1565" s="2" t="s">
        <v>6061</v>
      </c>
      <c r="C1565" s="3" t="s">
        <v>6062</v>
      </c>
      <c r="D1565" s="2">
        <v>1.0028027568273113E-4</v>
      </c>
      <c r="E1565" s="8" t="s">
        <v>6063</v>
      </c>
      <c r="F1565" s="9" t="s">
        <v>15</v>
      </c>
      <c r="G1565" s="9" t="s">
        <v>16</v>
      </c>
      <c r="H1565" s="9" t="s">
        <v>16</v>
      </c>
      <c r="I1565" s="9"/>
      <c r="J1565" s="9"/>
      <c r="K1565" s="9"/>
    </row>
    <row r="1566" hidden="1">
      <c r="A1566" s="3" t="s">
        <v>6064</v>
      </c>
      <c r="B1566" s="2" t="s">
        <v>6065</v>
      </c>
      <c r="C1566" s="3" t="s">
        <v>6066</v>
      </c>
      <c r="D1566" s="2">
        <v>1.0028027568273113E-4</v>
      </c>
      <c r="E1566" s="8" t="s">
        <v>6067</v>
      </c>
      <c r="F1566" s="9" t="s">
        <v>15</v>
      </c>
      <c r="G1566" s="9" t="s">
        <v>16</v>
      </c>
      <c r="H1566" s="9" t="s">
        <v>16</v>
      </c>
      <c r="I1566" s="9"/>
      <c r="J1566" s="9"/>
      <c r="K1566" s="9"/>
    </row>
    <row r="1567" hidden="1">
      <c r="A1567" s="3" t="s">
        <v>6068</v>
      </c>
      <c r="B1567" s="2" t="s">
        <v>6069</v>
      </c>
      <c r="C1567" s="3" t="s">
        <v>6070</v>
      </c>
      <c r="D1567" s="2">
        <v>1.0028027568273113E-4</v>
      </c>
      <c r="E1567" s="8" t="s">
        <v>6071</v>
      </c>
      <c r="F1567" s="9" t="s">
        <v>15</v>
      </c>
      <c r="G1567" s="9" t="s">
        <v>16</v>
      </c>
      <c r="H1567" s="9" t="s">
        <v>16</v>
      </c>
      <c r="I1567" s="9"/>
      <c r="J1567" s="9"/>
      <c r="K1567" s="9"/>
    </row>
    <row r="1568" hidden="1">
      <c r="A1568" s="3" t="s">
        <v>6072</v>
      </c>
      <c r="B1568" s="2" t="s">
        <v>6073</v>
      </c>
      <c r="C1568" s="3" t="s">
        <v>6074</v>
      </c>
      <c r="D1568" s="2">
        <v>1.0028027568273113E-4</v>
      </c>
      <c r="E1568" s="8" t="s">
        <v>6075</v>
      </c>
      <c r="F1568" s="9" t="s">
        <v>15</v>
      </c>
      <c r="G1568" s="9" t="s">
        <v>16</v>
      </c>
      <c r="H1568" s="9" t="s">
        <v>16</v>
      </c>
      <c r="I1568" s="9"/>
      <c r="J1568" s="9"/>
      <c r="K1568" s="9"/>
    </row>
    <row r="1569" hidden="1">
      <c r="A1569" s="3" t="s">
        <v>6076</v>
      </c>
      <c r="B1569" s="2" t="s">
        <v>6077</v>
      </c>
      <c r="C1569" s="3" t="s">
        <v>6078</v>
      </c>
      <c r="D1569" s="2">
        <v>1.0028027568273113E-4</v>
      </c>
      <c r="E1569" s="8" t="s">
        <v>6079</v>
      </c>
      <c r="F1569" s="9" t="s">
        <v>15</v>
      </c>
      <c r="G1569" s="9" t="s">
        <v>16</v>
      </c>
      <c r="H1569" s="9" t="s">
        <v>16</v>
      </c>
      <c r="I1569" s="9"/>
      <c r="J1569" s="9"/>
      <c r="K1569" s="9"/>
    </row>
    <row r="1570" hidden="1">
      <c r="A1570" s="3" t="s">
        <v>6080</v>
      </c>
      <c r="B1570" s="2" t="s">
        <v>6081</v>
      </c>
      <c r="C1570" s="3" t="s">
        <v>6082</v>
      </c>
      <c r="D1570" s="2">
        <v>1.0028027568273113E-4</v>
      </c>
      <c r="E1570" s="8" t="s">
        <v>6083</v>
      </c>
      <c r="F1570" s="9" t="s">
        <v>15</v>
      </c>
      <c r="G1570" s="9" t="s">
        <v>16</v>
      </c>
      <c r="H1570" s="9" t="s">
        <v>16</v>
      </c>
      <c r="I1570" s="9"/>
      <c r="J1570" s="9"/>
      <c r="K1570" s="9"/>
    </row>
    <row r="1571" hidden="1">
      <c r="A1571" s="3" t="s">
        <v>6084</v>
      </c>
      <c r="B1571" s="2" t="s">
        <v>6085</v>
      </c>
      <c r="C1571" s="3" t="s">
        <v>6086</v>
      </c>
      <c r="D1571" s="2">
        <v>1.0028027568273113E-4</v>
      </c>
      <c r="E1571" s="8" t="s">
        <v>6087</v>
      </c>
      <c r="F1571" s="9" t="s">
        <v>15</v>
      </c>
      <c r="G1571" s="9" t="s">
        <v>16</v>
      </c>
      <c r="H1571" s="9" t="s">
        <v>16</v>
      </c>
      <c r="I1571" s="9"/>
      <c r="J1571" s="9"/>
      <c r="K1571" s="9"/>
    </row>
    <row r="1572" hidden="1">
      <c r="A1572" s="3" t="s">
        <v>6088</v>
      </c>
      <c r="B1572" s="2" t="s">
        <v>6089</v>
      </c>
      <c r="C1572" s="3" t="s">
        <v>6090</v>
      </c>
      <c r="D1572" s="2">
        <v>1.0028027568273113E-4</v>
      </c>
      <c r="E1572" s="8" t="s">
        <v>6091</v>
      </c>
      <c r="F1572" s="9" t="s">
        <v>15</v>
      </c>
      <c r="G1572" s="9" t="s">
        <v>16</v>
      </c>
      <c r="H1572" s="9" t="s">
        <v>16</v>
      </c>
      <c r="I1572" s="9"/>
      <c r="J1572" s="9"/>
      <c r="K1572" s="9"/>
    </row>
    <row r="1573" hidden="1">
      <c r="A1573" s="3" t="s">
        <v>6092</v>
      </c>
      <c r="B1573" s="2" t="s">
        <v>6093</v>
      </c>
      <c r="C1573" s="3" t="s">
        <v>6094</v>
      </c>
      <c r="D1573" s="2">
        <v>1.0028027568273113E-4</v>
      </c>
      <c r="E1573" s="8" t="s">
        <v>6095</v>
      </c>
      <c r="F1573" s="9" t="s">
        <v>15</v>
      </c>
      <c r="G1573" s="9" t="s">
        <v>16</v>
      </c>
      <c r="H1573" s="9" t="s">
        <v>16</v>
      </c>
      <c r="I1573" s="9"/>
      <c r="J1573" s="9"/>
      <c r="K1573" s="9"/>
    </row>
    <row r="1574" hidden="1">
      <c r="A1574" s="3" t="s">
        <v>6096</v>
      </c>
      <c r="B1574" s="2" t="s">
        <v>6097</v>
      </c>
      <c r="C1574" s="3" t="s">
        <v>6098</v>
      </c>
      <c r="D1574" s="2">
        <v>1.0028027568273113E-4</v>
      </c>
      <c r="E1574" s="8" t="s">
        <v>6099</v>
      </c>
      <c r="F1574" s="9" t="s">
        <v>15</v>
      </c>
      <c r="G1574" s="9" t="s">
        <v>16</v>
      </c>
      <c r="H1574" s="9" t="s">
        <v>16</v>
      </c>
      <c r="I1574" s="9"/>
      <c r="J1574" s="9"/>
      <c r="K1574" s="9"/>
    </row>
    <row r="1575" hidden="1">
      <c r="A1575" s="3" t="s">
        <v>6100</v>
      </c>
      <c r="B1575" s="2" t="s">
        <v>6101</v>
      </c>
      <c r="C1575" s="3" t="s">
        <v>6102</v>
      </c>
      <c r="D1575" s="2">
        <v>1.0028027568273113E-4</v>
      </c>
      <c r="E1575" s="8" t="s">
        <v>6103</v>
      </c>
      <c r="F1575" s="9" t="s">
        <v>15</v>
      </c>
      <c r="G1575" s="9" t="s">
        <v>16</v>
      </c>
      <c r="H1575" s="9" t="s">
        <v>16</v>
      </c>
      <c r="I1575" s="9"/>
      <c r="J1575" s="9"/>
      <c r="K1575" s="9"/>
    </row>
    <row r="1576" hidden="1">
      <c r="A1576" s="3" t="s">
        <v>6104</v>
      </c>
      <c r="B1576" s="2" t="s">
        <v>6105</v>
      </c>
      <c r="C1576" s="3" t="s">
        <v>6106</v>
      </c>
      <c r="D1576" s="2">
        <v>1.0028027568273113E-4</v>
      </c>
      <c r="E1576" s="8" t="s">
        <v>6107</v>
      </c>
      <c r="F1576" s="9" t="s">
        <v>15</v>
      </c>
      <c r="G1576" s="9" t="s">
        <v>16</v>
      </c>
      <c r="H1576" s="9" t="s">
        <v>16</v>
      </c>
      <c r="I1576" s="9"/>
      <c r="J1576" s="9"/>
      <c r="K1576" s="9"/>
    </row>
    <row r="1577" hidden="1">
      <c r="A1577" s="3" t="s">
        <v>6108</v>
      </c>
      <c r="B1577" s="2" t="s">
        <v>6109</v>
      </c>
      <c r="C1577" s="3" t="s">
        <v>6110</v>
      </c>
      <c r="D1577" s="2">
        <v>1.0028027568273113E-4</v>
      </c>
      <c r="E1577" s="8" t="s">
        <v>6111</v>
      </c>
      <c r="F1577" s="9" t="s">
        <v>15</v>
      </c>
      <c r="G1577" s="9" t="s">
        <v>16</v>
      </c>
      <c r="H1577" s="9" t="s">
        <v>16</v>
      </c>
      <c r="I1577" s="9"/>
      <c r="J1577" s="9"/>
      <c r="K1577" s="9"/>
    </row>
    <row r="1578" hidden="1">
      <c r="A1578" s="3" t="s">
        <v>6112</v>
      </c>
      <c r="B1578" s="2" t="s">
        <v>6113</v>
      </c>
      <c r="C1578" s="3" t="s">
        <v>6114</v>
      </c>
      <c r="D1578" s="2">
        <v>1.0028027568273113E-4</v>
      </c>
      <c r="E1578" s="8" t="s">
        <v>6115</v>
      </c>
      <c r="F1578" s="9" t="s">
        <v>15</v>
      </c>
      <c r="G1578" s="9" t="s">
        <v>16</v>
      </c>
      <c r="H1578" s="9" t="s">
        <v>16</v>
      </c>
      <c r="I1578" s="9"/>
      <c r="J1578" s="9"/>
      <c r="K1578" s="9"/>
    </row>
    <row r="1579" hidden="1">
      <c r="A1579" s="3" t="s">
        <v>6116</v>
      </c>
      <c r="B1579" s="2" t="s">
        <v>6117</v>
      </c>
      <c r="C1579" s="3" t="s">
        <v>6118</v>
      </c>
      <c r="D1579" s="2">
        <v>1.0028027568273113E-4</v>
      </c>
      <c r="E1579" s="8" t="s">
        <v>6119</v>
      </c>
      <c r="F1579" s="9" t="s">
        <v>15</v>
      </c>
      <c r="G1579" s="9" t="s">
        <v>16</v>
      </c>
      <c r="H1579" s="9" t="s">
        <v>16</v>
      </c>
      <c r="I1579" s="9"/>
      <c r="J1579" s="9"/>
      <c r="K1579" s="9"/>
    </row>
    <row r="1580" hidden="1">
      <c r="A1580" s="3" t="s">
        <v>6120</v>
      </c>
      <c r="B1580" s="2" t="s">
        <v>6121</v>
      </c>
      <c r="C1580" s="3" t="s">
        <v>6122</v>
      </c>
      <c r="D1580" s="2">
        <v>1.0028027568273113E-4</v>
      </c>
      <c r="E1580" s="8" t="s">
        <v>6123</v>
      </c>
      <c r="F1580" s="9" t="s">
        <v>15</v>
      </c>
      <c r="G1580" s="9" t="s">
        <v>16</v>
      </c>
      <c r="H1580" s="9" t="s">
        <v>16</v>
      </c>
      <c r="I1580" s="9"/>
      <c r="J1580" s="9"/>
      <c r="K1580" s="9"/>
    </row>
    <row r="1581" hidden="1">
      <c r="A1581" s="3" t="s">
        <v>6124</v>
      </c>
      <c r="B1581" s="2" t="s">
        <v>6125</v>
      </c>
      <c r="C1581" s="3" t="s">
        <v>6126</v>
      </c>
      <c r="D1581" s="2">
        <v>1.0028027568273113E-4</v>
      </c>
      <c r="E1581" s="8" t="s">
        <v>6127</v>
      </c>
      <c r="F1581" s="9" t="s">
        <v>15</v>
      </c>
      <c r="G1581" s="9" t="s">
        <v>16</v>
      </c>
      <c r="H1581" s="9" t="s">
        <v>16</v>
      </c>
      <c r="I1581" s="9"/>
      <c r="J1581" s="9"/>
      <c r="K1581" s="9"/>
    </row>
    <row r="1582" hidden="1">
      <c r="A1582" s="3" t="s">
        <v>6128</v>
      </c>
      <c r="B1582" s="2" t="s">
        <v>6129</v>
      </c>
      <c r="C1582" s="3" t="s">
        <v>6130</v>
      </c>
      <c r="D1582" s="2">
        <v>1.0028027568273113E-4</v>
      </c>
      <c r="E1582" s="8" t="s">
        <v>6131</v>
      </c>
      <c r="F1582" s="9" t="s">
        <v>15</v>
      </c>
      <c r="G1582" s="9" t="s">
        <v>16</v>
      </c>
      <c r="H1582" s="9" t="s">
        <v>16</v>
      </c>
      <c r="I1582" s="9"/>
      <c r="J1582" s="9"/>
      <c r="K1582" s="9"/>
    </row>
    <row r="1583" hidden="1">
      <c r="A1583" s="3" t="s">
        <v>6132</v>
      </c>
      <c r="B1583" s="2" t="s">
        <v>6133</v>
      </c>
      <c r="C1583" s="3" t="s">
        <v>6134</v>
      </c>
      <c r="D1583" s="2">
        <v>1.0028027568273113E-4</v>
      </c>
      <c r="E1583" s="8" t="s">
        <v>1378</v>
      </c>
      <c r="F1583" s="9" t="s">
        <v>16</v>
      </c>
      <c r="G1583" s="9" t="s">
        <v>16</v>
      </c>
      <c r="H1583" s="9" t="s">
        <v>16</v>
      </c>
      <c r="I1583" s="9"/>
      <c r="J1583" s="9" t="s">
        <v>15</v>
      </c>
      <c r="K1583" s="9"/>
    </row>
    <row r="1584" hidden="1">
      <c r="A1584" s="3" t="s">
        <v>6135</v>
      </c>
      <c r="B1584" s="2" t="s">
        <v>6136</v>
      </c>
      <c r="C1584" s="3" t="s">
        <v>6137</v>
      </c>
      <c r="D1584" s="2">
        <v>1.0028027568273113E-4</v>
      </c>
      <c r="E1584" s="8" t="s">
        <v>6138</v>
      </c>
      <c r="F1584" s="9" t="s">
        <v>15</v>
      </c>
      <c r="G1584" s="9" t="s">
        <v>16</v>
      </c>
      <c r="H1584" s="9" t="s">
        <v>16</v>
      </c>
      <c r="I1584" s="9"/>
      <c r="J1584" s="9"/>
      <c r="K1584" s="9"/>
    </row>
    <row r="1585" hidden="1">
      <c r="A1585" s="3" t="s">
        <v>6139</v>
      </c>
      <c r="B1585" s="2" t="s">
        <v>6140</v>
      </c>
      <c r="C1585" s="3" t="s">
        <v>6141</v>
      </c>
      <c r="D1585" s="2">
        <v>1.0028027568273113E-4</v>
      </c>
      <c r="E1585" s="8" t="s">
        <v>4969</v>
      </c>
      <c r="F1585" s="9" t="s">
        <v>15</v>
      </c>
      <c r="G1585" s="9" t="s">
        <v>16</v>
      </c>
      <c r="H1585" s="9" t="s">
        <v>16</v>
      </c>
      <c r="I1585" s="9"/>
      <c r="J1585" s="9"/>
      <c r="K1585" s="9"/>
    </row>
    <row r="1586" hidden="1">
      <c r="A1586" s="3" t="s">
        <v>6142</v>
      </c>
      <c r="B1586" s="2" t="s">
        <v>6143</v>
      </c>
      <c r="C1586" s="3" t="s">
        <v>6144</v>
      </c>
      <c r="D1586" s="2">
        <v>1.0028027568273113E-4</v>
      </c>
      <c r="E1586" s="8" t="s">
        <v>6145</v>
      </c>
      <c r="F1586" s="9" t="s">
        <v>15</v>
      </c>
      <c r="G1586" s="9" t="s">
        <v>16</v>
      </c>
      <c r="H1586" s="9" t="s">
        <v>16</v>
      </c>
      <c r="I1586" s="9"/>
      <c r="J1586" s="9"/>
      <c r="K1586" s="9"/>
    </row>
    <row r="1587" hidden="1">
      <c r="A1587" s="3" t="s">
        <v>6146</v>
      </c>
      <c r="B1587" s="2" t="s">
        <v>6147</v>
      </c>
      <c r="C1587" s="3" t="s">
        <v>6148</v>
      </c>
      <c r="D1587" s="2">
        <v>1.0028027568273113E-4</v>
      </c>
      <c r="E1587" s="8" t="s">
        <v>6149</v>
      </c>
      <c r="F1587" s="9" t="s">
        <v>15</v>
      </c>
      <c r="G1587" s="9" t="s">
        <v>16</v>
      </c>
      <c r="H1587" s="9" t="s">
        <v>16</v>
      </c>
      <c r="I1587" s="9"/>
      <c r="J1587" s="9"/>
      <c r="K1587" s="9"/>
    </row>
    <row r="1588" hidden="1">
      <c r="A1588" s="3" t="s">
        <v>6150</v>
      </c>
      <c r="B1588" s="2" t="s">
        <v>6151</v>
      </c>
      <c r="C1588" s="3" t="s">
        <v>6152</v>
      </c>
      <c r="D1588" s="2">
        <v>1.0028027568273113E-4</v>
      </c>
      <c r="E1588" s="8" t="s">
        <v>6153</v>
      </c>
      <c r="F1588" s="9" t="s">
        <v>15</v>
      </c>
      <c r="G1588" s="9" t="s">
        <v>16</v>
      </c>
      <c r="H1588" s="9" t="s">
        <v>16</v>
      </c>
      <c r="I1588" s="9"/>
      <c r="J1588" s="9"/>
      <c r="K1588" s="9"/>
    </row>
    <row r="1589" hidden="1">
      <c r="A1589" s="3" t="s">
        <v>6154</v>
      </c>
      <c r="B1589" s="2" t="s">
        <v>6155</v>
      </c>
      <c r="C1589" s="3" t="s">
        <v>6156</v>
      </c>
      <c r="D1589" s="2">
        <v>1.0028027568273113E-4</v>
      </c>
      <c r="E1589" s="8" t="s">
        <v>6157</v>
      </c>
      <c r="F1589" s="9" t="s">
        <v>15</v>
      </c>
      <c r="G1589" s="9" t="s">
        <v>16</v>
      </c>
      <c r="H1589" s="9" t="s">
        <v>16</v>
      </c>
      <c r="I1589" s="9"/>
      <c r="J1589" s="9"/>
      <c r="K1589" s="9"/>
    </row>
    <row r="1590" hidden="1">
      <c r="A1590" s="3" t="s">
        <v>6158</v>
      </c>
      <c r="B1590" s="2" t="s">
        <v>6159</v>
      </c>
      <c r="C1590" s="3"/>
      <c r="D1590" s="2">
        <v>1.0028027568273113E-4</v>
      </c>
      <c r="E1590" s="8" t="s">
        <v>6160</v>
      </c>
      <c r="F1590" s="9" t="s">
        <v>15</v>
      </c>
      <c r="G1590" s="9" t="s">
        <v>16</v>
      </c>
      <c r="H1590" s="9" t="s">
        <v>16</v>
      </c>
      <c r="I1590" s="9"/>
      <c r="J1590" s="9"/>
      <c r="K1590" s="9"/>
    </row>
    <row r="1591" hidden="1">
      <c r="A1591" s="3" t="s">
        <v>6161</v>
      </c>
      <c r="B1591" s="2" t="s">
        <v>6162</v>
      </c>
      <c r="C1591" s="3" t="s">
        <v>6163</v>
      </c>
      <c r="D1591" s="2">
        <v>1.0028027568273113E-4</v>
      </c>
      <c r="E1591" s="8" t="s">
        <v>1197</v>
      </c>
      <c r="F1591" s="9" t="s">
        <v>15</v>
      </c>
      <c r="G1591" s="9" t="s">
        <v>16</v>
      </c>
      <c r="H1591" s="9" t="s">
        <v>16</v>
      </c>
      <c r="I1591" s="9"/>
      <c r="J1591" s="9"/>
      <c r="K1591" s="9"/>
    </row>
    <row r="1592" hidden="1">
      <c r="A1592" s="3" t="s">
        <v>6164</v>
      </c>
      <c r="B1592" s="2" t="s">
        <v>6165</v>
      </c>
      <c r="C1592" s="3" t="s">
        <v>6166</v>
      </c>
      <c r="D1592" s="2">
        <v>1.0028027568273113E-4</v>
      </c>
      <c r="E1592" s="8" t="s">
        <v>6167</v>
      </c>
      <c r="F1592" s="9" t="s">
        <v>15</v>
      </c>
      <c r="G1592" s="9" t="s">
        <v>16</v>
      </c>
      <c r="H1592" s="9" t="s">
        <v>16</v>
      </c>
      <c r="I1592" s="9"/>
      <c r="J1592" s="9"/>
      <c r="K1592" s="9"/>
    </row>
    <row r="1593" hidden="1">
      <c r="A1593" s="3" t="s">
        <v>6168</v>
      </c>
      <c r="B1593" s="2" t="s">
        <v>6169</v>
      </c>
      <c r="C1593" s="3" t="s">
        <v>6170</v>
      </c>
      <c r="D1593" s="2">
        <v>1.0028027568273113E-4</v>
      </c>
      <c r="E1593" s="8" t="s">
        <v>6171</v>
      </c>
      <c r="F1593" s="9" t="s">
        <v>15</v>
      </c>
      <c r="G1593" s="9" t="s">
        <v>16</v>
      </c>
      <c r="H1593" s="9" t="s">
        <v>16</v>
      </c>
      <c r="I1593" s="9"/>
      <c r="J1593" s="9"/>
      <c r="K1593" s="9"/>
    </row>
    <row r="1594" hidden="1">
      <c r="A1594" s="3" t="s">
        <v>6172</v>
      </c>
      <c r="B1594" s="2" t="s">
        <v>6173</v>
      </c>
      <c r="C1594" s="3" t="s">
        <v>6174</v>
      </c>
      <c r="D1594" s="2">
        <v>1.0028027568273113E-4</v>
      </c>
      <c r="E1594" s="8" t="s">
        <v>6175</v>
      </c>
      <c r="F1594" s="9" t="s">
        <v>15</v>
      </c>
      <c r="G1594" s="9" t="s">
        <v>16</v>
      </c>
      <c r="H1594" s="9" t="s">
        <v>16</v>
      </c>
      <c r="I1594" s="9"/>
      <c r="J1594" s="9"/>
      <c r="K1594" s="9"/>
    </row>
    <row r="1595" hidden="1">
      <c r="A1595" s="3" t="s">
        <v>6176</v>
      </c>
      <c r="B1595" s="2" t="s">
        <v>6177</v>
      </c>
      <c r="C1595" s="3" t="s">
        <v>6178</v>
      </c>
      <c r="D1595" s="2">
        <v>1.0028027568273113E-4</v>
      </c>
      <c r="E1595" s="8" t="s">
        <v>6179</v>
      </c>
      <c r="F1595" s="9" t="s">
        <v>15</v>
      </c>
      <c r="G1595" s="9" t="s">
        <v>16</v>
      </c>
      <c r="H1595" s="9" t="s">
        <v>16</v>
      </c>
      <c r="I1595" s="9"/>
      <c r="J1595" s="9"/>
      <c r="K1595" s="9"/>
    </row>
    <row r="1596" hidden="1">
      <c r="A1596" s="3" t="s">
        <v>6180</v>
      </c>
      <c r="B1596" s="2" t="s">
        <v>6181</v>
      </c>
      <c r="C1596" s="3" t="s">
        <v>6182</v>
      </c>
      <c r="D1596" s="2">
        <v>1.0028027568273113E-4</v>
      </c>
      <c r="E1596" s="8" t="s">
        <v>6183</v>
      </c>
      <c r="F1596" s="9" t="s">
        <v>15</v>
      </c>
      <c r="G1596" s="9" t="s">
        <v>16</v>
      </c>
      <c r="H1596" s="9" t="s">
        <v>16</v>
      </c>
      <c r="I1596" s="9"/>
      <c r="J1596" s="9"/>
      <c r="K1596" s="9"/>
    </row>
    <row r="1597" hidden="1">
      <c r="A1597" s="3" t="s">
        <v>6184</v>
      </c>
      <c r="B1597" s="2" t="s">
        <v>6185</v>
      </c>
      <c r="C1597" s="3" t="s">
        <v>6186</v>
      </c>
      <c r="D1597" s="2">
        <v>1.0028027568273113E-4</v>
      </c>
      <c r="E1597" s="8" t="s">
        <v>6187</v>
      </c>
      <c r="F1597" s="9" t="s">
        <v>15</v>
      </c>
      <c r="G1597" s="9" t="s">
        <v>16</v>
      </c>
      <c r="H1597" s="9" t="s">
        <v>16</v>
      </c>
      <c r="I1597" s="9"/>
      <c r="J1597" s="9"/>
      <c r="K1597" s="9"/>
    </row>
    <row r="1598" hidden="1">
      <c r="A1598" s="3" t="s">
        <v>6188</v>
      </c>
      <c r="B1598" s="2" t="s">
        <v>6189</v>
      </c>
      <c r="C1598" s="3" t="s">
        <v>6190</v>
      </c>
      <c r="D1598" s="2">
        <v>1.0028027568273113E-4</v>
      </c>
      <c r="E1598" s="8" t="s">
        <v>6191</v>
      </c>
      <c r="F1598" s="9" t="s">
        <v>15</v>
      </c>
      <c r="G1598" s="9" t="s">
        <v>16</v>
      </c>
      <c r="H1598" s="9" t="s">
        <v>16</v>
      </c>
      <c r="I1598" s="9"/>
      <c r="J1598" s="9"/>
      <c r="K1598" s="9"/>
    </row>
    <row r="1599" hidden="1">
      <c r="A1599" s="3" t="s">
        <v>6192</v>
      </c>
      <c r="B1599" s="2" t="s">
        <v>6193</v>
      </c>
      <c r="C1599" s="3"/>
      <c r="D1599" s="2">
        <v>1.0028027568273113E-4</v>
      </c>
      <c r="E1599" s="8" t="s">
        <v>6194</v>
      </c>
      <c r="F1599" s="9" t="s">
        <v>15</v>
      </c>
      <c r="G1599" s="9" t="s">
        <v>16</v>
      </c>
      <c r="H1599" s="9" t="s">
        <v>16</v>
      </c>
      <c r="I1599" s="9"/>
      <c r="J1599" s="9"/>
      <c r="K1599" s="9"/>
    </row>
    <row r="1600" hidden="1">
      <c r="A1600" s="3" t="s">
        <v>6195</v>
      </c>
      <c r="B1600" s="2" t="s">
        <v>6196</v>
      </c>
      <c r="C1600" s="3" t="s">
        <v>6197</v>
      </c>
      <c r="D1600" s="2">
        <v>1.0028027568273113E-4</v>
      </c>
      <c r="E1600" s="8" t="s">
        <v>6198</v>
      </c>
      <c r="F1600" s="9" t="s">
        <v>15</v>
      </c>
      <c r="G1600" s="9" t="s">
        <v>16</v>
      </c>
      <c r="H1600" s="9" t="s">
        <v>16</v>
      </c>
      <c r="I1600" s="9"/>
      <c r="J1600" s="9"/>
      <c r="K1600" s="9"/>
    </row>
    <row r="1601" hidden="1">
      <c r="A1601" s="3" t="s">
        <v>6199</v>
      </c>
      <c r="B1601" s="2" t="s">
        <v>6200</v>
      </c>
      <c r="C1601" s="3" t="s">
        <v>6201</v>
      </c>
      <c r="D1601" s="2">
        <v>1.0028027568273113E-4</v>
      </c>
      <c r="E1601" s="8" t="s">
        <v>6202</v>
      </c>
      <c r="F1601" s="9" t="s">
        <v>15</v>
      </c>
      <c r="G1601" s="9" t="s">
        <v>16</v>
      </c>
      <c r="H1601" s="9" t="s">
        <v>16</v>
      </c>
      <c r="I1601" s="9"/>
      <c r="J1601" s="9"/>
      <c r="K1601" s="9"/>
    </row>
    <row r="1602" hidden="1">
      <c r="A1602" s="3" t="s">
        <v>3879</v>
      </c>
      <c r="B1602" s="2" t="s">
        <v>6203</v>
      </c>
      <c r="C1602" s="3" t="s">
        <v>6204</v>
      </c>
      <c r="D1602" s="2">
        <v>1.0028027568273113E-4</v>
      </c>
      <c r="E1602" s="8" t="s">
        <v>6205</v>
      </c>
      <c r="F1602" s="9" t="s">
        <v>15</v>
      </c>
      <c r="G1602" s="9" t="s">
        <v>16</v>
      </c>
      <c r="H1602" s="9" t="s">
        <v>16</v>
      </c>
      <c r="I1602" s="9"/>
      <c r="J1602" s="9"/>
      <c r="K1602" s="9"/>
    </row>
    <row r="1603" hidden="1">
      <c r="A1603" s="3" t="s">
        <v>6206</v>
      </c>
      <c r="B1603" s="2" t="s">
        <v>6207</v>
      </c>
      <c r="C1603" s="3" t="s">
        <v>6208</v>
      </c>
      <c r="D1603" s="2">
        <v>1.0028027568273113E-4</v>
      </c>
      <c r="E1603" s="8" t="s">
        <v>6209</v>
      </c>
      <c r="F1603" s="9" t="s">
        <v>15</v>
      </c>
      <c r="G1603" s="9" t="s">
        <v>16</v>
      </c>
      <c r="H1603" s="9" t="s">
        <v>16</v>
      </c>
      <c r="I1603" s="9"/>
      <c r="J1603" s="9"/>
      <c r="K1603" s="9"/>
    </row>
    <row r="1604" hidden="1">
      <c r="A1604" s="3" t="s">
        <v>6210</v>
      </c>
      <c r="B1604" s="2" t="s">
        <v>6211</v>
      </c>
      <c r="C1604" s="3" t="s">
        <v>6212</v>
      </c>
      <c r="D1604" s="2">
        <v>1.0028027568273113E-4</v>
      </c>
      <c r="E1604" s="8" t="s">
        <v>6213</v>
      </c>
      <c r="F1604" s="9" t="s">
        <v>15</v>
      </c>
      <c r="G1604" s="9" t="s">
        <v>16</v>
      </c>
      <c r="H1604" s="9" t="s">
        <v>16</v>
      </c>
      <c r="I1604" s="9"/>
      <c r="J1604" s="9"/>
      <c r="K1604" s="9"/>
    </row>
    <row r="1605" hidden="1">
      <c r="A1605" s="3" t="s">
        <v>6214</v>
      </c>
      <c r="B1605" s="2" t="s">
        <v>6215</v>
      </c>
      <c r="C1605" s="3" t="s">
        <v>6216</v>
      </c>
      <c r="D1605" s="2">
        <v>1.0028027568273113E-4</v>
      </c>
      <c r="E1605" s="8" t="s">
        <v>3108</v>
      </c>
      <c r="F1605" s="9" t="s">
        <v>15</v>
      </c>
      <c r="G1605" s="9" t="s">
        <v>16</v>
      </c>
      <c r="H1605" s="9" t="s">
        <v>16</v>
      </c>
      <c r="I1605" s="9"/>
      <c r="J1605" s="9"/>
      <c r="K1605" s="9"/>
    </row>
    <row r="1606" hidden="1">
      <c r="A1606" s="3" t="s">
        <v>6217</v>
      </c>
      <c r="B1606" s="2" t="s">
        <v>6218</v>
      </c>
      <c r="C1606" s="3" t="s">
        <v>6219</v>
      </c>
      <c r="D1606" s="2">
        <v>1.0028027568273113E-4</v>
      </c>
      <c r="E1606" s="8" t="s">
        <v>5837</v>
      </c>
      <c r="F1606" s="9" t="s">
        <v>15</v>
      </c>
      <c r="G1606" s="9" t="s">
        <v>16</v>
      </c>
      <c r="H1606" s="9" t="s">
        <v>16</v>
      </c>
      <c r="I1606" s="9"/>
      <c r="J1606" s="9"/>
      <c r="K1606" s="9"/>
    </row>
    <row r="1607" hidden="1">
      <c r="A1607" s="3" t="s">
        <v>6220</v>
      </c>
      <c r="B1607" s="2" t="s">
        <v>6221</v>
      </c>
      <c r="C1607" s="3" t="s">
        <v>6222</v>
      </c>
      <c r="D1607" s="2">
        <v>1.0028027568273113E-4</v>
      </c>
      <c r="E1607" s="8" t="s">
        <v>6223</v>
      </c>
      <c r="F1607" s="9" t="s">
        <v>15</v>
      </c>
      <c r="G1607" s="9" t="s">
        <v>16</v>
      </c>
      <c r="H1607" s="9" t="s">
        <v>16</v>
      </c>
      <c r="I1607" s="9"/>
      <c r="J1607" s="9"/>
      <c r="K1607" s="9"/>
    </row>
    <row r="1608" hidden="1">
      <c r="A1608" s="3" t="s">
        <v>6224</v>
      </c>
      <c r="B1608" s="2" t="s">
        <v>6225</v>
      </c>
      <c r="C1608" s="3" t="s">
        <v>6226</v>
      </c>
      <c r="D1608" s="2">
        <v>1.0028027568273113E-4</v>
      </c>
      <c r="E1608" s="8" t="s">
        <v>6227</v>
      </c>
      <c r="F1608" s="9" t="s">
        <v>15</v>
      </c>
      <c r="G1608" s="9" t="s">
        <v>16</v>
      </c>
      <c r="H1608" s="9" t="s">
        <v>16</v>
      </c>
      <c r="I1608" s="9"/>
      <c r="J1608" s="9"/>
      <c r="K1608" s="9"/>
    </row>
    <row r="1609" hidden="1">
      <c r="A1609" s="3" t="s">
        <v>6228</v>
      </c>
      <c r="B1609" s="2" t="s">
        <v>6229</v>
      </c>
      <c r="C1609" s="3" t="s">
        <v>6230</v>
      </c>
      <c r="D1609" s="2">
        <v>1.0028027568273113E-4</v>
      </c>
      <c r="E1609" s="8" t="s">
        <v>6231</v>
      </c>
      <c r="F1609" s="9" t="s">
        <v>15</v>
      </c>
      <c r="G1609" s="9" t="s">
        <v>16</v>
      </c>
      <c r="H1609" s="9" t="s">
        <v>16</v>
      </c>
      <c r="I1609" s="9"/>
      <c r="J1609" s="9"/>
      <c r="K1609" s="9"/>
    </row>
    <row r="1610" hidden="1">
      <c r="A1610" s="3" t="s">
        <v>6232</v>
      </c>
      <c r="B1610" s="2" t="s">
        <v>6233</v>
      </c>
      <c r="C1610" s="3" t="s">
        <v>6234</v>
      </c>
      <c r="D1610" s="2">
        <v>1.0028027568273113E-4</v>
      </c>
      <c r="E1610" s="8" t="s">
        <v>6235</v>
      </c>
      <c r="F1610" s="9" t="s">
        <v>15</v>
      </c>
      <c r="G1610" s="9" t="s">
        <v>16</v>
      </c>
      <c r="H1610" s="9" t="s">
        <v>16</v>
      </c>
      <c r="I1610" s="9"/>
      <c r="J1610" s="9"/>
      <c r="K1610" s="9"/>
    </row>
    <row r="1611" hidden="1">
      <c r="A1611" s="3" t="s">
        <v>6236</v>
      </c>
      <c r="B1611" s="2" t="s">
        <v>6237</v>
      </c>
      <c r="C1611" s="3" t="s">
        <v>6238</v>
      </c>
      <c r="D1611" s="2">
        <v>1.0028027568273113E-4</v>
      </c>
      <c r="E1611" s="8" t="s">
        <v>6239</v>
      </c>
      <c r="F1611" s="9" t="s">
        <v>15</v>
      </c>
      <c r="G1611" s="9" t="s">
        <v>16</v>
      </c>
      <c r="H1611" s="9" t="s">
        <v>16</v>
      </c>
      <c r="I1611" s="9"/>
      <c r="J1611" s="9"/>
      <c r="K1611" s="9"/>
    </row>
    <row r="1612" hidden="1">
      <c r="A1612" s="3" t="s">
        <v>6240</v>
      </c>
      <c r="B1612" s="2" t="s">
        <v>6241</v>
      </c>
      <c r="C1612" s="3" t="s">
        <v>6242</v>
      </c>
      <c r="D1612" s="2">
        <v>1.0028027568273113E-4</v>
      </c>
      <c r="E1612" s="8" t="s">
        <v>6243</v>
      </c>
      <c r="F1612" s="9" t="s">
        <v>15</v>
      </c>
      <c r="G1612" s="9" t="s">
        <v>16</v>
      </c>
      <c r="H1612" s="9" t="s">
        <v>16</v>
      </c>
      <c r="I1612" s="9"/>
      <c r="J1612" s="9"/>
      <c r="K1612" s="9"/>
    </row>
    <row r="1613" hidden="1">
      <c r="A1613" s="3" t="s">
        <v>6244</v>
      </c>
      <c r="B1613" s="2" t="s">
        <v>6245</v>
      </c>
      <c r="C1613" s="3" t="s">
        <v>6246</v>
      </c>
      <c r="D1613" s="2">
        <v>1.0028027568273113E-4</v>
      </c>
      <c r="E1613" s="8" t="s">
        <v>6247</v>
      </c>
      <c r="F1613" s="9" t="s">
        <v>15</v>
      </c>
      <c r="G1613" s="9" t="s">
        <v>16</v>
      </c>
      <c r="H1613" s="9" t="s">
        <v>16</v>
      </c>
      <c r="I1613" s="9"/>
      <c r="J1613" s="9"/>
      <c r="K1613" s="9"/>
    </row>
    <row r="1614" hidden="1">
      <c r="A1614" s="3" t="s">
        <v>6248</v>
      </c>
      <c r="B1614" s="2" t="s">
        <v>6249</v>
      </c>
      <c r="C1614" s="3"/>
      <c r="D1614" s="2">
        <v>1.0028027568273113E-4</v>
      </c>
      <c r="E1614" s="8" t="s">
        <v>4469</v>
      </c>
      <c r="F1614" s="9" t="s">
        <v>15</v>
      </c>
      <c r="G1614" s="9" t="s">
        <v>16</v>
      </c>
      <c r="H1614" s="9" t="s">
        <v>16</v>
      </c>
      <c r="I1614" s="9"/>
      <c r="J1614" s="9"/>
      <c r="K1614" s="9"/>
    </row>
    <row r="1615" hidden="1">
      <c r="A1615" s="3" t="s">
        <v>6250</v>
      </c>
      <c r="B1615" s="2" t="s">
        <v>6251</v>
      </c>
      <c r="C1615" s="3" t="s">
        <v>6252</v>
      </c>
      <c r="D1615" s="2">
        <v>1.0028027568273113E-4</v>
      </c>
      <c r="E1615" s="8" t="s">
        <v>6253</v>
      </c>
      <c r="F1615" s="9" t="s">
        <v>15</v>
      </c>
      <c r="G1615" s="9" t="s">
        <v>16</v>
      </c>
      <c r="H1615" s="9" t="s">
        <v>16</v>
      </c>
      <c r="I1615" s="9"/>
      <c r="J1615" s="9"/>
      <c r="K1615" s="9"/>
    </row>
    <row r="1616" hidden="1">
      <c r="A1616" s="3" t="s">
        <v>6254</v>
      </c>
      <c r="B1616" s="2" t="s">
        <v>6255</v>
      </c>
      <c r="C1616" s="3" t="s">
        <v>6256</v>
      </c>
      <c r="D1616" s="2">
        <v>1.0028027568273113E-4</v>
      </c>
      <c r="E1616" s="8" t="s">
        <v>5169</v>
      </c>
      <c r="F1616" s="9" t="s">
        <v>15</v>
      </c>
      <c r="G1616" s="9" t="s">
        <v>16</v>
      </c>
      <c r="H1616" s="9" t="s">
        <v>16</v>
      </c>
      <c r="I1616" s="9"/>
      <c r="J1616" s="9"/>
      <c r="K1616" s="9"/>
    </row>
    <row r="1617" hidden="1">
      <c r="A1617" s="3" t="s">
        <v>6257</v>
      </c>
      <c r="B1617" s="2" t="s">
        <v>6258</v>
      </c>
      <c r="C1617" s="3" t="s">
        <v>6259</v>
      </c>
      <c r="D1617" s="2">
        <v>1.0028027568273113E-4</v>
      </c>
      <c r="E1617" s="8" t="s">
        <v>6260</v>
      </c>
      <c r="F1617" s="9" t="s">
        <v>15</v>
      </c>
      <c r="G1617" s="9" t="s">
        <v>16</v>
      </c>
      <c r="H1617" s="9" t="s">
        <v>16</v>
      </c>
      <c r="I1617" s="9"/>
      <c r="J1617" s="9"/>
      <c r="K1617" s="9"/>
    </row>
    <row r="1618" hidden="1">
      <c r="A1618" s="3" t="s">
        <v>6261</v>
      </c>
      <c r="B1618" s="2" t="s">
        <v>6262</v>
      </c>
      <c r="C1618" s="3" t="s">
        <v>6263</v>
      </c>
      <c r="D1618" s="2">
        <v>1.0028027568273113E-4</v>
      </c>
      <c r="E1618" s="8" t="s">
        <v>4860</v>
      </c>
      <c r="F1618" s="9" t="s">
        <v>15</v>
      </c>
      <c r="G1618" s="9" t="s">
        <v>16</v>
      </c>
      <c r="H1618" s="9" t="s">
        <v>16</v>
      </c>
      <c r="I1618" s="9"/>
      <c r="J1618" s="9"/>
      <c r="K1618" s="9"/>
    </row>
    <row r="1619" hidden="1">
      <c r="A1619" s="3" t="s">
        <v>6264</v>
      </c>
      <c r="B1619" s="2" t="s">
        <v>6265</v>
      </c>
      <c r="C1619" s="3" t="s">
        <v>6266</v>
      </c>
      <c r="D1619" s="2">
        <v>1.0028027568273113E-4</v>
      </c>
      <c r="E1619" s="8" t="s">
        <v>6267</v>
      </c>
      <c r="F1619" s="9" t="s">
        <v>15</v>
      </c>
      <c r="G1619" s="9" t="s">
        <v>16</v>
      </c>
      <c r="H1619" s="9" t="s">
        <v>16</v>
      </c>
      <c r="I1619" s="9"/>
      <c r="J1619" s="9"/>
      <c r="K1619" s="9"/>
    </row>
    <row r="1620" hidden="1">
      <c r="A1620" s="3" t="s">
        <v>6268</v>
      </c>
      <c r="B1620" s="2" t="s">
        <v>6269</v>
      </c>
      <c r="C1620" s="3" t="s">
        <v>6270</v>
      </c>
      <c r="D1620" s="2">
        <v>1.0028027568273113E-4</v>
      </c>
      <c r="E1620" s="8" t="s">
        <v>6271</v>
      </c>
      <c r="F1620" s="9" t="s">
        <v>15</v>
      </c>
      <c r="G1620" s="9" t="s">
        <v>16</v>
      </c>
      <c r="H1620" s="9" t="s">
        <v>16</v>
      </c>
      <c r="I1620" s="9"/>
      <c r="J1620" s="9"/>
      <c r="K1620" s="9"/>
    </row>
    <row r="1621" hidden="1">
      <c r="A1621" s="3" t="s">
        <v>6272</v>
      </c>
      <c r="B1621" s="2" t="s">
        <v>6273</v>
      </c>
      <c r="C1621" s="3" t="s">
        <v>6274</v>
      </c>
      <c r="D1621" s="2">
        <v>1.0028027568273113E-4</v>
      </c>
      <c r="E1621" s="8" t="s">
        <v>6275</v>
      </c>
      <c r="F1621" s="9" t="s">
        <v>15</v>
      </c>
      <c r="G1621" s="9" t="s">
        <v>16</v>
      </c>
      <c r="H1621" s="9" t="s">
        <v>16</v>
      </c>
      <c r="I1621" s="9"/>
      <c r="J1621" s="9"/>
      <c r="K1621" s="9"/>
    </row>
    <row r="1622" hidden="1">
      <c r="A1622" s="3" t="s">
        <v>6276</v>
      </c>
      <c r="B1622" s="2" t="s">
        <v>6277</v>
      </c>
      <c r="C1622" s="3" t="s">
        <v>6278</v>
      </c>
      <c r="D1622" s="2">
        <v>1.0028027568273113E-4</v>
      </c>
      <c r="E1622" s="8" t="s">
        <v>4726</v>
      </c>
      <c r="F1622" s="9" t="s">
        <v>15</v>
      </c>
      <c r="G1622" s="9" t="s">
        <v>16</v>
      </c>
      <c r="H1622" s="9" t="s">
        <v>16</v>
      </c>
      <c r="I1622" s="9"/>
      <c r="J1622" s="9"/>
      <c r="K1622" s="9"/>
    </row>
    <row r="1623" hidden="1">
      <c r="A1623" s="3" t="s">
        <v>6279</v>
      </c>
      <c r="B1623" s="2" t="s">
        <v>6280</v>
      </c>
      <c r="C1623" s="3" t="s">
        <v>6281</v>
      </c>
      <c r="D1623" s="2">
        <v>1.0028027568273113E-4</v>
      </c>
      <c r="E1623" s="8" t="s">
        <v>6282</v>
      </c>
      <c r="F1623" s="9" t="s">
        <v>15</v>
      </c>
      <c r="G1623" s="9" t="s">
        <v>16</v>
      </c>
      <c r="H1623" s="9" t="s">
        <v>16</v>
      </c>
      <c r="I1623" s="9"/>
      <c r="J1623" s="9"/>
      <c r="K1623" s="9"/>
    </row>
    <row r="1624" hidden="1">
      <c r="A1624" s="3" t="s">
        <v>6283</v>
      </c>
      <c r="B1624" s="2" t="s">
        <v>6284</v>
      </c>
      <c r="C1624" s="3" t="s">
        <v>6285</v>
      </c>
      <c r="D1624" s="2">
        <v>1.0028027568273113E-4</v>
      </c>
      <c r="E1624" s="8" t="s">
        <v>1628</v>
      </c>
      <c r="F1624" s="9" t="s">
        <v>15</v>
      </c>
      <c r="G1624" s="9" t="s">
        <v>16</v>
      </c>
      <c r="H1624" s="9" t="s">
        <v>16</v>
      </c>
      <c r="I1624" s="9"/>
      <c r="J1624" s="9"/>
      <c r="K1624" s="9"/>
    </row>
    <row r="1625" hidden="1">
      <c r="A1625" s="3" t="s">
        <v>6286</v>
      </c>
      <c r="B1625" s="2" t="s">
        <v>6287</v>
      </c>
      <c r="C1625" s="3" t="s">
        <v>6288</v>
      </c>
      <c r="D1625" s="2">
        <v>1.0028027568273113E-4</v>
      </c>
      <c r="E1625" s="8" t="s">
        <v>6289</v>
      </c>
      <c r="F1625" s="9" t="s">
        <v>15</v>
      </c>
      <c r="G1625" s="9" t="s">
        <v>16</v>
      </c>
      <c r="H1625" s="9" t="s">
        <v>16</v>
      </c>
      <c r="I1625" s="9"/>
      <c r="J1625" s="9"/>
      <c r="K1625" s="9"/>
    </row>
    <row r="1626" hidden="1">
      <c r="A1626" s="3" t="s">
        <v>6290</v>
      </c>
      <c r="B1626" s="2" t="s">
        <v>6291</v>
      </c>
      <c r="C1626" s="3" t="s">
        <v>6292</v>
      </c>
      <c r="D1626" s="2">
        <v>1.0028027568273113E-4</v>
      </c>
      <c r="E1626" s="8" t="s">
        <v>5382</v>
      </c>
      <c r="F1626" s="9" t="s">
        <v>15</v>
      </c>
      <c r="G1626" s="9" t="s">
        <v>16</v>
      </c>
      <c r="H1626" s="9" t="s">
        <v>16</v>
      </c>
      <c r="I1626" s="9"/>
      <c r="J1626" s="9"/>
      <c r="K1626" s="9"/>
    </row>
    <row r="1627" hidden="1">
      <c r="A1627" s="3" t="s">
        <v>6293</v>
      </c>
      <c r="B1627" s="2" t="s">
        <v>6294</v>
      </c>
      <c r="C1627" s="3" t="s">
        <v>6295</v>
      </c>
      <c r="D1627" s="2">
        <v>1.0028027568273113E-4</v>
      </c>
      <c r="E1627" s="8" t="s">
        <v>6296</v>
      </c>
      <c r="F1627" s="9" t="s">
        <v>15</v>
      </c>
      <c r="G1627" s="9" t="s">
        <v>16</v>
      </c>
      <c r="H1627" s="9" t="s">
        <v>16</v>
      </c>
      <c r="I1627" s="9"/>
      <c r="J1627" s="9"/>
      <c r="K1627" s="9"/>
    </row>
    <row r="1628" hidden="1">
      <c r="A1628" s="3" t="s">
        <v>6297</v>
      </c>
      <c r="B1628" s="2" t="s">
        <v>6298</v>
      </c>
      <c r="C1628" s="3" t="s">
        <v>6299</v>
      </c>
      <c r="D1628" s="2">
        <v>1.0028027568273113E-4</v>
      </c>
      <c r="E1628" s="8" t="s">
        <v>6300</v>
      </c>
      <c r="F1628" s="9" t="s">
        <v>15</v>
      </c>
      <c r="G1628" s="9" t="s">
        <v>16</v>
      </c>
      <c r="H1628" s="9" t="s">
        <v>16</v>
      </c>
      <c r="I1628" s="9"/>
      <c r="J1628" s="9"/>
      <c r="K1628" s="9"/>
    </row>
    <row r="1629" hidden="1">
      <c r="A1629" s="3" t="s">
        <v>6301</v>
      </c>
      <c r="B1629" s="2" t="s">
        <v>6302</v>
      </c>
      <c r="C1629" s="3" t="s">
        <v>6303</v>
      </c>
      <c r="D1629" s="2">
        <v>1.0028027568273113E-4</v>
      </c>
      <c r="E1629" s="8" t="s">
        <v>6304</v>
      </c>
      <c r="F1629" s="9" t="s">
        <v>15</v>
      </c>
      <c r="G1629" s="9" t="s">
        <v>16</v>
      </c>
      <c r="H1629" s="9" t="s">
        <v>16</v>
      </c>
      <c r="I1629" s="9"/>
      <c r="J1629" s="9"/>
      <c r="K1629" s="9"/>
    </row>
    <row r="1630" hidden="1">
      <c r="A1630" s="3" t="s">
        <v>6305</v>
      </c>
      <c r="B1630" s="2" t="s">
        <v>6306</v>
      </c>
      <c r="C1630" s="3" t="s">
        <v>6307</v>
      </c>
      <c r="D1630" s="2">
        <v>1.0028027568273113E-4</v>
      </c>
      <c r="E1630" s="8" t="s">
        <v>6308</v>
      </c>
      <c r="F1630" s="9" t="s">
        <v>15</v>
      </c>
      <c r="G1630" s="9" t="s">
        <v>16</v>
      </c>
      <c r="H1630" s="9" t="s">
        <v>16</v>
      </c>
      <c r="I1630" s="9"/>
      <c r="J1630" s="9"/>
      <c r="K1630" s="9"/>
    </row>
    <row r="1631" hidden="1">
      <c r="A1631" s="3" t="s">
        <v>6309</v>
      </c>
      <c r="B1631" s="2" t="s">
        <v>6310</v>
      </c>
      <c r="C1631" s="3" t="s">
        <v>6311</v>
      </c>
      <c r="D1631" s="2">
        <v>1.0028027568273113E-4</v>
      </c>
      <c r="E1631" s="8" t="s">
        <v>6312</v>
      </c>
      <c r="F1631" s="9" t="s">
        <v>15</v>
      </c>
      <c r="G1631" s="9" t="s">
        <v>16</v>
      </c>
      <c r="H1631" s="9" t="s">
        <v>16</v>
      </c>
      <c r="I1631" s="9"/>
      <c r="J1631" s="9"/>
      <c r="K1631" s="9"/>
    </row>
    <row r="1632" hidden="1">
      <c r="A1632" s="3" t="s">
        <v>6313</v>
      </c>
      <c r="B1632" s="2" t="s">
        <v>6314</v>
      </c>
      <c r="C1632" s="3"/>
      <c r="D1632" s="2">
        <v>1.0028027568273113E-4</v>
      </c>
      <c r="E1632" s="8" t="s">
        <v>6315</v>
      </c>
      <c r="F1632" s="9" t="s">
        <v>15</v>
      </c>
      <c r="G1632" s="9" t="s">
        <v>16</v>
      </c>
      <c r="H1632" s="9" t="s">
        <v>16</v>
      </c>
      <c r="I1632" s="9"/>
      <c r="J1632" s="9"/>
      <c r="K1632" s="9"/>
    </row>
    <row r="1633" hidden="1">
      <c r="A1633" s="3" t="s">
        <v>6316</v>
      </c>
      <c r="B1633" s="2" t="s">
        <v>6317</v>
      </c>
      <c r="C1633" s="3" t="s">
        <v>6318</v>
      </c>
      <c r="D1633" s="2">
        <v>1.0028027568273113E-4</v>
      </c>
      <c r="E1633" s="8" t="s">
        <v>6319</v>
      </c>
      <c r="F1633" s="9" t="s">
        <v>15</v>
      </c>
      <c r="G1633" s="9" t="s">
        <v>16</v>
      </c>
      <c r="H1633" s="9" t="s">
        <v>16</v>
      </c>
      <c r="I1633" s="9"/>
      <c r="J1633" s="9"/>
      <c r="K1633" s="9"/>
    </row>
    <row r="1634" hidden="1">
      <c r="A1634" s="3" t="s">
        <v>6320</v>
      </c>
      <c r="B1634" s="2" t="s">
        <v>6321</v>
      </c>
      <c r="C1634" s="3" t="s">
        <v>6322</v>
      </c>
      <c r="D1634" s="2">
        <v>1.0028027568273113E-4</v>
      </c>
      <c r="E1634" s="8" t="s">
        <v>6323</v>
      </c>
      <c r="F1634" s="9" t="s">
        <v>15</v>
      </c>
      <c r="G1634" s="9" t="s">
        <v>16</v>
      </c>
      <c r="H1634" s="9" t="s">
        <v>16</v>
      </c>
      <c r="I1634" s="9"/>
      <c r="J1634" s="9"/>
      <c r="K1634" s="9"/>
    </row>
    <row r="1635" hidden="1">
      <c r="A1635" s="3" t="s">
        <v>6324</v>
      </c>
      <c r="B1635" s="2" t="s">
        <v>6325</v>
      </c>
      <c r="C1635" s="3" t="s">
        <v>6326</v>
      </c>
      <c r="D1635" s="2">
        <v>1.0028027568273113E-4</v>
      </c>
      <c r="E1635" s="8" t="s">
        <v>6327</v>
      </c>
      <c r="F1635" s="9" t="s">
        <v>15</v>
      </c>
      <c r="G1635" s="9" t="s">
        <v>16</v>
      </c>
      <c r="H1635" s="9" t="s">
        <v>16</v>
      </c>
      <c r="I1635" s="9"/>
      <c r="J1635" s="9"/>
      <c r="K1635" s="9"/>
    </row>
    <row r="1636" hidden="1">
      <c r="A1636" s="3" t="s">
        <v>6328</v>
      </c>
      <c r="B1636" s="2" t="s">
        <v>6329</v>
      </c>
      <c r="C1636" s="3"/>
      <c r="D1636" s="2">
        <v>1.0028027568273113E-4</v>
      </c>
      <c r="E1636" s="8" t="s">
        <v>6330</v>
      </c>
      <c r="F1636" s="9" t="s">
        <v>15</v>
      </c>
      <c r="G1636" s="9" t="s">
        <v>16</v>
      </c>
      <c r="H1636" s="9" t="s">
        <v>16</v>
      </c>
      <c r="I1636" s="9"/>
      <c r="J1636" s="9"/>
      <c r="K1636" s="9"/>
    </row>
    <row r="1637" hidden="1">
      <c r="A1637" s="3" t="s">
        <v>6331</v>
      </c>
      <c r="B1637" s="2" t="s">
        <v>6332</v>
      </c>
      <c r="C1637" s="3" t="s">
        <v>6333</v>
      </c>
      <c r="D1637" s="2">
        <v>1.0028027568273113E-4</v>
      </c>
      <c r="E1637" s="8" t="s">
        <v>6334</v>
      </c>
      <c r="F1637" s="9" t="s">
        <v>15</v>
      </c>
      <c r="G1637" s="9" t="s">
        <v>16</v>
      </c>
      <c r="H1637" s="9" t="s">
        <v>16</v>
      </c>
      <c r="I1637" s="9"/>
      <c r="J1637" s="9"/>
      <c r="K1637" s="9"/>
    </row>
    <row r="1638" hidden="1">
      <c r="A1638" s="3" t="s">
        <v>6335</v>
      </c>
      <c r="B1638" s="2" t="s">
        <v>6336</v>
      </c>
      <c r="C1638" s="3" t="s">
        <v>6337</v>
      </c>
      <c r="D1638" s="2">
        <v>1.0028027568273113E-4</v>
      </c>
      <c r="E1638" s="8" t="s">
        <v>6338</v>
      </c>
      <c r="F1638" s="9" t="s">
        <v>15</v>
      </c>
      <c r="G1638" s="9" t="s">
        <v>16</v>
      </c>
      <c r="H1638" s="9" t="s">
        <v>16</v>
      </c>
      <c r="I1638" s="9"/>
      <c r="J1638" s="9"/>
      <c r="K1638" s="9"/>
    </row>
    <row r="1639" hidden="1">
      <c r="A1639" s="3" t="s">
        <v>6339</v>
      </c>
      <c r="B1639" s="2" t="s">
        <v>6340</v>
      </c>
      <c r="C1639" s="3" t="s">
        <v>6341</v>
      </c>
      <c r="D1639" s="2">
        <v>1.0028027568273113E-4</v>
      </c>
      <c r="E1639" s="8" t="s">
        <v>6342</v>
      </c>
      <c r="F1639" s="9" t="s">
        <v>15</v>
      </c>
      <c r="G1639" s="9" t="s">
        <v>16</v>
      </c>
      <c r="H1639" s="9" t="s">
        <v>16</v>
      </c>
      <c r="I1639" s="9"/>
      <c r="J1639" s="9"/>
      <c r="K1639" s="9"/>
    </row>
    <row r="1640" hidden="1">
      <c r="A1640" s="3" t="s">
        <v>6343</v>
      </c>
      <c r="B1640" s="2" t="s">
        <v>6344</v>
      </c>
      <c r="C1640" s="3"/>
      <c r="D1640" s="2">
        <v>1.0028027568273113E-4</v>
      </c>
      <c r="E1640" s="8" t="s">
        <v>6345</v>
      </c>
      <c r="F1640" s="9" t="s">
        <v>15</v>
      </c>
      <c r="G1640" s="9" t="s">
        <v>16</v>
      </c>
      <c r="H1640" s="9" t="s">
        <v>16</v>
      </c>
      <c r="I1640" s="9"/>
      <c r="J1640" s="9"/>
      <c r="K1640" s="9"/>
    </row>
    <row r="1641" hidden="1">
      <c r="A1641" s="3" t="s">
        <v>6346</v>
      </c>
      <c r="B1641" s="2" t="s">
        <v>6347</v>
      </c>
      <c r="C1641" s="3" t="s">
        <v>6348</v>
      </c>
      <c r="D1641" s="2">
        <v>1.0028027568273113E-4</v>
      </c>
      <c r="E1641" s="8" t="s">
        <v>6349</v>
      </c>
      <c r="F1641" s="9" t="s">
        <v>15</v>
      </c>
      <c r="G1641" s="9" t="s">
        <v>16</v>
      </c>
      <c r="H1641" s="9" t="s">
        <v>16</v>
      </c>
      <c r="I1641" s="9"/>
      <c r="J1641" s="9"/>
      <c r="K1641" s="9"/>
    </row>
    <row r="1642" hidden="1">
      <c r="A1642" s="3" t="s">
        <v>6350</v>
      </c>
      <c r="B1642" s="2" t="s">
        <v>6351</v>
      </c>
      <c r="C1642" s="3" t="s">
        <v>6352</v>
      </c>
      <c r="D1642" s="2">
        <v>1.0028027568273113E-4</v>
      </c>
      <c r="E1642" s="8" t="s">
        <v>6353</v>
      </c>
      <c r="F1642" s="9" t="s">
        <v>15</v>
      </c>
      <c r="G1642" s="9" t="s">
        <v>16</v>
      </c>
      <c r="H1642" s="9" t="s">
        <v>16</v>
      </c>
      <c r="I1642" s="9"/>
      <c r="J1642" s="9"/>
      <c r="K1642" s="9"/>
    </row>
    <row r="1643" hidden="1">
      <c r="A1643" s="3" t="s">
        <v>6354</v>
      </c>
      <c r="B1643" s="2" t="s">
        <v>6355</v>
      </c>
      <c r="C1643" s="3" t="s">
        <v>6356</v>
      </c>
      <c r="D1643" s="2">
        <v>1.0028027568273113E-4</v>
      </c>
      <c r="E1643" s="8" t="s">
        <v>6357</v>
      </c>
      <c r="F1643" s="9" t="s">
        <v>15</v>
      </c>
      <c r="G1643" s="9" t="s">
        <v>16</v>
      </c>
      <c r="H1643" s="9" t="s">
        <v>16</v>
      </c>
      <c r="I1643" s="9"/>
      <c r="J1643" s="9"/>
      <c r="K1643" s="9"/>
    </row>
    <row r="1644" hidden="1">
      <c r="A1644" s="3" t="s">
        <v>6358</v>
      </c>
      <c r="B1644" s="2" t="s">
        <v>6359</v>
      </c>
      <c r="C1644" s="3" t="s">
        <v>6360</v>
      </c>
      <c r="D1644" s="2">
        <v>1.0028027568273113E-4</v>
      </c>
      <c r="E1644" s="8" t="s">
        <v>6361</v>
      </c>
      <c r="F1644" s="9" t="s">
        <v>15</v>
      </c>
      <c r="G1644" s="9" t="s">
        <v>16</v>
      </c>
      <c r="H1644" s="9" t="s">
        <v>16</v>
      </c>
      <c r="I1644" s="9"/>
      <c r="J1644" s="9"/>
      <c r="K1644" s="9"/>
    </row>
    <row r="1645" hidden="1">
      <c r="A1645" s="3" t="s">
        <v>6362</v>
      </c>
      <c r="B1645" s="2" t="s">
        <v>6362</v>
      </c>
      <c r="C1645" s="3"/>
      <c r="D1645" s="2">
        <v>1.0028027568273113E-4</v>
      </c>
      <c r="E1645" s="8" t="s">
        <v>6363</v>
      </c>
      <c r="F1645" s="9" t="s">
        <v>15</v>
      </c>
      <c r="G1645" s="9" t="s">
        <v>16</v>
      </c>
      <c r="H1645" s="9" t="s">
        <v>16</v>
      </c>
      <c r="I1645" s="9"/>
      <c r="J1645" s="9"/>
      <c r="K1645" s="9"/>
    </row>
    <row r="1646" hidden="1">
      <c r="A1646" s="3" t="s">
        <v>6364</v>
      </c>
      <c r="B1646" s="2" t="s">
        <v>6365</v>
      </c>
      <c r="C1646" s="3" t="s">
        <v>6366</v>
      </c>
      <c r="D1646" s="2">
        <v>1.0028027568273113E-4</v>
      </c>
      <c r="E1646" s="8" t="s">
        <v>6367</v>
      </c>
      <c r="F1646" s="9" t="s">
        <v>15</v>
      </c>
      <c r="G1646" s="9" t="s">
        <v>16</v>
      </c>
      <c r="H1646" s="9" t="s">
        <v>16</v>
      </c>
      <c r="I1646" s="9"/>
      <c r="J1646" s="9"/>
      <c r="K1646" s="9"/>
    </row>
    <row r="1647" hidden="1">
      <c r="A1647" s="3" t="s">
        <v>6368</v>
      </c>
      <c r="B1647" s="2" t="s">
        <v>6369</v>
      </c>
      <c r="C1647" s="3" t="s">
        <v>6370</v>
      </c>
      <c r="D1647" s="2">
        <v>1.0028027568273113E-4</v>
      </c>
      <c r="E1647" s="8" t="s">
        <v>6223</v>
      </c>
      <c r="F1647" s="9" t="s">
        <v>15</v>
      </c>
      <c r="G1647" s="9" t="s">
        <v>16</v>
      </c>
      <c r="H1647" s="9" t="s">
        <v>16</v>
      </c>
      <c r="I1647" s="9"/>
      <c r="J1647" s="9"/>
      <c r="K1647" s="9"/>
    </row>
    <row r="1648" hidden="1">
      <c r="A1648" s="3" t="s">
        <v>6371</v>
      </c>
      <c r="B1648" s="2" t="s">
        <v>6372</v>
      </c>
      <c r="C1648" s="3" t="s">
        <v>6373</v>
      </c>
      <c r="D1648" s="2">
        <v>1.0028027568273113E-4</v>
      </c>
      <c r="E1648" s="8" t="s">
        <v>6374</v>
      </c>
      <c r="F1648" s="9" t="s">
        <v>15</v>
      </c>
      <c r="G1648" s="9" t="s">
        <v>16</v>
      </c>
      <c r="H1648" s="9" t="s">
        <v>16</v>
      </c>
      <c r="I1648" s="9"/>
      <c r="J1648" s="9"/>
      <c r="K1648" s="9"/>
    </row>
    <row r="1649" hidden="1">
      <c r="A1649" s="3" t="s">
        <v>6375</v>
      </c>
      <c r="B1649" s="2" t="s">
        <v>6376</v>
      </c>
      <c r="C1649" s="3" t="s">
        <v>6377</v>
      </c>
      <c r="D1649" s="2">
        <v>1.0028027568273113E-4</v>
      </c>
      <c r="E1649" s="8" t="s">
        <v>6378</v>
      </c>
      <c r="F1649" s="9" t="s">
        <v>15</v>
      </c>
      <c r="G1649" s="9" t="s">
        <v>16</v>
      </c>
      <c r="H1649" s="9" t="s">
        <v>16</v>
      </c>
      <c r="I1649" s="9"/>
      <c r="J1649" s="9"/>
      <c r="K1649" s="9"/>
    </row>
    <row r="1650" hidden="1">
      <c r="A1650" s="3" t="s">
        <v>6379</v>
      </c>
      <c r="B1650" s="2" t="s">
        <v>6380</v>
      </c>
      <c r="C1650" s="3" t="s">
        <v>6381</v>
      </c>
      <c r="D1650" s="2">
        <v>1.0028027568273113E-4</v>
      </c>
      <c r="E1650" s="8" t="s">
        <v>6382</v>
      </c>
      <c r="F1650" s="9" t="s">
        <v>15</v>
      </c>
      <c r="G1650" s="9" t="s">
        <v>16</v>
      </c>
      <c r="H1650" s="9" t="s">
        <v>16</v>
      </c>
      <c r="I1650" s="9"/>
      <c r="J1650" s="9"/>
      <c r="K1650" s="9"/>
    </row>
    <row r="1651" hidden="1">
      <c r="A1651" s="3" t="s">
        <v>6383</v>
      </c>
      <c r="B1651" s="2" t="s">
        <v>6384</v>
      </c>
      <c r="C1651" s="3" t="s">
        <v>6385</v>
      </c>
      <c r="D1651" s="2">
        <v>1.0028027568273113E-4</v>
      </c>
      <c r="E1651" s="8" t="s">
        <v>6386</v>
      </c>
      <c r="F1651" s="9" t="s">
        <v>15</v>
      </c>
      <c r="G1651" s="9" t="s">
        <v>16</v>
      </c>
      <c r="H1651" s="9" t="s">
        <v>16</v>
      </c>
      <c r="I1651" s="9"/>
      <c r="J1651" s="9"/>
      <c r="K1651" s="9"/>
    </row>
    <row r="1652" hidden="1">
      <c r="A1652" s="3" t="s">
        <v>6387</v>
      </c>
      <c r="B1652" s="2" t="s">
        <v>6388</v>
      </c>
      <c r="C1652" s="3" t="s">
        <v>6389</v>
      </c>
      <c r="D1652" s="2">
        <v>1.0028027568273113E-4</v>
      </c>
      <c r="E1652" s="8" t="s">
        <v>6390</v>
      </c>
      <c r="F1652" s="9" t="s">
        <v>15</v>
      </c>
      <c r="G1652" s="9" t="s">
        <v>16</v>
      </c>
      <c r="H1652" s="9" t="s">
        <v>16</v>
      </c>
      <c r="I1652" s="9"/>
      <c r="J1652" s="9"/>
      <c r="K1652" s="9"/>
    </row>
    <row r="1653" hidden="1">
      <c r="A1653" s="3" t="s">
        <v>6391</v>
      </c>
      <c r="B1653" s="2" t="s">
        <v>6392</v>
      </c>
      <c r="C1653" s="3" t="s">
        <v>6393</v>
      </c>
      <c r="D1653" s="2">
        <v>1.0028027568273113E-4</v>
      </c>
      <c r="E1653" s="8" t="s">
        <v>6394</v>
      </c>
      <c r="F1653" s="9" t="s">
        <v>15</v>
      </c>
      <c r="G1653" s="9" t="s">
        <v>16</v>
      </c>
      <c r="H1653" s="9" t="s">
        <v>16</v>
      </c>
      <c r="I1653" s="9"/>
      <c r="J1653" s="9"/>
      <c r="K1653" s="9"/>
    </row>
    <row r="1654" hidden="1">
      <c r="A1654" s="3" t="s">
        <v>6395</v>
      </c>
      <c r="B1654" s="2" t="s">
        <v>6396</v>
      </c>
      <c r="C1654" s="3" t="s">
        <v>6397</v>
      </c>
      <c r="D1654" s="2">
        <v>1.0028027568273113E-4</v>
      </c>
      <c r="E1654" s="8" t="s">
        <v>6398</v>
      </c>
      <c r="F1654" s="9" t="s">
        <v>15</v>
      </c>
      <c r="G1654" s="9" t="s">
        <v>16</v>
      </c>
      <c r="H1654" s="9" t="s">
        <v>16</v>
      </c>
      <c r="I1654" s="9"/>
      <c r="J1654" s="9"/>
      <c r="K1654" s="9"/>
    </row>
    <row r="1655" hidden="1">
      <c r="A1655" s="3" t="s">
        <v>6399</v>
      </c>
      <c r="B1655" s="2" t="s">
        <v>6400</v>
      </c>
      <c r="C1655" s="3" t="s">
        <v>6401</v>
      </c>
      <c r="D1655" s="2">
        <v>1.0028027568273113E-4</v>
      </c>
      <c r="E1655" s="8" t="s">
        <v>6402</v>
      </c>
      <c r="F1655" s="9" t="s">
        <v>15</v>
      </c>
      <c r="G1655" s="9" t="s">
        <v>16</v>
      </c>
      <c r="H1655" s="9" t="s">
        <v>16</v>
      </c>
      <c r="I1655" s="9"/>
      <c r="J1655" s="9"/>
      <c r="K1655" s="9"/>
    </row>
    <row r="1656" hidden="1">
      <c r="A1656" s="3" t="s">
        <v>6403</v>
      </c>
      <c r="B1656" s="2" t="s">
        <v>6404</v>
      </c>
      <c r="C1656" s="3" t="s">
        <v>6405</v>
      </c>
      <c r="D1656" s="2">
        <v>1.0028027568273113E-4</v>
      </c>
      <c r="E1656" s="8" t="s">
        <v>3248</v>
      </c>
      <c r="F1656" s="9" t="s">
        <v>15</v>
      </c>
      <c r="G1656" s="9" t="s">
        <v>16</v>
      </c>
      <c r="H1656" s="9" t="s">
        <v>16</v>
      </c>
      <c r="I1656" s="9"/>
      <c r="J1656" s="9"/>
      <c r="K1656" s="9"/>
    </row>
    <row r="1657" hidden="1">
      <c r="A1657" s="3" t="s">
        <v>6406</v>
      </c>
      <c r="B1657" s="2" t="s">
        <v>6407</v>
      </c>
      <c r="C1657" s="3" t="s">
        <v>6408</v>
      </c>
      <c r="D1657" s="2">
        <v>1.0028027568273113E-4</v>
      </c>
      <c r="E1657" s="8" t="s">
        <v>6409</v>
      </c>
      <c r="F1657" s="9" t="s">
        <v>15</v>
      </c>
      <c r="G1657" s="9" t="s">
        <v>16</v>
      </c>
      <c r="H1657" s="9" t="s">
        <v>16</v>
      </c>
      <c r="I1657" s="9"/>
      <c r="J1657" s="9"/>
      <c r="K1657" s="9"/>
    </row>
    <row r="1658" hidden="1">
      <c r="A1658" s="3" t="s">
        <v>6410</v>
      </c>
      <c r="B1658" s="2" t="s">
        <v>6411</v>
      </c>
      <c r="C1658" s="3" t="s">
        <v>6412</v>
      </c>
      <c r="D1658" s="2">
        <v>1.0028027568273113E-4</v>
      </c>
      <c r="E1658" s="8" t="s">
        <v>6413</v>
      </c>
      <c r="F1658" s="9" t="s">
        <v>15</v>
      </c>
      <c r="G1658" s="9" t="s">
        <v>16</v>
      </c>
      <c r="H1658" s="9" t="s">
        <v>16</v>
      </c>
      <c r="I1658" s="9"/>
      <c r="J1658" s="9"/>
      <c r="K1658" s="9"/>
    </row>
    <row r="1659" hidden="1">
      <c r="A1659" s="3" t="s">
        <v>6414</v>
      </c>
      <c r="B1659" s="2" t="s">
        <v>6415</v>
      </c>
      <c r="C1659" s="3" t="s">
        <v>6416</v>
      </c>
      <c r="D1659" s="2">
        <v>1.0028027568273113E-4</v>
      </c>
      <c r="E1659" s="8" t="s">
        <v>6417</v>
      </c>
      <c r="F1659" s="9" t="s">
        <v>15</v>
      </c>
      <c r="G1659" s="9" t="s">
        <v>16</v>
      </c>
      <c r="H1659" s="9" t="s">
        <v>16</v>
      </c>
      <c r="I1659" s="9"/>
      <c r="J1659" s="9"/>
      <c r="K1659" s="9"/>
    </row>
    <row r="1660" hidden="1">
      <c r="A1660" s="3" t="s">
        <v>6418</v>
      </c>
      <c r="B1660" s="2" t="s">
        <v>6419</v>
      </c>
      <c r="C1660" s="3" t="s">
        <v>6420</v>
      </c>
      <c r="D1660" s="2">
        <v>1.0028027568273113E-4</v>
      </c>
      <c r="E1660" s="8" t="s">
        <v>6421</v>
      </c>
      <c r="F1660" s="9" t="s">
        <v>15</v>
      </c>
      <c r="G1660" s="9" t="s">
        <v>16</v>
      </c>
      <c r="H1660" s="9" t="s">
        <v>16</v>
      </c>
      <c r="I1660" s="9"/>
      <c r="J1660" s="9"/>
      <c r="K1660" s="9"/>
    </row>
    <row r="1661" hidden="1">
      <c r="A1661" s="3" t="s">
        <v>6422</v>
      </c>
      <c r="B1661" s="2" t="s">
        <v>6423</v>
      </c>
      <c r="C1661" s="3"/>
      <c r="D1661" s="2">
        <v>1.0028027568273113E-4</v>
      </c>
      <c r="E1661" s="8" t="s">
        <v>4758</v>
      </c>
      <c r="F1661" s="9" t="s">
        <v>15</v>
      </c>
      <c r="G1661" s="9" t="s">
        <v>16</v>
      </c>
      <c r="H1661" s="9" t="s">
        <v>16</v>
      </c>
      <c r="I1661" s="9"/>
      <c r="J1661" s="9"/>
      <c r="K1661" s="9"/>
    </row>
    <row r="1662" hidden="1">
      <c r="A1662" s="3" t="s">
        <v>6424</v>
      </c>
      <c r="B1662" s="2" t="s">
        <v>6425</v>
      </c>
      <c r="C1662" s="3" t="s">
        <v>6426</v>
      </c>
      <c r="D1662" s="2">
        <v>1.0028027568273113E-4</v>
      </c>
      <c r="E1662" s="8" t="s">
        <v>6427</v>
      </c>
      <c r="F1662" s="9" t="s">
        <v>15</v>
      </c>
      <c r="G1662" s="9" t="s">
        <v>16</v>
      </c>
      <c r="H1662" s="9" t="s">
        <v>16</v>
      </c>
      <c r="I1662" s="9"/>
      <c r="J1662" s="9"/>
      <c r="K1662" s="9"/>
    </row>
    <row r="1663" hidden="1">
      <c r="A1663" s="3" t="s">
        <v>6428</v>
      </c>
      <c r="B1663" s="2" t="s">
        <v>6429</v>
      </c>
      <c r="C1663" s="3" t="s">
        <v>6430</v>
      </c>
      <c r="D1663" s="2">
        <v>1.0028027568273113E-4</v>
      </c>
      <c r="E1663" s="8" t="s">
        <v>5710</v>
      </c>
      <c r="F1663" s="9" t="s">
        <v>15</v>
      </c>
      <c r="G1663" s="9" t="s">
        <v>16</v>
      </c>
      <c r="H1663" s="9" t="s">
        <v>16</v>
      </c>
      <c r="I1663" s="9"/>
      <c r="J1663" s="9"/>
      <c r="K1663" s="9"/>
    </row>
    <row r="1664" hidden="1">
      <c r="A1664" s="3" t="s">
        <v>6431</v>
      </c>
      <c r="B1664" s="2" t="s">
        <v>6432</v>
      </c>
      <c r="C1664" s="3"/>
      <c r="D1664" s="2">
        <v>1.0028027568273113E-4</v>
      </c>
      <c r="E1664" s="8" t="s">
        <v>6433</v>
      </c>
      <c r="F1664" s="9" t="s">
        <v>15</v>
      </c>
      <c r="G1664" s="9" t="s">
        <v>16</v>
      </c>
      <c r="H1664" s="9" t="s">
        <v>16</v>
      </c>
      <c r="I1664" s="9"/>
      <c r="J1664" s="9"/>
      <c r="K1664" s="9"/>
    </row>
    <row r="1665" hidden="1">
      <c r="A1665" s="3" t="s">
        <v>6434</v>
      </c>
      <c r="B1665" s="2" t="s">
        <v>6435</v>
      </c>
      <c r="C1665" s="3" t="s">
        <v>6436</v>
      </c>
      <c r="D1665" s="2">
        <v>1.0028027568273113E-4</v>
      </c>
      <c r="E1665" s="8" t="s">
        <v>6437</v>
      </c>
      <c r="F1665" s="9" t="s">
        <v>15</v>
      </c>
      <c r="G1665" s="9" t="s">
        <v>16</v>
      </c>
      <c r="H1665" s="9" t="s">
        <v>16</v>
      </c>
      <c r="I1665" s="9"/>
      <c r="J1665" s="9"/>
      <c r="K1665" s="9"/>
    </row>
    <row r="1666" hidden="1">
      <c r="A1666" s="3" t="s">
        <v>6438</v>
      </c>
      <c r="B1666" s="2" t="s">
        <v>6439</v>
      </c>
      <c r="C1666" s="3" t="s">
        <v>6440</v>
      </c>
      <c r="D1666" s="2">
        <v>1.0028027568273113E-4</v>
      </c>
      <c r="E1666" s="8" t="s">
        <v>6441</v>
      </c>
      <c r="F1666" s="9" t="s">
        <v>15</v>
      </c>
      <c r="G1666" s="9" t="s">
        <v>16</v>
      </c>
      <c r="H1666" s="9" t="s">
        <v>16</v>
      </c>
      <c r="I1666" s="9"/>
      <c r="J1666" s="9"/>
      <c r="K1666" s="9"/>
    </row>
    <row r="1667" hidden="1">
      <c r="A1667" s="3" t="s">
        <v>6442</v>
      </c>
      <c r="B1667" s="2" t="s">
        <v>6443</v>
      </c>
      <c r="C1667" s="3"/>
      <c r="D1667" s="2">
        <v>1.0028027568273113E-4</v>
      </c>
      <c r="E1667" s="8" t="s">
        <v>6444</v>
      </c>
      <c r="F1667" s="9" t="s">
        <v>15</v>
      </c>
      <c r="G1667" s="9" t="s">
        <v>16</v>
      </c>
      <c r="H1667" s="9" t="s">
        <v>16</v>
      </c>
      <c r="I1667" s="9"/>
      <c r="J1667" s="9"/>
      <c r="K1667" s="9"/>
    </row>
    <row r="1668" hidden="1">
      <c r="A1668" s="3" t="s">
        <v>6445</v>
      </c>
      <c r="B1668" s="2" t="s">
        <v>6446</v>
      </c>
      <c r="C1668" s="3" t="s">
        <v>6447</v>
      </c>
      <c r="D1668" s="2">
        <v>1.0028027568273113E-4</v>
      </c>
      <c r="E1668" s="8" t="s">
        <v>6448</v>
      </c>
      <c r="F1668" s="9" t="s">
        <v>15</v>
      </c>
      <c r="G1668" s="9" t="s">
        <v>16</v>
      </c>
      <c r="H1668" s="9" t="s">
        <v>16</v>
      </c>
      <c r="I1668" s="9"/>
      <c r="J1668" s="9"/>
      <c r="K1668" s="9"/>
    </row>
    <row r="1669" hidden="1">
      <c r="A1669" s="3" t="s">
        <v>6449</v>
      </c>
      <c r="B1669" s="2" t="s">
        <v>6450</v>
      </c>
      <c r="C1669" s="3" t="s">
        <v>6451</v>
      </c>
      <c r="D1669" s="2">
        <v>1.0028027568273113E-4</v>
      </c>
      <c r="E1669" s="8" t="s">
        <v>6452</v>
      </c>
      <c r="F1669" s="9" t="s">
        <v>15</v>
      </c>
      <c r="G1669" s="9" t="s">
        <v>16</v>
      </c>
      <c r="H1669" s="9" t="s">
        <v>16</v>
      </c>
      <c r="I1669" s="9"/>
      <c r="J1669" s="9"/>
      <c r="K1669" s="9"/>
    </row>
    <row r="1670" hidden="1">
      <c r="A1670" s="3" t="s">
        <v>6453</v>
      </c>
      <c r="B1670" s="2" t="s">
        <v>6454</v>
      </c>
      <c r="C1670" s="3" t="s">
        <v>6455</v>
      </c>
      <c r="D1670" s="2">
        <v>1.0028027568273113E-4</v>
      </c>
      <c r="E1670" s="8" t="s">
        <v>6456</v>
      </c>
      <c r="F1670" s="9" t="s">
        <v>15</v>
      </c>
      <c r="G1670" s="9" t="s">
        <v>16</v>
      </c>
      <c r="H1670" s="9" t="s">
        <v>16</v>
      </c>
      <c r="I1670" s="9"/>
      <c r="J1670" s="9"/>
      <c r="K1670" s="9"/>
    </row>
    <row r="1671" hidden="1">
      <c r="A1671" s="3" t="s">
        <v>6457</v>
      </c>
      <c r="B1671" s="2" t="s">
        <v>6458</v>
      </c>
      <c r="C1671" s="3" t="s">
        <v>6459</v>
      </c>
      <c r="D1671" s="2">
        <v>1.0028027568273113E-4</v>
      </c>
      <c r="E1671" s="8" t="s">
        <v>4804</v>
      </c>
      <c r="F1671" s="9" t="s">
        <v>15</v>
      </c>
      <c r="G1671" s="9" t="s">
        <v>16</v>
      </c>
      <c r="H1671" s="9" t="s">
        <v>16</v>
      </c>
      <c r="I1671" s="9"/>
      <c r="J1671" s="9"/>
      <c r="K1671" s="9"/>
    </row>
    <row r="1672" hidden="1">
      <c r="A1672" s="3" t="s">
        <v>6460</v>
      </c>
      <c r="B1672" s="2" t="s">
        <v>6461</v>
      </c>
      <c r="C1672" s="3"/>
      <c r="D1672" s="2">
        <v>1.0028027568273113E-4</v>
      </c>
      <c r="E1672" s="8" t="s">
        <v>6462</v>
      </c>
      <c r="F1672" s="9" t="s">
        <v>15</v>
      </c>
      <c r="G1672" s="9" t="s">
        <v>16</v>
      </c>
      <c r="H1672" s="9" t="s">
        <v>16</v>
      </c>
      <c r="I1672" s="9"/>
      <c r="J1672" s="9"/>
      <c r="K1672" s="9"/>
    </row>
    <row r="1673" hidden="1">
      <c r="A1673" s="3" t="s">
        <v>6463</v>
      </c>
      <c r="B1673" s="2" t="s">
        <v>6464</v>
      </c>
      <c r="C1673" s="3" t="s">
        <v>6465</v>
      </c>
      <c r="D1673" s="2">
        <v>1.0028027568273113E-4</v>
      </c>
      <c r="E1673" s="8" t="s">
        <v>4315</v>
      </c>
      <c r="F1673" s="9" t="s">
        <v>15</v>
      </c>
      <c r="G1673" s="9" t="s">
        <v>16</v>
      </c>
      <c r="H1673" s="9" t="s">
        <v>16</v>
      </c>
      <c r="I1673" s="9"/>
      <c r="J1673" s="9"/>
      <c r="K1673" s="9"/>
    </row>
    <row r="1674" hidden="1">
      <c r="A1674" s="3" t="s">
        <v>6466</v>
      </c>
      <c r="B1674" s="2" t="s">
        <v>6467</v>
      </c>
      <c r="C1674" s="3" t="s">
        <v>6468</v>
      </c>
      <c r="D1674" s="2">
        <v>1.0028027568273113E-4</v>
      </c>
      <c r="E1674" s="8" t="s">
        <v>6469</v>
      </c>
      <c r="F1674" s="9" t="s">
        <v>15</v>
      </c>
      <c r="G1674" s="9" t="s">
        <v>16</v>
      </c>
      <c r="H1674" s="9" t="s">
        <v>16</v>
      </c>
      <c r="I1674" s="9"/>
      <c r="J1674" s="9"/>
      <c r="K1674" s="9"/>
    </row>
    <row r="1675" hidden="1">
      <c r="A1675" s="3" t="s">
        <v>6470</v>
      </c>
      <c r="B1675" s="2" t="s">
        <v>6471</v>
      </c>
      <c r="C1675" s="3" t="s">
        <v>6472</v>
      </c>
      <c r="D1675" s="2">
        <v>1.0028027568273113E-4</v>
      </c>
      <c r="E1675" s="8" t="s">
        <v>6473</v>
      </c>
      <c r="F1675" s="9" t="s">
        <v>15</v>
      </c>
      <c r="G1675" s="9" t="s">
        <v>16</v>
      </c>
      <c r="H1675" s="9" t="s">
        <v>16</v>
      </c>
      <c r="I1675" s="9"/>
      <c r="J1675" s="9"/>
      <c r="K1675" s="9"/>
    </row>
    <row r="1676" hidden="1">
      <c r="A1676" s="3" t="s">
        <v>6474</v>
      </c>
      <c r="B1676" s="2" t="s">
        <v>6475</v>
      </c>
      <c r="C1676" s="3"/>
      <c r="D1676" s="2">
        <v>1.0028027568273113E-4</v>
      </c>
      <c r="E1676" s="8" t="s">
        <v>6476</v>
      </c>
      <c r="F1676" s="9" t="s">
        <v>15</v>
      </c>
      <c r="G1676" s="9" t="s">
        <v>16</v>
      </c>
      <c r="H1676" s="9" t="s">
        <v>16</v>
      </c>
      <c r="I1676" s="9"/>
      <c r="J1676" s="9"/>
      <c r="K1676" s="9"/>
    </row>
    <row r="1677" hidden="1">
      <c r="A1677" s="3" t="s">
        <v>6477</v>
      </c>
      <c r="B1677" s="2" t="s">
        <v>6478</v>
      </c>
      <c r="C1677" s="3" t="s">
        <v>6479</v>
      </c>
      <c r="D1677" s="2">
        <v>1.0028027568273113E-4</v>
      </c>
      <c r="E1677" s="8" t="s">
        <v>6480</v>
      </c>
      <c r="F1677" s="9" t="s">
        <v>15</v>
      </c>
      <c r="G1677" s="9" t="s">
        <v>16</v>
      </c>
      <c r="H1677" s="9" t="s">
        <v>16</v>
      </c>
      <c r="I1677" s="9"/>
      <c r="J1677" s="9"/>
      <c r="K1677" s="9"/>
    </row>
    <row r="1678" hidden="1">
      <c r="A1678" s="3" t="s">
        <v>6481</v>
      </c>
      <c r="B1678" s="2" t="s">
        <v>6482</v>
      </c>
      <c r="C1678" s="3" t="s">
        <v>6483</v>
      </c>
      <c r="D1678" s="2">
        <v>1.0028027568273113E-4</v>
      </c>
      <c r="E1678" s="8" t="s">
        <v>6484</v>
      </c>
      <c r="F1678" s="9" t="s">
        <v>15</v>
      </c>
      <c r="G1678" s="9" t="s">
        <v>16</v>
      </c>
      <c r="H1678" s="9" t="s">
        <v>16</v>
      </c>
      <c r="I1678" s="9"/>
      <c r="J1678" s="9"/>
      <c r="K1678" s="9"/>
    </row>
    <row r="1679" hidden="1">
      <c r="A1679" s="3" t="s">
        <v>6485</v>
      </c>
      <c r="B1679" s="2" t="s">
        <v>6485</v>
      </c>
      <c r="C1679" s="3" t="s">
        <v>6486</v>
      </c>
      <c r="D1679" s="2">
        <v>1.0028027568273113E-4</v>
      </c>
      <c r="E1679" s="8" t="s">
        <v>6487</v>
      </c>
      <c r="F1679" s="9" t="s">
        <v>15</v>
      </c>
      <c r="G1679" s="9" t="s">
        <v>16</v>
      </c>
      <c r="H1679" s="9" t="s">
        <v>16</v>
      </c>
      <c r="I1679" s="9"/>
      <c r="J1679" s="9"/>
      <c r="K1679" s="9"/>
    </row>
    <row r="1680" hidden="1">
      <c r="A1680" s="3" t="s">
        <v>6488</v>
      </c>
      <c r="B1680" s="2" t="s">
        <v>6489</v>
      </c>
      <c r="C1680" s="3" t="s">
        <v>6490</v>
      </c>
      <c r="D1680" s="2">
        <v>1.0028027568273113E-4</v>
      </c>
      <c r="E1680" s="8" t="s">
        <v>6437</v>
      </c>
      <c r="F1680" s="9" t="s">
        <v>15</v>
      </c>
      <c r="G1680" s="9" t="s">
        <v>16</v>
      </c>
      <c r="H1680" s="9" t="s">
        <v>16</v>
      </c>
      <c r="I1680" s="9"/>
      <c r="J1680" s="9"/>
      <c r="K1680" s="9"/>
    </row>
    <row r="1681" hidden="1">
      <c r="A1681" s="3" t="s">
        <v>6491</v>
      </c>
      <c r="B1681" s="2" t="s">
        <v>6492</v>
      </c>
      <c r="C1681" s="3" t="s">
        <v>6493</v>
      </c>
      <c r="D1681" s="2">
        <v>1.0028027568273113E-4</v>
      </c>
      <c r="E1681" s="8" t="s">
        <v>6494</v>
      </c>
      <c r="F1681" s="9" t="s">
        <v>15</v>
      </c>
      <c r="G1681" s="9" t="s">
        <v>16</v>
      </c>
      <c r="H1681" s="9" t="s">
        <v>16</v>
      </c>
      <c r="I1681" s="9"/>
      <c r="J1681" s="9"/>
      <c r="K1681" s="9"/>
    </row>
    <row r="1682" hidden="1">
      <c r="A1682" s="3" t="s">
        <v>6495</v>
      </c>
      <c r="B1682" s="2" t="s">
        <v>6496</v>
      </c>
      <c r="C1682" s="3" t="s">
        <v>6497</v>
      </c>
      <c r="D1682" s="2">
        <v>1.0028027568273113E-4</v>
      </c>
      <c r="E1682" s="8" t="s">
        <v>6498</v>
      </c>
      <c r="F1682" s="9" t="s">
        <v>15</v>
      </c>
      <c r="G1682" s="9" t="s">
        <v>16</v>
      </c>
      <c r="H1682" s="9" t="s">
        <v>16</v>
      </c>
      <c r="I1682" s="9"/>
      <c r="J1682" s="9"/>
      <c r="K1682" s="9"/>
    </row>
    <row r="1683" hidden="1">
      <c r="A1683" s="3" t="s">
        <v>6499</v>
      </c>
      <c r="B1683" s="2" t="s">
        <v>6500</v>
      </c>
      <c r="C1683" s="3"/>
      <c r="D1683" s="2">
        <v>1.0028027568273113E-4</v>
      </c>
      <c r="E1683" s="8" t="s">
        <v>6501</v>
      </c>
      <c r="F1683" s="9" t="s">
        <v>15</v>
      </c>
      <c r="G1683" s="9" t="s">
        <v>16</v>
      </c>
      <c r="H1683" s="9" t="s">
        <v>16</v>
      </c>
      <c r="I1683" s="9"/>
      <c r="J1683" s="9"/>
      <c r="K1683" s="9"/>
    </row>
    <row r="1684" hidden="1">
      <c r="A1684" s="3" t="s">
        <v>6502</v>
      </c>
      <c r="B1684" s="2" t="s">
        <v>6503</v>
      </c>
      <c r="C1684" s="3" t="s">
        <v>6504</v>
      </c>
      <c r="D1684" s="2">
        <v>1.0028027568273113E-4</v>
      </c>
      <c r="E1684" s="8" t="s">
        <v>6505</v>
      </c>
      <c r="F1684" s="9" t="s">
        <v>15</v>
      </c>
      <c r="G1684" s="9" t="s">
        <v>16</v>
      </c>
      <c r="H1684" s="9" t="s">
        <v>16</v>
      </c>
      <c r="I1684" s="9"/>
      <c r="J1684" s="9"/>
      <c r="K1684" s="9"/>
    </row>
    <row r="1685" hidden="1">
      <c r="A1685" s="3" t="s">
        <v>6506</v>
      </c>
      <c r="B1685" s="2" t="s">
        <v>6507</v>
      </c>
      <c r="C1685" s="3" t="s">
        <v>6508</v>
      </c>
      <c r="D1685" s="2">
        <v>1.0028027568273113E-4</v>
      </c>
      <c r="E1685" s="8" t="s">
        <v>4837</v>
      </c>
      <c r="F1685" s="9" t="s">
        <v>15</v>
      </c>
      <c r="G1685" s="9" t="s">
        <v>16</v>
      </c>
      <c r="H1685" s="9" t="s">
        <v>16</v>
      </c>
      <c r="I1685" s="9"/>
      <c r="J1685" s="9"/>
      <c r="K1685" s="9"/>
    </row>
    <row r="1686" hidden="1">
      <c r="A1686" s="3" t="s">
        <v>6509</v>
      </c>
      <c r="B1686" s="2" t="s">
        <v>6510</v>
      </c>
      <c r="C1686" s="3" t="s">
        <v>6511</v>
      </c>
      <c r="D1686" s="2">
        <v>1.0028027568273113E-4</v>
      </c>
      <c r="E1686" s="8" t="s">
        <v>6512</v>
      </c>
      <c r="F1686" s="9" t="s">
        <v>15</v>
      </c>
      <c r="G1686" s="9" t="s">
        <v>16</v>
      </c>
      <c r="H1686" s="9" t="s">
        <v>16</v>
      </c>
      <c r="I1686" s="9"/>
      <c r="J1686" s="9"/>
      <c r="K1686" s="9"/>
    </row>
    <row r="1687" hidden="1">
      <c r="A1687" s="3" t="s">
        <v>6513</v>
      </c>
      <c r="B1687" s="2" t="s">
        <v>6514</v>
      </c>
      <c r="C1687" s="3"/>
      <c r="D1687" s="2">
        <v>1.0028027568273113E-4</v>
      </c>
      <c r="E1687" s="8" t="s">
        <v>6515</v>
      </c>
      <c r="F1687" s="9" t="s">
        <v>15</v>
      </c>
      <c r="G1687" s="9" t="s">
        <v>16</v>
      </c>
      <c r="H1687" s="9" t="s">
        <v>16</v>
      </c>
      <c r="I1687" s="9"/>
      <c r="J1687" s="9"/>
      <c r="K1687" s="9"/>
    </row>
    <row r="1688" hidden="1">
      <c r="A1688" s="3" t="s">
        <v>6516</v>
      </c>
      <c r="B1688" s="2" t="s">
        <v>6517</v>
      </c>
      <c r="C1688" s="3" t="s">
        <v>6518</v>
      </c>
      <c r="D1688" s="2">
        <v>1.0028027568273113E-4</v>
      </c>
      <c r="E1688" s="8" t="s">
        <v>6519</v>
      </c>
      <c r="F1688" s="9" t="s">
        <v>15</v>
      </c>
      <c r="G1688" s="9" t="s">
        <v>16</v>
      </c>
      <c r="H1688" s="9" t="s">
        <v>16</v>
      </c>
      <c r="I1688" s="9"/>
      <c r="J1688" s="9"/>
      <c r="K1688" s="9"/>
    </row>
    <row r="1689" hidden="1">
      <c r="A1689" s="3" t="s">
        <v>6520</v>
      </c>
      <c r="B1689" s="2" t="s">
        <v>6521</v>
      </c>
      <c r="C1689" s="3" t="s">
        <v>6522</v>
      </c>
      <c r="D1689" s="2">
        <v>1.0028027568273113E-4</v>
      </c>
      <c r="E1689" s="8" t="s">
        <v>1516</v>
      </c>
      <c r="F1689" s="9" t="s">
        <v>15</v>
      </c>
      <c r="G1689" s="9" t="s">
        <v>16</v>
      </c>
      <c r="H1689" s="9" t="s">
        <v>16</v>
      </c>
      <c r="I1689" s="9"/>
      <c r="J1689" s="9"/>
      <c r="K1689" s="9"/>
    </row>
    <row r="1690" hidden="1">
      <c r="A1690" s="3" t="s">
        <v>6523</v>
      </c>
      <c r="B1690" s="2" t="s">
        <v>6524</v>
      </c>
      <c r="C1690" s="3"/>
      <c r="D1690" s="2">
        <v>1.0028027568273113E-4</v>
      </c>
      <c r="E1690" s="8" t="s">
        <v>6525</v>
      </c>
      <c r="F1690" s="9" t="s">
        <v>15</v>
      </c>
      <c r="G1690" s="9" t="s">
        <v>16</v>
      </c>
      <c r="H1690" s="9" t="s">
        <v>16</v>
      </c>
      <c r="I1690" s="9"/>
      <c r="J1690" s="9"/>
      <c r="K1690" s="9"/>
    </row>
    <row r="1691" hidden="1">
      <c r="A1691" s="3" t="s">
        <v>6526</v>
      </c>
      <c r="B1691" s="2" t="s">
        <v>6527</v>
      </c>
      <c r="C1691" s="3" t="s">
        <v>6528</v>
      </c>
      <c r="D1691" s="2">
        <v>1.0028027568273113E-4</v>
      </c>
      <c r="E1691" s="8" t="s">
        <v>6529</v>
      </c>
      <c r="F1691" s="9" t="s">
        <v>15</v>
      </c>
      <c r="G1691" s="9" t="s">
        <v>16</v>
      </c>
      <c r="H1691" s="9" t="s">
        <v>16</v>
      </c>
      <c r="I1691" s="9"/>
      <c r="J1691" s="9"/>
      <c r="K1691" s="9"/>
    </row>
    <row r="1692" hidden="1">
      <c r="A1692" s="3" t="s">
        <v>6530</v>
      </c>
      <c r="B1692" s="2" t="s">
        <v>6531</v>
      </c>
      <c r="C1692" s="3"/>
      <c r="D1692" s="2">
        <v>1.0028027568273113E-4</v>
      </c>
      <c r="E1692" s="8" t="s">
        <v>6532</v>
      </c>
      <c r="F1692" s="9" t="s">
        <v>15</v>
      </c>
      <c r="G1692" s="9" t="s">
        <v>16</v>
      </c>
      <c r="H1692" s="9" t="s">
        <v>16</v>
      </c>
      <c r="I1692" s="9"/>
      <c r="J1692" s="9"/>
      <c r="K1692" s="9"/>
    </row>
    <row r="1693" hidden="1">
      <c r="A1693" s="3" t="s">
        <v>6533</v>
      </c>
      <c r="B1693" s="2" t="s">
        <v>6534</v>
      </c>
      <c r="C1693" s="3" t="s">
        <v>6535</v>
      </c>
      <c r="D1693" s="2">
        <v>1.0028027568273113E-4</v>
      </c>
      <c r="E1693" s="8" t="s">
        <v>6536</v>
      </c>
      <c r="F1693" s="9" t="s">
        <v>15</v>
      </c>
      <c r="G1693" s="9" t="s">
        <v>16</v>
      </c>
      <c r="H1693" s="9" t="s">
        <v>16</v>
      </c>
      <c r="I1693" s="9"/>
      <c r="J1693" s="9"/>
      <c r="K1693" s="9"/>
    </row>
    <row r="1694" hidden="1">
      <c r="A1694" s="3" t="s">
        <v>6537</v>
      </c>
      <c r="B1694" s="2" t="s">
        <v>6538</v>
      </c>
      <c r="C1694" s="3" t="s">
        <v>6539</v>
      </c>
      <c r="D1694" s="2">
        <v>1.0028027568273113E-4</v>
      </c>
      <c r="E1694" s="8" t="s">
        <v>1925</v>
      </c>
      <c r="F1694" s="9" t="s">
        <v>15</v>
      </c>
      <c r="G1694" s="9" t="s">
        <v>16</v>
      </c>
      <c r="H1694" s="9" t="s">
        <v>16</v>
      </c>
      <c r="I1694" s="9"/>
      <c r="J1694" s="9"/>
      <c r="K1694" s="9"/>
    </row>
    <row r="1695" hidden="1">
      <c r="A1695" s="3" t="s">
        <v>6540</v>
      </c>
      <c r="B1695" s="2" t="s">
        <v>6541</v>
      </c>
      <c r="C1695" s="3"/>
      <c r="D1695" s="2">
        <v>1.0028027568273113E-4</v>
      </c>
      <c r="E1695" s="8" t="s">
        <v>5297</v>
      </c>
      <c r="F1695" s="9" t="s">
        <v>15</v>
      </c>
      <c r="G1695" s="9" t="s">
        <v>16</v>
      </c>
      <c r="H1695" s="9" t="s">
        <v>16</v>
      </c>
      <c r="I1695" s="9"/>
      <c r="J1695" s="9"/>
      <c r="K1695" s="9"/>
    </row>
    <row r="1696" hidden="1">
      <c r="A1696" s="3" t="s">
        <v>6542</v>
      </c>
      <c r="B1696" s="2" t="s">
        <v>6543</v>
      </c>
      <c r="C1696" s="3" t="s">
        <v>6544</v>
      </c>
      <c r="D1696" s="2">
        <v>1.0028027568273113E-4</v>
      </c>
      <c r="E1696" s="8" t="s">
        <v>6545</v>
      </c>
      <c r="F1696" s="9" t="s">
        <v>15</v>
      </c>
      <c r="G1696" s="9" t="s">
        <v>16</v>
      </c>
      <c r="H1696" s="9" t="s">
        <v>16</v>
      </c>
      <c r="I1696" s="9"/>
      <c r="J1696" s="9"/>
      <c r="K1696" s="9"/>
    </row>
    <row r="1697" hidden="1">
      <c r="A1697" s="3" t="s">
        <v>6546</v>
      </c>
      <c r="B1697" s="2" t="s">
        <v>6547</v>
      </c>
      <c r="C1697" s="3" t="s">
        <v>6548</v>
      </c>
      <c r="D1697" s="2">
        <v>1.0028027568273113E-4</v>
      </c>
      <c r="E1697" s="8" t="s">
        <v>6549</v>
      </c>
      <c r="F1697" s="9" t="s">
        <v>15</v>
      </c>
      <c r="G1697" s="9" t="s">
        <v>16</v>
      </c>
      <c r="H1697" s="9" t="s">
        <v>16</v>
      </c>
      <c r="I1697" s="9"/>
      <c r="J1697" s="9"/>
      <c r="K1697" s="9"/>
    </row>
    <row r="1698" hidden="1">
      <c r="A1698" s="3" t="s">
        <v>6550</v>
      </c>
      <c r="B1698" s="2" t="s">
        <v>6551</v>
      </c>
      <c r="C1698" s="3" t="s">
        <v>6552</v>
      </c>
      <c r="D1698" s="2">
        <v>1.0028027568273113E-4</v>
      </c>
      <c r="E1698" s="8" t="s">
        <v>6553</v>
      </c>
      <c r="F1698" s="9" t="s">
        <v>15</v>
      </c>
      <c r="G1698" s="9" t="s">
        <v>16</v>
      </c>
      <c r="H1698" s="9" t="s">
        <v>16</v>
      </c>
      <c r="I1698" s="9"/>
      <c r="J1698" s="9"/>
      <c r="K1698" s="9"/>
    </row>
    <row r="1699" hidden="1">
      <c r="A1699" s="3" t="s">
        <v>6554</v>
      </c>
      <c r="B1699" s="2" t="s">
        <v>6555</v>
      </c>
      <c r="C1699" s="3"/>
      <c r="D1699" s="2">
        <v>1.0028027568273113E-4</v>
      </c>
      <c r="E1699" s="8" t="s">
        <v>6556</v>
      </c>
      <c r="F1699" s="9" t="s">
        <v>15</v>
      </c>
      <c r="G1699" s="9" t="s">
        <v>16</v>
      </c>
      <c r="H1699" s="9" t="s">
        <v>16</v>
      </c>
      <c r="I1699" s="9"/>
      <c r="J1699" s="9"/>
      <c r="K1699" s="9"/>
    </row>
    <row r="1700" hidden="1">
      <c r="A1700" s="3" t="s">
        <v>6557</v>
      </c>
      <c r="B1700" s="2" t="s">
        <v>6558</v>
      </c>
      <c r="C1700" s="3" t="s">
        <v>6559</v>
      </c>
      <c r="D1700" s="2">
        <v>1.0028027568273113E-4</v>
      </c>
      <c r="E1700" s="8" t="s">
        <v>6560</v>
      </c>
      <c r="F1700" s="9" t="s">
        <v>15</v>
      </c>
      <c r="G1700" s="9" t="s">
        <v>16</v>
      </c>
      <c r="H1700" s="9" t="s">
        <v>16</v>
      </c>
      <c r="I1700" s="9"/>
      <c r="J1700" s="9"/>
      <c r="K1700" s="9"/>
    </row>
    <row r="1701" hidden="1">
      <c r="A1701" s="3" t="s">
        <v>6561</v>
      </c>
      <c r="B1701" s="2" t="s">
        <v>6562</v>
      </c>
      <c r="C1701" s="3" t="s">
        <v>6563</v>
      </c>
      <c r="D1701" s="2">
        <v>1.0028027568273113E-4</v>
      </c>
      <c r="E1701" s="8" t="s">
        <v>5342</v>
      </c>
      <c r="F1701" s="9" t="s">
        <v>15</v>
      </c>
      <c r="G1701" s="9" t="s">
        <v>16</v>
      </c>
      <c r="H1701" s="9" t="s">
        <v>16</v>
      </c>
      <c r="I1701" s="9"/>
      <c r="J1701" s="9"/>
      <c r="K1701" s="9"/>
    </row>
    <row r="1702" hidden="1">
      <c r="A1702" s="3" t="s">
        <v>6564</v>
      </c>
      <c r="B1702" s="2" t="s">
        <v>6565</v>
      </c>
      <c r="C1702" s="3"/>
      <c r="D1702" s="2">
        <v>1.0028027568273113E-4</v>
      </c>
      <c r="E1702" s="8" t="s">
        <v>2935</v>
      </c>
      <c r="F1702" s="9" t="s">
        <v>15</v>
      </c>
      <c r="G1702" s="9" t="s">
        <v>16</v>
      </c>
      <c r="H1702" s="9" t="s">
        <v>16</v>
      </c>
      <c r="I1702" s="9"/>
      <c r="J1702" s="9"/>
      <c r="K1702" s="9"/>
    </row>
    <row r="1703" hidden="1">
      <c r="A1703" s="3" t="s">
        <v>6566</v>
      </c>
      <c r="B1703" s="2" t="s">
        <v>6567</v>
      </c>
      <c r="C1703" s="3" t="s">
        <v>6568</v>
      </c>
      <c r="D1703" s="2">
        <v>1.0028027568273113E-4</v>
      </c>
      <c r="E1703" s="8" t="s">
        <v>6569</v>
      </c>
      <c r="F1703" s="9" t="s">
        <v>15</v>
      </c>
      <c r="G1703" s="9" t="s">
        <v>16</v>
      </c>
      <c r="H1703" s="9" t="s">
        <v>16</v>
      </c>
      <c r="I1703" s="9"/>
      <c r="J1703" s="9"/>
      <c r="K1703" s="9"/>
    </row>
    <row r="1704" hidden="1">
      <c r="A1704" s="3" t="s">
        <v>6570</v>
      </c>
      <c r="B1704" s="2" t="s">
        <v>6571</v>
      </c>
      <c r="C1704" s="3" t="s">
        <v>6572</v>
      </c>
      <c r="D1704" s="2">
        <v>1.0028027568273113E-4</v>
      </c>
      <c r="E1704" s="8" t="s">
        <v>6573</v>
      </c>
      <c r="F1704" s="9" t="s">
        <v>15</v>
      </c>
      <c r="G1704" s="9" t="s">
        <v>16</v>
      </c>
      <c r="H1704" s="9" t="s">
        <v>16</v>
      </c>
      <c r="I1704" s="9"/>
      <c r="J1704" s="9"/>
      <c r="K1704" s="9"/>
    </row>
    <row r="1705" hidden="1">
      <c r="A1705" s="3" t="s">
        <v>6574</v>
      </c>
      <c r="B1705" s="2" t="s">
        <v>6575</v>
      </c>
      <c r="C1705" s="3" t="s">
        <v>6576</v>
      </c>
      <c r="D1705" s="2">
        <v>1.0028027568273113E-4</v>
      </c>
      <c r="E1705" s="8" t="s">
        <v>6577</v>
      </c>
      <c r="F1705" s="9" t="s">
        <v>15</v>
      </c>
      <c r="G1705" s="9" t="s">
        <v>16</v>
      </c>
      <c r="H1705" s="9" t="s">
        <v>16</v>
      </c>
      <c r="I1705" s="9"/>
      <c r="J1705" s="9"/>
      <c r="K1705" s="9"/>
    </row>
    <row r="1706" hidden="1">
      <c r="A1706" s="3" t="s">
        <v>6578</v>
      </c>
      <c r="B1706" s="2" t="s">
        <v>6579</v>
      </c>
      <c r="C1706" s="3" t="s">
        <v>6580</v>
      </c>
      <c r="D1706" s="2">
        <v>1.0028027568273113E-4</v>
      </c>
      <c r="E1706" s="8" t="s">
        <v>6581</v>
      </c>
      <c r="F1706" s="9" t="s">
        <v>15</v>
      </c>
      <c r="G1706" s="9" t="s">
        <v>16</v>
      </c>
      <c r="H1706" s="9" t="s">
        <v>16</v>
      </c>
      <c r="I1706" s="9"/>
      <c r="J1706" s="9"/>
      <c r="K1706" s="9"/>
    </row>
    <row r="1707" hidden="1">
      <c r="A1707" s="3" t="s">
        <v>6582</v>
      </c>
      <c r="B1707" s="2" t="s">
        <v>6583</v>
      </c>
      <c r="C1707" s="3"/>
      <c r="D1707" s="2">
        <v>1.0028027568273113E-4</v>
      </c>
      <c r="E1707" s="8" t="s">
        <v>6107</v>
      </c>
      <c r="F1707" s="9" t="s">
        <v>15</v>
      </c>
      <c r="G1707" s="9" t="s">
        <v>16</v>
      </c>
      <c r="H1707" s="9" t="s">
        <v>16</v>
      </c>
      <c r="I1707" s="9"/>
      <c r="J1707" s="9"/>
      <c r="K1707" s="9"/>
    </row>
    <row r="1708" hidden="1">
      <c r="A1708" s="3" t="s">
        <v>6584</v>
      </c>
      <c r="B1708" s="2" t="s">
        <v>6585</v>
      </c>
      <c r="C1708" s="3" t="s">
        <v>6586</v>
      </c>
      <c r="D1708" s="2">
        <v>1.0028027568273113E-4</v>
      </c>
      <c r="E1708" s="8" t="s">
        <v>5442</v>
      </c>
      <c r="F1708" s="9" t="s">
        <v>15</v>
      </c>
      <c r="G1708" s="9" t="s">
        <v>16</v>
      </c>
      <c r="H1708" s="9" t="s">
        <v>16</v>
      </c>
      <c r="I1708" s="9"/>
      <c r="J1708" s="9"/>
      <c r="K1708" s="9"/>
    </row>
    <row r="1709" hidden="1">
      <c r="A1709" s="3" t="s">
        <v>6587</v>
      </c>
      <c r="B1709" s="2" t="s">
        <v>6588</v>
      </c>
      <c r="C1709" s="3" t="s">
        <v>6589</v>
      </c>
      <c r="D1709" s="2">
        <v>1.0028027568273113E-4</v>
      </c>
      <c r="E1709" s="8" t="s">
        <v>6590</v>
      </c>
      <c r="F1709" s="9" t="s">
        <v>15</v>
      </c>
      <c r="G1709" s="9" t="s">
        <v>16</v>
      </c>
      <c r="H1709" s="9" t="s">
        <v>16</v>
      </c>
      <c r="I1709" s="9"/>
      <c r="J1709" s="9"/>
      <c r="K1709" s="9"/>
    </row>
    <row r="1710" hidden="1">
      <c r="A1710" s="3" t="s">
        <v>6591</v>
      </c>
      <c r="B1710" s="2" t="s">
        <v>6592</v>
      </c>
      <c r="C1710" s="3" t="s">
        <v>6593</v>
      </c>
      <c r="D1710" s="2">
        <v>1.0028027568273113E-4</v>
      </c>
      <c r="E1710" s="8" t="s">
        <v>6594</v>
      </c>
      <c r="F1710" s="9" t="s">
        <v>15</v>
      </c>
      <c r="G1710" s="9" t="s">
        <v>16</v>
      </c>
      <c r="H1710" s="9" t="s">
        <v>16</v>
      </c>
      <c r="I1710" s="9"/>
      <c r="J1710" s="9"/>
      <c r="K1710" s="9"/>
    </row>
    <row r="1711" hidden="1">
      <c r="A1711" s="3" t="s">
        <v>338</v>
      </c>
      <c r="B1711" s="2" t="s">
        <v>6595</v>
      </c>
      <c r="C1711" s="3" t="s">
        <v>6596</v>
      </c>
      <c r="D1711" s="2">
        <v>1.0028027568273113E-4</v>
      </c>
      <c r="E1711" s="8" t="s">
        <v>6597</v>
      </c>
      <c r="F1711" s="9" t="s">
        <v>15</v>
      </c>
      <c r="G1711" s="9" t="s">
        <v>16</v>
      </c>
      <c r="H1711" s="9" t="s">
        <v>16</v>
      </c>
      <c r="I1711" s="9"/>
      <c r="J1711" s="9"/>
      <c r="K1711" s="9"/>
    </row>
    <row r="1712" hidden="1">
      <c r="A1712" s="3" t="s">
        <v>6598</v>
      </c>
      <c r="B1712" s="2" t="s">
        <v>6599</v>
      </c>
      <c r="C1712" s="3" t="s">
        <v>6600</v>
      </c>
      <c r="D1712" s="2">
        <v>1.0028027568273113E-4</v>
      </c>
      <c r="E1712" s="8" t="s">
        <v>6601</v>
      </c>
      <c r="F1712" s="9" t="s">
        <v>15</v>
      </c>
      <c r="G1712" s="9" t="s">
        <v>16</v>
      </c>
      <c r="H1712" s="9" t="s">
        <v>16</v>
      </c>
      <c r="I1712" s="9"/>
      <c r="J1712" s="9"/>
      <c r="K1712" s="9"/>
    </row>
    <row r="1713" hidden="1">
      <c r="A1713" s="3" t="s">
        <v>6602</v>
      </c>
      <c r="B1713" s="2" t="s">
        <v>6603</v>
      </c>
      <c r="C1713" s="3" t="s">
        <v>6604</v>
      </c>
      <c r="D1713" s="2">
        <v>1.0028027568273113E-4</v>
      </c>
      <c r="E1713" s="8" t="s">
        <v>6605</v>
      </c>
      <c r="F1713" s="9" t="s">
        <v>15</v>
      </c>
      <c r="G1713" s="9" t="s">
        <v>16</v>
      </c>
      <c r="H1713" s="9" t="s">
        <v>16</v>
      </c>
      <c r="I1713" s="9"/>
      <c r="J1713" s="9"/>
      <c r="K1713" s="9"/>
    </row>
    <row r="1714" hidden="1">
      <c r="A1714" s="3" t="s">
        <v>6606</v>
      </c>
      <c r="B1714" s="2" t="s">
        <v>6607</v>
      </c>
      <c r="C1714" s="3" t="s">
        <v>6608</v>
      </c>
      <c r="D1714" s="2">
        <v>1.0028027568273113E-4</v>
      </c>
      <c r="E1714" s="8" t="s">
        <v>6609</v>
      </c>
      <c r="F1714" s="9" t="s">
        <v>15</v>
      </c>
      <c r="G1714" s="9" t="s">
        <v>16</v>
      </c>
      <c r="H1714" s="9" t="s">
        <v>16</v>
      </c>
      <c r="I1714" s="9"/>
      <c r="J1714" s="9"/>
      <c r="K1714" s="9"/>
    </row>
    <row r="1715" hidden="1">
      <c r="A1715" s="3" t="s">
        <v>6610</v>
      </c>
      <c r="B1715" s="2" t="s">
        <v>6611</v>
      </c>
      <c r="C1715" s="3" t="s">
        <v>6612</v>
      </c>
      <c r="D1715" s="2">
        <v>1.0028027568273113E-4</v>
      </c>
      <c r="E1715" s="8" t="s">
        <v>6613</v>
      </c>
      <c r="F1715" s="9" t="s">
        <v>15</v>
      </c>
      <c r="G1715" s="9" t="s">
        <v>16</v>
      </c>
      <c r="H1715" s="9" t="s">
        <v>16</v>
      </c>
      <c r="I1715" s="9"/>
      <c r="J1715" s="9"/>
      <c r="K1715" s="9"/>
    </row>
    <row r="1716" hidden="1">
      <c r="A1716" s="3" t="s">
        <v>6614</v>
      </c>
      <c r="B1716" s="2" t="s">
        <v>6615</v>
      </c>
      <c r="C1716" s="3" t="s">
        <v>6616</v>
      </c>
      <c r="D1716" s="2">
        <v>1.0028027568273113E-4</v>
      </c>
      <c r="E1716" s="8" t="s">
        <v>6617</v>
      </c>
      <c r="F1716" s="9" t="s">
        <v>15</v>
      </c>
      <c r="G1716" s="9" t="s">
        <v>16</v>
      </c>
      <c r="H1716" s="9" t="s">
        <v>16</v>
      </c>
      <c r="I1716" s="9"/>
      <c r="J1716" s="9"/>
      <c r="K1716" s="9"/>
    </row>
    <row r="1717" hidden="1">
      <c r="A1717" s="3" t="s">
        <v>6618</v>
      </c>
      <c r="B1717" s="2" t="s">
        <v>6619</v>
      </c>
      <c r="C1717" s="3" t="s">
        <v>6620</v>
      </c>
      <c r="D1717" s="2">
        <v>1.0028027568273113E-4</v>
      </c>
      <c r="E1717" s="8" t="s">
        <v>3910</v>
      </c>
      <c r="F1717" s="9" t="s">
        <v>15</v>
      </c>
      <c r="G1717" s="9" t="s">
        <v>16</v>
      </c>
      <c r="H1717" s="9" t="s">
        <v>16</v>
      </c>
      <c r="I1717" s="9"/>
      <c r="J1717" s="9"/>
      <c r="K1717" s="9"/>
    </row>
    <row r="1718" hidden="1">
      <c r="A1718" s="3" t="s">
        <v>6621</v>
      </c>
      <c r="B1718" s="2" t="s">
        <v>6622</v>
      </c>
      <c r="C1718" s="3" t="s">
        <v>6623</v>
      </c>
      <c r="D1718" s="2">
        <v>1.0028027568273113E-4</v>
      </c>
      <c r="E1718" s="8" t="s">
        <v>6624</v>
      </c>
      <c r="F1718" s="9" t="s">
        <v>15</v>
      </c>
      <c r="G1718" s="9" t="s">
        <v>16</v>
      </c>
      <c r="H1718" s="9" t="s">
        <v>16</v>
      </c>
      <c r="I1718" s="9"/>
      <c r="J1718" s="9"/>
      <c r="K1718" s="9"/>
    </row>
    <row r="1719" hidden="1">
      <c r="A1719" s="3" t="s">
        <v>6625</v>
      </c>
      <c r="B1719" s="2" t="s">
        <v>6626</v>
      </c>
      <c r="C1719" s="3"/>
      <c r="D1719" s="2">
        <v>1.0028027568273113E-4</v>
      </c>
      <c r="E1719" s="8" t="s">
        <v>4186</v>
      </c>
      <c r="F1719" s="9" t="s">
        <v>15</v>
      </c>
      <c r="G1719" s="9" t="s">
        <v>16</v>
      </c>
      <c r="H1719" s="9" t="s">
        <v>16</v>
      </c>
      <c r="I1719" s="9"/>
      <c r="J1719" s="9"/>
      <c r="K1719" s="9"/>
    </row>
    <row r="1720" hidden="1">
      <c r="A1720" s="3" t="s">
        <v>6627</v>
      </c>
      <c r="B1720" s="2" t="s">
        <v>6628</v>
      </c>
      <c r="C1720" s="3" t="s">
        <v>6629</v>
      </c>
      <c r="D1720" s="2">
        <v>1.0028027568273113E-4</v>
      </c>
      <c r="E1720" s="8" t="s">
        <v>6630</v>
      </c>
      <c r="F1720" s="9" t="s">
        <v>15</v>
      </c>
      <c r="G1720" s="9" t="s">
        <v>16</v>
      </c>
      <c r="H1720" s="9" t="s">
        <v>16</v>
      </c>
      <c r="I1720" s="9"/>
      <c r="J1720" s="9"/>
      <c r="K1720" s="9"/>
    </row>
    <row r="1721" hidden="1">
      <c r="A1721" s="3" t="s">
        <v>6631</v>
      </c>
      <c r="B1721" s="2" t="s">
        <v>6632</v>
      </c>
      <c r="C1721" s="3"/>
      <c r="D1721" s="2">
        <v>1.0028027568273113E-4</v>
      </c>
      <c r="E1721" s="8" t="s">
        <v>6633</v>
      </c>
      <c r="F1721" s="9" t="s">
        <v>15</v>
      </c>
      <c r="G1721" s="9" t="s">
        <v>16</v>
      </c>
      <c r="H1721" s="9" t="s">
        <v>16</v>
      </c>
      <c r="I1721" s="9"/>
      <c r="J1721" s="9"/>
      <c r="K1721" s="9"/>
    </row>
    <row r="1722" hidden="1">
      <c r="A1722" s="3" t="s">
        <v>6634</v>
      </c>
      <c r="B1722" s="2" t="s">
        <v>6635</v>
      </c>
      <c r="C1722" s="3" t="s">
        <v>6636</v>
      </c>
      <c r="D1722" s="2">
        <v>1.0028027568273113E-4</v>
      </c>
      <c r="E1722" s="8" t="s">
        <v>6637</v>
      </c>
      <c r="F1722" s="9" t="s">
        <v>15</v>
      </c>
      <c r="G1722" s="9" t="s">
        <v>16</v>
      </c>
      <c r="H1722" s="9" t="s">
        <v>16</v>
      </c>
      <c r="I1722" s="9"/>
      <c r="J1722" s="9"/>
      <c r="K1722" s="9"/>
    </row>
    <row r="1723" hidden="1">
      <c r="A1723" s="3" t="s">
        <v>6638</v>
      </c>
      <c r="B1723" s="2" t="s">
        <v>6639</v>
      </c>
      <c r="C1723" s="3" t="s">
        <v>6640</v>
      </c>
      <c r="D1723" s="2">
        <v>1.0028027568273113E-4</v>
      </c>
      <c r="E1723" s="8" t="s">
        <v>6641</v>
      </c>
      <c r="F1723" s="9" t="s">
        <v>15</v>
      </c>
      <c r="G1723" s="9" t="s">
        <v>16</v>
      </c>
      <c r="H1723" s="9" t="s">
        <v>16</v>
      </c>
      <c r="I1723" s="9"/>
      <c r="J1723" s="9"/>
      <c r="K1723" s="9"/>
    </row>
    <row r="1724" hidden="1">
      <c r="A1724" s="3" t="s">
        <v>6642</v>
      </c>
      <c r="B1724" s="2" t="s">
        <v>6643</v>
      </c>
      <c r="C1724" s="3"/>
      <c r="D1724" s="2">
        <v>1.0028027568273113E-4</v>
      </c>
      <c r="E1724" s="8" t="s">
        <v>6644</v>
      </c>
      <c r="F1724" s="9" t="s">
        <v>15</v>
      </c>
      <c r="G1724" s="9" t="s">
        <v>16</v>
      </c>
      <c r="H1724" s="9" t="s">
        <v>16</v>
      </c>
      <c r="I1724" s="9"/>
      <c r="J1724" s="9"/>
      <c r="K1724" s="9"/>
    </row>
    <row r="1725" hidden="1">
      <c r="A1725" s="3" t="s">
        <v>6645</v>
      </c>
      <c r="B1725" s="2" t="s">
        <v>6646</v>
      </c>
      <c r="C1725" s="3" t="s">
        <v>6647</v>
      </c>
      <c r="D1725" s="2">
        <v>1.0028027568273113E-4</v>
      </c>
      <c r="E1725" s="8" t="s">
        <v>3714</v>
      </c>
      <c r="F1725" s="9" t="s">
        <v>15</v>
      </c>
      <c r="G1725" s="9" t="s">
        <v>16</v>
      </c>
      <c r="H1725" s="9" t="s">
        <v>16</v>
      </c>
      <c r="I1725" s="9"/>
      <c r="J1725" s="9"/>
      <c r="K1725" s="9"/>
    </row>
    <row r="1726" hidden="1">
      <c r="A1726" s="3" t="s">
        <v>6648</v>
      </c>
      <c r="B1726" s="2" t="s">
        <v>6649</v>
      </c>
      <c r="C1726" s="3" t="s">
        <v>6650</v>
      </c>
      <c r="D1726" s="2">
        <v>1.0028027568273113E-4</v>
      </c>
      <c r="E1726" s="8" t="s">
        <v>6095</v>
      </c>
      <c r="F1726" s="9" t="s">
        <v>15</v>
      </c>
      <c r="G1726" s="9" t="s">
        <v>16</v>
      </c>
      <c r="H1726" s="9" t="s">
        <v>16</v>
      </c>
      <c r="I1726" s="9"/>
      <c r="J1726" s="9"/>
      <c r="K1726" s="9"/>
    </row>
    <row r="1727" hidden="1">
      <c r="A1727" s="3" t="s">
        <v>6651</v>
      </c>
      <c r="B1727" s="2" t="s">
        <v>6652</v>
      </c>
      <c r="C1727" s="3"/>
      <c r="D1727" s="2">
        <v>1.0028027568273113E-4</v>
      </c>
      <c r="E1727" s="8" t="s">
        <v>5317</v>
      </c>
      <c r="F1727" s="9" t="s">
        <v>15</v>
      </c>
      <c r="G1727" s="9" t="s">
        <v>16</v>
      </c>
      <c r="H1727" s="9" t="s">
        <v>16</v>
      </c>
      <c r="I1727" s="9"/>
      <c r="J1727" s="9"/>
      <c r="K1727" s="9"/>
    </row>
    <row r="1728" hidden="1">
      <c r="A1728" s="3" t="s">
        <v>6653</v>
      </c>
      <c r="B1728" s="2" t="s">
        <v>6654</v>
      </c>
      <c r="C1728" s="3" t="s">
        <v>6655</v>
      </c>
      <c r="D1728" s="2">
        <v>1.0028027568273113E-4</v>
      </c>
      <c r="E1728" s="8" t="s">
        <v>6656</v>
      </c>
      <c r="F1728" s="9" t="s">
        <v>15</v>
      </c>
      <c r="G1728" s="9" t="s">
        <v>16</v>
      </c>
      <c r="H1728" s="9" t="s">
        <v>16</v>
      </c>
      <c r="I1728" s="9"/>
      <c r="J1728" s="9"/>
      <c r="K1728" s="9"/>
    </row>
    <row r="1729" hidden="1">
      <c r="A1729" s="3" t="s">
        <v>6657</v>
      </c>
      <c r="B1729" s="2" t="s">
        <v>6658</v>
      </c>
      <c r="C1729" s="3" t="s">
        <v>6659</v>
      </c>
      <c r="D1729" s="2">
        <v>1.0028027568273113E-4</v>
      </c>
      <c r="E1729" s="8" t="s">
        <v>6660</v>
      </c>
      <c r="F1729" s="9" t="s">
        <v>15</v>
      </c>
      <c r="G1729" s="9" t="s">
        <v>16</v>
      </c>
      <c r="H1729" s="9" t="s">
        <v>16</v>
      </c>
      <c r="I1729" s="9"/>
      <c r="J1729" s="9"/>
      <c r="K1729" s="9"/>
    </row>
    <row r="1730" hidden="1">
      <c r="A1730" s="3" t="s">
        <v>6661</v>
      </c>
      <c r="B1730" s="2" t="s">
        <v>6662</v>
      </c>
      <c r="C1730" s="3" t="s">
        <v>6663</v>
      </c>
      <c r="D1730" s="2">
        <v>1.0028027568273113E-4</v>
      </c>
      <c r="E1730" s="8" t="s">
        <v>6664</v>
      </c>
      <c r="F1730" s="9" t="s">
        <v>15</v>
      </c>
      <c r="G1730" s="9" t="s">
        <v>16</v>
      </c>
      <c r="H1730" s="9" t="s">
        <v>16</v>
      </c>
      <c r="I1730" s="9"/>
      <c r="J1730" s="9"/>
      <c r="K1730" s="9"/>
    </row>
    <row r="1731" hidden="1">
      <c r="A1731" s="3" t="s">
        <v>6665</v>
      </c>
      <c r="B1731" s="2" t="s">
        <v>6666</v>
      </c>
      <c r="C1731" s="3" t="s">
        <v>6667</v>
      </c>
      <c r="D1731" s="2">
        <v>1.0028027568273113E-4</v>
      </c>
      <c r="E1731" s="8" t="s">
        <v>6668</v>
      </c>
      <c r="F1731" s="9" t="s">
        <v>15</v>
      </c>
      <c r="G1731" s="9" t="s">
        <v>16</v>
      </c>
      <c r="H1731" s="9" t="s">
        <v>16</v>
      </c>
      <c r="I1731" s="9"/>
      <c r="J1731" s="9"/>
      <c r="K1731" s="9"/>
    </row>
    <row r="1732" hidden="1">
      <c r="A1732" s="3" t="s">
        <v>6669</v>
      </c>
      <c r="B1732" s="2" t="s">
        <v>6670</v>
      </c>
      <c r="C1732" s="3" t="s">
        <v>6671</v>
      </c>
      <c r="D1732" s="2">
        <v>1.0028027568273113E-4</v>
      </c>
      <c r="E1732" s="8" t="s">
        <v>6672</v>
      </c>
      <c r="F1732" s="9" t="s">
        <v>15</v>
      </c>
      <c r="G1732" s="9" t="s">
        <v>16</v>
      </c>
      <c r="H1732" s="9" t="s">
        <v>16</v>
      </c>
      <c r="I1732" s="9"/>
      <c r="J1732" s="9"/>
      <c r="K1732" s="9"/>
    </row>
    <row r="1733" hidden="1">
      <c r="A1733" s="3" t="s">
        <v>6673</v>
      </c>
      <c r="B1733" s="2" t="s">
        <v>6674</v>
      </c>
      <c r="C1733" s="3" t="s">
        <v>6675</v>
      </c>
      <c r="D1733" s="2">
        <v>1.0028027568273113E-4</v>
      </c>
      <c r="E1733" s="8" t="s">
        <v>6676</v>
      </c>
      <c r="F1733" s="9" t="s">
        <v>15</v>
      </c>
      <c r="G1733" s="9" t="s">
        <v>16</v>
      </c>
      <c r="H1733" s="9" t="s">
        <v>16</v>
      </c>
      <c r="I1733" s="9"/>
      <c r="J1733" s="9"/>
      <c r="K1733" s="9"/>
    </row>
    <row r="1734" hidden="1">
      <c r="A1734" s="3" t="s">
        <v>6677</v>
      </c>
      <c r="B1734" s="2" t="s">
        <v>6678</v>
      </c>
      <c r="C1734" s="3" t="s">
        <v>6679</v>
      </c>
      <c r="D1734" s="2">
        <v>1.0028027568273113E-4</v>
      </c>
      <c r="E1734" s="8" t="s">
        <v>4326</v>
      </c>
      <c r="F1734" s="9" t="s">
        <v>15</v>
      </c>
      <c r="G1734" s="9" t="s">
        <v>16</v>
      </c>
      <c r="H1734" s="9" t="s">
        <v>16</v>
      </c>
      <c r="I1734" s="9"/>
      <c r="J1734" s="9"/>
      <c r="K1734" s="9"/>
    </row>
    <row r="1735" hidden="1">
      <c r="A1735" s="3" t="s">
        <v>6680</v>
      </c>
      <c r="B1735" s="2" t="s">
        <v>6681</v>
      </c>
      <c r="C1735" s="3" t="s">
        <v>6682</v>
      </c>
      <c r="D1735" s="2">
        <v>1.0028027568273113E-4</v>
      </c>
      <c r="E1735" s="8" t="s">
        <v>6683</v>
      </c>
      <c r="F1735" s="9" t="s">
        <v>15</v>
      </c>
      <c r="G1735" s="9" t="s">
        <v>16</v>
      </c>
      <c r="H1735" s="9" t="s">
        <v>16</v>
      </c>
      <c r="I1735" s="9"/>
      <c r="J1735" s="9"/>
      <c r="K1735" s="9"/>
    </row>
    <row r="1736" hidden="1">
      <c r="A1736" s="3" t="s">
        <v>6684</v>
      </c>
      <c r="B1736" s="2" t="s">
        <v>6685</v>
      </c>
      <c r="C1736" s="3"/>
      <c r="D1736" s="2">
        <v>1.0028027568273113E-4</v>
      </c>
      <c r="E1736" s="8" t="s">
        <v>6686</v>
      </c>
      <c r="F1736" s="9" t="s">
        <v>15</v>
      </c>
      <c r="G1736" s="9" t="s">
        <v>16</v>
      </c>
      <c r="H1736" s="9" t="s">
        <v>16</v>
      </c>
      <c r="I1736" s="9"/>
      <c r="J1736" s="9"/>
      <c r="K1736" s="9"/>
    </row>
    <row r="1737" hidden="1">
      <c r="A1737" s="3" t="s">
        <v>6687</v>
      </c>
      <c r="B1737" s="2" t="s">
        <v>6688</v>
      </c>
      <c r="C1737" s="3" t="s">
        <v>6689</v>
      </c>
      <c r="D1737" s="2">
        <v>1.0028027568273113E-4</v>
      </c>
      <c r="E1737" s="8" t="s">
        <v>6690</v>
      </c>
      <c r="F1737" s="9" t="s">
        <v>15</v>
      </c>
      <c r="G1737" s="9" t="s">
        <v>16</v>
      </c>
      <c r="H1737" s="9" t="s">
        <v>16</v>
      </c>
      <c r="I1737" s="9"/>
      <c r="J1737" s="9"/>
      <c r="K1737" s="9"/>
    </row>
    <row r="1738" hidden="1">
      <c r="A1738" s="3" t="s">
        <v>6691</v>
      </c>
      <c r="B1738" s="2" t="s">
        <v>6692</v>
      </c>
      <c r="C1738" s="3" t="s">
        <v>6693</v>
      </c>
      <c r="D1738" s="2">
        <v>1.0028027568273113E-4</v>
      </c>
      <c r="E1738" s="8" t="s">
        <v>4371</v>
      </c>
      <c r="F1738" s="9" t="s">
        <v>15</v>
      </c>
      <c r="G1738" s="9" t="s">
        <v>16</v>
      </c>
      <c r="H1738" s="9" t="s">
        <v>16</v>
      </c>
      <c r="I1738" s="9"/>
      <c r="J1738" s="9"/>
      <c r="K1738" s="9"/>
    </row>
    <row r="1739" hidden="1">
      <c r="A1739" s="3" t="s">
        <v>6694</v>
      </c>
      <c r="B1739" s="2" t="s">
        <v>6695</v>
      </c>
      <c r="C1739" s="3"/>
      <c r="D1739" s="2">
        <v>1.0028027568273113E-4</v>
      </c>
      <c r="E1739" s="8" t="s">
        <v>2310</v>
      </c>
      <c r="F1739" s="9" t="s">
        <v>15</v>
      </c>
      <c r="G1739" s="9" t="s">
        <v>16</v>
      </c>
      <c r="H1739" s="9" t="s">
        <v>16</v>
      </c>
      <c r="I1739" s="9"/>
      <c r="J1739" s="9"/>
      <c r="K1739" s="9"/>
    </row>
    <row r="1740" hidden="1">
      <c r="A1740" s="3" t="s">
        <v>6696</v>
      </c>
      <c r="B1740" s="2" t="s">
        <v>6697</v>
      </c>
      <c r="C1740" s="3" t="s">
        <v>6698</v>
      </c>
      <c r="D1740" s="2">
        <v>1.0028027568273113E-4</v>
      </c>
      <c r="E1740" s="8" t="s">
        <v>6699</v>
      </c>
      <c r="F1740" s="9" t="s">
        <v>15</v>
      </c>
      <c r="G1740" s="9" t="s">
        <v>16</v>
      </c>
      <c r="H1740" s="9" t="s">
        <v>16</v>
      </c>
      <c r="I1740" s="9"/>
      <c r="J1740" s="9"/>
      <c r="K1740" s="9"/>
    </row>
    <row r="1741" hidden="1">
      <c r="A1741" s="3" t="s">
        <v>6700</v>
      </c>
      <c r="B1741" s="2" t="s">
        <v>6701</v>
      </c>
      <c r="C1741" s="3" t="s">
        <v>6702</v>
      </c>
      <c r="D1741" s="2">
        <v>1.0028027568273113E-4</v>
      </c>
      <c r="E1741" s="8" t="s">
        <v>6703</v>
      </c>
      <c r="F1741" s="9" t="s">
        <v>15</v>
      </c>
      <c r="G1741" s="9" t="s">
        <v>16</v>
      </c>
      <c r="H1741" s="9" t="s">
        <v>16</v>
      </c>
      <c r="I1741" s="9"/>
      <c r="J1741" s="9"/>
      <c r="K1741" s="9"/>
    </row>
    <row r="1742" hidden="1">
      <c r="A1742" s="3" t="s">
        <v>6704</v>
      </c>
      <c r="B1742" s="2" t="s">
        <v>6705</v>
      </c>
      <c r="C1742" s="3" t="s">
        <v>6706</v>
      </c>
      <c r="D1742" s="2">
        <v>1.0028027568273113E-4</v>
      </c>
      <c r="E1742" s="8" t="s">
        <v>6707</v>
      </c>
      <c r="F1742" s="9" t="s">
        <v>15</v>
      </c>
      <c r="G1742" s="9" t="s">
        <v>16</v>
      </c>
      <c r="H1742" s="9" t="s">
        <v>16</v>
      </c>
      <c r="I1742" s="9"/>
      <c r="J1742" s="9"/>
      <c r="K1742" s="9"/>
    </row>
    <row r="1743" hidden="1">
      <c r="A1743" s="3" t="s">
        <v>6708</v>
      </c>
      <c r="B1743" s="2" t="s">
        <v>6709</v>
      </c>
      <c r="C1743" s="3" t="s">
        <v>6710</v>
      </c>
      <c r="D1743" s="2">
        <v>1.0028027568273113E-4</v>
      </c>
      <c r="E1743" s="8" t="s">
        <v>6711</v>
      </c>
      <c r="F1743" s="9" t="s">
        <v>15</v>
      </c>
      <c r="G1743" s="9" t="s">
        <v>16</v>
      </c>
      <c r="H1743" s="9" t="s">
        <v>16</v>
      </c>
      <c r="I1743" s="9"/>
      <c r="J1743" s="9"/>
      <c r="K1743" s="9"/>
    </row>
    <row r="1744" hidden="1">
      <c r="A1744" s="3" t="s">
        <v>6712</v>
      </c>
      <c r="B1744" s="2" t="s">
        <v>6713</v>
      </c>
      <c r="C1744" s="3" t="s">
        <v>6714</v>
      </c>
      <c r="D1744" s="2">
        <v>1.0028027568273113E-4</v>
      </c>
      <c r="E1744" s="8" t="s">
        <v>6715</v>
      </c>
      <c r="F1744" s="9" t="s">
        <v>15</v>
      </c>
      <c r="G1744" s="9" t="s">
        <v>16</v>
      </c>
      <c r="H1744" s="9" t="s">
        <v>16</v>
      </c>
      <c r="I1744" s="9"/>
      <c r="J1744" s="9"/>
      <c r="K1744" s="9"/>
    </row>
    <row r="1745" hidden="1">
      <c r="A1745" s="3" t="s">
        <v>6716</v>
      </c>
      <c r="B1745" s="2" t="s">
        <v>6717</v>
      </c>
      <c r="C1745" s="3" t="s">
        <v>6718</v>
      </c>
      <c r="D1745" s="2">
        <v>1.0028027568273113E-4</v>
      </c>
      <c r="E1745" s="8" t="s">
        <v>6719</v>
      </c>
      <c r="F1745" s="9" t="s">
        <v>15</v>
      </c>
      <c r="G1745" s="9" t="s">
        <v>16</v>
      </c>
      <c r="H1745" s="9" t="s">
        <v>16</v>
      </c>
      <c r="I1745" s="9"/>
      <c r="J1745" s="9"/>
      <c r="K1745" s="9"/>
    </row>
    <row r="1746" hidden="1">
      <c r="A1746" s="3" t="s">
        <v>6720</v>
      </c>
      <c r="B1746" s="2" t="s">
        <v>6721</v>
      </c>
      <c r="C1746" s="3" t="s">
        <v>6722</v>
      </c>
      <c r="D1746" s="2">
        <v>1.0028027568273113E-4</v>
      </c>
      <c r="E1746" s="8" t="s">
        <v>3382</v>
      </c>
      <c r="F1746" s="9" t="s">
        <v>15</v>
      </c>
      <c r="G1746" s="9" t="s">
        <v>16</v>
      </c>
      <c r="H1746" s="9" t="s">
        <v>16</v>
      </c>
      <c r="I1746" s="9"/>
      <c r="J1746" s="9"/>
      <c r="K1746" s="9"/>
    </row>
    <row r="1747" hidden="1">
      <c r="A1747" s="3" t="s">
        <v>5433</v>
      </c>
      <c r="B1747" s="2" t="s">
        <v>6723</v>
      </c>
      <c r="C1747" s="3" t="s">
        <v>6724</v>
      </c>
      <c r="D1747" s="2">
        <v>1.0028027568273113E-4</v>
      </c>
      <c r="E1747" s="8" t="s">
        <v>2559</v>
      </c>
      <c r="F1747" s="9" t="s">
        <v>15</v>
      </c>
      <c r="G1747" s="9" t="s">
        <v>16</v>
      </c>
      <c r="H1747" s="9" t="s">
        <v>16</v>
      </c>
      <c r="I1747" s="9"/>
      <c r="J1747" s="9"/>
      <c r="K1747" s="9"/>
    </row>
    <row r="1748" hidden="1">
      <c r="A1748" s="3" t="s">
        <v>6725</v>
      </c>
      <c r="B1748" s="2" t="s">
        <v>6726</v>
      </c>
      <c r="C1748" s="3" t="s">
        <v>6727</v>
      </c>
      <c r="D1748" s="2">
        <v>1.0028027568273113E-4</v>
      </c>
      <c r="E1748" s="8" t="s">
        <v>2831</v>
      </c>
      <c r="F1748" s="9" t="s">
        <v>15</v>
      </c>
      <c r="G1748" s="9" t="s">
        <v>16</v>
      </c>
      <c r="H1748" s="9" t="s">
        <v>16</v>
      </c>
      <c r="I1748" s="9"/>
      <c r="J1748" s="9"/>
      <c r="K1748" s="9"/>
    </row>
    <row r="1749" hidden="1">
      <c r="A1749" s="3" t="s">
        <v>6728</v>
      </c>
      <c r="B1749" s="2" t="s">
        <v>6729</v>
      </c>
      <c r="C1749" s="3" t="s">
        <v>6730</v>
      </c>
      <c r="D1749" s="2">
        <v>1.0028027568273113E-4</v>
      </c>
      <c r="E1749" s="8" t="s">
        <v>6731</v>
      </c>
      <c r="F1749" s="9" t="s">
        <v>15</v>
      </c>
      <c r="G1749" s="9" t="s">
        <v>16</v>
      </c>
      <c r="H1749" s="9" t="s">
        <v>16</v>
      </c>
      <c r="I1749" s="9"/>
      <c r="J1749" s="9"/>
      <c r="K1749" s="9"/>
    </row>
    <row r="1750" hidden="1">
      <c r="A1750" s="3" t="s">
        <v>6732</v>
      </c>
      <c r="B1750" s="2" t="s">
        <v>6733</v>
      </c>
      <c r="C1750" s="3" t="s">
        <v>6734</v>
      </c>
      <c r="D1750" s="2">
        <v>1.0028027568273113E-4</v>
      </c>
      <c r="E1750" s="8" t="s">
        <v>6735</v>
      </c>
      <c r="F1750" s="9" t="s">
        <v>15</v>
      </c>
      <c r="G1750" s="9" t="s">
        <v>16</v>
      </c>
      <c r="H1750" s="9" t="s">
        <v>16</v>
      </c>
      <c r="I1750" s="9"/>
      <c r="J1750" s="9"/>
      <c r="K1750" s="9"/>
    </row>
    <row r="1751" hidden="1">
      <c r="A1751" s="3" t="s">
        <v>6736</v>
      </c>
      <c r="B1751" s="2" t="s">
        <v>6737</v>
      </c>
      <c r="C1751" s="3" t="s">
        <v>6738</v>
      </c>
      <c r="D1751" s="2">
        <v>1.0028027568273113E-4</v>
      </c>
      <c r="E1751" s="8" t="s">
        <v>6739</v>
      </c>
      <c r="F1751" s="9" t="s">
        <v>15</v>
      </c>
      <c r="G1751" s="9" t="s">
        <v>16</v>
      </c>
      <c r="H1751" s="9" t="s">
        <v>16</v>
      </c>
      <c r="I1751" s="9"/>
      <c r="J1751" s="9"/>
      <c r="K1751" s="9"/>
    </row>
    <row r="1752" hidden="1">
      <c r="A1752" s="3" t="s">
        <v>6740</v>
      </c>
      <c r="B1752" s="2" t="s">
        <v>6741</v>
      </c>
      <c r="C1752" s="3" t="s">
        <v>6742</v>
      </c>
      <c r="D1752" s="2">
        <v>1.0028027568273113E-4</v>
      </c>
      <c r="E1752" s="8" t="s">
        <v>6743</v>
      </c>
      <c r="F1752" s="9" t="s">
        <v>15</v>
      </c>
      <c r="G1752" s="9" t="s">
        <v>16</v>
      </c>
      <c r="H1752" s="9" t="s">
        <v>16</v>
      </c>
      <c r="I1752" s="9"/>
      <c r="J1752" s="9"/>
      <c r="K1752" s="9"/>
    </row>
    <row r="1753" hidden="1">
      <c r="A1753" s="3" t="s">
        <v>6744</v>
      </c>
      <c r="B1753" s="2" t="s">
        <v>6744</v>
      </c>
      <c r="C1753" s="3" t="s">
        <v>6745</v>
      </c>
      <c r="D1753" s="2">
        <v>1.0028027568273113E-4</v>
      </c>
      <c r="E1753" s="8" t="s">
        <v>6007</v>
      </c>
      <c r="F1753" s="9" t="s">
        <v>15</v>
      </c>
      <c r="G1753" s="9" t="s">
        <v>16</v>
      </c>
      <c r="H1753" s="9" t="s">
        <v>16</v>
      </c>
      <c r="I1753" s="9"/>
      <c r="J1753" s="9"/>
      <c r="K1753" s="9"/>
    </row>
    <row r="1754" hidden="1">
      <c r="A1754" s="3" t="s">
        <v>6746</v>
      </c>
      <c r="B1754" s="2" t="s">
        <v>6747</v>
      </c>
      <c r="C1754" s="3" t="s">
        <v>6748</v>
      </c>
      <c r="D1754" s="2">
        <v>1.0028027568273113E-4</v>
      </c>
      <c r="E1754" s="8" t="s">
        <v>6749</v>
      </c>
      <c r="F1754" s="9" t="s">
        <v>15</v>
      </c>
      <c r="G1754" s="9" t="s">
        <v>16</v>
      </c>
      <c r="H1754" s="9" t="s">
        <v>16</v>
      </c>
      <c r="I1754" s="9"/>
      <c r="J1754" s="9"/>
      <c r="K1754" s="9"/>
    </row>
    <row r="1755" hidden="1">
      <c r="A1755" s="3" t="s">
        <v>6750</v>
      </c>
      <c r="B1755" s="2" t="s">
        <v>6751</v>
      </c>
      <c r="C1755" s="3" t="s">
        <v>6752</v>
      </c>
      <c r="D1755" s="2">
        <v>1.0028027568273113E-4</v>
      </c>
      <c r="E1755" s="8" t="s">
        <v>6753</v>
      </c>
      <c r="F1755" s="9" t="s">
        <v>15</v>
      </c>
      <c r="G1755" s="9" t="s">
        <v>16</v>
      </c>
      <c r="H1755" s="9" t="s">
        <v>16</v>
      </c>
      <c r="I1755" s="9"/>
      <c r="J1755" s="9"/>
      <c r="K1755" s="9"/>
    </row>
    <row r="1756" hidden="1">
      <c r="A1756" s="3" t="s">
        <v>6754</v>
      </c>
      <c r="B1756" s="2" t="s">
        <v>6755</v>
      </c>
      <c r="C1756" s="3" t="s">
        <v>6756</v>
      </c>
      <c r="D1756" s="2">
        <v>1.0028027568273113E-4</v>
      </c>
      <c r="E1756" s="8" t="s">
        <v>6757</v>
      </c>
      <c r="F1756" s="9" t="s">
        <v>15</v>
      </c>
      <c r="G1756" s="9" t="s">
        <v>16</v>
      </c>
      <c r="H1756" s="9" t="s">
        <v>16</v>
      </c>
      <c r="I1756" s="9"/>
      <c r="J1756" s="9"/>
      <c r="K1756" s="9"/>
    </row>
    <row r="1757" hidden="1">
      <c r="A1757" s="3" t="s">
        <v>6758</v>
      </c>
      <c r="B1757" s="2" t="s">
        <v>6759</v>
      </c>
      <c r="C1757" s="3" t="s">
        <v>6760</v>
      </c>
      <c r="D1757" s="2">
        <v>1.0028027568273113E-4</v>
      </c>
      <c r="E1757" s="8" t="s">
        <v>6761</v>
      </c>
      <c r="F1757" s="9" t="s">
        <v>15</v>
      </c>
      <c r="G1757" s="9" t="s">
        <v>16</v>
      </c>
      <c r="H1757" s="9" t="s">
        <v>16</v>
      </c>
      <c r="I1757" s="9"/>
      <c r="J1757" s="9"/>
      <c r="K1757" s="9"/>
    </row>
    <row r="1758" hidden="1">
      <c r="A1758" s="3" t="s">
        <v>6762</v>
      </c>
      <c r="B1758" s="2" t="s">
        <v>6763</v>
      </c>
      <c r="C1758" s="3" t="s">
        <v>6764</v>
      </c>
      <c r="D1758" s="2">
        <v>1.0028027568273113E-4</v>
      </c>
      <c r="E1758" s="8" t="s">
        <v>6765</v>
      </c>
      <c r="F1758" s="9" t="s">
        <v>15</v>
      </c>
      <c r="G1758" s="9" t="s">
        <v>16</v>
      </c>
      <c r="H1758" s="9" t="s">
        <v>16</v>
      </c>
      <c r="I1758" s="9"/>
      <c r="J1758" s="9"/>
      <c r="K1758" s="9"/>
    </row>
    <row r="1759" hidden="1">
      <c r="A1759" s="3" t="s">
        <v>6766</v>
      </c>
      <c r="B1759" s="2" t="s">
        <v>6767</v>
      </c>
      <c r="C1759" s="3"/>
      <c r="D1759" s="2">
        <v>1.0028027568273113E-4</v>
      </c>
      <c r="E1759" s="8" t="s">
        <v>6768</v>
      </c>
      <c r="F1759" s="9" t="s">
        <v>15</v>
      </c>
      <c r="G1759" s="9" t="s">
        <v>16</v>
      </c>
      <c r="H1759" s="9" t="s">
        <v>16</v>
      </c>
      <c r="I1759" s="9"/>
      <c r="J1759" s="9"/>
      <c r="K1759" s="9"/>
    </row>
    <row r="1760" hidden="1">
      <c r="A1760" s="3" t="s">
        <v>6769</v>
      </c>
      <c r="B1760" s="2" t="s">
        <v>6770</v>
      </c>
      <c r="C1760" s="3"/>
      <c r="D1760" s="2">
        <v>1.0028027568273113E-4</v>
      </c>
      <c r="E1760" s="8" t="s">
        <v>6771</v>
      </c>
      <c r="F1760" s="9" t="s">
        <v>15</v>
      </c>
      <c r="G1760" s="9" t="s">
        <v>16</v>
      </c>
      <c r="H1760" s="9" t="s">
        <v>16</v>
      </c>
      <c r="I1760" s="9"/>
      <c r="J1760" s="9"/>
      <c r="K1760" s="9"/>
    </row>
    <row r="1761" hidden="1">
      <c r="A1761" s="3" t="s">
        <v>6772</v>
      </c>
      <c r="B1761" s="2" t="s">
        <v>6773</v>
      </c>
      <c r="C1761" s="3" t="s">
        <v>6774</v>
      </c>
      <c r="D1761" s="2">
        <v>1.0028027568273113E-4</v>
      </c>
      <c r="E1761" s="8" t="s">
        <v>6775</v>
      </c>
      <c r="F1761" s="9" t="s">
        <v>15</v>
      </c>
      <c r="G1761" s="9" t="s">
        <v>16</v>
      </c>
      <c r="H1761" s="9" t="s">
        <v>16</v>
      </c>
      <c r="I1761" s="9"/>
      <c r="J1761" s="9"/>
      <c r="K1761" s="9"/>
    </row>
    <row r="1762" hidden="1">
      <c r="A1762" s="3" t="s">
        <v>6776</v>
      </c>
      <c r="B1762" s="2" t="s">
        <v>6777</v>
      </c>
      <c r="C1762" s="3" t="s">
        <v>6778</v>
      </c>
      <c r="D1762" s="2">
        <v>1.0028027568273113E-4</v>
      </c>
      <c r="E1762" s="8" t="s">
        <v>4915</v>
      </c>
      <c r="F1762" s="9" t="s">
        <v>15</v>
      </c>
      <c r="G1762" s="9" t="s">
        <v>16</v>
      </c>
      <c r="H1762" s="9" t="s">
        <v>16</v>
      </c>
      <c r="I1762" s="9"/>
      <c r="J1762" s="9"/>
      <c r="K1762" s="9"/>
    </row>
    <row r="1763" hidden="1">
      <c r="A1763" s="3" t="s">
        <v>6779</v>
      </c>
      <c r="B1763" s="2" t="s">
        <v>6780</v>
      </c>
      <c r="C1763" s="3" t="s">
        <v>5918</v>
      </c>
      <c r="D1763" s="2">
        <v>1.0028027568273113E-4</v>
      </c>
      <c r="E1763" s="8" t="s">
        <v>6781</v>
      </c>
      <c r="F1763" s="9" t="s">
        <v>15</v>
      </c>
      <c r="G1763" s="9" t="s">
        <v>16</v>
      </c>
      <c r="H1763" s="9" t="s">
        <v>16</v>
      </c>
      <c r="I1763" s="9"/>
      <c r="J1763" s="9"/>
      <c r="K1763" s="9"/>
    </row>
    <row r="1764" hidden="1">
      <c r="A1764" s="3" t="s">
        <v>6782</v>
      </c>
      <c r="B1764" s="2" t="s">
        <v>6783</v>
      </c>
      <c r="C1764" s="3" t="s">
        <v>6784</v>
      </c>
      <c r="D1764" s="2">
        <v>1.0028027568273113E-4</v>
      </c>
      <c r="E1764" s="8" t="s">
        <v>6785</v>
      </c>
      <c r="F1764" s="9" t="s">
        <v>15</v>
      </c>
      <c r="G1764" s="9" t="s">
        <v>16</v>
      </c>
      <c r="H1764" s="9" t="s">
        <v>16</v>
      </c>
      <c r="I1764" s="9"/>
      <c r="J1764" s="9"/>
      <c r="K1764" s="9"/>
    </row>
    <row r="1765" hidden="1">
      <c r="A1765" s="3" t="s">
        <v>6786</v>
      </c>
      <c r="B1765" s="2" t="s">
        <v>6787</v>
      </c>
      <c r="C1765" s="3" t="s">
        <v>6788</v>
      </c>
      <c r="D1765" s="2">
        <v>1.0028027568273113E-4</v>
      </c>
      <c r="E1765" s="8" t="s">
        <v>6789</v>
      </c>
      <c r="F1765" s="9" t="s">
        <v>15</v>
      </c>
      <c r="G1765" s="9" t="s">
        <v>16</v>
      </c>
      <c r="H1765" s="9" t="s">
        <v>16</v>
      </c>
      <c r="I1765" s="9"/>
      <c r="J1765" s="9"/>
      <c r="K1765" s="9"/>
    </row>
    <row r="1766" hidden="1">
      <c r="A1766" s="3" t="s">
        <v>6790</v>
      </c>
      <c r="B1766" s="2" t="s">
        <v>6791</v>
      </c>
      <c r="C1766" s="3" t="s">
        <v>6792</v>
      </c>
      <c r="D1766" s="2">
        <v>1.0028027568273113E-4</v>
      </c>
      <c r="E1766" s="8" t="s">
        <v>5880</v>
      </c>
      <c r="F1766" s="9" t="s">
        <v>15</v>
      </c>
      <c r="G1766" s="9" t="s">
        <v>16</v>
      </c>
      <c r="H1766" s="9" t="s">
        <v>16</v>
      </c>
      <c r="I1766" s="9"/>
      <c r="J1766" s="9"/>
      <c r="K1766" s="9"/>
    </row>
    <row r="1767" hidden="1">
      <c r="A1767" s="3" t="s">
        <v>6793</v>
      </c>
      <c r="B1767" s="2" t="s">
        <v>6794</v>
      </c>
      <c r="C1767" s="3" t="s">
        <v>6795</v>
      </c>
      <c r="D1767" s="2">
        <v>1.0028027568273113E-4</v>
      </c>
      <c r="E1767" s="8" t="s">
        <v>372</v>
      </c>
      <c r="F1767" s="9" t="s">
        <v>15</v>
      </c>
      <c r="G1767" s="9" t="s">
        <v>16</v>
      </c>
      <c r="H1767" s="9" t="s">
        <v>16</v>
      </c>
      <c r="I1767" s="9"/>
      <c r="J1767" s="9"/>
      <c r="K1767" s="9"/>
    </row>
    <row r="1768" hidden="1">
      <c r="A1768" s="3" t="s">
        <v>6796</v>
      </c>
      <c r="B1768" s="2" t="s">
        <v>6797</v>
      </c>
      <c r="C1768" s="3" t="s">
        <v>6798</v>
      </c>
      <c r="D1768" s="2">
        <v>1.0028027568273113E-4</v>
      </c>
      <c r="E1768" s="8" t="s">
        <v>6087</v>
      </c>
      <c r="F1768" s="9" t="s">
        <v>15</v>
      </c>
      <c r="G1768" s="9" t="s">
        <v>16</v>
      </c>
      <c r="H1768" s="9" t="s">
        <v>16</v>
      </c>
      <c r="I1768" s="9"/>
      <c r="J1768" s="9"/>
      <c r="K1768" s="9"/>
    </row>
    <row r="1769" hidden="1">
      <c r="A1769" s="3" t="s">
        <v>6799</v>
      </c>
      <c r="B1769" s="2" t="s">
        <v>6800</v>
      </c>
      <c r="C1769" s="3" t="s">
        <v>6801</v>
      </c>
      <c r="D1769" s="2">
        <v>1.0028027568273113E-4</v>
      </c>
      <c r="E1769" s="8" t="s">
        <v>6802</v>
      </c>
      <c r="F1769" s="9" t="s">
        <v>15</v>
      </c>
      <c r="G1769" s="9" t="s">
        <v>16</v>
      </c>
      <c r="H1769" s="9" t="s">
        <v>16</v>
      </c>
      <c r="I1769" s="9"/>
      <c r="J1769" s="9"/>
      <c r="K1769" s="9"/>
    </row>
    <row r="1770" hidden="1">
      <c r="A1770" s="3" t="s">
        <v>6803</v>
      </c>
      <c r="B1770" s="2" t="s">
        <v>6804</v>
      </c>
      <c r="C1770" s="3" t="s">
        <v>6805</v>
      </c>
      <c r="D1770" s="2">
        <v>1.0028027568273113E-4</v>
      </c>
      <c r="E1770" s="8" t="s">
        <v>6806</v>
      </c>
      <c r="F1770" s="9" t="s">
        <v>15</v>
      </c>
      <c r="G1770" s="9" t="s">
        <v>16</v>
      </c>
      <c r="H1770" s="9" t="s">
        <v>16</v>
      </c>
      <c r="I1770" s="9"/>
      <c r="J1770" s="9"/>
      <c r="K1770" s="9"/>
    </row>
    <row r="1771" hidden="1">
      <c r="A1771" s="3" t="s">
        <v>6807</v>
      </c>
      <c r="B1771" s="2" t="s">
        <v>6808</v>
      </c>
      <c r="C1771" s="3" t="s">
        <v>6809</v>
      </c>
      <c r="D1771" s="2">
        <v>1.0028027568273113E-4</v>
      </c>
      <c r="E1771" s="8" t="s">
        <v>6810</v>
      </c>
      <c r="F1771" s="9" t="s">
        <v>15</v>
      </c>
      <c r="G1771" s="9" t="s">
        <v>16</v>
      </c>
      <c r="H1771" s="9" t="s">
        <v>16</v>
      </c>
      <c r="I1771" s="9"/>
      <c r="J1771" s="9"/>
      <c r="K1771" s="9"/>
    </row>
    <row r="1772" hidden="1">
      <c r="A1772" s="3" t="s">
        <v>6811</v>
      </c>
      <c r="B1772" s="2" t="s">
        <v>6812</v>
      </c>
      <c r="C1772" s="3" t="s">
        <v>6813</v>
      </c>
      <c r="D1772" s="2">
        <v>1.0028027568273113E-4</v>
      </c>
      <c r="E1772" s="8" t="s">
        <v>6814</v>
      </c>
      <c r="F1772" s="9" t="s">
        <v>15</v>
      </c>
      <c r="G1772" s="9" t="s">
        <v>16</v>
      </c>
      <c r="H1772" s="9" t="s">
        <v>16</v>
      </c>
      <c r="I1772" s="9"/>
      <c r="J1772" s="9"/>
      <c r="K1772" s="9"/>
    </row>
    <row r="1773" hidden="1">
      <c r="A1773" s="3" t="s">
        <v>6815</v>
      </c>
      <c r="B1773" s="2" t="s">
        <v>6816</v>
      </c>
      <c r="C1773" s="3" t="s">
        <v>6817</v>
      </c>
      <c r="D1773" s="2">
        <v>1.0028027568273113E-4</v>
      </c>
      <c r="E1773" s="8" t="s">
        <v>6818</v>
      </c>
      <c r="F1773" s="9" t="s">
        <v>15</v>
      </c>
      <c r="G1773" s="9" t="s">
        <v>16</v>
      </c>
      <c r="H1773" s="9" t="s">
        <v>16</v>
      </c>
      <c r="I1773" s="9"/>
      <c r="J1773" s="9"/>
      <c r="K1773" s="9"/>
    </row>
    <row r="1774" hidden="1">
      <c r="A1774" s="3" t="s">
        <v>6819</v>
      </c>
      <c r="B1774" s="2" t="s">
        <v>6820</v>
      </c>
      <c r="C1774" s="3"/>
      <c r="D1774" s="2">
        <v>1.0028027568273113E-4</v>
      </c>
      <c r="E1774" s="8" t="s">
        <v>6683</v>
      </c>
      <c r="F1774" s="9" t="s">
        <v>15</v>
      </c>
      <c r="G1774" s="9" t="s">
        <v>16</v>
      </c>
      <c r="H1774" s="9" t="s">
        <v>16</v>
      </c>
      <c r="I1774" s="9"/>
      <c r="J1774" s="9"/>
      <c r="K1774" s="9"/>
    </row>
    <row r="1775" hidden="1">
      <c r="A1775" s="3" t="s">
        <v>6821</v>
      </c>
      <c r="B1775" s="2" t="s">
        <v>6822</v>
      </c>
      <c r="C1775" s="3"/>
      <c r="D1775" s="2">
        <v>1.0028027568273113E-4</v>
      </c>
      <c r="E1775" s="8" t="s">
        <v>5404</v>
      </c>
      <c r="F1775" s="9" t="s">
        <v>15</v>
      </c>
      <c r="G1775" s="9" t="s">
        <v>16</v>
      </c>
      <c r="H1775" s="9" t="s">
        <v>16</v>
      </c>
      <c r="I1775" s="9"/>
      <c r="J1775" s="9"/>
      <c r="K1775" s="9"/>
    </row>
    <row r="1776" hidden="1">
      <c r="A1776" s="3" t="s">
        <v>6823</v>
      </c>
      <c r="B1776" s="2" t="s">
        <v>6824</v>
      </c>
      <c r="C1776" s="3" t="s">
        <v>6825</v>
      </c>
      <c r="D1776" s="2">
        <v>1.0028027568273113E-4</v>
      </c>
      <c r="E1776" s="8" t="s">
        <v>3275</v>
      </c>
      <c r="F1776" s="9" t="s">
        <v>15</v>
      </c>
      <c r="G1776" s="9" t="s">
        <v>16</v>
      </c>
      <c r="H1776" s="9" t="s">
        <v>16</v>
      </c>
      <c r="I1776" s="9"/>
      <c r="J1776" s="9"/>
      <c r="K1776" s="9"/>
    </row>
    <row r="1777" hidden="1">
      <c r="A1777" s="3" t="s">
        <v>6826</v>
      </c>
      <c r="B1777" s="2" t="s">
        <v>6827</v>
      </c>
      <c r="C1777" s="3" t="s">
        <v>6828</v>
      </c>
      <c r="D1777" s="2">
        <v>1.0028027568273113E-4</v>
      </c>
      <c r="E1777" s="8" t="s">
        <v>6829</v>
      </c>
      <c r="F1777" s="9" t="s">
        <v>15</v>
      </c>
      <c r="G1777" s="9" t="s">
        <v>16</v>
      </c>
      <c r="H1777" s="9" t="s">
        <v>16</v>
      </c>
      <c r="I1777" s="9"/>
      <c r="J1777" s="9"/>
      <c r="K1777" s="9"/>
    </row>
    <row r="1778" hidden="1">
      <c r="A1778" s="3" t="s">
        <v>6830</v>
      </c>
      <c r="B1778" s="2" t="s">
        <v>6831</v>
      </c>
      <c r="C1778" s="3" t="s">
        <v>6832</v>
      </c>
      <c r="D1778" s="2">
        <v>1.0028027568273113E-4</v>
      </c>
      <c r="E1778" s="8" t="s">
        <v>4414</v>
      </c>
      <c r="F1778" s="9" t="s">
        <v>15</v>
      </c>
      <c r="G1778" s="9" t="s">
        <v>16</v>
      </c>
      <c r="H1778" s="9" t="s">
        <v>16</v>
      </c>
      <c r="I1778" s="9"/>
      <c r="J1778" s="9"/>
      <c r="K1778" s="9"/>
    </row>
    <row r="1779" hidden="1">
      <c r="A1779" s="3" t="s">
        <v>6833</v>
      </c>
      <c r="B1779" s="2" t="s">
        <v>6834</v>
      </c>
      <c r="C1779" s="3"/>
      <c r="D1779" s="2">
        <v>1.0028027568273113E-4</v>
      </c>
      <c r="E1779" s="8" t="s">
        <v>6835</v>
      </c>
      <c r="F1779" s="9" t="s">
        <v>15</v>
      </c>
      <c r="G1779" s="9" t="s">
        <v>16</v>
      </c>
      <c r="H1779" s="9" t="s">
        <v>16</v>
      </c>
      <c r="I1779" s="9"/>
      <c r="J1779" s="9"/>
      <c r="K1779" s="9"/>
    </row>
    <row r="1780" hidden="1">
      <c r="A1780" s="3" t="s">
        <v>6836</v>
      </c>
      <c r="B1780" s="2" t="s">
        <v>6837</v>
      </c>
      <c r="C1780" s="3" t="s">
        <v>6838</v>
      </c>
      <c r="D1780" s="2">
        <v>1.0028027568273113E-4</v>
      </c>
      <c r="E1780" s="8" t="s">
        <v>3430</v>
      </c>
      <c r="F1780" s="9" t="s">
        <v>15</v>
      </c>
      <c r="G1780" s="9" t="s">
        <v>16</v>
      </c>
      <c r="H1780" s="9" t="s">
        <v>16</v>
      </c>
      <c r="I1780" s="9"/>
      <c r="J1780" s="9"/>
      <c r="K1780" s="9"/>
    </row>
    <row r="1781" hidden="1">
      <c r="A1781" s="3" t="s">
        <v>6839</v>
      </c>
      <c r="B1781" s="2" t="s">
        <v>6840</v>
      </c>
      <c r="C1781" s="3" t="s">
        <v>6841</v>
      </c>
      <c r="D1781" s="2">
        <v>1.0028027568273113E-4</v>
      </c>
      <c r="E1781" s="8" t="s">
        <v>6842</v>
      </c>
      <c r="F1781" s="9" t="s">
        <v>15</v>
      </c>
      <c r="G1781" s="9" t="s">
        <v>16</v>
      </c>
      <c r="H1781" s="9" t="s">
        <v>16</v>
      </c>
      <c r="I1781" s="9"/>
      <c r="J1781" s="9"/>
      <c r="K1781" s="9"/>
    </row>
    <row r="1782" hidden="1">
      <c r="A1782" s="3" t="s">
        <v>6843</v>
      </c>
      <c r="B1782" s="2" t="s">
        <v>6844</v>
      </c>
      <c r="C1782" s="3" t="s">
        <v>6845</v>
      </c>
      <c r="D1782" s="2">
        <v>1.0028027568273113E-4</v>
      </c>
      <c r="E1782" s="8" t="s">
        <v>6846</v>
      </c>
      <c r="F1782" s="9" t="s">
        <v>15</v>
      </c>
      <c r="G1782" s="9" t="s">
        <v>16</v>
      </c>
      <c r="H1782" s="9" t="s">
        <v>16</v>
      </c>
      <c r="I1782" s="9"/>
      <c r="J1782" s="9"/>
      <c r="K1782" s="9"/>
    </row>
    <row r="1783" hidden="1">
      <c r="A1783" s="3" t="s">
        <v>6847</v>
      </c>
      <c r="B1783" s="2" t="s">
        <v>6848</v>
      </c>
      <c r="C1783" s="3" t="s">
        <v>6849</v>
      </c>
      <c r="D1783" s="2">
        <v>1.0028027568273113E-4</v>
      </c>
      <c r="E1783" s="8" t="s">
        <v>6850</v>
      </c>
      <c r="F1783" s="9" t="s">
        <v>15</v>
      </c>
      <c r="G1783" s="9" t="s">
        <v>16</v>
      </c>
      <c r="H1783" s="9" t="s">
        <v>16</v>
      </c>
      <c r="I1783" s="9"/>
      <c r="J1783" s="9"/>
      <c r="K1783" s="9"/>
    </row>
    <row r="1784" hidden="1">
      <c r="A1784" s="3" t="s">
        <v>6851</v>
      </c>
      <c r="B1784" s="2" t="s">
        <v>6852</v>
      </c>
      <c r="C1784" s="3" t="s">
        <v>6853</v>
      </c>
      <c r="D1784" s="2">
        <v>1.0028027568273113E-4</v>
      </c>
      <c r="E1784" s="8" t="s">
        <v>6854</v>
      </c>
      <c r="F1784" s="9" t="s">
        <v>15</v>
      </c>
      <c r="G1784" s="9" t="s">
        <v>16</v>
      </c>
      <c r="H1784" s="9" t="s">
        <v>16</v>
      </c>
      <c r="I1784" s="9"/>
      <c r="J1784" s="9"/>
      <c r="K1784" s="9"/>
    </row>
    <row r="1785" hidden="1">
      <c r="A1785" s="3" t="s">
        <v>6855</v>
      </c>
      <c r="B1785" s="2" t="s">
        <v>6856</v>
      </c>
      <c r="C1785" s="3" t="s">
        <v>6857</v>
      </c>
      <c r="D1785" s="2">
        <v>1.0028027568273113E-4</v>
      </c>
      <c r="E1785" s="8" t="s">
        <v>6858</v>
      </c>
      <c r="F1785" s="9" t="s">
        <v>15</v>
      </c>
      <c r="G1785" s="9" t="s">
        <v>16</v>
      </c>
      <c r="H1785" s="9" t="s">
        <v>16</v>
      </c>
      <c r="I1785" s="9"/>
      <c r="J1785" s="9"/>
      <c r="K1785" s="9"/>
    </row>
    <row r="1786" hidden="1">
      <c r="A1786" s="3" t="s">
        <v>6859</v>
      </c>
      <c r="B1786" s="2" t="s">
        <v>6860</v>
      </c>
      <c r="C1786" s="3"/>
      <c r="D1786" s="2">
        <v>1.0028027568273113E-4</v>
      </c>
      <c r="E1786" s="8" t="s">
        <v>6861</v>
      </c>
      <c r="F1786" s="9" t="s">
        <v>15</v>
      </c>
      <c r="G1786" s="9" t="s">
        <v>16</v>
      </c>
      <c r="H1786" s="9" t="s">
        <v>16</v>
      </c>
      <c r="I1786" s="9"/>
      <c r="J1786" s="9"/>
      <c r="K1786" s="9"/>
    </row>
    <row r="1787" hidden="1">
      <c r="A1787" s="3" t="s">
        <v>6862</v>
      </c>
      <c r="B1787" s="2" t="s">
        <v>6863</v>
      </c>
      <c r="C1787" s="3" t="s">
        <v>6864</v>
      </c>
      <c r="D1787" s="2">
        <v>1.0028027568273113E-4</v>
      </c>
      <c r="E1787" s="8" t="s">
        <v>6865</v>
      </c>
      <c r="F1787" s="9" t="s">
        <v>15</v>
      </c>
      <c r="G1787" s="9" t="s">
        <v>16</v>
      </c>
      <c r="H1787" s="9" t="s">
        <v>16</v>
      </c>
      <c r="I1787" s="9"/>
      <c r="J1787" s="9"/>
      <c r="K1787" s="9"/>
    </row>
    <row r="1788" hidden="1">
      <c r="A1788" s="3" t="s">
        <v>6866</v>
      </c>
      <c r="B1788" s="2" t="s">
        <v>6867</v>
      </c>
      <c r="C1788" s="3" t="s">
        <v>6868</v>
      </c>
      <c r="D1788" s="2">
        <v>1.0028027568273113E-4</v>
      </c>
      <c r="E1788" s="8" t="s">
        <v>6869</v>
      </c>
      <c r="F1788" s="9" t="s">
        <v>15</v>
      </c>
      <c r="G1788" s="9" t="s">
        <v>16</v>
      </c>
      <c r="H1788" s="9" t="s">
        <v>16</v>
      </c>
      <c r="I1788" s="9"/>
      <c r="J1788" s="9"/>
      <c r="K1788" s="9"/>
    </row>
    <row r="1789" hidden="1">
      <c r="A1789" s="3" t="s">
        <v>6870</v>
      </c>
      <c r="B1789" s="2" t="s">
        <v>6871</v>
      </c>
      <c r="C1789" s="3" t="s">
        <v>6872</v>
      </c>
      <c r="D1789" s="2">
        <v>1.0028027568273113E-4</v>
      </c>
      <c r="E1789" s="8" t="s">
        <v>6873</v>
      </c>
      <c r="F1789" s="9" t="s">
        <v>15</v>
      </c>
      <c r="G1789" s="9" t="s">
        <v>16</v>
      </c>
      <c r="H1789" s="9" t="s">
        <v>16</v>
      </c>
      <c r="I1789" s="9"/>
      <c r="J1789" s="9"/>
      <c r="K1789" s="9"/>
    </row>
    <row r="1790" hidden="1">
      <c r="A1790" s="3" t="s">
        <v>6874</v>
      </c>
      <c r="B1790" s="2" t="s">
        <v>6875</v>
      </c>
      <c r="C1790" s="3"/>
      <c r="D1790" s="2">
        <v>1.0028027568273113E-4</v>
      </c>
      <c r="E1790" s="8" t="s">
        <v>1716</v>
      </c>
      <c r="F1790" s="9" t="s">
        <v>15</v>
      </c>
      <c r="G1790" s="9" t="s">
        <v>16</v>
      </c>
      <c r="H1790" s="9" t="s">
        <v>16</v>
      </c>
      <c r="I1790" s="9"/>
      <c r="J1790" s="9"/>
      <c r="K1790" s="9"/>
    </row>
    <row r="1791" hidden="1">
      <c r="A1791" s="3" t="s">
        <v>6876</v>
      </c>
      <c r="B1791" s="2" t="s">
        <v>6877</v>
      </c>
      <c r="C1791" s="3" t="s">
        <v>6878</v>
      </c>
      <c r="D1791" s="2">
        <v>1.0028027568273113E-4</v>
      </c>
      <c r="E1791" s="8" t="s">
        <v>364</v>
      </c>
      <c r="F1791" s="9" t="s">
        <v>15</v>
      </c>
      <c r="G1791" s="9" t="s">
        <v>16</v>
      </c>
      <c r="H1791" s="9" t="s">
        <v>16</v>
      </c>
      <c r="I1791" s="9"/>
      <c r="J1791" s="9"/>
      <c r="K1791" s="9"/>
    </row>
    <row r="1792" hidden="1">
      <c r="A1792" s="3" t="s">
        <v>6879</v>
      </c>
      <c r="B1792" s="2" t="s">
        <v>6880</v>
      </c>
      <c r="C1792" s="3" t="s">
        <v>6881</v>
      </c>
      <c r="D1792" s="2">
        <v>1.0028027568273113E-4</v>
      </c>
      <c r="E1792" s="8" t="s">
        <v>6882</v>
      </c>
      <c r="F1792" s="9" t="s">
        <v>15</v>
      </c>
      <c r="G1792" s="9" t="s">
        <v>16</v>
      </c>
      <c r="H1792" s="9" t="s">
        <v>16</v>
      </c>
      <c r="I1792" s="9"/>
      <c r="J1792" s="9"/>
      <c r="K1792" s="9"/>
    </row>
    <row r="1793" hidden="1">
      <c r="A1793" s="3" t="s">
        <v>6883</v>
      </c>
      <c r="B1793" s="2" t="s">
        <v>6884</v>
      </c>
      <c r="C1793" s="3" t="s">
        <v>6885</v>
      </c>
      <c r="D1793" s="2">
        <v>1.0028027568273113E-4</v>
      </c>
      <c r="E1793" s="8" t="s">
        <v>1804</v>
      </c>
      <c r="F1793" s="9" t="s">
        <v>15</v>
      </c>
      <c r="G1793" s="9" t="s">
        <v>16</v>
      </c>
      <c r="H1793" s="9" t="s">
        <v>16</v>
      </c>
      <c r="I1793" s="9"/>
      <c r="J1793" s="9"/>
      <c r="K1793" s="9"/>
    </row>
    <row r="1794" hidden="1">
      <c r="A1794" s="3" t="s">
        <v>6886</v>
      </c>
      <c r="B1794" s="2" t="s">
        <v>6887</v>
      </c>
      <c r="C1794" s="3" t="s">
        <v>6888</v>
      </c>
      <c r="D1794" s="2">
        <v>1.0028027568273113E-4</v>
      </c>
      <c r="E1794" s="8" t="s">
        <v>6889</v>
      </c>
      <c r="F1794" s="9" t="s">
        <v>15</v>
      </c>
      <c r="G1794" s="9" t="s">
        <v>16</v>
      </c>
      <c r="H1794" s="9" t="s">
        <v>16</v>
      </c>
      <c r="I1794" s="9"/>
      <c r="J1794" s="9"/>
      <c r="K1794" s="9"/>
    </row>
    <row r="1795" hidden="1">
      <c r="A1795" s="3" t="s">
        <v>6890</v>
      </c>
      <c r="B1795" s="2" t="s">
        <v>6891</v>
      </c>
      <c r="C1795" s="3" t="s">
        <v>6892</v>
      </c>
      <c r="D1795" s="2">
        <v>1.0028027568273113E-4</v>
      </c>
      <c r="E1795" s="8" t="s">
        <v>6893</v>
      </c>
      <c r="F1795" s="9" t="s">
        <v>15</v>
      </c>
      <c r="G1795" s="9" t="s">
        <v>16</v>
      </c>
      <c r="H1795" s="9" t="s">
        <v>16</v>
      </c>
      <c r="I1795" s="9"/>
      <c r="J1795" s="9"/>
      <c r="K1795" s="9"/>
    </row>
    <row r="1796" hidden="1">
      <c r="A1796" s="3" t="s">
        <v>6894</v>
      </c>
      <c r="B1796" s="2" t="s">
        <v>6895</v>
      </c>
      <c r="C1796" s="3" t="s">
        <v>6896</v>
      </c>
      <c r="D1796" s="2">
        <v>1.0028027568273113E-4</v>
      </c>
      <c r="E1796" s="8" t="s">
        <v>6897</v>
      </c>
      <c r="F1796" s="9" t="s">
        <v>15</v>
      </c>
      <c r="G1796" s="9" t="s">
        <v>16</v>
      </c>
      <c r="H1796" s="9" t="s">
        <v>16</v>
      </c>
      <c r="I1796" s="9"/>
      <c r="J1796" s="9"/>
      <c r="K1796" s="9"/>
    </row>
    <row r="1797" hidden="1">
      <c r="A1797" s="3" t="s">
        <v>6898</v>
      </c>
      <c r="B1797" s="2" t="s">
        <v>6899</v>
      </c>
      <c r="C1797" s="3" t="s">
        <v>6900</v>
      </c>
      <c r="D1797" s="2">
        <v>1.0028027568273113E-4</v>
      </c>
      <c r="E1797" s="8" t="s">
        <v>6901</v>
      </c>
      <c r="F1797" s="9" t="s">
        <v>15</v>
      </c>
      <c r="G1797" s="9" t="s">
        <v>16</v>
      </c>
      <c r="H1797" s="9" t="s">
        <v>16</v>
      </c>
      <c r="I1797" s="9"/>
      <c r="J1797" s="9"/>
      <c r="K1797" s="9"/>
    </row>
    <row r="1798" hidden="1">
      <c r="A1798" s="3" t="s">
        <v>6902</v>
      </c>
      <c r="B1798" s="2" t="s">
        <v>6903</v>
      </c>
      <c r="C1798" s="3" t="s">
        <v>6904</v>
      </c>
      <c r="D1798" s="2">
        <v>1.0028027568273113E-4</v>
      </c>
      <c r="E1798" s="8" t="s">
        <v>6905</v>
      </c>
      <c r="F1798" s="9" t="s">
        <v>15</v>
      </c>
      <c r="G1798" s="9" t="s">
        <v>16</v>
      </c>
      <c r="H1798" s="9" t="s">
        <v>16</v>
      </c>
      <c r="I1798" s="9"/>
      <c r="J1798" s="9"/>
      <c r="K1798" s="9"/>
    </row>
    <row r="1799" hidden="1">
      <c r="A1799" s="3" t="s">
        <v>6906</v>
      </c>
      <c r="B1799" s="2" t="s">
        <v>6907</v>
      </c>
      <c r="C1799" s="3" t="s">
        <v>6908</v>
      </c>
      <c r="D1799" s="2">
        <v>1.0028027568273113E-4</v>
      </c>
      <c r="E1799" s="8" t="s">
        <v>6909</v>
      </c>
      <c r="F1799" s="9" t="s">
        <v>15</v>
      </c>
      <c r="G1799" s="9" t="s">
        <v>16</v>
      </c>
      <c r="H1799" s="9" t="s">
        <v>16</v>
      </c>
      <c r="I1799" s="9"/>
      <c r="J1799" s="9"/>
      <c r="K1799" s="9"/>
    </row>
    <row r="1800" hidden="1">
      <c r="A1800" s="3" t="s">
        <v>6910</v>
      </c>
      <c r="B1800" s="2" t="s">
        <v>6911</v>
      </c>
      <c r="C1800" s="3"/>
      <c r="D1800" s="2">
        <v>1.0028027568273113E-4</v>
      </c>
      <c r="E1800" s="8" t="s">
        <v>6912</v>
      </c>
      <c r="F1800" s="9" t="s">
        <v>15</v>
      </c>
      <c r="G1800" s="9" t="s">
        <v>16</v>
      </c>
      <c r="H1800" s="9" t="s">
        <v>16</v>
      </c>
      <c r="I1800" s="9"/>
      <c r="J1800" s="9"/>
      <c r="K1800" s="9"/>
    </row>
    <row r="1801" hidden="1">
      <c r="A1801" s="3" t="s">
        <v>6913</v>
      </c>
      <c r="B1801" s="2" t="s">
        <v>6914</v>
      </c>
      <c r="C1801" s="3" t="s">
        <v>6915</v>
      </c>
      <c r="D1801" s="2">
        <v>1.0028027568273113E-4</v>
      </c>
      <c r="E1801" s="8" t="s">
        <v>6916</v>
      </c>
      <c r="F1801" s="9" t="s">
        <v>15</v>
      </c>
      <c r="G1801" s="9" t="s">
        <v>16</v>
      </c>
      <c r="H1801" s="9" t="s">
        <v>16</v>
      </c>
      <c r="I1801" s="9"/>
      <c r="J1801" s="9"/>
      <c r="K1801" s="9"/>
    </row>
    <row r="1802" hidden="1">
      <c r="A1802" s="3" t="s">
        <v>6917</v>
      </c>
      <c r="B1802" s="2" t="s">
        <v>6918</v>
      </c>
      <c r="C1802" s="3" t="s">
        <v>6919</v>
      </c>
      <c r="D1802" s="2">
        <v>1.0028027568273113E-4</v>
      </c>
      <c r="E1802" s="8" t="s">
        <v>6920</v>
      </c>
      <c r="F1802" s="9" t="s">
        <v>15</v>
      </c>
      <c r="G1802" s="9" t="s">
        <v>16</v>
      </c>
      <c r="H1802" s="9" t="s">
        <v>16</v>
      </c>
      <c r="I1802" s="9"/>
      <c r="J1802" s="9"/>
      <c r="K1802" s="9"/>
    </row>
    <row r="1803" hidden="1">
      <c r="A1803" s="3" t="s">
        <v>6921</v>
      </c>
      <c r="B1803" s="2" t="s">
        <v>6922</v>
      </c>
      <c r="C1803" s="3" t="s">
        <v>6923</v>
      </c>
      <c r="D1803" s="2">
        <v>1.0028027568273113E-4</v>
      </c>
      <c r="E1803" s="8" t="s">
        <v>6924</v>
      </c>
      <c r="F1803" s="9" t="s">
        <v>15</v>
      </c>
      <c r="G1803" s="9" t="s">
        <v>16</v>
      </c>
      <c r="H1803" s="9" t="s">
        <v>16</v>
      </c>
      <c r="I1803" s="9"/>
      <c r="J1803" s="9"/>
      <c r="K1803" s="9"/>
    </row>
    <row r="1804" hidden="1">
      <c r="A1804" s="3" t="s">
        <v>6925</v>
      </c>
      <c r="B1804" s="2" t="s">
        <v>6926</v>
      </c>
      <c r="C1804" s="3" t="s">
        <v>6927</v>
      </c>
      <c r="D1804" s="2">
        <v>1.0028027568273113E-4</v>
      </c>
      <c r="E1804" s="8" t="s">
        <v>6928</v>
      </c>
      <c r="F1804" s="9" t="s">
        <v>15</v>
      </c>
      <c r="G1804" s="9" t="s">
        <v>16</v>
      </c>
      <c r="H1804" s="9" t="s">
        <v>16</v>
      </c>
      <c r="I1804" s="9"/>
      <c r="J1804" s="9"/>
      <c r="K1804" s="9"/>
    </row>
    <row r="1805" hidden="1">
      <c r="A1805" s="3" t="s">
        <v>6929</v>
      </c>
      <c r="B1805" s="2" t="s">
        <v>6930</v>
      </c>
      <c r="C1805" s="3" t="s">
        <v>6931</v>
      </c>
      <c r="D1805" s="2">
        <v>1.0028027568273113E-4</v>
      </c>
      <c r="E1805" s="8" t="s">
        <v>6932</v>
      </c>
      <c r="F1805" s="9" t="s">
        <v>15</v>
      </c>
      <c r="G1805" s="9" t="s">
        <v>16</v>
      </c>
      <c r="H1805" s="9" t="s">
        <v>16</v>
      </c>
      <c r="I1805" s="9"/>
      <c r="J1805" s="9"/>
      <c r="K1805" s="9"/>
    </row>
    <row r="1806" hidden="1">
      <c r="A1806" s="3" t="s">
        <v>6933</v>
      </c>
      <c r="B1806" s="2" t="s">
        <v>6934</v>
      </c>
      <c r="C1806" s="3" t="s">
        <v>6935</v>
      </c>
      <c r="D1806" s="2">
        <v>1.0028027568273113E-4</v>
      </c>
      <c r="E1806" s="8" t="s">
        <v>6936</v>
      </c>
      <c r="F1806" s="9" t="s">
        <v>15</v>
      </c>
      <c r="G1806" s="9" t="s">
        <v>16</v>
      </c>
      <c r="H1806" s="9" t="s">
        <v>16</v>
      </c>
      <c r="I1806" s="9"/>
      <c r="J1806" s="9"/>
      <c r="K1806" s="9"/>
    </row>
    <row r="1807" hidden="1">
      <c r="A1807" s="3" t="s">
        <v>6937</v>
      </c>
      <c r="B1807" s="2" t="s">
        <v>6938</v>
      </c>
      <c r="C1807" s="3" t="s">
        <v>6939</v>
      </c>
      <c r="D1807" s="2">
        <v>1.0028027568273113E-4</v>
      </c>
      <c r="E1807" s="8" t="s">
        <v>6940</v>
      </c>
      <c r="F1807" s="9" t="s">
        <v>15</v>
      </c>
      <c r="G1807" s="9" t="s">
        <v>16</v>
      </c>
      <c r="H1807" s="9" t="s">
        <v>16</v>
      </c>
      <c r="I1807" s="9"/>
      <c r="J1807" s="9"/>
      <c r="K1807" s="9"/>
    </row>
    <row r="1808" hidden="1">
      <c r="A1808" s="3" t="s">
        <v>6941</v>
      </c>
      <c r="B1808" s="2" t="s">
        <v>6942</v>
      </c>
      <c r="C1808" s="3" t="s">
        <v>6943</v>
      </c>
      <c r="D1808" s="2">
        <v>1.0028027568273113E-4</v>
      </c>
      <c r="E1808" s="8" t="s">
        <v>6944</v>
      </c>
      <c r="F1808" s="9" t="s">
        <v>15</v>
      </c>
      <c r="G1808" s="9" t="s">
        <v>16</v>
      </c>
      <c r="H1808" s="9" t="s">
        <v>16</v>
      </c>
      <c r="I1808" s="9"/>
      <c r="J1808" s="9"/>
      <c r="K1808" s="9"/>
    </row>
    <row r="1809" hidden="1">
      <c r="A1809" s="3" t="s">
        <v>6945</v>
      </c>
      <c r="B1809" s="2" t="s">
        <v>6946</v>
      </c>
      <c r="C1809" s="3"/>
      <c r="D1809" s="2">
        <v>1.0028027568273113E-4</v>
      </c>
      <c r="E1809" s="8" t="s">
        <v>6947</v>
      </c>
      <c r="F1809" s="9" t="s">
        <v>15</v>
      </c>
      <c r="G1809" s="9" t="s">
        <v>16</v>
      </c>
      <c r="H1809" s="9" t="s">
        <v>16</v>
      </c>
      <c r="I1809" s="9"/>
      <c r="J1809" s="9"/>
      <c r="K1809" s="9"/>
    </row>
    <row r="1810" hidden="1">
      <c r="A1810" s="3" t="s">
        <v>6948</v>
      </c>
      <c r="B1810" s="2" t="s">
        <v>6949</v>
      </c>
      <c r="C1810" s="3" t="s">
        <v>6950</v>
      </c>
      <c r="D1810" s="2">
        <v>1.0028027568273113E-4</v>
      </c>
      <c r="E1810" s="8" t="s">
        <v>6951</v>
      </c>
      <c r="F1810" s="9" t="s">
        <v>15</v>
      </c>
      <c r="G1810" s="9" t="s">
        <v>16</v>
      </c>
      <c r="H1810" s="9" t="s">
        <v>16</v>
      </c>
      <c r="I1810" s="9"/>
      <c r="J1810" s="9"/>
      <c r="K1810" s="9"/>
    </row>
    <row r="1811" hidden="1">
      <c r="A1811" s="3" t="s">
        <v>6952</v>
      </c>
      <c r="B1811" s="2" t="s">
        <v>6953</v>
      </c>
      <c r="C1811" s="3" t="s">
        <v>6954</v>
      </c>
      <c r="D1811" s="2">
        <v>1.0028027568273113E-4</v>
      </c>
      <c r="E1811" s="8" t="s">
        <v>6955</v>
      </c>
      <c r="F1811" s="9" t="s">
        <v>15</v>
      </c>
      <c r="G1811" s="9" t="s">
        <v>16</v>
      </c>
      <c r="H1811" s="9" t="s">
        <v>16</v>
      </c>
      <c r="I1811" s="9"/>
      <c r="J1811" s="9"/>
      <c r="K1811" s="9"/>
    </row>
    <row r="1812" hidden="1">
      <c r="A1812" s="3" t="s">
        <v>6956</v>
      </c>
      <c r="B1812" s="2" t="s">
        <v>6957</v>
      </c>
      <c r="C1812" s="3" t="s">
        <v>6958</v>
      </c>
      <c r="D1812" s="2">
        <v>1.0028027568273113E-4</v>
      </c>
      <c r="E1812" s="8" t="s">
        <v>6959</v>
      </c>
      <c r="F1812" s="9" t="s">
        <v>15</v>
      </c>
      <c r="G1812" s="9" t="s">
        <v>16</v>
      </c>
      <c r="H1812" s="9" t="s">
        <v>16</v>
      </c>
      <c r="I1812" s="9"/>
      <c r="J1812" s="9"/>
      <c r="K1812" s="9"/>
    </row>
    <row r="1813" hidden="1">
      <c r="A1813" s="3" t="s">
        <v>6960</v>
      </c>
      <c r="B1813" s="2" t="s">
        <v>6961</v>
      </c>
      <c r="C1813" s="3"/>
      <c r="D1813" s="2">
        <v>1.0028027568273113E-4</v>
      </c>
      <c r="E1813" s="8" t="s">
        <v>6962</v>
      </c>
      <c r="F1813" s="9" t="s">
        <v>15</v>
      </c>
      <c r="G1813" s="9" t="s">
        <v>16</v>
      </c>
      <c r="H1813" s="9" t="s">
        <v>16</v>
      </c>
      <c r="I1813" s="9"/>
      <c r="J1813" s="9"/>
      <c r="K1813" s="9"/>
    </row>
    <row r="1814" hidden="1">
      <c r="A1814" s="3" t="s">
        <v>6963</v>
      </c>
      <c r="B1814" s="2" t="s">
        <v>6964</v>
      </c>
      <c r="C1814" s="3" t="s">
        <v>6965</v>
      </c>
      <c r="D1814" s="2">
        <v>1.0028027568273113E-4</v>
      </c>
      <c r="E1814" s="8" t="s">
        <v>6966</v>
      </c>
      <c r="F1814" s="9" t="s">
        <v>15</v>
      </c>
      <c r="G1814" s="9" t="s">
        <v>16</v>
      </c>
      <c r="H1814" s="9" t="s">
        <v>16</v>
      </c>
      <c r="I1814" s="9"/>
      <c r="J1814" s="9"/>
      <c r="K1814" s="9"/>
    </row>
    <row r="1815" hidden="1">
      <c r="A1815" s="3" t="s">
        <v>6967</v>
      </c>
      <c r="B1815" s="2" t="s">
        <v>6968</v>
      </c>
      <c r="C1815" s="3" t="s">
        <v>6969</v>
      </c>
      <c r="D1815" s="2">
        <v>1.0028027568273113E-4</v>
      </c>
      <c r="E1815" s="8" t="s">
        <v>6970</v>
      </c>
      <c r="F1815" s="9" t="s">
        <v>15</v>
      </c>
      <c r="G1815" s="9" t="s">
        <v>16</v>
      </c>
      <c r="H1815" s="9" t="s">
        <v>16</v>
      </c>
      <c r="I1815" s="9"/>
      <c r="J1815" s="9"/>
      <c r="K1815" s="9"/>
    </row>
    <row r="1816" hidden="1">
      <c r="A1816" s="3" t="s">
        <v>6971</v>
      </c>
      <c r="B1816" s="2" t="s">
        <v>6972</v>
      </c>
      <c r="C1816" s="3" t="s">
        <v>6973</v>
      </c>
      <c r="D1816" s="2">
        <v>1.0028027568273113E-4</v>
      </c>
      <c r="E1816" s="8" t="s">
        <v>6974</v>
      </c>
      <c r="F1816" s="9" t="s">
        <v>15</v>
      </c>
      <c r="G1816" s="9" t="s">
        <v>16</v>
      </c>
      <c r="H1816" s="9" t="s">
        <v>16</v>
      </c>
      <c r="I1816" s="9"/>
      <c r="J1816" s="9"/>
      <c r="K1816" s="9"/>
    </row>
    <row r="1817" hidden="1">
      <c r="A1817" s="3" t="s">
        <v>6975</v>
      </c>
      <c r="B1817" s="2" t="s">
        <v>6976</v>
      </c>
      <c r="C1817" s="3" t="s">
        <v>6977</v>
      </c>
      <c r="D1817" s="2">
        <v>1.0028027568273113E-4</v>
      </c>
      <c r="E1817" s="8" t="s">
        <v>6978</v>
      </c>
      <c r="F1817" s="9" t="s">
        <v>15</v>
      </c>
      <c r="G1817" s="9" t="s">
        <v>16</v>
      </c>
      <c r="H1817" s="9" t="s">
        <v>16</v>
      </c>
      <c r="I1817" s="9"/>
      <c r="J1817" s="9"/>
      <c r="K1817" s="9"/>
    </row>
    <row r="1818" hidden="1">
      <c r="A1818" s="3" t="s">
        <v>6979</v>
      </c>
      <c r="B1818" s="2" t="s">
        <v>6980</v>
      </c>
      <c r="C1818" s="3" t="s">
        <v>6981</v>
      </c>
      <c r="D1818" s="2">
        <v>1.0028027568273113E-4</v>
      </c>
      <c r="E1818" s="8" t="s">
        <v>6982</v>
      </c>
      <c r="F1818" s="9" t="s">
        <v>15</v>
      </c>
      <c r="G1818" s="9" t="s">
        <v>16</v>
      </c>
      <c r="H1818" s="9" t="s">
        <v>16</v>
      </c>
      <c r="I1818" s="9"/>
      <c r="J1818" s="9"/>
      <c r="K1818" s="9"/>
    </row>
    <row r="1819" hidden="1">
      <c r="A1819" s="3" t="s">
        <v>6983</v>
      </c>
      <c r="B1819" s="2" t="s">
        <v>6984</v>
      </c>
      <c r="C1819" s="3" t="s">
        <v>6985</v>
      </c>
      <c r="D1819" s="2">
        <v>1.0028027568273113E-4</v>
      </c>
      <c r="E1819" s="8" t="s">
        <v>6986</v>
      </c>
      <c r="F1819" s="9" t="s">
        <v>15</v>
      </c>
      <c r="G1819" s="9" t="s">
        <v>16</v>
      </c>
      <c r="H1819" s="9" t="s">
        <v>16</v>
      </c>
      <c r="I1819" s="9"/>
      <c r="J1819" s="9"/>
      <c r="K1819" s="9"/>
    </row>
    <row r="1820" hidden="1">
      <c r="A1820" s="3" t="s">
        <v>6987</v>
      </c>
      <c r="B1820" s="2" t="s">
        <v>6988</v>
      </c>
      <c r="C1820" s="3" t="s">
        <v>6989</v>
      </c>
      <c r="D1820" s="2">
        <v>1.0028027568273113E-4</v>
      </c>
      <c r="E1820" s="8" t="s">
        <v>6990</v>
      </c>
      <c r="F1820" s="9" t="s">
        <v>15</v>
      </c>
      <c r="G1820" s="9" t="s">
        <v>16</v>
      </c>
      <c r="H1820" s="9" t="s">
        <v>16</v>
      </c>
      <c r="I1820" s="9"/>
      <c r="J1820" s="9"/>
      <c r="K1820" s="9"/>
    </row>
    <row r="1821" hidden="1">
      <c r="A1821" s="3" t="s">
        <v>6991</v>
      </c>
      <c r="B1821" s="2" t="s">
        <v>6992</v>
      </c>
      <c r="C1821" s="3" t="s">
        <v>6993</v>
      </c>
      <c r="D1821" s="2">
        <v>1.0028027568273113E-4</v>
      </c>
      <c r="E1821" s="8" t="s">
        <v>4504</v>
      </c>
      <c r="F1821" s="9" t="s">
        <v>15</v>
      </c>
      <c r="G1821" s="9" t="s">
        <v>16</v>
      </c>
      <c r="H1821" s="9" t="s">
        <v>16</v>
      </c>
      <c r="I1821" s="9"/>
      <c r="J1821" s="9"/>
      <c r="K1821" s="9"/>
    </row>
    <row r="1822" hidden="1">
      <c r="A1822" s="3" t="s">
        <v>6994</v>
      </c>
      <c r="B1822" s="2" t="s">
        <v>6995</v>
      </c>
      <c r="C1822" s="3" t="s">
        <v>6996</v>
      </c>
      <c r="D1822" s="2">
        <v>1.0028027568273113E-4</v>
      </c>
      <c r="E1822" s="8" t="s">
        <v>6986</v>
      </c>
      <c r="F1822" s="9" t="s">
        <v>15</v>
      </c>
      <c r="G1822" s="9" t="s">
        <v>16</v>
      </c>
      <c r="H1822" s="9" t="s">
        <v>16</v>
      </c>
      <c r="I1822" s="9"/>
      <c r="J1822" s="9"/>
      <c r="K1822" s="9"/>
    </row>
    <row r="1823" hidden="1">
      <c r="A1823" s="3" t="s">
        <v>6997</v>
      </c>
      <c r="B1823" s="2" t="s">
        <v>6998</v>
      </c>
      <c r="C1823" s="3" t="s">
        <v>6999</v>
      </c>
      <c r="D1823" s="2">
        <v>1.0028027568273113E-4</v>
      </c>
      <c r="E1823" s="8" t="s">
        <v>7000</v>
      </c>
      <c r="F1823" s="9" t="s">
        <v>15</v>
      </c>
      <c r="G1823" s="9" t="s">
        <v>16</v>
      </c>
      <c r="H1823" s="9" t="s">
        <v>16</v>
      </c>
      <c r="I1823" s="9"/>
      <c r="J1823" s="9"/>
      <c r="K1823" s="9"/>
    </row>
    <row r="1824" hidden="1">
      <c r="A1824" s="3" t="s">
        <v>7001</v>
      </c>
      <c r="B1824" s="2" t="s">
        <v>7002</v>
      </c>
      <c r="C1824" s="3" t="s">
        <v>7003</v>
      </c>
      <c r="D1824" s="2">
        <v>1.0028027568273113E-4</v>
      </c>
      <c r="E1824" s="8" t="s">
        <v>7004</v>
      </c>
      <c r="F1824" s="9" t="s">
        <v>15</v>
      </c>
      <c r="G1824" s="9" t="s">
        <v>16</v>
      </c>
      <c r="H1824" s="9" t="s">
        <v>16</v>
      </c>
      <c r="I1824" s="9"/>
      <c r="J1824" s="9"/>
      <c r="K1824" s="9"/>
    </row>
    <row r="1825" hidden="1">
      <c r="A1825" s="3" t="s">
        <v>7005</v>
      </c>
      <c r="B1825" s="2" t="s">
        <v>7006</v>
      </c>
      <c r="C1825" s="3" t="s">
        <v>7007</v>
      </c>
      <c r="D1825" s="2">
        <v>1.0028027568273113E-4</v>
      </c>
      <c r="E1825" s="8" t="s">
        <v>7008</v>
      </c>
      <c r="F1825" s="9" t="s">
        <v>15</v>
      </c>
      <c r="G1825" s="9" t="s">
        <v>16</v>
      </c>
      <c r="H1825" s="9" t="s">
        <v>16</v>
      </c>
      <c r="I1825" s="9"/>
      <c r="J1825" s="9"/>
      <c r="K1825" s="9"/>
    </row>
    <row r="1826" hidden="1">
      <c r="A1826" s="3" t="s">
        <v>7009</v>
      </c>
      <c r="B1826" s="2" t="s">
        <v>7010</v>
      </c>
      <c r="C1826" s="3" t="s">
        <v>7011</v>
      </c>
      <c r="D1826" s="2">
        <v>1.0028027568273113E-4</v>
      </c>
      <c r="E1826" s="8" t="s">
        <v>7012</v>
      </c>
      <c r="F1826" s="9" t="s">
        <v>15</v>
      </c>
      <c r="G1826" s="9" t="s">
        <v>16</v>
      </c>
      <c r="H1826" s="9" t="s">
        <v>16</v>
      </c>
      <c r="I1826" s="9"/>
      <c r="J1826" s="9"/>
      <c r="K1826" s="9"/>
    </row>
    <row r="1827" hidden="1">
      <c r="A1827" s="3" t="s">
        <v>7013</v>
      </c>
      <c r="B1827" s="2" t="s">
        <v>7014</v>
      </c>
      <c r="C1827" s="3" t="s">
        <v>7015</v>
      </c>
      <c r="D1827" s="2">
        <v>1.0028027568273113E-4</v>
      </c>
      <c r="E1827" s="8" t="s">
        <v>7016</v>
      </c>
      <c r="F1827" s="9" t="s">
        <v>15</v>
      </c>
      <c r="G1827" s="9" t="s">
        <v>16</v>
      </c>
      <c r="H1827" s="9" t="s">
        <v>16</v>
      </c>
      <c r="I1827" s="9"/>
      <c r="J1827" s="9"/>
      <c r="K1827" s="9"/>
    </row>
    <row r="1828" hidden="1">
      <c r="A1828" s="3" t="s">
        <v>7017</v>
      </c>
      <c r="B1828" s="2" t="s">
        <v>7018</v>
      </c>
      <c r="C1828" s="3" t="s">
        <v>7019</v>
      </c>
      <c r="D1828" s="2">
        <v>1.0028027568273113E-4</v>
      </c>
      <c r="E1828" s="8" t="s">
        <v>7020</v>
      </c>
      <c r="F1828" s="9" t="s">
        <v>15</v>
      </c>
      <c r="G1828" s="9" t="s">
        <v>16</v>
      </c>
      <c r="H1828" s="9" t="s">
        <v>16</v>
      </c>
      <c r="I1828" s="9"/>
      <c r="J1828" s="9"/>
      <c r="K1828" s="9"/>
    </row>
    <row r="1829" hidden="1">
      <c r="A1829" s="3" t="s">
        <v>7021</v>
      </c>
      <c r="B1829" s="2" t="s">
        <v>7022</v>
      </c>
      <c r="C1829" s="3" t="s">
        <v>7023</v>
      </c>
      <c r="D1829" s="2">
        <v>1.0028027568273113E-4</v>
      </c>
      <c r="E1829" s="8" t="s">
        <v>7024</v>
      </c>
      <c r="F1829" s="9" t="s">
        <v>15</v>
      </c>
      <c r="G1829" s="9" t="s">
        <v>16</v>
      </c>
      <c r="H1829" s="9" t="s">
        <v>16</v>
      </c>
      <c r="I1829" s="9"/>
      <c r="J1829" s="9"/>
      <c r="K1829" s="9"/>
    </row>
    <row r="1830" hidden="1">
      <c r="A1830" s="3" t="s">
        <v>7025</v>
      </c>
      <c r="B1830" s="2" t="s">
        <v>7026</v>
      </c>
      <c r="C1830" s="3" t="s">
        <v>7027</v>
      </c>
      <c r="D1830" s="2">
        <v>1.0028027568273113E-4</v>
      </c>
      <c r="E1830" s="8" t="s">
        <v>4821</v>
      </c>
      <c r="F1830" s="9" t="s">
        <v>15</v>
      </c>
      <c r="G1830" s="9" t="s">
        <v>16</v>
      </c>
      <c r="H1830" s="9" t="s">
        <v>16</v>
      </c>
      <c r="I1830" s="9"/>
      <c r="J1830" s="9"/>
      <c r="K1830" s="9"/>
    </row>
    <row r="1831" hidden="1">
      <c r="A1831" s="3" t="s">
        <v>7028</v>
      </c>
      <c r="B1831" s="2" t="s">
        <v>7029</v>
      </c>
      <c r="C1831" s="3" t="s">
        <v>7030</v>
      </c>
      <c r="D1831" s="2">
        <v>1.0028027568273113E-4</v>
      </c>
      <c r="E1831" s="8" t="s">
        <v>2023</v>
      </c>
      <c r="F1831" s="9" t="s">
        <v>15</v>
      </c>
      <c r="G1831" s="9" t="s">
        <v>16</v>
      </c>
      <c r="H1831" s="9" t="s">
        <v>16</v>
      </c>
      <c r="I1831" s="9"/>
      <c r="J1831" s="9"/>
      <c r="K1831" s="9"/>
    </row>
    <row r="1832" hidden="1">
      <c r="A1832" s="3" t="s">
        <v>7031</v>
      </c>
      <c r="B1832" s="2" t="s">
        <v>7032</v>
      </c>
      <c r="C1832" s="3"/>
      <c r="D1832" s="2">
        <v>1.0028027568273113E-4</v>
      </c>
      <c r="E1832" s="8" t="s">
        <v>3240</v>
      </c>
      <c r="F1832" s="9" t="s">
        <v>15</v>
      </c>
      <c r="G1832" s="9" t="s">
        <v>16</v>
      </c>
      <c r="H1832" s="9" t="s">
        <v>16</v>
      </c>
      <c r="I1832" s="9"/>
      <c r="J1832" s="9"/>
      <c r="K1832" s="9"/>
    </row>
    <row r="1833" hidden="1">
      <c r="A1833" s="3" t="s">
        <v>7033</v>
      </c>
      <c r="B1833" s="2" t="s">
        <v>7034</v>
      </c>
      <c r="C1833" s="3" t="s">
        <v>7035</v>
      </c>
      <c r="D1833" s="2">
        <v>1.0028027568273113E-4</v>
      </c>
      <c r="E1833" s="8" t="s">
        <v>2955</v>
      </c>
      <c r="F1833" s="9" t="s">
        <v>15</v>
      </c>
      <c r="G1833" s="9" t="s">
        <v>16</v>
      </c>
      <c r="H1833" s="9" t="s">
        <v>16</v>
      </c>
      <c r="I1833" s="9"/>
      <c r="J1833" s="9"/>
      <c r="K1833" s="9"/>
    </row>
    <row r="1834" hidden="1">
      <c r="A1834" s="3" t="s">
        <v>7036</v>
      </c>
      <c r="B1834" s="2" t="s">
        <v>7037</v>
      </c>
      <c r="C1834" s="3" t="s">
        <v>7038</v>
      </c>
      <c r="D1834" s="2">
        <v>1.0028027568273113E-4</v>
      </c>
      <c r="E1834" s="8" t="s">
        <v>7039</v>
      </c>
      <c r="F1834" s="9" t="s">
        <v>15</v>
      </c>
      <c r="G1834" s="9" t="s">
        <v>16</v>
      </c>
      <c r="H1834" s="9" t="s">
        <v>16</v>
      </c>
      <c r="I1834" s="9"/>
      <c r="J1834" s="9"/>
      <c r="K1834" s="9"/>
    </row>
    <row r="1835" hidden="1">
      <c r="A1835" s="3" t="s">
        <v>7040</v>
      </c>
      <c r="B1835" s="2" t="s">
        <v>7041</v>
      </c>
      <c r="C1835" s="3" t="s">
        <v>7042</v>
      </c>
      <c r="D1835" s="2">
        <v>1.0028027568273113E-4</v>
      </c>
      <c r="E1835" s="8" t="s">
        <v>7043</v>
      </c>
      <c r="F1835" s="9" t="s">
        <v>15</v>
      </c>
      <c r="G1835" s="9" t="s">
        <v>16</v>
      </c>
      <c r="H1835" s="9" t="s">
        <v>16</v>
      </c>
      <c r="I1835" s="9"/>
      <c r="J1835" s="9"/>
      <c r="K1835" s="9"/>
    </row>
    <row r="1836" hidden="1">
      <c r="A1836" s="3" t="s">
        <v>7044</v>
      </c>
      <c r="B1836" s="2" t="s">
        <v>7045</v>
      </c>
      <c r="C1836" s="3" t="s">
        <v>7046</v>
      </c>
      <c r="D1836" s="2">
        <v>1.0028027568273113E-4</v>
      </c>
      <c r="E1836" s="8" t="s">
        <v>7047</v>
      </c>
      <c r="F1836" s="9" t="s">
        <v>15</v>
      </c>
      <c r="G1836" s="9" t="s">
        <v>16</v>
      </c>
      <c r="H1836" s="9" t="s">
        <v>16</v>
      </c>
      <c r="I1836" s="9"/>
      <c r="J1836" s="9"/>
      <c r="K1836" s="9"/>
    </row>
    <row r="1837" hidden="1">
      <c r="A1837" s="3" t="s">
        <v>7048</v>
      </c>
      <c r="B1837" s="2" t="s">
        <v>7049</v>
      </c>
      <c r="C1837" s="3" t="s">
        <v>7050</v>
      </c>
      <c r="D1837" s="2">
        <v>1.0028027568273113E-4</v>
      </c>
      <c r="E1837" s="8" t="s">
        <v>2450</v>
      </c>
      <c r="F1837" s="9" t="s">
        <v>15</v>
      </c>
      <c r="G1837" s="9" t="s">
        <v>16</v>
      </c>
      <c r="H1837" s="9" t="s">
        <v>16</v>
      </c>
      <c r="I1837" s="9"/>
      <c r="J1837" s="9"/>
      <c r="K1837" s="9"/>
    </row>
    <row r="1838" hidden="1">
      <c r="A1838" s="3" t="s">
        <v>7051</v>
      </c>
      <c r="B1838" s="2" t="s">
        <v>7052</v>
      </c>
      <c r="C1838" s="3" t="s">
        <v>7053</v>
      </c>
      <c r="D1838" s="2">
        <v>1.0028027568273113E-4</v>
      </c>
      <c r="E1838" s="8" t="s">
        <v>317</v>
      </c>
      <c r="F1838" s="9" t="s">
        <v>15</v>
      </c>
      <c r="G1838" s="9" t="s">
        <v>16</v>
      </c>
      <c r="H1838" s="9" t="s">
        <v>16</v>
      </c>
      <c r="I1838" s="9"/>
      <c r="J1838" s="9"/>
      <c r="K1838" s="9"/>
    </row>
    <row r="1839" hidden="1">
      <c r="A1839" s="3" t="s">
        <v>4264</v>
      </c>
      <c r="B1839" s="2" t="s">
        <v>7054</v>
      </c>
      <c r="C1839" s="3" t="s">
        <v>7055</v>
      </c>
      <c r="D1839" s="2">
        <v>1.0028027568273113E-4</v>
      </c>
      <c r="E1839" s="8" t="s">
        <v>7056</v>
      </c>
      <c r="F1839" s="9" t="s">
        <v>15</v>
      </c>
      <c r="G1839" s="9" t="s">
        <v>16</v>
      </c>
      <c r="H1839" s="9" t="s">
        <v>16</v>
      </c>
      <c r="I1839" s="9"/>
      <c r="J1839" s="9"/>
      <c r="K1839" s="9"/>
    </row>
    <row r="1840" hidden="1">
      <c r="A1840" s="3" t="s">
        <v>7057</v>
      </c>
      <c r="B1840" s="2" t="s">
        <v>7058</v>
      </c>
      <c r="C1840" s="3" t="s">
        <v>7059</v>
      </c>
      <c r="D1840" s="2">
        <v>1.0028027568273113E-4</v>
      </c>
      <c r="E1840" s="8" t="s">
        <v>7060</v>
      </c>
      <c r="F1840" s="9" t="s">
        <v>15</v>
      </c>
      <c r="G1840" s="9" t="s">
        <v>16</v>
      </c>
      <c r="H1840" s="9" t="s">
        <v>16</v>
      </c>
      <c r="I1840" s="9"/>
      <c r="J1840" s="9"/>
      <c r="K1840" s="9"/>
    </row>
    <row r="1841" hidden="1">
      <c r="A1841" s="3" t="s">
        <v>7061</v>
      </c>
      <c r="B1841" s="2" t="s">
        <v>7062</v>
      </c>
      <c r="C1841" s="3" t="s">
        <v>7063</v>
      </c>
      <c r="D1841" s="2">
        <v>1.0028027568273113E-4</v>
      </c>
      <c r="E1841" s="8" t="s">
        <v>7064</v>
      </c>
      <c r="F1841" s="9" t="s">
        <v>15</v>
      </c>
      <c r="G1841" s="9" t="s">
        <v>16</v>
      </c>
      <c r="H1841" s="9" t="s">
        <v>16</v>
      </c>
      <c r="I1841" s="9"/>
      <c r="J1841" s="9"/>
      <c r="K1841" s="9"/>
    </row>
    <row r="1842" hidden="1">
      <c r="A1842" s="3" t="s">
        <v>7065</v>
      </c>
      <c r="B1842" s="2" t="s">
        <v>7066</v>
      </c>
      <c r="C1842" s="3" t="s">
        <v>7067</v>
      </c>
      <c r="D1842" s="2">
        <v>1.0028027568273113E-4</v>
      </c>
      <c r="E1842" s="8" t="s">
        <v>7068</v>
      </c>
      <c r="F1842" s="9" t="s">
        <v>15</v>
      </c>
      <c r="G1842" s="9" t="s">
        <v>16</v>
      </c>
      <c r="H1842" s="9" t="s">
        <v>16</v>
      </c>
      <c r="I1842" s="9"/>
      <c r="J1842" s="9"/>
      <c r="K1842" s="9"/>
    </row>
    <row r="1843" hidden="1">
      <c r="A1843" s="3" t="s">
        <v>7069</v>
      </c>
      <c r="B1843" s="2" t="s">
        <v>7070</v>
      </c>
      <c r="C1843" s="3"/>
      <c r="D1843" s="2">
        <v>1.0028027568273113E-4</v>
      </c>
      <c r="E1843" s="8" t="s">
        <v>7071</v>
      </c>
      <c r="F1843" s="9" t="s">
        <v>15</v>
      </c>
      <c r="G1843" s="9" t="s">
        <v>16</v>
      </c>
      <c r="H1843" s="9" t="s">
        <v>16</v>
      </c>
      <c r="I1843" s="9"/>
      <c r="J1843" s="9"/>
      <c r="K1843" s="9"/>
    </row>
    <row r="1844" hidden="1">
      <c r="A1844" s="3" t="s">
        <v>7072</v>
      </c>
      <c r="B1844" s="2" t="s">
        <v>7073</v>
      </c>
      <c r="C1844" s="3"/>
      <c r="D1844" s="2">
        <v>1.0028027568273113E-4</v>
      </c>
      <c r="E1844" s="8" t="s">
        <v>7074</v>
      </c>
      <c r="F1844" s="9" t="s">
        <v>15</v>
      </c>
      <c r="G1844" s="9" t="s">
        <v>16</v>
      </c>
      <c r="H1844" s="9" t="s">
        <v>16</v>
      </c>
      <c r="I1844" s="9"/>
      <c r="J1844" s="9"/>
      <c r="K1844" s="9"/>
    </row>
    <row r="1845" hidden="1">
      <c r="A1845" s="3" t="s">
        <v>7075</v>
      </c>
      <c r="B1845" s="2" t="s">
        <v>7076</v>
      </c>
      <c r="C1845" s="3" t="s">
        <v>7077</v>
      </c>
      <c r="D1845" s="2">
        <v>1.0028027568273113E-4</v>
      </c>
      <c r="E1845" s="8" t="s">
        <v>7078</v>
      </c>
      <c r="F1845" s="9" t="s">
        <v>15</v>
      </c>
      <c r="G1845" s="9" t="s">
        <v>16</v>
      </c>
      <c r="H1845" s="9" t="s">
        <v>16</v>
      </c>
      <c r="I1845" s="9"/>
      <c r="J1845" s="9"/>
      <c r="K1845" s="9"/>
    </row>
    <row r="1846" hidden="1">
      <c r="A1846" s="3" t="s">
        <v>7079</v>
      </c>
      <c r="B1846" s="2" t="s">
        <v>7080</v>
      </c>
      <c r="C1846" s="3" t="s">
        <v>7081</v>
      </c>
      <c r="D1846" s="2">
        <v>1.0028027568273113E-4</v>
      </c>
      <c r="E1846" s="8" t="s">
        <v>4013</v>
      </c>
      <c r="F1846" s="9" t="s">
        <v>15</v>
      </c>
      <c r="G1846" s="9" t="s">
        <v>16</v>
      </c>
      <c r="H1846" s="9" t="s">
        <v>16</v>
      </c>
      <c r="I1846" s="9"/>
      <c r="J1846" s="9"/>
      <c r="K1846" s="9"/>
    </row>
    <row r="1847" hidden="1">
      <c r="A1847" s="3" t="s">
        <v>7082</v>
      </c>
      <c r="B1847" s="2" t="s">
        <v>7083</v>
      </c>
      <c r="C1847" s="3" t="s">
        <v>7084</v>
      </c>
      <c r="D1847" s="2">
        <v>1.0028027568273113E-4</v>
      </c>
      <c r="E1847" s="8" t="s">
        <v>7085</v>
      </c>
      <c r="F1847" s="9" t="s">
        <v>15</v>
      </c>
      <c r="G1847" s="9" t="s">
        <v>16</v>
      </c>
      <c r="H1847" s="9" t="s">
        <v>16</v>
      </c>
      <c r="I1847" s="9"/>
      <c r="J1847" s="9"/>
      <c r="K1847" s="9"/>
    </row>
    <row r="1848" hidden="1">
      <c r="A1848" s="3" t="s">
        <v>7086</v>
      </c>
      <c r="B1848" s="2" t="s">
        <v>7087</v>
      </c>
      <c r="C1848" s="3" t="s">
        <v>7088</v>
      </c>
      <c r="D1848" s="2">
        <v>1.0028027568273113E-4</v>
      </c>
      <c r="E1848" s="8" t="s">
        <v>4374</v>
      </c>
      <c r="F1848" s="9" t="s">
        <v>15</v>
      </c>
      <c r="G1848" s="9" t="s">
        <v>16</v>
      </c>
      <c r="H1848" s="9" t="s">
        <v>16</v>
      </c>
      <c r="I1848" s="9"/>
      <c r="J1848" s="9"/>
      <c r="K1848" s="9"/>
    </row>
    <row r="1849" hidden="1">
      <c r="A1849" s="3" t="s">
        <v>7089</v>
      </c>
      <c r="B1849" s="2" t="s">
        <v>7090</v>
      </c>
      <c r="C1849" s="3" t="s">
        <v>7091</v>
      </c>
      <c r="D1849" s="2">
        <v>1.0028027568273113E-4</v>
      </c>
      <c r="E1849" s="8" t="s">
        <v>7092</v>
      </c>
      <c r="F1849" s="9" t="s">
        <v>15</v>
      </c>
      <c r="G1849" s="9" t="s">
        <v>16</v>
      </c>
      <c r="H1849" s="9" t="s">
        <v>16</v>
      </c>
      <c r="I1849" s="9"/>
      <c r="J1849" s="9"/>
      <c r="K1849" s="9"/>
    </row>
    <row r="1850" hidden="1">
      <c r="A1850" s="3" t="s">
        <v>7093</v>
      </c>
      <c r="B1850" s="2" t="s">
        <v>7094</v>
      </c>
      <c r="C1850" s="3" t="s">
        <v>7095</v>
      </c>
      <c r="D1850" s="2">
        <v>1.0028027568273113E-4</v>
      </c>
      <c r="E1850" s="8" t="s">
        <v>7096</v>
      </c>
      <c r="F1850" s="9" t="s">
        <v>15</v>
      </c>
      <c r="G1850" s="9" t="s">
        <v>16</v>
      </c>
      <c r="H1850" s="9" t="s">
        <v>16</v>
      </c>
      <c r="I1850" s="9"/>
      <c r="J1850" s="9"/>
      <c r="K1850" s="9"/>
    </row>
    <row r="1851" hidden="1">
      <c r="A1851" s="3" t="s">
        <v>7097</v>
      </c>
      <c r="B1851" s="2" t="s">
        <v>7098</v>
      </c>
      <c r="C1851" s="3" t="s">
        <v>7099</v>
      </c>
      <c r="D1851" s="2">
        <v>1.0028027568273113E-4</v>
      </c>
      <c r="E1851" s="8" t="s">
        <v>822</v>
      </c>
      <c r="F1851" s="9" t="s">
        <v>15</v>
      </c>
      <c r="G1851" s="9" t="s">
        <v>16</v>
      </c>
      <c r="H1851" s="9" t="s">
        <v>16</v>
      </c>
      <c r="I1851" s="9"/>
      <c r="J1851" s="9"/>
      <c r="K1851" s="9"/>
    </row>
    <row r="1852" hidden="1">
      <c r="A1852" s="3" t="s">
        <v>7100</v>
      </c>
      <c r="B1852" s="2" t="s">
        <v>7101</v>
      </c>
      <c r="C1852" s="3" t="s">
        <v>7102</v>
      </c>
      <c r="D1852" s="2">
        <v>1.0028027568273113E-4</v>
      </c>
      <c r="E1852" s="8" t="s">
        <v>4669</v>
      </c>
      <c r="F1852" s="9" t="s">
        <v>15</v>
      </c>
      <c r="G1852" s="9" t="s">
        <v>16</v>
      </c>
      <c r="H1852" s="9" t="s">
        <v>16</v>
      </c>
      <c r="I1852" s="9"/>
      <c r="J1852" s="9"/>
      <c r="K1852" s="9"/>
    </row>
    <row r="1853" hidden="1">
      <c r="A1853" s="3" t="s">
        <v>7103</v>
      </c>
      <c r="B1853" s="2" t="s">
        <v>7104</v>
      </c>
      <c r="C1853" s="3" t="s">
        <v>7105</v>
      </c>
      <c r="D1853" s="2">
        <v>1.0028027568273113E-4</v>
      </c>
      <c r="E1853" s="8" t="s">
        <v>7106</v>
      </c>
      <c r="F1853" s="9" t="s">
        <v>15</v>
      </c>
      <c r="G1853" s="9" t="s">
        <v>16</v>
      </c>
      <c r="H1853" s="9" t="s">
        <v>16</v>
      </c>
      <c r="I1853" s="9"/>
      <c r="J1853" s="9"/>
      <c r="K1853" s="9"/>
    </row>
    <row r="1854" hidden="1">
      <c r="A1854" s="3" t="s">
        <v>7107</v>
      </c>
      <c r="B1854" s="2" t="s">
        <v>7108</v>
      </c>
      <c r="C1854" s="3" t="s">
        <v>7109</v>
      </c>
      <c r="D1854" s="2">
        <v>1.0028027568273113E-4</v>
      </c>
      <c r="E1854" s="8" t="s">
        <v>7110</v>
      </c>
      <c r="F1854" s="9" t="s">
        <v>15</v>
      </c>
      <c r="G1854" s="9" t="s">
        <v>16</v>
      </c>
      <c r="H1854" s="9" t="s">
        <v>16</v>
      </c>
      <c r="I1854" s="9"/>
      <c r="J1854" s="9"/>
      <c r="K1854" s="9"/>
    </row>
    <row r="1855" hidden="1">
      <c r="A1855" s="3" t="s">
        <v>7111</v>
      </c>
      <c r="B1855" s="2" t="s">
        <v>7112</v>
      </c>
      <c r="C1855" s="3"/>
      <c r="D1855" s="2">
        <v>1.0028027568273113E-4</v>
      </c>
      <c r="E1855" s="8" t="s">
        <v>7113</v>
      </c>
      <c r="F1855" s="9" t="s">
        <v>15</v>
      </c>
      <c r="G1855" s="9" t="s">
        <v>16</v>
      </c>
      <c r="H1855" s="9" t="s">
        <v>16</v>
      </c>
      <c r="I1855" s="9"/>
      <c r="J1855" s="9"/>
      <c r="K1855" s="9"/>
    </row>
    <row r="1856" hidden="1">
      <c r="A1856" s="3" t="s">
        <v>7114</v>
      </c>
      <c r="B1856" s="2" t="s">
        <v>7115</v>
      </c>
      <c r="C1856" s="3" t="s">
        <v>7116</v>
      </c>
      <c r="D1856" s="2">
        <v>1.0028027568273113E-4</v>
      </c>
      <c r="E1856" s="8" t="s">
        <v>3275</v>
      </c>
      <c r="F1856" s="9" t="s">
        <v>15</v>
      </c>
      <c r="G1856" s="9" t="s">
        <v>16</v>
      </c>
      <c r="H1856" s="9" t="s">
        <v>16</v>
      </c>
      <c r="I1856" s="9"/>
      <c r="J1856" s="9"/>
      <c r="K1856" s="9"/>
    </row>
    <row r="1857" hidden="1">
      <c r="A1857" s="3" t="s">
        <v>7117</v>
      </c>
      <c r="B1857" s="2" t="s">
        <v>7118</v>
      </c>
      <c r="C1857" s="3" t="s">
        <v>7119</v>
      </c>
      <c r="D1857" s="2">
        <v>1.0028027568273113E-4</v>
      </c>
      <c r="E1857" s="8" t="s">
        <v>7120</v>
      </c>
      <c r="F1857" s="9" t="s">
        <v>15</v>
      </c>
      <c r="G1857" s="9" t="s">
        <v>16</v>
      </c>
      <c r="H1857" s="9" t="s">
        <v>16</v>
      </c>
      <c r="I1857" s="9"/>
      <c r="J1857" s="9"/>
      <c r="K1857" s="9"/>
    </row>
    <row r="1858" hidden="1">
      <c r="A1858" s="3" t="s">
        <v>7121</v>
      </c>
      <c r="B1858" s="2" t="s">
        <v>7122</v>
      </c>
      <c r="C1858" s="3" t="s">
        <v>7123</v>
      </c>
      <c r="D1858" s="2">
        <v>1.0028027568273113E-4</v>
      </c>
      <c r="E1858" s="8" t="s">
        <v>7124</v>
      </c>
      <c r="F1858" s="9" t="s">
        <v>15</v>
      </c>
      <c r="G1858" s="9" t="s">
        <v>16</v>
      </c>
      <c r="H1858" s="9" t="s">
        <v>16</v>
      </c>
      <c r="I1858" s="9"/>
      <c r="J1858" s="9"/>
      <c r="K1858" s="9"/>
    </row>
    <row r="1859" hidden="1">
      <c r="A1859" s="3" t="s">
        <v>7125</v>
      </c>
      <c r="B1859" s="2" t="s">
        <v>7126</v>
      </c>
      <c r="C1859" s="3" t="s">
        <v>7127</v>
      </c>
      <c r="D1859" s="2">
        <v>1.0028027568273113E-4</v>
      </c>
      <c r="E1859" s="8" t="s">
        <v>7128</v>
      </c>
      <c r="F1859" s="9" t="s">
        <v>15</v>
      </c>
      <c r="G1859" s="9" t="s">
        <v>16</v>
      </c>
      <c r="H1859" s="9" t="s">
        <v>16</v>
      </c>
      <c r="I1859" s="9"/>
      <c r="J1859" s="9"/>
      <c r="K1859" s="9"/>
    </row>
    <row r="1860" hidden="1">
      <c r="A1860" s="3" t="s">
        <v>7129</v>
      </c>
      <c r="B1860" s="2" t="s">
        <v>7130</v>
      </c>
      <c r="C1860" s="3" t="s">
        <v>7131</v>
      </c>
      <c r="D1860" s="2">
        <v>1.0028027568273113E-4</v>
      </c>
      <c r="E1860" s="8" t="s">
        <v>7132</v>
      </c>
      <c r="F1860" s="9" t="s">
        <v>15</v>
      </c>
      <c r="G1860" s="9" t="s">
        <v>16</v>
      </c>
      <c r="H1860" s="9" t="s">
        <v>16</v>
      </c>
      <c r="I1860" s="9"/>
      <c r="J1860" s="9"/>
      <c r="K1860" s="9"/>
    </row>
    <row r="1861" hidden="1">
      <c r="A1861" s="3" t="s">
        <v>7133</v>
      </c>
      <c r="B1861" s="2" t="s">
        <v>7134</v>
      </c>
      <c r="C1861" s="3" t="s">
        <v>7135</v>
      </c>
      <c r="D1861" s="2">
        <v>1.0028027568273113E-4</v>
      </c>
      <c r="E1861" s="8" t="s">
        <v>6149</v>
      </c>
      <c r="F1861" s="9" t="s">
        <v>15</v>
      </c>
      <c r="G1861" s="9" t="s">
        <v>16</v>
      </c>
      <c r="H1861" s="9" t="s">
        <v>16</v>
      </c>
      <c r="I1861" s="9"/>
      <c r="J1861" s="9"/>
      <c r="K1861" s="9"/>
    </row>
    <row r="1862" hidden="1">
      <c r="A1862" s="3" t="s">
        <v>7136</v>
      </c>
      <c r="B1862" s="2" t="s">
        <v>7137</v>
      </c>
      <c r="C1862" s="3" t="s">
        <v>7138</v>
      </c>
      <c r="D1862" s="2">
        <v>1.0028027568273113E-4</v>
      </c>
      <c r="E1862" s="8" t="s">
        <v>3350</v>
      </c>
      <c r="F1862" s="9" t="s">
        <v>15</v>
      </c>
      <c r="G1862" s="9" t="s">
        <v>16</v>
      </c>
      <c r="H1862" s="9" t="s">
        <v>16</v>
      </c>
      <c r="I1862" s="9"/>
      <c r="J1862" s="9"/>
      <c r="K1862" s="9"/>
    </row>
    <row r="1863" hidden="1">
      <c r="A1863" s="3" t="s">
        <v>7139</v>
      </c>
      <c r="B1863" s="2" t="s">
        <v>7140</v>
      </c>
      <c r="C1863" s="3" t="s">
        <v>7141</v>
      </c>
      <c r="D1863" s="2">
        <v>1.0028027568273113E-4</v>
      </c>
      <c r="E1863" s="8" t="s">
        <v>7142</v>
      </c>
      <c r="F1863" s="9" t="s">
        <v>15</v>
      </c>
      <c r="G1863" s="9" t="s">
        <v>16</v>
      </c>
      <c r="H1863" s="9" t="s">
        <v>16</v>
      </c>
      <c r="I1863" s="9"/>
      <c r="J1863" s="9"/>
      <c r="K1863" s="9"/>
    </row>
    <row r="1864" hidden="1">
      <c r="A1864" s="3" t="s">
        <v>7143</v>
      </c>
      <c r="B1864" s="2" t="s">
        <v>7144</v>
      </c>
      <c r="C1864" s="3" t="s">
        <v>7145</v>
      </c>
      <c r="D1864" s="2">
        <v>1.0028027568273113E-4</v>
      </c>
      <c r="E1864" s="8" t="s">
        <v>7146</v>
      </c>
      <c r="F1864" s="9" t="s">
        <v>15</v>
      </c>
      <c r="G1864" s="9" t="s">
        <v>16</v>
      </c>
      <c r="H1864" s="9" t="s">
        <v>16</v>
      </c>
      <c r="I1864" s="9"/>
      <c r="J1864" s="9"/>
      <c r="K1864" s="9"/>
    </row>
    <row r="1865" hidden="1">
      <c r="A1865" s="3" t="s">
        <v>7147</v>
      </c>
      <c r="B1865" s="2" t="s">
        <v>7148</v>
      </c>
      <c r="C1865" s="3" t="s">
        <v>7149</v>
      </c>
      <c r="D1865" s="2">
        <v>1.0028027568273113E-4</v>
      </c>
      <c r="E1865" s="8" t="s">
        <v>7150</v>
      </c>
      <c r="F1865" s="9" t="s">
        <v>15</v>
      </c>
      <c r="G1865" s="9" t="s">
        <v>16</v>
      </c>
      <c r="H1865" s="9" t="s">
        <v>16</v>
      </c>
      <c r="I1865" s="9"/>
      <c r="J1865" s="9"/>
      <c r="K1865" s="9"/>
    </row>
    <row r="1866" hidden="1">
      <c r="A1866" s="3" t="s">
        <v>7151</v>
      </c>
      <c r="B1866" s="2" t="s">
        <v>7152</v>
      </c>
      <c r="C1866" s="3" t="s">
        <v>7153</v>
      </c>
      <c r="D1866" s="2">
        <v>1.0028027568273113E-4</v>
      </c>
      <c r="E1866" s="8" t="s">
        <v>7154</v>
      </c>
      <c r="F1866" s="9" t="s">
        <v>15</v>
      </c>
      <c r="G1866" s="9" t="s">
        <v>16</v>
      </c>
      <c r="H1866" s="9" t="s">
        <v>16</v>
      </c>
      <c r="I1866" s="9"/>
      <c r="J1866" s="9"/>
      <c r="K1866" s="9"/>
    </row>
    <row r="1867" hidden="1">
      <c r="A1867" s="3" t="s">
        <v>7155</v>
      </c>
      <c r="B1867" s="2" t="s">
        <v>7156</v>
      </c>
      <c r="C1867" s="3" t="s">
        <v>7157</v>
      </c>
      <c r="D1867" s="2">
        <v>1.0028027568273113E-4</v>
      </c>
      <c r="E1867" s="8" t="s">
        <v>7158</v>
      </c>
      <c r="F1867" s="9" t="s">
        <v>15</v>
      </c>
      <c r="G1867" s="9" t="s">
        <v>16</v>
      </c>
      <c r="H1867" s="9" t="s">
        <v>16</v>
      </c>
      <c r="I1867" s="9"/>
      <c r="J1867" s="9"/>
      <c r="K1867" s="9"/>
    </row>
    <row r="1868" hidden="1">
      <c r="A1868" s="3" t="s">
        <v>7159</v>
      </c>
      <c r="B1868" s="2" t="s">
        <v>7160</v>
      </c>
      <c r="C1868" s="3" t="s">
        <v>7161</v>
      </c>
      <c r="D1868" s="2">
        <v>1.0028027568273113E-4</v>
      </c>
      <c r="E1868" s="8" t="s">
        <v>7162</v>
      </c>
      <c r="F1868" s="9" t="s">
        <v>15</v>
      </c>
      <c r="G1868" s="9" t="s">
        <v>16</v>
      </c>
      <c r="H1868" s="9" t="s">
        <v>16</v>
      </c>
      <c r="I1868" s="9"/>
      <c r="J1868" s="9"/>
      <c r="K1868" s="9"/>
    </row>
    <row r="1869" hidden="1">
      <c r="A1869" s="3" t="s">
        <v>7163</v>
      </c>
      <c r="B1869" s="2" t="s">
        <v>7164</v>
      </c>
      <c r="C1869" s="3" t="s">
        <v>7165</v>
      </c>
      <c r="D1869" s="2">
        <v>1.0028027568273113E-4</v>
      </c>
      <c r="E1869" s="8" t="s">
        <v>7166</v>
      </c>
      <c r="F1869" s="9" t="s">
        <v>15</v>
      </c>
      <c r="G1869" s="9" t="s">
        <v>16</v>
      </c>
      <c r="H1869" s="9" t="s">
        <v>16</v>
      </c>
      <c r="I1869" s="9"/>
      <c r="J1869" s="9"/>
      <c r="K1869" s="9"/>
    </row>
    <row r="1870" hidden="1">
      <c r="A1870" s="3" t="s">
        <v>7167</v>
      </c>
      <c r="B1870" s="2" t="s">
        <v>7168</v>
      </c>
      <c r="C1870" s="3" t="s">
        <v>7169</v>
      </c>
      <c r="D1870" s="2">
        <v>1.0028027568273113E-4</v>
      </c>
      <c r="E1870" s="8" t="s">
        <v>7170</v>
      </c>
      <c r="F1870" s="9" t="s">
        <v>15</v>
      </c>
      <c r="G1870" s="9" t="s">
        <v>16</v>
      </c>
      <c r="H1870" s="9" t="s">
        <v>16</v>
      </c>
      <c r="I1870" s="9"/>
      <c r="J1870" s="9"/>
      <c r="K1870" s="9"/>
    </row>
    <row r="1871" hidden="1">
      <c r="A1871" s="3" t="s">
        <v>7171</v>
      </c>
      <c r="B1871" s="2" t="s">
        <v>7172</v>
      </c>
      <c r="C1871" s="3" t="s">
        <v>7173</v>
      </c>
      <c r="D1871" s="2">
        <v>1.0028027568273113E-4</v>
      </c>
      <c r="E1871" s="8" t="s">
        <v>7174</v>
      </c>
      <c r="F1871" s="9" t="s">
        <v>15</v>
      </c>
      <c r="G1871" s="9" t="s">
        <v>16</v>
      </c>
      <c r="H1871" s="9" t="s">
        <v>16</v>
      </c>
      <c r="I1871" s="9"/>
      <c r="J1871" s="9"/>
      <c r="K1871" s="9"/>
    </row>
    <row r="1872" hidden="1">
      <c r="A1872" s="3" t="s">
        <v>7175</v>
      </c>
      <c r="B1872" s="2" t="s">
        <v>7176</v>
      </c>
      <c r="C1872" s="3" t="s">
        <v>7177</v>
      </c>
      <c r="D1872" s="2">
        <v>1.0028027568273113E-4</v>
      </c>
      <c r="E1872" s="8" t="s">
        <v>7178</v>
      </c>
      <c r="F1872" s="9" t="s">
        <v>15</v>
      </c>
      <c r="G1872" s="9" t="s">
        <v>16</v>
      </c>
      <c r="H1872" s="9" t="s">
        <v>16</v>
      </c>
      <c r="I1872" s="9"/>
      <c r="J1872" s="9"/>
      <c r="K1872" s="9"/>
    </row>
    <row r="1873" hidden="1">
      <c r="A1873" s="3" t="s">
        <v>7179</v>
      </c>
      <c r="B1873" s="2" t="s">
        <v>7180</v>
      </c>
      <c r="C1873" s="3" t="s">
        <v>7181</v>
      </c>
      <c r="D1873" s="2">
        <v>1.0028027568273113E-4</v>
      </c>
      <c r="E1873" s="8" t="s">
        <v>7182</v>
      </c>
      <c r="F1873" s="9" t="s">
        <v>15</v>
      </c>
      <c r="G1873" s="9" t="s">
        <v>16</v>
      </c>
      <c r="H1873" s="9" t="s">
        <v>16</v>
      </c>
      <c r="I1873" s="9"/>
      <c r="J1873" s="9"/>
      <c r="K1873" s="9"/>
    </row>
    <row r="1874" hidden="1">
      <c r="A1874" s="3" t="s">
        <v>7183</v>
      </c>
      <c r="B1874" s="2" t="s">
        <v>7184</v>
      </c>
      <c r="C1874" s="3" t="s">
        <v>7185</v>
      </c>
      <c r="D1874" s="2">
        <v>1.0028027568273113E-4</v>
      </c>
      <c r="E1874" s="8" t="s">
        <v>7186</v>
      </c>
      <c r="F1874" s="9" t="s">
        <v>15</v>
      </c>
      <c r="G1874" s="9" t="s">
        <v>16</v>
      </c>
      <c r="H1874" s="9" t="s">
        <v>16</v>
      </c>
      <c r="I1874" s="9"/>
      <c r="J1874" s="9"/>
      <c r="K1874" s="9"/>
    </row>
    <row r="1875" hidden="1">
      <c r="A1875" s="3" t="s">
        <v>7187</v>
      </c>
      <c r="B1875" s="2" t="s">
        <v>7188</v>
      </c>
      <c r="C1875" s="3" t="s">
        <v>7189</v>
      </c>
      <c r="D1875" s="2">
        <v>1.0028027568273113E-4</v>
      </c>
      <c r="E1875" s="8" t="s">
        <v>7190</v>
      </c>
      <c r="F1875" s="9" t="s">
        <v>15</v>
      </c>
      <c r="G1875" s="9" t="s">
        <v>16</v>
      </c>
      <c r="H1875" s="9" t="s">
        <v>16</v>
      </c>
      <c r="I1875" s="9"/>
      <c r="J1875" s="9"/>
      <c r="K1875" s="9"/>
    </row>
    <row r="1876" hidden="1">
      <c r="A1876" s="3" t="s">
        <v>7191</v>
      </c>
      <c r="B1876" s="2" t="s">
        <v>7192</v>
      </c>
      <c r="C1876" s="3" t="s">
        <v>7193</v>
      </c>
      <c r="D1876" s="2">
        <v>1.0028027568273113E-4</v>
      </c>
      <c r="E1876" s="8" t="s">
        <v>7194</v>
      </c>
      <c r="F1876" s="9" t="s">
        <v>15</v>
      </c>
      <c r="G1876" s="9" t="s">
        <v>16</v>
      </c>
      <c r="H1876" s="9" t="s">
        <v>16</v>
      </c>
      <c r="I1876" s="9"/>
      <c r="J1876" s="9"/>
      <c r="K1876" s="9"/>
    </row>
    <row r="1877" hidden="1">
      <c r="A1877" s="3" t="s">
        <v>7195</v>
      </c>
      <c r="B1877" s="2" t="s">
        <v>7196</v>
      </c>
      <c r="C1877" s="3" t="s">
        <v>7197</v>
      </c>
      <c r="D1877" s="2">
        <v>1.0028027568273113E-4</v>
      </c>
      <c r="E1877" s="8" t="s">
        <v>7198</v>
      </c>
      <c r="F1877" s="9" t="s">
        <v>15</v>
      </c>
      <c r="G1877" s="9" t="s">
        <v>16</v>
      </c>
      <c r="H1877" s="9" t="s">
        <v>16</v>
      </c>
      <c r="I1877" s="9"/>
      <c r="J1877" s="9"/>
      <c r="K1877" s="9"/>
    </row>
    <row r="1878" hidden="1">
      <c r="A1878" s="3" t="s">
        <v>7199</v>
      </c>
      <c r="B1878" s="2" t="s">
        <v>7200</v>
      </c>
      <c r="C1878" s="3" t="s">
        <v>7201</v>
      </c>
      <c r="D1878" s="2">
        <v>1.0028027568273113E-4</v>
      </c>
      <c r="E1878" s="8" t="s">
        <v>7202</v>
      </c>
      <c r="F1878" s="9" t="s">
        <v>15</v>
      </c>
      <c r="G1878" s="9" t="s">
        <v>16</v>
      </c>
      <c r="H1878" s="9" t="s">
        <v>16</v>
      </c>
      <c r="I1878" s="9"/>
      <c r="J1878" s="9"/>
      <c r="K1878" s="9"/>
    </row>
    <row r="1879" hidden="1">
      <c r="A1879" s="3" t="s">
        <v>7203</v>
      </c>
      <c r="B1879" s="2" t="s">
        <v>7204</v>
      </c>
      <c r="C1879" s="3" t="s">
        <v>7205</v>
      </c>
      <c r="D1879" s="2">
        <v>1.0028027568273113E-4</v>
      </c>
      <c r="E1879" s="8" t="s">
        <v>4623</v>
      </c>
      <c r="F1879" s="9" t="s">
        <v>15</v>
      </c>
      <c r="G1879" s="9" t="s">
        <v>16</v>
      </c>
      <c r="H1879" s="9" t="s">
        <v>16</v>
      </c>
      <c r="I1879" s="9"/>
      <c r="J1879" s="9"/>
      <c r="K1879" s="9"/>
    </row>
    <row r="1880" hidden="1">
      <c r="A1880" s="3" t="s">
        <v>7206</v>
      </c>
      <c r="B1880" s="2" t="s">
        <v>7207</v>
      </c>
      <c r="C1880" s="3" t="s">
        <v>7208</v>
      </c>
      <c r="D1880" s="2">
        <v>1.0028027568273113E-4</v>
      </c>
      <c r="E1880" s="8" t="s">
        <v>7209</v>
      </c>
      <c r="F1880" s="9" t="s">
        <v>15</v>
      </c>
      <c r="G1880" s="9" t="s">
        <v>16</v>
      </c>
      <c r="H1880" s="9" t="s">
        <v>16</v>
      </c>
      <c r="I1880" s="9"/>
      <c r="J1880" s="9"/>
      <c r="K1880" s="9"/>
    </row>
    <row r="1881" hidden="1">
      <c r="A1881" s="3" t="s">
        <v>7210</v>
      </c>
      <c r="B1881" s="2" t="s">
        <v>7211</v>
      </c>
      <c r="C1881" s="3" t="s">
        <v>7212</v>
      </c>
      <c r="D1881" s="2">
        <v>1.0028027568273111E-4</v>
      </c>
      <c r="E1881" s="8" t="s">
        <v>7213</v>
      </c>
      <c r="F1881" s="9" t="s">
        <v>15</v>
      </c>
      <c r="G1881" s="9" t="s">
        <v>16</v>
      </c>
      <c r="H1881" s="9" t="s">
        <v>16</v>
      </c>
      <c r="I1881" s="9"/>
      <c r="J1881" s="9"/>
      <c r="K1881" s="9"/>
    </row>
    <row r="1882" hidden="1">
      <c r="A1882" s="3" t="s">
        <v>7214</v>
      </c>
      <c r="B1882" s="2" t="s">
        <v>7215</v>
      </c>
      <c r="C1882" s="3" t="s">
        <v>7216</v>
      </c>
      <c r="D1882" s="2">
        <v>1.0028027568273111E-4</v>
      </c>
      <c r="E1882" s="8" t="s">
        <v>7217</v>
      </c>
      <c r="F1882" s="9" t="s">
        <v>15</v>
      </c>
      <c r="G1882" s="9" t="s">
        <v>16</v>
      </c>
      <c r="H1882" s="9" t="s">
        <v>16</v>
      </c>
      <c r="I1882" s="9"/>
      <c r="J1882" s="9"/>
      <c r="K1882" s="9"/>
    </row>
    <row r="1883" hidden="1">
      <c r="A1883" s="3" t="s">
        <v>7218</v>
      </c>
      <c r="B1883" s="2" t="s">
        <v>7219</v>
      </c>
      <c r="C1883" s="3" t="s">
        <v>7220</v>
      </c>
      <c r="D1883" s="2">
        <v>1.0028027568273111E-4</v>
      </c>
      <c r="E1883" s="8" t="s">
        <v>7162</v>
      </c>
      <c r="F1883" s="9" t="s">
        <v>15</v>
      </c>
      <c r="G1883" s="9" t="s">
        <v>16</v>
      </c>
      <c r="H1883" s="9" t="s">
        <v>16</v>
      </c>
      <c r="I1883" s="9"/>
      <c r="J1883" s="9"/>
      <c r="K1883" s="9"/>
    </row>
    <row r="1884" hidden="1">
      <c r="A1884" s="3" t="s">
        <v>7221</v>
      </c>
      <c r="B1884" s="2" t="s">
        <v>7222</v>
      </c>
      <c r="C1884" s="3" t="s">
        <v>7223</v>
      </c>
      <c r="D1884" s="2">
        <v>1.0028027568273111E-4</v>
      </c>
      <c r="E1884" s="8" t="s">
        <v>7224</v>
      </c>
      <c r="F1884" s="9" t="s">
        <v>15</v>
      </c>
      <c r="G1884" s="9" t="s">
        <v>16</v>
      </c>
      <c r="H1884" s="9" t="s">
        <v>16</v>
      </c>
      <c r="I1884" s="9"/>
      <c r="J1884" s="9"/>
      <c r="K1884" s="9"/>
    </row>
    <row r="1885" hidden="1">
      <c r="A1885" s="3" t="s">
        <v>7225</v>
      </c>
      <c r="B1885" s="2" t="s">
        <v>7226</v>
      </c>
      <c r="C1885" s="3"/>
      <c r="D1885" s="2">
        <v>1.0028027568273111E-4</v>
      </c>
      <c r="E1885" s="8" t="s">
        <v>7227</v>
      </c>
      <c r="F1885" s="9" t="s">
        <v>15</v>
      </c>
      <c r="G1885" s="9" t="s">
        <v>16</v>
      </c>
      <c r="H1885" s="9" t="s">
        <v>16</v>
      </c>
      <c r="I1885" s="9"/>
      <c r="J1885" s="9"/>
      <c r="K1885" s="9"/>
    </row>
    <row r="1886" hidden="1">
      <c r="A1886" s="3" t="s">
        <v>7228</v>
      </c>
      <c r="B1886" s="2" t="s">
        <v>7229</v>
      </c>
      <c r="C1886" s="3" t="s">
        <v>7230</v>
      </c>
      <c r="D1886" s="2">
        <v>1.0028027568273111E-4</v>
      </c>
      <c r="E1886" s="8" t="s">
        <v>7231</v>
      </c>
      <c r="F1886" s="9" t="s">
        <v>15</v>
      </c>
      <c r="G1886" s="9" t="s">
        <v>16</v>
      </c>
      <c r="H1886" s="9" t="s">
        <v>16</v>
      </c>
      <c r="I1886" s="9"/>
      <c r="J1886" s="9"/>
      <c r="K1886" s="9"/>
    </row>
    <row r="1887" hidden="1">
      <c r="A1887" s="3" t="s">
        <v>7232</v>
      </c>
      <c r="B1887" s="2" t="s">
        <v>7233</v>
      </c>
      <c r="C1887" s="3" t="s">
        <v>7234</v>
      </c>
      <c r="D1887" s="2">
        <v>1.0028027568273111E-4</v>
      </c>
      <c r="E1887" s="8" t="s">
        <v>7235</v>
      </c>
      <c r="F1887" s="9" t="s">
        <v>15</v>
      </c>
      <c r="G1887" s="9" t="s">
        <v>16</v>
      </c>
      <c r="H1887" s="9" t="s">
        <v>16</v>
      </c>
      <c r="I1887" s="9"/>
      <c r="J1887" s="9"/>
      <c r="K1887" s="9"/>
    </row>
    <row r="1888" hidden="1">
      <c r="A1888" s="3" t="s">
        <v>7236</v>
      </c>
      <c r="B1888" s="2" t="s">
        <v>7237</v>
      </c>
      <c r="C1888" s="3" t="s">
        <v>7238</v>
      </c>
      <c r="D1888" s="2">
        <v>1.0028027568273111E-4</v>
      </c>
      <c r="E1888" s="8" t="s">
        <v>4186</v>
      </c>
      <c r="F1888" s="9" t="s">
        <v>15</v>
      </c>
      <c r="G1888" s="9" t="s">
        <v>16</v>
      </c>
      <c r="H1888" s="9" t="s">
        <v>16</v>
      </c>
      <c r="I1888" s="9"/>
      <c r="J1888" s="9"/>
      <c r="K1888" s="9"/>
    </row>
    <row r="1889" hidden="1">
      <c r="A1889" s="3" t="s">
        <v>7239</v>
      </c>
      <c r="B1889" s="2" t="s">
        <v>7240</v>
      </c>
      <c r="C1889" s="3" t="s">
        <v>7241</v>
      </c>
      <c r="D1889" s="2">
        <v>1.0028027568273111E-4</v>
      </c>
      <c r="E1889" s="8" t="s">
        <v>7242</v>
      </c>
      <c r="F1889" s="9" t="s">
        <v>15</v>
      </c>
      <c r="G1889" s="9" t="s">
        <v>16</v>
      </c>
      <c r="H1889" s="9" t="s">
        <v>16</v>
      </c>
      <c r="I1889" s="9"/>
      <c r="J1889" s="9"/>
      <c r="K1889" s="9"/>
    </row>
    <row r="1890" hidden="1">
      <c r="A1890" s="3" t="s">
        <v>7243</v>
      </c>
      <c r="B1890" s="2" t="s">
        <v>7244</v>
      </c>
      <c r="C1890" s="3" t="s">
        <v>7245</v>
      </c>
      <c r="D1890" s="2">
        <v>1.0028027568273111E-4</v>
      </c>
      <c r="E1890" s="8" t="s">
        <v>7246</v>
      </c>
      <c r="F1890" s="9" t="s">
        <v>15</v>
      </c>
      <c r="G1890" s="9" t="s">
        <v>16</v>
      </c>
      <c r="H1890" s="9" t="s">
        <v>16</v>
      </c>
      <c r="I1890" s="9"/>
      <c r="J1890" s="9"/>
      <c r="K1890" s="9"/>
    </row>
    <row r="1891" hidden="1">
      <c r="A1891" s="3" t="s">
        <v>7247</v>
      </c>
      <c r="B1891" s="2" t="s">
        <v>7248</v>
      </c>
      <c r="C1891" s="3"/>
      <c r="D1891" s="2">
        <v>1.0028027568273111E-4</v>
      </c>
      <c r="E1891" s="8" t="s">
        <v>7249</v>
      </c>
      <c r="F1891" s="9" t="s">
        <v>15</v>
      </c>
      <c r="G1891" s="9" t="s">
        <v>16</v>
      </c>
      <c r="H1891" s="9" t="s">
        <v>16</v>
      </c>
      <c r="I1891" s="9"/>
      <c r="J1891" s="9"/>
      <c r="K1891" s="9"/>
    </row>
    <row r="1892" hidden="1">
      <c r="A1892" s="3" t="s">
        <v>7250</v>
      </c>
      <c r="B1892" s="2" t="s">
        <v>7251</v>
      </c>
      <c r="C1892" s="3" t="s">
        <v>7252</v>
      </c>
      <c r="D1892" s="2">
        <v>1.0028027568273111E-4</v>
      </c>
      <c r="E1892" s="8" t="s">
        <v>7253</v>
      </c>
      <c r="F1892" s="9" t="s">
        <v>15</v>
      </c>
      <c r="G1892" s="9" t="s">
        <v>16</v>
      </c>
      <c r="H1892" s="9" t="s">
        <v>16</v>
      </c>
      <c r="I1892" s="9"/>
      <c r="J1892" s="9"/>
      <c r="K1892" s="9"/>
    </row>
    <row r="1893" hidden="1">
      <c r="A1893" s="3" t="s">
        <v>7254</v>
      </c>
      <c r="B1893" s="2" t="s">
        <v>7255</v>
      </c>
      <c r="C1893" s="3" t="s">
        <v>7256</v>
      </c>
      <c r="D1893" s="2">
        <v>1.0028027568273111E-4</v>
      </c>
      <c r="E1893" s="8" t="s">
        <v>7257</v>
      </c>
      <c r="F1893" s="9" t="s">
        <v>15</v>
      </c>
      <c r="G1893" s="9" t="s">
        <v>16</v>
      </c>
      <c r="H1893" s="9" t="s">
        <v>16</v>
      </c>
      <c r="I1893" s="9"/>
      <c r="J1893" s="9"/>
      <c r="K1893" s="9"/>
    </row>
    <row r="1894" hidden="1">
      <c r="A1894" s="3" t="s">
        <v>7258</v>
      </c>
      <c r="B1894" s="2" t="s">
        <v>7259</v>
      </c>
      <c r="C1894" s="3" t="s">
        <v>7260</v>
      </c>
      <c r="D1894" s="2">
        <v>1.0028027568273111E-4</v>
      </c>
      <c r="E1894" s="8" t="s">
        <v>5829</v>
      </c>
      <c r="F1894" s="9" t="s">
        <v>15</v>
      </c>
      <c r="G1894" s="9" t="s">
        <v>16</v>
      </c>
      <c r="H1894" s="9" t="s">
        <v>16</v>
      </c>
      <c r="I1894" s="9"/>
      <c r="J1894" s="9"/>
      <c r="K1894" s="9"/>
    </row>
    <row r="1895" hidden="1">
      <c r="A1895" s="3" t="s">
        <v>7261</v>
      </c>
      <c r="B1895" s="2" t="s">
        <v>7262</v>
      </c>
      <c r="C1895" s="3" t="s">
        <v>7263</v>
      </c>
      <c r="D1895" s="2">
        <v>1.0028027568273111E-4</v>
      </c>
      <c r="E1895" s="8" t="s">
        <v>7264</v>
      </c>
      <c r="F1895" s="9" t="s">
        <v>15</v>
      </c>
      <c r="G1895" s="9" t="s">
        <v>16</v>
      </c>
      <c r="H1895" s="9" t="s">
        <v>16</v>
      </c>
      <c r="I1895" s="9"/>
      <c r="J1895" s="9"/>
      <c r="K1895" s="9"/>
    </row>
    <row r="1896">
      <c r="A1896" s="3" t="s">
        <v>7265</v>
      </c>
      <c r="B1896" s="2" t="s">
        <v>7266</v>
      </c>
      <c r="C1896" s="3" t="s">
        <v>7267</v>
      </c>
      <c r="D1896" s="2">
        <v>1.0028027568273111E-4</v>
      </c>
      <c r="E1896" s="8" t="s">
        <v>7268</v>
      </c>
      <c r="F1896" s="9" t="s">
        <v>16</v>
      </c>
      <c r="G1896" s="9" t="s">
        <v>16</v>
      </c>
      <c r="H1896" s="9" t="s">
        <v>16</v>
      </c>
      <c r="I1896" s="9" t="s">
        <v>16</v>
      </c>
      <c r="J1896" s="9" t="s">
        <v>16</v>
      </c>
      <c r="K1896" s="9" t="s">
        <v>16</v>
      </c>
    </row>
    <row r="1897" hidden="1">
      <c r="A1897" s="3" t="s">
        <v>7269</v>
      </c>
      <c r="B1897" s="2" t="s">
        <v>7270</v>
      </c>
      <c r="C1897" s="3" t="s">
        <v>7271</v>
      </c>
      <c r="D1897" s="2">
        <v>1.0028027568273111E-4</v>
      </c>
      <c r="E1897" s="8" t="s">
        <v>341</v>
      </c>
      <c r="F1897" s="9" t="s">
        <v>15</v>
      </c>
      <c r="G1897" s="9" t="s">
        <v>16</v>
      </c>
      <c r="H1897" s="9" t="s">
        <v>16</v>
      </c>
      <c r="I1897" s="9"/>
      <c r="J1897" s="9"/>
      <c r="K1897" s="9"/>
    </row>
    <row r="1898" hidden="1">
      <c r="A1898" s="3" t="s">
        <v>7272</v>
      </c>
      <c r="B1898" s="2" t="s">
        <v>7273</v>
      </c>
      <c r="C1898" s="3" t="s">
        <v>7274</v>
      </c>
      <c r="D1898" s="2">
        <v>1.0028027568273111E-4</v>
      </c>
      <c r="E1898" s="8" t="s">
        <v>7275</v>
      </c>
      <c r="F1898" s="9" t="s">
        <v>15</v>
      </c>
      <c r="G1898" s="9" t="s">
        <v>16</v>
      </c>
      <c r="H1898" s="9" t="s">
        <v>16</v>
      </c>
      <c r="I1898" s="9"/>
      <c r="J1898" s="9"/>
      <c r="K1898" s="9"/>
    </row>
    <row r="1899" hidden="1">
      <c r="A1899" s="3" t="s">
        <v>7276</v>
      </c>
      <c r="B1899" s="2" t="s">
        <v>7277</v>
      </c>
      <c r="C1899" s="3"/>
      <c r="D1899" s="2">
        <v>1.0028027568273111E-4</v>
      </c>
      <c r="E1899" s="8" t="s">
        <v>7278</v>
      </c>
      <c r="F1899" s="9" t="s">
        <v>15</v>
      </c>
      <c r="G1899" s="9" t="s">
        <v>16</v>
      </c>
      <c r="H1899" s="9" t="s">
        <v>16</v>
      </c>
      <c r="I1899" s="9"/>
      <c r="J1899" s="9"/>
      <c r="K1899" s="9"/>
    </row>
    <row r="1900" hidden="1">
      <c r="A1900" s="3" t="s">
        <v>7279</v>
      </c>
      <c r="B1900" s="2" t="s">
        <v>7280</v>
      </c>
      <c r="C1900" s="3" t="s">
        <v>7281</v>
      </c>
      <c r="D1900" s="2">
        <v>1.0028027568273111E-4</v>
      </c>
      <c r="E1900" s="8" t="s">
        <v>849</v>
      </c>
      <c r="F1900" s="9" t="s">
        <v>15</v>
      </c>
      <c r="G1900" s="9" t="s">
        <v>16</v>
      </c>
      <c r="H1900" s="9" t="s">
        <v>16</v>
      </c>
      <c r="I1900" s="9"/>
      <c r="J1900" s="9"/>
      <c r="K1900" s="9"/>
    </row>
    <row r="1901" hidden="1">
      <c r="A1901" s="3" t="s">
        <v>7282</v>
      </c>
      <c r="B1901" s="2" t="s">
        <v>7283</v>
      </c>
      <c r="C1901" s="3" t="s">
        <v>7284</v>
      </c>
      <c r="D1901" s="2">
        <v>1.0028027568273111E-4</v>
      </c>
      <c r="E1901" s="8" t="s">
        <v>7285</v>
      </c>
      <c r="F1901" s="9" t="s">
        <v>15</v>
      </c>
      <c r="G1901" s="9" t="s">
        <v>16</v>
      </c>
      <c r="H1901" s="9" t="s">
        <v>16</v>
      </c>
      <c r="I1901" s="9"/>
      <c r="J1901" s="9"/>
      <c r="K1901" s="9"/>
    </row>
    <row r="1902" hidden="1">
      <c r="A1902" s="3" t="s">
        <v>7286</v>
      </c>
      <c r="B1902" s="2" t="s">
        <v>7287</v>
      </c>
      <c r="C1902" s="3" t="s">
        <v>7288</v>
      </c>
      <c r="D1902" s="2">
        <v>1.0028027568273111E-4</v>
      </c>
      <c r="E1902" s="8" t="s">
        <v>7289</v>
      </c>
      <c r="F1902" s="9" t="s">
        <v>15</v>
      </c>
      <c r="G1902" s="9" t="s">
        <v>16</v>
      </c>
      <c r="H1902" s="9" t="s">
        <v>16</v>
      </c>
      <c r="I1902" s="9"/>
      <c r="J1902" s="9"/>
      <c r="K1902" s="9"/>
    </row>
    <row r="1903" hidden="1">
      <c r="A1903" s="3" t="s">
        <v>7290</v>
      </c>
      <c r="B1903" s="2" t="s">
        <v>7291</v>
      </c>
      <c r="C1903" s="3" t="s">
        <v>7292</v>
      </c>
      <c r="D1903" s="2">
        <v>1.0028027568273111E-4</v>
      </c>
      <c r="E1903" s="8" t="s">
        <v>7293</v>
      </c>
      <c r="F1903" s="9" t="s">
        <v>15</v>
      </c>
      <c r="G1903" s="9" t="s">
        <v>16</v>
      </c>
      <c r="H1903" s="9" t="s">
        <v>16</v>
      </c>
      <c r="I1903" s="9"/>
      <c r="J1903" s="9"/>
      <c r="K1903" s="9"/>
    </row>
    <row r="1904" hidden="1">
      <c r="A1904" s="3" t="s">
        <v>7294</v>
      </c>
      <c r="B1904" s="2" t="s">
        <v>7295</v>
      </c>
      <c r="C1904" s="3" t="s">
        <v>7296</v>
      </c>
      <c r="D1904" s="2">
        <v>1.0028027568273111E-4</v>
      </c>
      <c r="E1904" s="8" t="s">
        <v>1516</v>
      </c>
      <c r="F1904" s="9" t="s">
        <v>15</v>
      </c>
      <c r="G1904" s="9" t="s">
        <v>16</v>
      </c>
      <c r="H1904" s="9" t="s">
        <v>16</v>
      </c>
      <c r="I1904" s="9"/>
      <c r="J1904" s="9"/>
      <c r="K1904" s="9"/>
    </row>
    <row r="1905" hidden="1">
      <c r="A1905" s="3" t="s">
        <v>7297</v>
      </c>
      <c r="B1905" s="2" t="s">
        <v>7298</v>
      </c>
      <c r="C1905" s="3" t="s">
        <v>7299</v>
      </c>
      <c r="D1905" s="2">
        <v>1.0028027568273111E-4</v>
      </c>
      <c r="E1905" s="8" t="s">
        <v>7300</v>
      </c>
      <c r="F1905" s="9" t="s">
        <v>15</v>
      </c>
      <c r="G1905" s="9" t="s">
        <v>16</v>
      </c>
      <c r="H1905" s="9" t="s">
        <v>16</v>
      </c>
      <c r="I1905" s="9"/>
      <c r="J1905" s="9"/>
      <c r="K1905" s="9"/>
    </row>
    <row r="1906" hidden="1">
      <c r="A1906" s="3" t="s">
        <v>7301</v>
      </c>
      <c r="B1906" s="2" t="s">
        <v>7302</v>
      </c>
      <c r="C1906" s="3"/>
      <c r="D1906" s="2">
        <v>1.0028027568273111E-4</v>
      </c>
      <c r="E1906" s="8" t="s">
        <v>7217</v>
      </c>
      <c r="F1906" s="9" t="s">
        <v>15</v>
      </c>
      <c r="G1906" s="9" t="s">
        <v>16</v>
      </c>
      <c r="H1906" s="9" t="s">
        <v>16</v>
      </c>
      <c r="I1906" s="9"/>
      <c r="J1906" s="9"/>
      <c r="K1906" s="9"/>
    </row>
    <row r="1907" hidden="1">
      <c r="A1907" s="3" t="s">
        <v>7303</v>
      </c>
      <c r="B1907" s="2" t="s">
        <v>7304</v>
      </c>
      <c r="C1907" s="3" t="s">
        <v>7305</v>
      </c>
      <c r="D1907" s="2">
        <v>1.0028027568273111E-4</v>
      </c>
      <c r="E1907" s="8" t="s">
        <v>5027</v>
      </c>
      <c r="F1907" s="9" t="s">
        <v>15</v>
      </c>
      <c r="G1907" s="9" t="s">
        <v>16</v>
      </c>
      <c r="H1907" s="9" t="s">
        <v>16</v>
      </c>
      <c r="I1907" s="9"/>
      <c r="J1907" s="9"/>
      <c r="K1907" s="9"/>
    </row>
    <row r="1908" hidden="1">
      <c r="A1908" s="3" t="s">
        <v>7306</v>
      </c>
      <c r="B1908" s="2" t="s">
        <v>7307</v>
      </c>
      <c r="C1908" s="3" t="s">
        <v>7308</v>
      </c>
      <c r="D1908" s="2">
        <v>1.0028027568273111E-4</v>
      </c>
      <c r="E1908" s="8" t="s">
        <v>7309</v>
      </c>
      <c r="F1908" s="9" t="s">
        <v>15</v>
      </c>
      <c r="G1908" s="9" t="s">
        <v>16</v>
      </c>
      <c r="H1908" s="9" t="s">
        <v>16</v>
      </c>
      <c r="I1908" s="9"/>
      <c r="J1908" s="9"/>
      <c r="K1908" s="9"/>
    </row>
    <row r="1909" hidden="1">
      <c r="A1909" s="3" t="s">
        <v>7310</v>
      </c>
      <c r="B1909" s="2" t="s">
        <v>7311</v>
      </c>
      <c r="C1909" s="3" t="s">
        <v>7312</v>
      </c>
      <c r="D1909" s="2">
        <v>1.0028027568273111E-4</v>
      </c>
      <c r="E1909" s="8" t="s">
        <v>7313</v>
      </c>
      <c r="F1909" s="9" t="s">
        <v>15</v>
      </c>
      <c r="G1909" s="9" t="s">
        <v>16</v>
      </c>
      <c r="H1909" s="9" t="s">
        <v>16</v>
      </c>
      <c r="I1909" s="9"/>
      <c r="J1909" s="9"/>
      <c r="K1909" s="9"/>
    </row>
  </sheetData>
  <autoFilter ref="$A$1:$K$1909">
    <filterColumn colId="9">
      <filters blank="1">
        <filter val="Sim"/>
      </filters>
    </filterColumn>
    <filterColumn colId="10">
      <filters blank="1">
        <filter val="Sim"/>
      </filters>
    </filterColumn>
    <filterColumn colId="8">
      <filters blank="1">
        <filter val="Sim"/>
      </filters>
    </filterColumn>
    <filterColumn colId="5">
      <filters blank="1">
        <filter val="Sim"/>
      </filters>
    </filterColumn>
    <sortState ref="A1:K1909">
      <sortCondition descending="1" ref="D1:D1909"/>
    </sortState>
  </autoFilter>
  <dataValidations>
    <dataValidation type="list" allowBlank="1" showDropDown="1" showErrorMessage="1" sqref="F2:F1909 I2:K1909">
      <formula1>"Sim,Não"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 t="s">
        <v>1</v>
      </c>
      <c r="B1" s="5" t="s">
        <v>0</v>
      </c>
      <c r="C1" s="5" t="s">
        <v>2</v>
      </c>
      <c r="D1" s="5" t="s">
        <v>3</v>
      </c>
      <c r="E1" s="5" t="s">
        <v>4</v>
      </c>
    </row>
    <row r="2">
      <c r="A2" s="2" t="s">
        <v>12</v>
      </c>
      <c r="B2" s="2" t="s">
        <v>11</v>
      </c>
      <c r="C2" s="2" t="s">
        <v>13</v>
      </c>
      <c r="D2" s="2">
        <v>0.16663296917627152</v>
      </c>
      <c r="E2" s="12" t="s">
        <v>14</v>
      </c>
    </row>
    <row r="3">
      <c r="A3" s="2" t="s">
        <v>18</v>
      </c>
      <c r="B3" s="2" t="s">
        <v>17</v>
      </c>
      <c r="C3" s="2" t="s">
        <v>19</v>
      </c>
      <c r="D3" s="2">
        <v>0.05800742769448336</v>
      </c>
      <c r="E3" s="12" t="s">
        <v>20</v>
      </c>
    </row>
    <row r="4">
      <c r="A4" s="2" t="s">
        <v>22</v>
      </c>
      <c r="B4" s="2" t="s">
        <v>21</v>
      </c>
      <c r="C4" s="2" t="s">
        <v>23</v>
      </c>
      <c r="D4" s="2">
        <v>0.02576279980403305</v>
      </c>
      <c r="E4" s="12" t="s">
        <v>24</v>
      </c>
    </row>
    <row r="5">
      <c r="A5" s="2" t="s">
        <v>26</v>
      </c>
      <c r="B5" s="2" t="s">
        <v>25</v>
      </c>
      <c r="C5" s="2" t="s">
        <v>27</v>
      </c>
      <c r="D5" s="2">
        <v>0.02361800326210992</v>
      </c>
      <c r="E5" s="12" t="s">
        <v>28</v>
      </c>
    </row>
    <row r="6">
      <c r="A6" s="2" t="s">
        <v>30</v>
      </c>
      <c r="B6" s="2" t="s">
        <v>29</v>
      </c>
      <c r="C6" s="2" t="s">
        <v>31</v>
      </c>
      <c r="D6" s="2">
        <v>0.00882307207313345</v>
      </c>
      <c r="E6" s="12" t="s">
        <v>32</v>
      </c>
    </row>
    <row r="7">
      <c r="A7" s="2" t="s">
        <v>34</v>
      </c>
      <c r="B7" s="2" t="s">
        <v>33</v>
      </c>
      <c r="C7" s="2" t="s">
        <v>35</v>
      </c>
      <c r="D7" s="2">
        <v>0.006729920723596621</v>
      </c>
      <c r="E7" s="12" t="s">
        <v>36</v>
      </c>
    </row>
    <row r="8">
      <c r="A8" s="2" t="s">
        <v>38</v>
      </c>
      <c r="B8" s="2" t="s">
        <v>37</v>
      </c>
      <c r="C8" s="2" t="s">
        <v>39</v>
      </c>
      <c r="D8" s="2">
        <v>0.00635108412657297</v>
      </c>
      <c r="E8" s="12" t="s">
        <v>40</v>
      </c>
    </row>
    <row r="9">
      <c r="A9" s="2" t="s">
        <v>42</v>
      </c>
      <c r="B9" s="2" t="s">
        <v>41</v>
      </c>
      <c r="C9" s="2" t="s">
        <v>43</v>
      </c>
      <c r="D9" s="2">
        <v>0.0057059283217657415</v>
      </c>
      <c r="E9" s="12" t="s">
        <v>44</v>
      </c>
    </row>
    <row r="10">
      <c r="A10" s="2" t="s">
        <v>46</v>
      </c>
      <c r="B10" s="2" t="s">
        <v>45</v>
      </c>
      <c r="C10" s="2" t="s">
        <v>47</v>
      </c>
      <c r="D10" s="2">
        <v>0.004866084255272739</v>
      </c>
      <c r="E10" s="12" t="s">
        <v>48</v>
      </c>
    </row>
    <row r="11">
      <c r="A11" s="2" t="s">
        <v>50</v>
      </c>
      <c r="B11" s="2" t="s">
        <v>49</v>
      </c>
      <c r="C11" s="2" t="s">
        <v>51</v>
      </c>
      <c r="D11" s="2">
        <v>0.004450262365074863</v>
      </c>
      <c r="E11" s="12" t="s">
        <v>52</v>
      </c>
    </row>
    <row r="12">
      <c r="A12" s="2" t="s">
        <v>54</v>
      </c>
      <c r="B12" s="2" t="s">
        <v>53</v>
      </c>
      <c r="C12" s="2" t="s">
        <v>55</v>
      </c>
      <c r="D12" s="2">
        <v>0.003907588075770422</v>
      </c>
      <c r="E12" s="12" t="s">
        <v>56</v>
      </c>
    </row>
    <row r="13">
      <c r="A13" s="2" t="s">
        <v>58</v>
      </c>
      <c r="B13" s="2" t="s">
        <v>57</v>
      </c>
      <c r="C13" s="2" t="s">
        <v>59</v>
      </c>
      <c r="D13" s="2">
        <v>0.003367745925011724</v>
      </c>
      <c r="E13" s="12" t="s">
        <v>60</v>
      </c>
    </row>
    <row r="14">
      <c r="A14" s="2" t="s">
        <v>62</v>
      </c>
      <c r="B14" s="2" t="s">
        <v>61</v>
      </c>
      <c r="C14" s="2" t="s">
        <v>63</v>
      </c>
      <c r="D14" s="2">
        <v>0.002651812406029347</v>
      </c>
      <c r="E14" s="12" t="s">
        <v>64</v>
      </c>
    </row>
    <row r="15">
      <c r="A15" s="2" t="s">
        <v>66</v>
      </c>
      <c r="B15" s="2" t="s">
        <v>65</v>
      </c>
      <c r="C15" s="2" t="s">
        <v>67</v>
      </c>
      <c r="D15" s="2">
        <v>0.0024592543470979655</v>
      </c>
      <c r="E15" s="12" t="s">
        <v>68</v>
      </c>
    </row>
    <row r="16">
      <c r="A16" s="2" t="s">
        <v>70</v>
      </c>
      <c r="B16" s="2" t="s">
        <v>69</v>
      </c>
      <c r="C16" s="2" t="s">
        <v>71</v>
      </c>
      <c r="D16" s="2">
        <v>0.0024408505955583106</v>
      </c>
      <c r="E16" s="12" t="s">
        <v>72</v>
      </c>
    </row>
    <row r="17">
      <c r="A17" s="2" t="s">
        <v>74</v>
      </c>
      <c r="B17" s="2" t="s">
        <v>73</v>
      </c>
      <c r="C17" s="2" t="s">
        <v>75</v>
      </c>
      <c r="D17" s="2">
        <v>0.0022768385893074906</v>
      </c>
      <c r="E17" s="12" t="s">
        <v>76</v>
      </c>
    </row>
    <row r="18">
      <c r="A18" s="2" t="s">
        <v>78</v>
      </c>
      <c r="B18" s="2" t="s">
        <v>77</v>
      </c>
      <c r="C18" s="2" t="s">
        <v>79</v>
      </c>
      <c r="D18" s="2">
        <v>0.0020944997997025447</v>
      </c>
      <c r="E18" s="12" t="s">
        <v>80</v>
      </c>
    </row>
    <row r="19">
      <c r="A19" s="2" t="s">
        <v>82</v>
      </c>
      <c r="B19" s="2" t="s">
        <v>81</v>
      </c>
      <c r="D19" s="2">
        <v>0.0018444676456669342</v>
      </c>
      <c r="E19" s="12" t="s">
        <v>83</v>
      </c>
    </row>
    <row r="20">
      <c r="A20" s="2" t="s">
        <v>85</v>
      </c>
      <c r="B20" s="2" t="s">
        <v>84</v>
      </c>
      <c r="C20" s="2" t="s">
        <v>86</v>
      </c>
      <c r="D20" s="2">
        <v>0.00180504496228916</v>
      </c>
      <c r="E20" s="12" t="s">
        <v>87</v>
      </c>
    </row>
    <row r="21">
      <c r="A21" s="2" t="s">
        <v>89</v>
      </c>
      <c r="B21" s="2" t="s">
        <v>88</v>
      </c>
      <c r="C21" s="2" t="s">
        <v>90</v>
      </c>
      <c r="D21" s="2">
        <v>0.00180504496228916</v>
      </c>
      <c r="E21" s="12" t="s">
        <v>91</v>
      </c>
    </row>
    <row r="22">
      <c r="A22" s="2" t="s">
        <v>93</v>
      </c>
      <c r="B22" s="2" t="s">
        <v>92</v>
      </c>
      <c r="C22" s="2" t="s">
        <v>94</v>
      </c>
      <c r="D22" s="2">
        <v>0.00180504496228916</v>
      </c>
      <c r="E22" s="12" t="s">
        <v>95</v>
      </c>
    </row>
    <row r="23">
      <c r="A23" s="2" t="s">
        <v>97</v>
      </c>
      <c r="B23" s="2" t="s">
        <v>96</v>
      </c>
      <c r="C23" s="2" t="s">
        <v>98</v>
      </c>
      <c r="D23" s="2">
        <v>0.0017447807290181616</v>
      </c>
      <c r="E23" s="12" t="s">
        <v>99</v>
      </c>
    </row>
    <row r="24">
      <c r="A24" s="2" t="s">
        <v>101</v>
      </c>
      <c r="B24" s="2" t="s">
        <v>100</v>
      </c>
      <c r="C24" s="2" t="s">
        <v>102</v>
      </c>
      <c r="D24" s="2">
        <v>0.0017198067279588383</v>
      </c>
      <c r="E24" s="12" t="s">
        <v>103</v>
      </c>
    </row>
    <row r="25">
      <c r="A25" s="2" t="s">
        <v>105</v>
      </c>
      <c r="B25" s="2" t="s">
        <v>104</v>
      </c>
      <c r="C25" s="2" t="s">
        <v>106</v>
      </c>
      <c r="D25" s="2">
        <v>0.0016345684936285175</v>
      </c>
      <c r="E25" s="12" t="s">
        <v>107</v>
      </c>
    </row>
    <row r="26">
      <c r="A26" s="2" t="s">
        <v>109</v>
      </c>
      <c r="B26" s="2" t="s">
        <v>108</v>
      </c>
      <c r="C26" s="2" t="s">
        <v>110</v>
      </c>
      <c r="D26" s="2">
        <v>0.001591949376463357</v>
      </c>
      <c r="E26" s="12" t="s">
        <v>111</v>
      </c>
    </row>
    <row r="27">
      <c r="A27" s="2" t="s">
        <v>113</v>
      </c>
      <c r="B27" s="2" t="s">
        <v>112</v>
      </c>
      <c r="C27" s="2" t="s">
        <v>114</v>
      </c>
      <c r="D27" s="2">
        <v>0.0015493302592981962</v>
      </c>
      <c r="E27" s="12" t="s">
        <v>115</v>
      </c>
    </row>
    <row r="28">
      <c r="A28" s="2" t="s">
        <v>117</v>
      </c>
      <c r="B28" s="2" t="s">
        <v>116</v>
      </c>
      <c r="C28" s="2" t="s">
        <v>118</v>
      </c>
      <c r="D28" s="2">
        <v>0.0015493302592981958</v>
      </c>
      <c r="E28" s="12" t="s">
        <v>119</v>
      </c>
    </row>
    <row r="29">
      <c r="A29" s="2" t="s">
        <v>121</v>
      </c>
      <c r="B29" s="2" t="s">
        <v>120</v>
      </c>
      <c r="C29" s="2" t="s">
        <v>122</v>
      </c>
      <c r="D29" s="2">
        <v>0.001492504769744648</v>
      </c>
      <c r="E29" s="12" t="s">
        <v>123</v>
      </c>
    </row>
    <row r="30">
      <c r="A30" s="2" t="s">
        <v>125</v>
      </c>
      <c r="B30" s="2" t="s">
        <v>124</v>
      </c>
      <c r="C30" s="2" t="s">
        <v>126</v>
      </c>
      <c r="D30" s="2">
        <v>0.001492504769744648</v>
      </c>
      <c r="E30" s="12" t="s">
        <v>127</v>
      </c>
    </row>
    <row r="31">
      <c r="A31" s="2" t="s">
        <v>129</v>
      </c>
      <c r="B31" s="2" t="s">
        <v>128</v>
      </c>
      <c r="C31" s="2" t="s">
        <v>130</v>
      </c>
      <c r="D31" s="2">
        <v>0.001426833693922011</v>
      </c>
      <c r="E31" s="12" t="s">
        <v>131</v>
      </c>
    </row>
    <row r="32">
      <c r="A32" s="2" t="s">
        <v>133</v>
      </c>
      <c r="B32" s="2" t="s">
        <v>132</v>
      </c>
      <c r="C32" s="2" t="s">
        <v>134</v>
      </c>
      <c r="D32" s="2">
        <v>0.0014127625859952104</v>
      </c>
      <c r="E32" s="12" t="s">
        <v>135</v>
      </c>
    </row>
    <row r="33">
      <c r="A33" s="2" t="s">
        <v>137</v>
      </c>
      <c r="B33" s="2" t="s">
        <v>136</v>
      </c>
      <c r="C33" s="2" t="s">
        <v>138</v>
      </c>
      <c r="D33" s="2">
        <v>0.0013362346734723922</v>
      </c>
      <c r="E33" s="12" t="s">
        <v>139</v>
      </c>
    </row>
    <row r="34">
      <c r="A34" s="2" t="s">
        <v>141</v>
      </c>
      <c r="B34" s="2" t="s">
        <v>140</v>
      </c>
      <c r="C34" s="2" t="s">
        <v>142</v>
      </c>
      <c r="D34" s="2">
        <v>0.001298925570252295</v>
      </c>
      <c r="E34" s="12" t="s">
        <v>143</v>
      </c>
    </row>
    <row r="35">
      <c r="A35" s="2" t="s">
        <v>145</v>
      </c>
      <c r="B35" s="2" t="s">
        <v>144</v>
      </c>
      <c r="C35" s="2" t="s">
        <v>146</v>
      </c>
      <c r="D35" s="2">
        <v>0.001274197328024551</v>
      </c>
      <c r="E35" s="12" t="s">
        <v>147</v>
      </c>
    </row>
    <row r="36">
      <c r="A36" s="2" t="s">
        <v>149</v>
      </c>
      <c r="B36" s="2" t="s">
        <v>148</v>
      </c>
      <c r="D36" s="2">
        <v>0.001265202811530458</v>
      </c>
      <c r="E36" s="12" t="s">
        <v>150</v>
      </c>
    </row>
    <row r="37">
      <c r="A37" s="2" t="s">
        <v>152</v>
      </c>
      <c r="B37" s="2" t="s">
        <v>151</v>
      </c>
      <c r="C37" s="2" t="s">
        <v>153</v>
      </c>
      <c r="D37" s="2">
        <v>0.0012367900667536837</v>
      </c>
      <c r="E37" s="12" t="s">
        <v>154</v>
      </c>
    </row>
    <row r="38">
      <c r="A38" s="2" t="s">
        <v>156</v>
      </c>
      <c r="B38" s="2" t="s">
        <v>155</v>
      </c>
      <c r="C38" s="2" t="s">
        <v>157</v>
      </c>
      <c r="D38" s="2">
        <v>0.0012367900667536837</v>
      </c>
      <c r="E38" s="12" t="s">
        <v>158</v>
      </c>
    </row>
    <row r="39">
      <c r="A39" s="2" t="s">
        <v>160</v>
      </c>
      <c r="B39" s="2" t="s">
        <v>159</v>
      </c>
      <c r="C39" s="2" t="s">
        <v>161</v>
      </c>
      <c r="D39" s="2">
        <v>0.0012367900667536837</v>
      </c>
      <c r="E39" s="12" t="s">
        <v>162</v>
      </c>
    </row>
    <row r="40">
      <c r="A40" s="2" t="s">
        <v>164</v>
      </c>
      <c r="B40" s="2" t="s">
        <v>163</v>
      </c>
      <c r="C40" s="2" t="s">
        <v>165</v>
      </c>
      <c r="D40" s="2">
        <v>0.0012367900667536837</v>
      </c>
      <c r="E40" s="12" t="s">
        <v>166</v>
      </c>
    </row>
    <row r="41">
      <c r="A41" s="2" t="s">
        <v>168</v>
      </c>
      <c r="B41" s="2" t="s">
        <v>167</v>
      </c>
      <c r="C41" s="2" t="s">
        <v>169</v>
      </c>
      <c r="D41" s="2">
        <v>0.0012367900667536837</v>
      </c>
      <c r="E41" s="12" t="s">
        <v>170</v>
      </c>
    </row>
    <row r="42">
      <c r="A42" s="2" t="s">
        <v>172</v>
      </c>
      <c r="B42" s="2" t="s">
        <v>171</v>
      </c>
      <c r="C42" s="2" t="s">
        <v>173</v>
      </c>
      <c r="D42" s="2">
        <v>0.0012367900667536837</v>
      </c>
      <c r="E42" s="12" t="s">
        <v>174</v>
      </c>
    </row>
    <row r="43">
      <c r="A43" s="2" t="s">
        <v>176</v>
      </c>
      <c r="B43" s="2" t="s">
        <v>175</v>
      </c>
      <c r="C43" s="2" t="s">
        <v>177</v>
      </c>
      <c r="D43" s="2">
        <v>0.0012367900667536837</v>
      </c>
      <c r="E43" s="12" t="s">
        <v>178</v>
      </c>
    </row>
    <row r="44">
      <c r="A44" s="2" t="s">
        <v>180</v>
      </c>
      <c r="B44" s="2" t="s">
        <v>179</v>
      </c>
      <c r="C44" s="2" t="s">
        <v>181</v>
      </c>
      <c r="D44" s="2">
        <v>0.0012367900667536837</v>
      </c>
      <c r="E44" s="12" t="s">
        <v>182</v>
      </c>
    </row>
    <row r="45">
      <c r="A45" s="2" t="s">
        <v>184</v>
      </c>
      <c r="B45" s="2" t="s">
        <v>183</v>
      </c>
      <c r="C45" s="2" t="s">
        <v>185</v>
      </c>
      <c r="D45" s="2">
        <v>0.0012367900667536837</v>
      </c>
      <c r="E45" s="12" t="s">
        <v>186</v>
      </c>
    </row>
    <row r="46">
      <c r="A46" s="2" t="s">
        <v>188</v>
      </c>
      <c r="B46" s="2" t="s">
        <v>187</v>
      </c>
      <c r="C46" s="2" t="s">
        <v>189</v>
      </c>
      <c r="D46" s="2">
        <v>0.0012176114640293615</v>
      </c>
      <c r="E46" s="12" t="s">
        <v>190</v>
      </c>
    </row>
    <row r="47">
      <c r="A47" s="2" t="s">
        <v>192</v>
      </c>
      <c r="B47" s="2" t="s">
        <v>191</v>
      </c>
      <c r="C47" s="2" t="s">
        <v>193</v>
      </c>
      <c r="D47" s="2">
        <v>0.0012012741357827173</v>
      </c>
      <c r="E47" s="12" t="s">
        <v>194</v>
      </c>
    </row>
    <row r="48">
      <c r="A48" s="2" t="s">
        <v>196</v>
      </c>
      <c r="B48" s="2" t="s">
        <v>195</v>
      </c>
      <c r="C48" s="2" t="s">
        <v>197</v>
      </c>
      <c r="D48" s="2">
        <v>0.0011972592914120854</v>
      </c>
      <c r="E48" s="12" t="s">
        <v>198</v>
      </c>
    </row>
    <row r="49">
      <c r="A49" s="2" t="s">
        <v>200</v>
      </c>
      <c r="B49" s="2" t="s">
        <v>199</v>
      </c>
      <c r="C49" s="2" t="s">
        <v>201</v>
      </c>
      <c r="D49" s="2">
        <v>0.0011626698629881868</v>
      </c>
      <c r="E49" s="12" t="s">
        <v>202</v>
      </c>
    </row>
    <row r="50">
      <c r="A50" s="2" t="s">
        <v>204</v>
      </c>
      <c r="B50" s="2" t="s">
        <v>203</v>
      </c>
      <c r="C50" s="2" t="s">
        <v>205</v>
      </c>
      <c r="D50" s="2">
        <v>0.0011401867345126528</v>
      </c>
      <c r="E50" s="12" t="s">
        <v>206</v>
      </c>
    </row>
    <row r="51">
      <c r="A51" s="2" t="s">
        <v>208</v>
      </c>
      <c r="B51" s="2" t="s">
        <v>207</v>
      </c>
      <c r="C51" s="2" t="s">
        <v>209</v>
      </c>
      <c r="D51" s="2">
        <v>0.0011179506733830038</v>
      </c>
      <c r="E51" s="12" t="s">
        <v>210</v>
      </c>
    </row>
    <row r="52">
      <c r="A52" s="2" t="s">
        <v>212</v>
      </c>
      <c r="B52" s="2" t="s">
        <v>211</v>
      </c>
      <c r="C52" s="2" t="s">
        <v>213</v>
      </c>
      <c r="D52" s="2">
        <v>0.0010505383480582844</v>
      </c>
      <c r="E52" s="12" t="s">
        <v>214</v>
      </c>
    </row>
    <row r="53">
      <c r="A53" s="2" t="s">
        <v>216</v>
      </c>
      <c r="B53" s="2" t="s">
        <v>215</v>
      </c>
      <c r="C53" s="2" t="s">
        <v>217</v>
      </c>
      <c r="D53" s="2">
        <v>9.526626189859457E-4</v>
      </c>
      <c r="E53" s="12" t="s">
        <v>218</v>
      </c>
    </row>
    <row r="54">
      <c r="A54" s="2" t="s">
        <v>220</v>
      </c>
      <c r="B54" s="2" t="s">
        <v>219</v>
      </c>
      <c r="C54" s="2" t="s">
        <v>221</v>
      </c>
      <c r="D54" s="2">
        <v>9.526626189859457E-4</v>
      </c>
      <c r="E54" s="12" t="s">
        <v>222</v>
      </c>
    </row>
    <row r="55">
      <c r="A55" s="2" t="s">
        <v>224</v>
      </c>
      <c r="B55" s="2" t="s">
        <v>223</v>
      </c>
      <c r="C55" s="2" t="s">
        <v>225</v>
      </c>
      <c r="D55" s="2">
        <v>9.526626189859457E-4</v>
      </c>
      <c r="E55" s="12" t="s">
        <v>226</v>
      </c>
    </row>
    <row r="56">
      <c r="A56" s="2" t="s">
        <v>228</v>
      </c>
      <c r="B56" s="2" t="s">
        <v>227</v>
      </c>
      <c r="C56" s="2" t="s">
        <v>229</v>
      </c>
      <c r="D56" s="2">
        <v>9.526626189859457E-4</v>
      </c>
      <c r="E56" s="12" t="s">
        <v>230</v>
      </c>
    </row>
    <row r="57">
      <c r="A57" s="2" t="s">
        <v>232</v>
      </c>
      <c r="B57" s="2" t="s">
        <v>231</v>
      </c>
      <c r="C57" s="2" t="s">
        <v>233</v>
      </c>
      <c r="D57" s="2">
        <v>9.526626189859457E-4</v>
      </c>
      <c r="E57" s="12" t="s">
        <v>234</v>
      </c>
    </row>
    <row r="58">
      <c r="A58" s="2" t="s">
        <v>236</v>
      </c>
      <c r="B58" s="2" t="s">
        <v>235</v>
      </c>
      <c r="C58" s="2" t="s">
        <v>237</v>
      </c>
      <c r="D58" s="2">
        <v>8.41277894521734E-4</v>
      </c>
      <c r="E58" s="12" t="s">
        <v>238</v>
      </c>
    </row>
    <row r="59">
      <c r="A59" s="2" t="s">
        <v>240</v>
      </c>
      <c r="B59" s="2" t="s">
        <v>239</v>
      </c>
      <c r="C59" s="2" t="s">
        <v>241</v>
      </c>
      <c r="D59" s="2">
        <v>8.105988951020765E-4</v>
      </c>
      <c r="E59" s="12" t="s">
        <v>242</v>
      </c>
    </row>
    <row r="60">
      <c r="A60" s="2" t="s">
        <v>244</v>
      </c>
      <c r="B60" s="2" t="s">
        <v>243</v>
      </c>
      <c r="C60" s="2" t="s">
        <v>245</v>
      </c>
      <c r="D60" s="2">
        <v>7.892893365194962E-4</v>
      </c>
      <c r="E60" s="12" t="s">
        <v>246</v>
      </c>
    </row>
    <row r="61">
      <c r="A61" s="2" t="s">
        <v>248</v>
      </c>
      <c r="B61" s="2" t="s">
        <v>247</v>
      </c>
      <c r="C61" s="2" t="s">
        <v>249</v>
      </c>
      <c r="D61" s="2">
        <v>7.821861503253028E-4</v>
      </c>
      <c r="E61" s="12" t="s">
        <v>250</v>
      </c>
    </row>
    <row r="62">
      <c r="A62" s="2" t="s">
        <v>252</v>
      </c>
      <c r="B62" s="2" t="s">
        <v>251</v>
      </c>
      <c r="C62" s="2" t="s">
        <v>253</v>
      </c>
      <c r="D62" s="2">
        <v>7.821861503253028E-4</v>
      </c>
      <c r="E62" s="12" t="s">
        <v>254</v>
      </c>
    </row>
    <row r="63">
      <c r="A63" s="2" t="s">
        <v>256</v>
      </c>
      <c r="B63" s="2" t="s">
        <v>255</v>
      </c>
      <c r="C63" s="2" t="s">
        <v>257</v>
      </c>
      <c r="D63" s="2">
        <v>7.821861503253028E-4</v>
      </c>
      <c r="E63" s="12" t="s">
        <v>258</v>
      </c>
    </row>
    <row r="64">
      <c r="A64" s="2" t="s">
        <v>260</v>
      </c>
      <c r="B64" s="2" t="s">
        <v>259</v>
      </c>
      <c r="C64" s="2" t="s">
        <v>261</v>
      </c>
      <c r="D64" s="2">
        <v>7.608765917427224E-4</v>
      </c>
      <c r="E64" s="12" t="s">
        <v>262</v>
      </c>
    </row>
    <row r="65">
      <c r="A65" s="2" t="s">
        <v>264</v>
      </c>
      <c r="B65" s="2" t="s">
        <v>263</v>
      </c>
      <c r="C65" s="2" t="s">
        <v>265</v>
      </c>
      <c r="D65" s="2">
        <v>7.267812980105938E-4</v>
      </c>
      <c r="E65" s="12" t="s">
        <v>266</v>
      </c>
    </row>
    <row r="66">
      <c r="A66" s="2" t="s">
        <v>268</v>
      </c>
      <c r="B66" s="2" t="s">
        <v>267</v>
      </c>
      <c r="C66" s="2" t="s">
        <v>269</v>
      </c>
      <c r="D66" s="2">
        <v>6.969479159949813E-4</v>
      </c>
      <c r="E66" s="12" t="s">
        <v>270</v>
      </c>
    </row>
    <row r="67">
      <c r="A67" s="2" t="s">
        <v>272</v>
      </c>
      <c r="B67" s="2" t="s">
        <v>271</v>
      </c>
      <c r="C67" s="2" t="s">
        <v>273</v>
      </c>
      <c r="D67" s="2">
        <v>6.969479159949813E-4</v>
      </c>
      <c r="E67" s="12" t="s">
        <v>274</v>
      </c>
    </row>
    <row r="68">
      <c r="A68" s="2" t="s">
        <v>275</v>
      </c>
      <c r="B68" s="2" t="s">
        <v>275</v>
      </c>
      <c r="C68" s="2" t="s">
        <v>276</v>
      </c>
      <c r="D68" s="2">
        <v>6.969479159949813E-4</v>
      </c>
      <c r="E68" s="12" t="s">
        <v>277</v>
      </c>
    </row>
    <row r="69">
      <c r="A69" s="2" t="s">
        <v>279</v>
      </c>
      <c r="B69" s="2" t="s">
        <v>278</v>
      </c>
      <c r="C69" s="2" t="s">
        <v>280</v>
      </c>
      <c r="D69" s="2">
        <v>6.926860042784653E-4</v>
      </c>
      <c r="E69" s="12" t="s">
        <v>281</v>
      </c>
    </row>
    <row r="70">
      <c r="A70" s="2" t="s">
        <v>283</v>
      </c>
      <c r="B70" s="2" t="s">
        <v>282</v>
      </c>
      <c r="C70" s="2" t="s">
        <v>284</v>
      </c>
      <c r="D70" s="2">
        <v>6.926860042784653E-4</v>
      </c>
      <c r="E70" s="12" t="s">
        <v>285</v>
      </c>
    </row>
    <row r="71">
      <c r="A71" s="2" t="s">
        <v>287</v>
      </c>
      <c r="B71" s="2" t="s">
        <v>286</v>
      </c>
      <c r="C71" s="2" t="s">
        <v>288</v>
      </c>
      <c r="D71" s="2">
        <v>6.685351712182075E-4</v>
      </c>
      <c r="E71" s="12" t="s">
        <v>289</v>
      </c>
    </row>
    <row r="72">
      <c r="A72" s="2" t="s">
        <v>291</v>
      </c>
      <c r="B72" s="2" t="s">
        <v>290</v>
      </c>
      <c r="C72" s="2" t="s">
        <v>292</v>
      </c>
      <c r="D72" s="2">
        <v>6.685351712182074E-4</v>
      </c>
      <c r="E72" s="12" t="s">
        <v>293</v>
      </c>
    </row>
    <row r="73">
      <c r="A73" s="2" t="s">
        <v>295</v>
      </c>
      <c r="B73" s="2" t="s">
        <v>294</v>
      </c>
      <c r="C73" s="2" t="s">
        <v>296</v>
      </c>
      <c r="D73" s="2">
        <v>6.685351712182074E-4</v>
      </c>
      <c r="E73" s="12" t="s">
        <v>297</v>
      </c>
    </row>
    <row r="74">
      <c r="A74" s="2" t="s">
        <v>299</v>
      </c>
      <c r="B74" s="2" t="s">
        <v>298</v>
      </c>
      <c r="C74" s="2" t="s">
        <v>300</v>
      </c>
      <c r="D74" s="2">
        <v>6.685351712182074E-4</v>
      </c>
      <c r="E74" s="12" t="s">
        <v>301</v>
      </c>
    </row>
    <row r="75">
      <c r="A75" s="2" t="s">
        <v>303</v>
      </c>
      <c r="B75" s="2" t="s">
        <v>302</v>
      </c>
      <c r="C75" s="2" t="s">
        <v>304</v>
      </c>
      <c r="D75" s="2">
        <v>6.685351712182074E-4</v>
      </c>
      <c r="E75" s="12" t="s">
        <v>305</v>
      </c>
    </row>
    <row r="76">
      <c r="A76" s="2" t="s">
        <v>307</v>
      </c>
      <c r="B76" s="2" t="s">
        <v>306</v>
      </c>
      <c r="C76" s="2" t="s">
        <v>308</v>
      </c>
      <c r="D76" s="2">
        <v>6.685351712182074E-4</v>
      </c>
      <c r="E76" s="12" t="s">
        <v>309</v>
      </c>
    </row>
    <row r="77">
      <c r="A77" s="2" t="s">
        <v>311</v>
      </c>
      <c r="B77" s="2" t="s">
        <v>310</v>
      </c>
      <c r="C77" s="2" t="s">
        <v>312</v>
      </c>
      <c r="D77" s="2">
        <v>6.685351712182074E-4</v>
      </c>
      <c r="E77" s="12" t="s">
        <v>313</v>
      </c>
    </row>
    <row r="78">
      <c r="A78" s="2" t="s">
        <v>315</v>
      </c>
      <c r="B78" s="2" t="s">
        <v>314</v>
      </c>
      <c r="C78" s="2" t="s">
        <v>316</v>
      </c>
      <c r="D78" s="2">
        <v>6.685351712182074E-4</v>
      </c>
      <c r="E78" s="12" t="s">
        <v>317</v>
      </c>
    </row>
    <row r="79">
      <c r="A79" s="2" t="s">
        <v>319</v>
      </c>
      <c r="B79" s="2" t="s">
        <v>318</v>
      </c>
      <c r="C79" s="2" t="s">
        <v>320</v>
      </c>
      <c r="D79" s="2">
        <v>6.685351712182074E-4</v>
      </c>
      <c r="E79" s="12" t="s">
        <v>321</v>
      </c>
    </row>
    <row r="80">
      <c r="A80" s="2" t="s">
        <v>323</v>
      </c>
      <c r="B80" s="2" t="s">
        <v>322</v>
      </c>
      <c r="C80" s="2" t="s">
        <v>324</v>
      </c>
      <c r="D80" s="2">
        <v>6.685351712182074E-4</v>
      </c>
      <c r="E80" s="12" t="s">
        <v>325</v>
      </c>
    </row>
    <row r="81">
      <c r="A81" s="2" t="s">
        <v>327</v>
      </c>
      <c r="B81" s="2" t="s">
        <v>326</v>
      </c>
      <c r="C81" s="2" t="s">
        <v>328</v>
      </c>
      <c r="D81" s="2">
        <v>6.685351712182074E-4</v>
      </c>
      <c r="E81" s="12" t="s">
        <v>329</v>
      </c>
    </row>
    <row r="82">
      <c r="A82" s="2" t="s">
        <v>331</v>
      </c>
      <c r="B82" s="2" t="s">
        <v>330</v>
      </c>
      <c r="C82" s="2" t="s">
        <v>332</v>
      </c>
      <c r="D82" s="2">
        <v>6.685351712182074E-4</v>
      </c>
      <c r="E82" s="12" t="s">
        <v>333</v>
      </c>
    </row>
    <row r="83">
      <c r="A83" s="2" t="s">
        <v>335</v>
      </c>
      <c r="B83" s="2" t="s">
        <v>334</v>
      </c>
      <c r="C83" s="2" t="s">
        <v>336</v>
      </c>
      <c r="D83" s="2">
        <v>6.685351712182074E-4</v>
      </c>
      <c r="E83" s="12" t="s">
        <v>337</v>
      </c>
    </row>
    <row r="84">
      <c r="A84" s="2" t="s">
        <v>339</v>
      </c>
      <c r="B84" s="2" t="s">
        <v>338</v>
      </c>
      <c r="C84" s="2" t="s">
        <v>340</v>
      </c>
      <c r="D84" s="2">
        <v>6.685351712182074E-4</v>
      </c>
      <c r="E84" s="12" t="s">
        <v>341</v>
      </c>
    </row>
    <row r="85">
      <c r="A85" s="2" t="s">
        <v>343</v>
      </c>
      <c r="B85" s="2" t="s">
        <v>342</v>
      </c>
      <c r="C85" s="2" t="s">
        <v>344</v>
      </c>
      <c r="D85" s="2">
        <v>6.685351712182074E-4</v>
      </c>
      <c r="E85" s="12" t="s">
        <v>345</v>
      </c>
    </row>
    <row r="86">
      <c r="A86" s="2" t="s">
        <v>347</v>
      </c>
      <c r="B86" s="2" t="s">
        <v>346</v>
      </c>
      <c r="C86" s="2" t="s">
        <v>348</v>
      </c>
      <c r="D86" s="2">
        <v>6.685351712182074E-4</v>
      </c>
      <c r="E86" s="12" t="s">
        <v>115</v>
      </c>
    </row>
    <row r="87">
      <c r="A87" s="2" t="s">
        <v>350</v>
      </c>
      <c r="B87" s="2" t="s">
        <v>349</v>
      </c>
      <c r="C87" s="2" t="s">
        <v>351</v>
      </c>
      <c r="D87" s="2">
        <v>6.685351712182074E-4</v>
      </c>
      <c r="E87" s="12" t="s">
        <v>352</v>
      </c>
    </row>
    <row r="88">
      <c r="A88" s="2" t="s">
        <v>354</v>
      </c>
      <c r="B88" s="2" t="s">
        <v>353</v>
      </c>
      <c r="C88" s="2" t="s">
        <v>355</v>
      </c>
      <c r="D88" s="2">
        <v>6.685351712182074E-4</v>
      </c>
      <c r="E88" s="12" t="s">
        <v>356</v>
      </c>
    </row>
    <row r="89">
      <c r="A89" s="2" t="s">
        <v>358</v>
      </c>
      <c r="B89" s="2" t="s">
        <v>357</v>
      </c>
      <c r="C89" s="2" t="s">
        <v>359</v>
      </c>
      <c r="D89" s="2">
        <v>6.685351712182074E-4</v>
      </c>
      <c r="E89" s="12" t="s">
        <v>360</v>
      </c>
    </row>
    <row r="90">
      <c r="A90" s="2" t="s">
        <v>362</v>
      </c>
      <c r="B90" s="2" t="s">
        <v>361</v>
      </c>
      <c r="C90" s="2" t="s">
        <v>363</v>
      </c>
      <c r="D90" s="2">
        <v>6.685351712182074E-4</v>
      </c>
      <c r="E90" s="12" t="s">
        <v>364</v>
      </c>
    </row>
    <row r="91">
      <c r="A91" s="2" t="s">
        <v>366</v>
      </c>
      <c r="B91" s="2" t="s">
        <v>365</v>
      </c>
      <c r="C91" s="2" t="s">
        <v>367</v>
      </c>
      <c r="D91" s="2">
        <v>6.685351712182074E-4</v>
      </c>
      <c r="E91" s="12" t="s">
        <v>368</v>
      </c>
    </row>
    <row r="92">
      <c r="A92" s="2" t="s">
        <v>370</v>
      </c>
      <c r="B92" s="2" t="s">
        <v>369</v>
      </c>
      <c r="C92" s="2" t="s">
        <v>371</v>
      </c>
      <c r="D92" s="2">
        <v>6.685351712182074E-4</v>
      </c>
      <c r="E92" s="12" t="s">
        <v>372</v>
      </c>
    </row>
    <row r="93">
      <c r="A93" s="2" t="s">
        <v>374</v>
      </c>
      <c r="B93" s="2" t="s">
        <v>373</v>
      </c>
      <c r="C93" s="2" t="s">
        <v>375</v>
      </c>
      <c r="D93" s="2">
        <v>6.685351712182074E-4</v>
      </c>
      <c r="E93" s="12" t="s">
        <v>376</v>
      </c>
    </row>
    <row r="94">
      <c r="A94" s="2" t="s">
        <v>378</v>
      </c>
      <c r="B94" s="2" t="s">
        <v>377</v>
      </c>
      <c r="C94" s="2" t="s">
        <v>379</v>
      </c>
      <c r="D94" s="2">
        <v>6.685351712182074E-4</v>
      </c>
      <c r="E94" s="12" t="s">
        <v>380</v>
      </c>
    </row>
    <row r="95">
      <c r="A95" s="2" t="s">
        <v>382</v>
      </c>
      <c r="B95" s="2" t="s">
        <v>381</v>
      </c>
      <c r="C95" s="2" t="s">
        <v>383</v>
      </c>
      <c r="D95" s="2">
        <v>6.685351712182074E-4</v>
      </c>
      <c r="E95" s="12" t="s">
        <v>384</v>
      </c>
    </row>
    <row r="96">
      <c r="A96" s="2" t="s">
        <v>386</v>
      </c>
      <c r="B96" s="2" t="s">
        <v>385</v>
      </c>
      <c r="C96" s="2" t="s">
        <v>387</v>
      </c>
      <c r="D96" s="2">
        <v>6.685351712182074E-4</v>
      </c>
      <c r="E96" s="12" t="s">
        <v>388</v>
      </c>
    </row>
    <row r="97">
      <c r="A97" s="2" t="s">
        <v>390</v>
      </c>
      <c r="B97" s="2" t="s">
        <v>389</v>
      </c>
      <c r="C97" s="2" t="s">
        <v>391</v>
      </c>
      <c r="D97" s="2">
        <v>6.685351712182074E-4</v>
      </c>
      <c r="E97" s="12" t="s">
        <v>392</v>
      </c>
    </row>
    <row r="98">
      <c r="A98" s="2" t="s">
        <v>394</v>
      </c>
      <c r="B98" s="2" t="s">
        <v>393</v>
      </c>
      <c r="C98" s="2" t="s">
        <v>395</v>
      </c>
      <c r="D98" s="2">
        <v>6.685351712182074E-4</v>
      </c>
      <c r="E98" s="12" t="s">
        <v>396</v>
      </c>
    </row>
    <row r="99">
      <c r="A99" s="2" t="s">
        <v>398</v>
      </c>
      <c r="B99" s="2" t="s">
        <v>397</v>
      </c>
      <c r="C99" s="2" t="s">
        <v>399</v>
      </c>
      <c r="D99" s="2">
        <v>6.685351712182074E-4</v>
      </c>
      <c r="E99" s="12" t="s">
        <v>400</v>
      </c>
    </row>
    <row r="100">
      <c r="A100" s="2" t="s">
        <v>402</v>
      </c>
      <c r="B100" s="2" t="s">
        <v>401</v>
      </c>
      <c r="C100" s="2" t="s">
        <v>403</v>
      </c>
      <c r="D100" s="2">
        <v>6.685351712156733E-4</v>
      </c>
      <c r="E100" s="12" t="s">
        <v>404</v>
      </c>
    </row>
    <row r="101">
      <c r="A101" s="2" t="s">
        <v>406</v>
      </c>
      <c r="B101" s="2" t="s">
        <v>405</v>
      </c>
      <c r="C101" s="2" t="s">
        <v>407</v>
      </c>
      <c r="D101" s="2">
        <v>6.685351712153129E-4</v>
      </c>
      <c r="E101" s="12" t="s">
        <v>408</v>
      </c>
    </row>
    <row r="102">
      <c r="A102" s="2" t="s">
        <v>410</v>
      </c>
      <c r="B102" s="2" t="s">
        <v>409</v>
      </c>
      <c r="C102" s="2" t="s">
        <v>411</v>
      </c>
      <c r="D102" s="2">
        <v>6.685351712153129E-4</v>
      </c>
      <c r="E102" s="12" t="s">
        <v>412</v>
      </c>
    </row>
    <row r="103">
      <c r="A103" s="2" t="s">
        <v>414</v>
      </c>
      <c r="B103" s="2" t="s">
        <v>413</v>
      </c>
      <c r="C103" s="2" t="s">
        <v>415</v>
      </c>
      <c r="D103" s="2">
        <v>6.685351712153129E-4</v>
      </c>
      <c r="E103" s="12" t="s">
        <v>416</v>
      </c>
    </row>
    <row r="104">
      <c r="A104" s="2" t="s">
        <v>418</v>
      </c>
      <c r="B104" s="2" t="s">
        <v>417</v>
      </c>
      <c r="C104" s="2" t="s">
        <v>419</v>
      </c>
      <c r="D104" s="2">
        <v>6.685351712153129E-4</v>
      </c>
      <c r="E104" s="12" t="s">
        <v>420</v>
      </c>
    </row>
    <row r="105">
      <c r="A105" s="2" t="s">
        <v>422</v>
      </c>
      <c r="B105" s="2" t="s">
        <v>421</v>
      </c>
      <c r="C105" s="2" t="s">
        <v>423</v>
      </c>
      <c r="D105" s="2">
        <v>6.68535171214802E-4</v>
      </c>
      <c r="E105" s="12" t="s">
        <v>424</v>
      </c>
    </row>
    <row r="106">
      <c r="A106" s="2" t="s">
        <v>426</v>
      </c>
      <c r="B106" s="2" t="s">
        <v>425</v>
      </c>
      <c r="D106" s="2">
        <v>6.68535171214802E-4</v>
      </c>
      <c r="E106" s="12" t="s">
        <v>427</v>
      </c>
    </row>
    <row r="107">
      <c r="A107" s="2" t="s">
        <v>429</v>
      </c>
      <c r="B107" s="2" t="s">
        <v>428</v>
      </c>
      <c r="C107" s="2" t="s">
        <v>430</v>
      </c>
      <c r="D107" s="2">
        <v>6.685351712147788E-4</v>
      </c>
      <c r="E107" s="12" t="s">
        <v>431</v>
      </c>
    </row>
    <row r="108">
      <c r="A108" s="2" t="s">
        <v>433</v>
      </c>
      <c r="B108" s="2" t="s">
        <v>432</v>
      </c>
      <c r="C108" s="2" t="s">
        <v>434</v>
      </c>
      <c r="D108" s="2">
        <v>6.556097950325779E-4</v>
      </c>
      <c r="E108" s="12" t="s">
        <v>435</v>
      </c>
    </row>
    <row r="109">
      <c r="A109" s="2" t="s">
        <v>437</v>
      </c>
      <c r="B109" s="2" t="s">
        <v>436</v>
      </c>
      <c r="C109" s="2" t="s">
        <v>438</v>
      </c>
      <c r="D109" s="2">
        <v>6.48395532815038E-4</v>
      </c>
      <c r="E109" s="12" t="s">
        <v>439</v>
      </c>
    </row>
    <row r="110">
      <c r="A110" s="2" t="s">
        <v>441</v>
      </c>
      <c r="B110" s="2" t="s">
        <v>440</v>
      </c>
      <c r="C110" s="2" t="s">
        <v>442</v>
      </c>
      <c r="D110" s="2">
        <v>6.479359312550465E-4</v>
      </c>
      <c r="E110" s="12" t="s">
        <v>443</v>
      </c>
    </row>
    <row r="111">
      <c r="A111" s="2" t="s">
        <v>445</v>
      </c>
      <c r="B111" s="2" t="s">
        <v>444</v>
      </c>
      <c r="C111" s="2" t="s">
        <v>446</v>
      </c>
      <c r="D111" s="2">
        <v>6.275083516249118E-4</v>
      </c>
      <c r="E111" s="12" t="s">
        <v>447</v>
      </c>
    </row>
    <row r="112">
      <c r="A112" s="2" t="s">
        <v>449</v>
      </c>
      <c r="B112" s="2" t="s">
        <v>448</v>
      </c>
      <c r="C112" s="2" t="s">
        <v>450</v>
      </c>
      <c r="D112" s="2">
        <v>6.159880431836817E-4</v>
      </c>
      <c r="E112" s="12" t="s">
        <v>451</v>
      </c>
    </row>
    <row r="113">
      <c r="A113" s="2" t="s">
        <v>453</v>
      </c>
      <c r="B113" s="2" t="s">
        <v>452</v>
      </c>
      <c r="C113" s="2" t="s">
        <v>454</v>
      </c>
      <c r="D113" s="2">
        <v>6.15971593381176E-4</v>
      </c>
      <c r="E113" s="12" t="s">
        <v>455</v>
      </c>
    </row>
    <row r="114">
      <c r="A114" s="2" t="s">
        <v>457</v>
      </c>
      <c r="B114" s="2" t="s">
        <v>456</v>
      </c>
      <c r="C114" s="2" t="s">
        <v>458</v>
      </c>
      <c r="D114" s="2">
        <v>6.117096816646599E-4</v>
      </c>
      <c r="E114" s="12" t="s">
        <v>459</v>
      </c>
    </row>
    <row r="115">
      <c r="A115" s="2" t="s">
        <v>461</v>
      </c>
      <c r="B115" s="2" t="s">
        <v>460</v>
      </c>
      <c r="C115" s="2" t="s">
        <v>462</v>
      </c>
      <c r="D115" s="2">
        <v>5.9849775534346E-4</v>
      </c>
      <c r="E115" s="12" t="s">
        <v>463</v>
      </c>
    </row>
    <row r="116">
      <c r="A116" s="2" t="s">
        <v>465</v>
      </c>
      <c r="B116" s="2" t="s">
        <v>464</v>
      </c>
      <c r="C116" s="2" t="s">
        <v>466</v>
      </c>
      <c r="D116" s="2">
        <v>5.861382113655634E-4</v>
      </c>
      <c r="E116" s="12" t="s">
        <v>467</v>
      </c>
    </row>
    <row r="117">
      <c r="A117" s="2" t="s">
        <v>469</v>
      </c>
      <c r="B117" s="2" t="s">
        <v>468</v>
      </c>
      <c r="C117" s="2" t="s">
        <v>470</v>
      </c>
      <c r="D117" s="2">
        <v>5.825133917738869E-4</v>
      </c>
      <c r="E117" s="12" t="s">
        <v>471</v>
      </c>
    </row>
    <row r="118">
      <c r="A118" s="2" t="s">
        <v>473</v>
      </c>
      <c r="B118" s="2" t="s">
        <v>472</v>
      </c>
      <c r="C118" s="2" t="s">
        <v>474</v>
      </c>
      <c r="D118" s="2">
        <v>5.822314589587571E-4</v>
      </c>
      <c r="E118" s="12" t="s">
        <v>475</v>
      </c>
    </row>
    <row r="119">
      <c r="A119" s="2" t="s">
        <v>7314</v>
      </c>
      <c r="B119" s="2" t="s">
        <v>476</v>
      </c>
      <c r="C119" s="2" t="s">
        <v>478</v>
      </c>
      <c r="D119" s="2">
        <v>5.690905644994992E-4</v>
      </c>
      <c r="E119" s="12" t="s">
        <v>479</v>
      </c>
    </row>
    <row r="120">
      <c r="A120" s="2" t="s">
        <v>477</v>
      </c>
      <c r="B120" s="2" t="s">
        <v>480</v>
      </c>
      <c r="C120" s="2" t="s">
        <v>481</v>
      </c>
      <c r="D120" s="2">
        <v>5.690905644994992E-4</v>
      </c>
      <c r="E120" s="12" t="s">
        <v>482</v>
      </c>
    </row>
    <row r="121">
      <c r="A121" s="2" t="s">
        <v>484</v>
      </c>
      <c r="B121" s="2" t="s">
        <v>483</v>
      </c>
      <c r="C121" s="2" t="s">
        <v>485</v>
      </c>
      <c r="D121" s="2">
        <v>5.658941307121121E-4</v>
      </c>
      <c r="E121" s="12" t="s">
        <v>486</v>
      </c>
    </row>
    <row r="122">
      <c r="A122" s="2" t="s">
        <v>488</v>
      </c>
      <c r="B122" s="2" t="s">
        <v>487</v>
      </c>
      <c r="C122" s="2" t="s">
        <v>489</v>
      </c>
      <c r="D122" s="2">
        <v>5.477810059169188E-4</v>
      </c>
      <c r="E122" s="12" t="s">
        <v>490</v>
      </c>
    </row>
    <row r="123">
      <c r="A123" s="2" t="s">
        <v>492</v>
      </c>
      <c r="B123" s="2" t="s">
        <v>491</v>
      </c>
      <c r="C123" s="2" t="s">
        <v>493</v>
      </c>
      <c r="D123" s="2">
        <v>5.477810059169188E-4</v>
      </c>
      <c r="E123" s="12" t="s">
        <v>494</v>
      </c>
    </row>
    <row r="124">
      <c r="A124" s="2" t="s">
        <v>496</v>
      </c>
      <c r="B124" s="2" t="s">
        <v>495</v>
      </c>
      <c r="C124" s="2" t="s">
        <v>497</v>
      </c>
      <c r="D124" s="2">
        <v>5.477810059169188E-4</v>
      </c>
      <c r="E124" s="12" t="s">
        <v>498</v>
      </c>
    </row>
    <row r="125">
      <c r="A125" s="2" t="s">
        <v>500</v>
      </c>
      <c r="B125" s="2" t="s">
        <v>499</v>
      </c>
      <c r="C125" s="2" t="s">
        <v>501</v>
      </c>
      <c r="D125" s="2">
        <v>5.477810059169188E-4</v>
      </c>
      <c r="E125" s="12" t="s">
        <v>502</v>
      </c>
    </row>
    <row r="126">
      <c r="A126" s="2" t="s">
        <v>504</v>
      </c>
      <c r="B126" s="2" t="s">
        <v>503</v>
      </c>
      <c r="C126" s="2" t="s">
        <v>505</v>
      </c>
      <c r="D126" s="2">
        <v>5.351018185602835E-4</v>
      </c>
      <c r="E126" s="12" t="s">
        <v>506</v>
      </c>
    </row>
    <row r="127">
      <c r="A127" s="2" t="s">
        <v>508</v>
      </c>
      <c r="B127" s="2" t="s">
        <v>507</v>
      </c>
      <c r="C127" s="2" t="s">
        <v>509</v>
      </c>
      <c r="D127" s="2">
        <v>5.264714473343384E-4</v>
      </c>
      <c r="E127" s="12" t="s">
        <v>510</v>
      </c>
    </row>
    <row r="128">
      <c r="A128" s="2" t="s">
        <v>512</v>
      </c>
      <c r="B128" s="2" t="s">
        <v>511</v>
      </c>
      <c r="C128" s="2" t="s">
        <v>513</v>
      </c>
      <c r="D128" s="2">
        <v>5.264714473343384E-4</v>
      </c>
      <c r="E128" s="12" t="s">
        <v>514</v>
      </c>
    </row>
    <row r="129">
      <c r="A129" s="2" t="s">
        <v>516</v>
      </c>
      <c r="B129" s="2" t="s">
        <v>515</v>
      </c>
      <c r="C129" s="2" t="s">
        <v>517</v>
      </c>
      <c r="D129" s="2">
        <v>5.264714473343384E-4</v>
      </c>
      <c r="E129" s="12" t="s">
        <v>518</v>
      </c>
    </row>
    <row r="130">
      <c r="A130" s="2" t="s">
        <v>520</v>
      </c>
      <c r="B130" s="2" t="s">
        <v>519</v>
      </c>
      <c r="C130" s="2" t="s">
        <v>521</v>
      </c>
      <c r="D130" s="2">
        <v>5.264714473343384E-4</v>
      </c>
      <c r="E130" s="12" t="s">
        <v>522</v>
      </c>
    </row>
    <row r="131">
      <c r="A131" s="2" t="s">
        <v>524</v>
      </c>
      <c r="B131" s="2" t="s">
        <v>523</v>
      </c>
      <c r="C131" s="2" t="s">
        <v>525</v>
      </c>
      <c r="D131" s="2">
        <v>5.264714473343383E-4</v>
      </c>
      <c r="E131" s="12" t="s">
        <v>526</v>
      </c>
    </row>
    <row r="132">
      <c r="A132" s="2" t="s">
        <v>528</v>
      </c>
      <c r="B132" s="2" t="s">
        <v>527</v>
      </c>
      <c r="C132" s="2" t="s">
        <v>529</v>
      </c>
      <c r="D132" s="2">
        <v>5.179476239013062E-4</v>
      </c>
      <c r="E132" s="12" t="s">
        <v>530</v>
      </c>
    </row>
    <row r="133">
      <c r="A133" s="2" t="s">
        <v>532</v>
      </c>
      <c r="B133" s="2" t="s">
        <v>531</v>
      </c>
      <c r="C133" s="2" t="s">
        <v>533</v>
      </c>
      <c r="D133" s="2">
        <v>5.177226896718235E-4</v>
      </c>
      <c r="E133" s="12" t="s">
        <v>534</v>
      </c>
    </row>
    <row r="134">
      <c r="A134" s="2" t="s">
        <v>536</v>
      </c>
      <c r="B134" s="2" t="s">
        <v>535</v>
      </c>
      <c r="C134" s="2" t="s">
        <v>537</v>
      </c>
      <c r="D134" s="2">
        <v>5.115547563265322E-4</v>
      </c>
      <c r="E134" s="12" t="s">
        <v>538</v>
      </c>
    </row>
    <row r="135">
      <c r="A135" s="2" t="s">
        <v>540</v>
      </c>
      <c r="B135" s="2" t="s">
        <v>539</v>
      </c>
      <c r="C135" s="2" t="s">
        <v>541</v>
      </c>
      <c r="D135" s="2">
        <v>4.8597144738377876E-4</v>
      </c>
      <c r="E135" s="12" t="s">
        <v>542</v>
      </c>
    </row>
    <row r="136">
      <c r="A136" s="2" t="s">
        <v>544</v>
      </c>
      <c r="B136" s="2" t="s">
        <v>543</v>
      </c>
      <c r="C136" s="2" t="s">
        <v>545</v>
      </c>
      <c r="D136" s="2">
        <v>4.8385233016917775E-4</v>
      </c>
      <c r="E136" s="12" t="s">
        <v>546</v>
      </c>
    </row>
    <row r="137">
      <c r="A137" s="2" t="s">
        <v>548</v>
      </c>
      <c r="B137" s="2" t="s">
        <v>547</v>
      </c>
      <c r="C137" s="2" t="s">
        <v>549</v>
      </c>
      <c r="D137" s="2">
        <v>4.8385233016917775E-4</v>
      </c>
      <c r="E137" s="12" t="s">
        <v>550</v>
      </c>
    </row>
    <row r="138">
      <c r="A138" s="2" t="s">
        <v>552</v>
      </c>
      <c r="B138" s="2" t="s">
        <v>551</v>
      </c>
      <c r="C138" s="2" t="s">
        <v>553</v>
      </c>
      <c r="D138" s="2">
        <v>4.8385233016917775E-4</v>
      </c>
      <c r="E138" s="12" t="s">
        <v>554</v>
      </c>
    </row>
    <row r="139">
      <c r="A139" s="2" t="s">
        <v>556</v>
      </c>
      <c r="B139" s="2" t="s">
        <v>555</v>
      </c>
      <c r="C139" s="2" t="s">
        <v>557</v>
      </c>
      <c r="D139" s="2">
        <v>4.8385233016917775E-4</v>
      </c>
      <c r="E139" s="12" t="s">
        <v>558</v>
      </c>
    </row>
    <row r="140">
      <c r="A140" s="2" t="s">
        <v>560</v>
      </c>
      <c r="B140" s="2" t="s">
        <v>559</v>
      </c>
      <c r="C140" s="2" t="s">
        <v>561</v>
      </c>
      <c r="D140" s="2">
        <v>4.7532850673614557E-4</v>
      </c>
      <c r="E140" s="12" t="s">
        <v>562</v>
      </c>
    </row>
    <row r="141">
      <c r="A141" s="2" t="s">
        <v>564</v>
      </c>
      <c r="B141" s="2" t="s">
        <v>563</v>
      </c>
      <c r="C141" s="2" t="s">
        <v>565</v>
      </c>
      <c r="D141" s="2">
        <v>4.7532850673614557E-4</v>
      </c>
      <c r="E141" s="12" t="s">
        <v>566</v>
      </c>
    </row>
    <row r="142">
      <c r="A142" s="2" t="s">
        <v>568</v>
      </c>
      <c r="B142" s="2" t="s">
        <v>567</v>
      </c>
      <c r="C142" s="2" t="s">
        <v>569</v>
      </c>
      <c r="D142" s="2">
        <v>4.7213207294875847E-4</v>
      </c>
      <c r="E142" s="12" t="s">
        <v>570</v>
      </c>
    </row>
    <row r="143">
      <c r="A143" s="2" t="s">
        <v>572</v>
      </c>
      <c r="B143" s="2" t="s">
        <v>571</v>
      </c>
      <c r="C143" s="2" t="s">
        <v>573</v>
      </c>
      <c r="D143" s="2">
        <v>4.41233213004017E-4</v>
      </c>
      <c r="E143" s="12" t="s">
        <v>574</v>
      </c>
    </row>
    <row r="144">
      <c r="A144" s="2" t="s">
        <v>576</v>
      </c>
      <c r="B144" s="2" t="s">
        <v>575</v>
      </c>
      <c r="C144" s="2" t="s">
        <v>577</v>
      </c>
      <c r="D144" s="2">
        <v>4.41233213004017E-4</v>
      </c>
      <c r="E144" s="12" t="s">
        <v>578</v>
      </c>
    </row>
    <row r="145">
      <c r="A145" s="2" t="s">
        <v>580</v>
      </c>
      <c r="B145" s="2" t="s">
        <v>579</v>
      </c>
      <c r="C145" s="2" t="s">
        <v>581</v>
      </c>
      <c r="D145" s="2">
        <v>4.41233213004017E-4</v>
      </c>
      <c r="E145" s="12" t="s">
        <v>582</v>
      </c>
    </row>
    <row r="146">
      <c r="A146" s="2" t="s">
        <v>584</v>
      </c>
      <c r="B146" s="2" t="s">
        <v>583</v>
      </c>
      <c r="C146" s="2" t="s">
        <v>585</v>
      </c>
      <c r="D146" s="2">
        <v>4.41233213004017E-4</v>
      </c>
      <c r="E146" s="12" t="s">
        <v>586</v>
      </c>
    </row>
    <row r="147">
      <c r="A147" s="2" t="s">
        <v>588</v>
      </c>
      <c r="B147" s="2" t="s">
        <v>587</v>
      </c>
      <c r="D147" s="2">
        <v>4.41233213004017E-4</v>
      </c>
      <c r="E147" s="12" t="s">
        <v>589</v>
      </c>
    </row>
    <row r="148">
      <c r="A148" s="2" t="s">
        <v>591</v>
      </c>
      <c r="B148" s="2" t="s">
        <v>590</v>
      </c>
      <c r="C148" s="2" t="s">
        <v>592</v>
      </c>
      <c r="D148" s="2">
        <v>4.41233213004017E-4</v>
      </c>
      <c r="E148" s="12" t="s">
        <v>593</v>
      </c>
    </row>
    <row r="149">
      <c r="A149" s="2" t="s">
        <v>595</v>
      </c>
      <c r="B149" s="2" t="s">
        <v>594</v>
      </c>
      <c r="C149" s="2" t="s">
        <v>596</v>
      </c>
      <c r="D149" s="2">
        <v>4.41233213004017E-4</v>
      </c>
      <c r="E149" s="12" t="s">
        <v>597</v>
      </c>
    </row>
    <row r="150">
      <c r="A150" s="2" t="s">
        <v>599</v>
      </c>
      <c r="B150" s="2" t="s">
        <v>598</v>
      </c>
      <c r="C150" s="2" t="s">
        <v>600</v>
      </c>
      <c r="D150" s="2">
        <v>4.332421285352718E-4</v>
      </c>
      <c r="E150" s="12" t="s">
        <v>601</v>
      </c>
    </row>
    <row r="151">
      <c r="A151" s="2" t="s">
        <v>603</v>
      </c>
      <c r="B151" s="2" t="s">
        <v>602</v>
      </c>
      <c r="C151" s="2" t="s">
        <v>604</v>
      </c>
      <c r="D151" s="2">
        <v>4.2702684061563006E-4</v>
      </c>
      <c r="E151" s="12" t="s">
        <v>605</v>
      </c>
    </row>
    <row r="152">
      <c r="A152" s="2" t="s">
        <v>607</v>
      </c>
      <c r="B152" s="2" t="s">
        <v>606</v>
      </c>
      <c r="C152" s="2" t="s">
        <v>608</v>
      </c>
      <c r="D152" s="2">
        <v>4.259998739369515E-4</v>
      </c>
      <c r="E152" s="12" t="s">
        <v>609</v>
      </c>
    </row>
    <row r="153">
      <c r="A153" s="2" t="s">
        <v>611</v>
      </c>
      <c r="B153" s="2" t="s">
        <v>610</v>
      </c>
      <c r="C153" s="2" t="s">
        <v>612</v>
      </c>
      <c r="D153" s="2">
        <v>4.220546102796946E-4</v>
      </c>
      <c r="E153" s="12" t="s">
        <v>613</v>
      </c>
    </row>
    <row r="154">
      <c r="A154" s="2" t="s">
        <v>615</v>
      </c>
      <c r="B154" s="2" t="s">
        <v>614</v>
      </c>
      <c r="C154" s="2" t="s">
        <v>616</v>
      </c>
      <c r="D154" s="2">
        <v>4.1179350154856454E-4</v>
      </c>
      <c r="E154" s="12" t="s">
        <v>617</v>
      </c>
    </row>
    <row r="155">
      <c r="A155" s="2" t="s">
        <v>619</v>
      </c>
      <c r="B155" s="2" t="s">
        <v>618</v>
      </c>
      <c r="C155" s="2" t="s">
        <v>620</v>
      </c>
      <c r="D155" s="2">
        <v>4.0287600755537227E-4</v>
      </c>
      <c r="E155" s="12" t="s">
        <v>621</v>
      </c>
    </row>
    <row r="156">
      <c r="A156" s="2" t="s">
        <v>623</v>
      </c>
      <c r="B156" s="2" t="s">
        <v>622</v>
      </c>
      <c r="C156" s="2" t="s">
        <v>624</v>
      </c>
      <c r="D156" s="2">
        <v>4.000347330776949E-4</v>
      </c>
      <c r="E156" s="12" t="s">
        <v>625</v>
      </c>
    </row>
    <row r="157">
      <c r="A157" s="2" t="s">
        <v>627</v>
      </c>
      <c r="B157" s="2" t="s">
        <v>626</v>
      </c>
      <c r="C157" s="2" t="s">
        <v>628</v>
      </c>
      <c r="D157" s="2">
        <v>3.986140958388562E-4</v>
      </c>
      <c r="E157" s="12" t="s">
        <v>629</v>
      </c>
    </row>
    <row r="158">
      <c r="A158" s="2" t="s">
        <v>631</v>
      </c>
      <c r="B158" s="2" t="s">
        <v>630</v>
      </c>
      <c r="C158" s="2" t="s">
        <v>632</v>
      </c>
      <c r="D158" s="2">
        <v>3.986140958388562E-4</v>
      </c>
      <c r="E158" s="12" t="s">
        <v>633</v>
      </c>
    </row>
    <row r="159">
      <c r="A159" s="2" t="s">
        <v>635</v>
      </c>
      <c r="B159" s="2" t="s">
        <v>634</v>
      </c>
      <c r="C159" s="2" t="s">
        <v>636</v>
      </c>
      <c r="D159" s="2">
        <v>3.9840100025303045E-4</v>
      </c>
      <c r="E159" s="12" t="s">
        <v>637</v>
      </c>
    </row>
    <row r="160">
      <c r="A160" s="2" t="s">
        <v>639</v>
      </c>
      <c r="B160" s="2" t="s">
        <v>638</v>
      </c>
      <c r="C160" s="2" t="s">
        <v>640</v>
      </c>
      <c r="D160" s="2">
        <v>3.8780890657990404E-4</v>
      </c>
      <c r="E160" s="12" t="s">
        <v>641</v>
      </c>
    </row>
    <row r="161">
      <c r="A161" s="2" t="s">
        <v>643</v>
      </c>
      <c r="B161" s="2" t="s">
        <v>642</v>
      </c>
      <c r="C161" s="2" t="s">
        <v>644</v>
      </c>
      <c r="D161" s="2">
        <v>3.844077234504693E-4</v>
      </c>
      <c r="E161" s="12" t="s">
        <v>645</v>
      </c>
    </row>
    <row r="162">
      <c r="A162" s="2" t="s">
        <v>647</v>
      </c>
      <c r="B162" s="2" t="s">
        <v>646</v>
      </c>
      <c r="C162" s="2" t="s">
        <v>648</v>
      </c>
      <c r="D162" s="2">
        <v>3.783192781411606E-4</v>
      </c>
      <c r="E162" s="12" t="s">
        <v>649</v>
      </c>
    </row>
    <row r="163">
      <c r="A163" s="2" t="s">
        <v>651</v>
      </c>
      <c r="B163" s="2" t="s">
        <v>650</v>
      </c>
      <c r="C163" s="2" t="s">
        <v>652</v>
      </c>
      <c r="D163" s="2">
        <v>3.730426255397598E-4</v>
      </c>
      <c r="E163" s="12" t="s">
        <v>653</v>
      </c>
    </row>
    <row r="164">
      <c r="A164" s="2" t="s">
        <v>655</v>
      </c>
      <c r="B164" s="2" t="s">
        <v>654</v>
      </c>
      <c r="C164" s="2" t="s">
        <v>656</v>
      </c>
      <c r="D164" s="2">
        <v>3.648894031255037E-4</v>
      </c>
      <c r="E164" s="12" t="s">
        <v>657</v>
      </c>
    </row>
    <row r="165">
      <c r="A165" s="2" t="s">
        <v>659</v>
      </c>
      <c r="B165" s="2" t="s">
        <v>658</v>
      </c>
      <c r="C165" s="2" t="s">
        <v>660</v>
      </c>
      <c r="D165" s="2">
        <v>3.621747506626438E-4</v>
      </c>
      <c r="E165" s="12" t="s">
        <v>661</v>
      </c>
    </row>
    <row r="166">
      <c r="A166" s="2" t="s">
        <v>663</v>
      </c>
      <c r="B166" s="2" t="s">
        <v>662</v>
      </c>
      <c r="C166" s="2" t="s">
        <v>664</v>
      </c>
      <c r="D166" s="2">
        <v>3.559949786736955E-4</v>
      </c>
      <c r="E166" s="12" t="s">
        <v>665</v>
      </c>
    </row>
    <row r="167">
      <c r="A167" s="2" t="s">
        <v>667</v>
      </c>
      <c r="B167" s="2" t="s">
        <v>666</v>
      </c>
      <c r="C167" s="2" t="s">
        <v>668</v>
      </c>
      <c r="D167" s="2">
        <v>3.559949786736955E-4</v>
      </c>
      <c r="E167" s="12" t="s">
        <v>669</v>
      </c>
    </row>
    <row r="168">
      <c r="A168" s="2" t="s">
        <v>671</v>
      </c>
      <c r="B168" s="2" t="s">
        <v>670</v>
      </c>
      <c r="C168" s="2" t="s">
        <v>672</v>
      </c>
      <c r="D168" s="2">
        <v>3.559949786736955E-4</v>
      </c>
      <c r="E168" s="12" t="s">
        <v>673</v>
      </c>
    </row>
    <row r="169">
      <c r="A169" s="2" t="s">
        <v>675</v>
      </c>
      <c r="B169" s="2" t="s">
        <v>674</v>
      </c>
      <c r="C169" s="2" t="s">
        <v>676</v>
      </c>
      <c r="D169" s="2">
        <v>3.559949786736955E-4</v>
      </c>
      <c r="E169" s="12" t="s">
        <v>677</v>
      </c>
    </row>
    <row r="170">
      <c r="A170" s="2" t="s">
        <v>679</v>
      </c>
      <c r="B170" s="2" t="s">
        <v>678</v>
      </c>
      <c r="C170" s="2" t="s">
        <v>680</v>
      </c>
      <c r="D170" s="2">
        <v>3.559949786736955E-4</v>
      </c>
      <c r="E170" s="12" t="s">
        <v>681</v>
      </c>
    </row>
    <row r="171">
      <c r="A171" s="2" t="s">
        <v>683</v>
      </c>
      <c r="B171" s="2" t="s">
        <v>682</v>
      </c>
      <c r="C171" s="2" t="s">
        <v>684</v>
      </c>
      <c r="D171" s="2">
        <v>3.559949786736955E-4</v>
      </c>
      <c r="E171" s="12" t="s">
        <v>685</v>
      </c>
    </row>
    <row r="172">
      <c r="A172" s="2" t="s">
        <v>687</v>
      </c>
      <c r="B172" s="2" t="s">
        <v>686</v>
      </c>
      <c r="C172" s="2" t="s">
        <v>688</v>
      </c>
      <c r="D172" s="2">
        <v>3.4960211109892137E-4</v>
      </c>
      <c r="E172" s="12" t="s">
        <v>689</v>
      </c>
    </row>
    <row r="173">
      <c r="A173" s="2" t="s">
        <v>691</v>
      </c>
      <c r="B173" s="2" t="s">
        <v>690</v>
      </c>
      <c r="C173" s="2" t="s">
        <v>692</v>
      </c>
      <c r="D173" s="2">
        <v>3.4960211109892137E-4</v>
      </c>
      <c r="E173" s="12" t="s">
        <v>693</v>
      </c>
    </row>
    <row r="174">
      <c r="A174" s="2" t="s">
        <v>695</v>
      </c>
      <c r="B174" s="2" t="s">
        <v>694</v>
      </c>
      <c r="C174" s="2" t="s">
        <v>696</v>
      </c>
      <c r="D174" s="2">
        <v>3.4960211109892137E-4</v>
      </c>
      <c r="E174" s="12" t="s">
        <v>697</v>
      </c>
    </row>
    <row r="175">
      <c r="A175" s="2" t="s">
        <v>699</v>
      </c>
      <c r="B175" s="2" t="s">
        <v>698</v>
      </c>
      <c r="C175" s="2" t="s">
        <v>700</v>
      </c>
      <c r="D175" s="2">
        <v>3.4960211109892137E-4</v>
      </c>
      <c r="E175" s="12" t="s">
        <v>701</v>
      </c>
    </row>
    <row r="176">
      <c r="A176" s="2" t="s">
        <v>703</v>
      </c>
      <c r="B176" s="2" t="s">
        <v>702</v>
      </c>
      <c r="C176" s="2" t="s">
        <v>704</v>
      </c>
      <c r="D176" s="2">
        <v>3.4487694810887096E-4</v>
      </c>
      <c r="E176" s="12" t="s">
        <v>705</v>
      </c>
    </row>
    <row r="177">
      <c r="A177" s="2" t="s">
        <v>706</v>
      </c>
      <c r="B177" s="2" t="s">
        <v>706</v>
      </c>
      <c r="C177" s="2" t="s">
        <v>707</v>
      </c>
      <c r="D177" s="2">
        <v>3.4320924352414727E-4</v>
      </c>
      <c r="E177" s="12" t="s">
        <v>708</v>
      </c>
    </row>
    <row r="178">
      <c r="A178" s="2" t="s">
        <v>710</v>
      </c>
      <c r="B178" s="2" t="s">
        <v>709</v>
      </c>
      <c r="C178" s="2" t="s">
        <v>711</v>
      </c>
      <c r="D178" s="2">
        <v>3.3826897752608576E-4</v>
      </c>
      <c r="E178" s="12" t="s">
        <v>712</v>
      </c>
    </row>
    <row r="179">
      <c r="A179" s="2" t="s">
        <v>714</v>
      </c>
      <c r="B179" s="2" t="s">
        <v>713</v>
      </c>
      <c r="C179" s="2" t="s">
        <v>715</v>
      </c>
      <c r="D179" s="2">
        <v>3.381544179999072E-4</v>
      </c>
      <c r="E179" s="12" t="s">
        <v>716</v>
      </c>
    </row>
    <row r="180">
      <c r="A180" s="2" t="s">
        <v>718</v>
      </c>
      <c r="B180" s="2" t="s">
        <v>717</v>
      </c>
      <c r="C180" s="2" t="s">
        <v>719</v>
      </c>
      <c r="D180" s="2">
        <v>3.359862445507629E-4</v>
      </c>
      <c r="E180" s="12" t="s">
        <v>720</v>
      </c>
    </row>
    <row r="181">
      <c r="A181" s="2" t="s">
        <v>722</v>
      </c>
      <c r="B181" s="2" t="s">
        <v>721</v>
      </c>
      <c r="C181" s="2" t="s">
        <v>723</v>
      </c>
      <c r="D181" s="2">
        <v>3.3468542009111514E-4</v>
      </c>
      <c r="E181" s="12" t="s">
        <v>724</v>
      </c>
    </row>
    <row r="182">
      <c r="A182" s="2" t="s">
        <v>726</v>
      </c>
      <c r="B182" s="2" t="s">
        <v>725</v>
      </c>
      <c r="C182" s="2" t="s">
        <v>727</v>
      </c>
      <c r="D182" s="2">
        <v>3.3468542009111514E-4</v>
      </c>
      <c r="E182" s="12" t="s">
        <v>728</v>
      </c>
    </row>
    <row r="183">
      <c r="A183" s="2" t="s">
        <v>730</v>
      </c>
      <c r="B183" s="2" t="s">
        <v>729</v>
      </c>
      <c r="C183" s="2" t="s">
        <v>731</v>
      </c>
      <c r="D183" s="2">
        <v>3.3375891754391083E-4</v>
      </c>
      <c r="E183" s="12" t="s">
        <v>732</v>
      </c>
    </row>
    <row r="184">
      <c r="A184" s="2" t="s">
        <v>734</v>
      </c>
      <c r="B184" s="2" t="s">
        <v>733</v>
      </c>
      <c r="C184" s="2" t="s">
        <v>735</v>
      </c>
      <c r="D184" s="2">
        <v>3.304235083745991E-4</v>
      </c>
      <c r="E184" s="12" t="s">
        <v>736</v>
      </c>
    </row>
    <row r="185">
      <c r="A185" s="2" t="s">
        <v>738</v>
      </c>
      <c r="B185" s="2" t="s">
        <v>737</v>
      </c>
      <c r="C185" s="2" t="s">
        <v>739</v>
      </c>
      <c r="D185" s="2">
        <v>3.304235083745991E-4</v>
      </c>
      <c r="E185" s="12" t="s">
        <v>740</v>
      </c>
    </row>
    <row r="186">
      <c r="A186" s="2" t="s">
        <v>742</v>
      </c>
      <c r="B186" s="2" t="s">
        <v>741</v>
      </c>
      <c r="D186" s="2">
        <v>3.304235083745991E-4</v>
      </c>
      <c r="E186" s="12" t="s">
        <v>743</v>
      </c>
    </row>
    <row r="187">
      <c r="A187" s="2" t="s">
        <v>745</v>
      </c>
      <c r="B187" s="2" t="s">
        <v>744</v>
      </c>
      <c r="C187" s="2" t="s">
        <v>746</v>
      </c>
      <c r="D187" s="2">
        <v>3.304235083745991E-4</v>
      </c>
      <c r="E187" s="12" t="s">
        <v>747</v>
      </c>
    </row>
    <row r="188">
      <c r="A188" s="2" t="s">
        <v>749</v>
      </c>
      <c r="B188" s="2" t="s">
        <v>748</v>
      </c>
      <c r="C188" s="2" t="s">
        <v>750</v>
      </c>
      <c r="D188" s="2">
        <v>3.304235083745991E-4</v>
      </c>
      <c r="E188" s="12" t="s">
        <v>751</v>
      </c>
    </row>
    <row r="189">
      <c r="A189" s="2" t="s">
        <v>753</v>
      </c>
      <c r="B189" s="2" t="s">
        <v>752</v>
      </c>
      <c r="C189" s="2" t="s">
        <v>754</v>
      </c>
      <c r="D189" s="2">
        <v>3.2758223389692167E-4</v>
      </c>
      <c r="E189" s="12" t="s">
        <v>755</v>
      </c>
    </row>
    <row r="190">
      <c r="A190" s="2" t="s">
        <v>757</v>
      </c>
      <c r="B190" s="2" t="s">
        <v>756</v>
      </c>
      <c r="C190" s="2" t="s">
        <v>758</v>
      </c>
      <c r="D190" s="2">
        <v>3.233203221804056E-4</v>
      </c>
      <c r="E190" s="12" t="s">
        <v>759</v>
      </c>
    </row>
    <row r="191">
      <c r="A191" s="2" t="s">
        <v>761</v>
      </c>
      <c r="B191" s="2" t="s">
        <v>760</v>
      </c>
      <c r="C191" s="2" t="s">
        <v>762</v>
      </c>
      <c r="D191" s="2">
        <v>3.226408869792219E-4</v>
      </c>
      <c r="E191" s="12" t="s">
        <v>763</v>
      </c>
    </row>
    <row r="192">
      <c r="A192" s="2" t="s">
        <v>765</v>
      </c>
      <c r="B192" s="2" t="s">
        <v>764</v>
      </c>
      <c r="C192" s="2" t="s">
        <v>766</v>
      </c>
      <c r="D192" s="2">
        <v>3.169274546056315E-4</v>
      </c>
      <c r="E192" s="12" t="s">
        <v>767</v>
      </c>
    </row>
    <row r="193">
      <c r="A193" s="2" t="s">
        <v>769</v>
      </c>
      <c r="B193" s="2" t="s">
        <v>768</v>
      </c>
      <c r="C193" s="2" t="s">
        <v>770</v>
      </c>
      <c r="D193" s="2">
        <v>3.1337586150853477E-4</v>
      </c>
      <c r="E193" s="12" t="s">
        <v>771</v>
      </c>
    </row>
    <row r="194">
      <c r="A194" s="2" t="s">
        <v>773</v>
      </c>
      <c r="B194" s="2" t="s">
        <v>772</v>
      </c>
      <c r="C194" s="2" t="s">
        <v>774</v>
      </c>
      <c r="D194" s="2">
        <v>3.0905218295554745E-4</v>
      </c>
      <c r="E194" s="12" t="s">
        <v>775</v>
      </c>
    </row>
    <row r="195">
      <c r="A195" s="2" t="s">
        <v>777</v>
      </c>
      <c r="B195" s="2" t="s">
        <v>776</v>
      </c>
      <c r="C195" s="2" t="s">
        <v>778</v>
      </c>
      <c r="D195" s="2">
        <v>3.048520380755026E-4</v>
      </c>
      <c r="E195" s="12" t="s">
        <v>779</v>
      </c>
    </row>
    <row r="196">
      <c r="A196" s="2" t="s">
        <v>781</v>
      </c>
      <c r="B196" s="2" t="s">
        <v>780</v>
      </c>
      <c r="C196" s="2" t="s">
        <v>782</v>
      </c>
      <c r="D196" s="2">
        <v>3.005901263589866E-4</v>
      </c>
      <c r="E196" s="12" t="s">
        <v>783</v>
      </c>
    </row>
    <row r="197">
      <c r="A197" s="2" t="s">
        <v>785</v>
      </c>
      <c r="B197" s="2" t="s">
        <v>784</v>
      </c>
      <c r="C197" s="2" t="s">
        <v>786</v>
      </c>
      <c r="D197" s="2">
        <v>3.005901263589866E-4</v>
      </c>
      <c r="E197" s="12" t="s">
        <v>787</v>
      </c>
    </row>
    <row r="198">
      <c r="A198" s="2" t="s">
        <v>789</v>
      </c>
      <c r="B198" s="2" t="s">
        <v>788</v>
      </c>
      <c r="C198" s="2" t="s">
        <v>790</v>
      </c>
      <c r="D198" s="2">
        <v>2.991694891201479E-4</v>
      </c>
      <c r="E198" s="12" t="s">
        <v>791</v>
      </c>
    </row>
    <row r="199">
      <c r="A199" s="2" t="s">
        <v>793</v>
      </c>
      <c r="B199" s="2" t="s">
        <v>792</v>
      </c>
      <c r="C199" s="2" t="s">
        <v>794</v>
      </c>
      <c r="D199" s="2">
        <v>2.991694891201479E-4</v>
      </c>
      <c r="E199" s="12" t="s">
        <v>795</v>
      </c>
    </row>
    <row r="200">
      <c r="A200" s="2" t="s">
        <v>797</v>
      </c>
      <c r="B200" s="2" t="s">
        <v>796</v>
      </c>
      <c r="C200" s="2" t="s">
        <v>798</v>
      </c>
      <c r="D200" s="2">
        <v>2.9714385288652956E-4</v>
      </c>
      <c r="E200" s="12" t="s">
        <v>799</v>
      </c>
    </row>
    <row r="201">
      <c r="A201" s="2" t="s">
        <v>801</v>
      </c>
      <c r="B201" s="2" t="s">
        <v>800</v>
      </c>
      <c r="C201" s="2" t="s">
        <v>802</v>
      </c>
      <c r="D201" s="2">
        <v>2.9490757740363176E-4</v>
      </c>
      <c r="E201" s="12" t="s">
        <v>803</v>
      </c>
    </row>
    <row r="202">
      <c r="A202" s="2" t="s">
        <v>805</v>
      </c>
      <c r="B202" s="2" t="s">
        <v>804</v>
      </c>
      <c r="D202" s="2">
        <v>2.9490757740363176E-4</v>
      </c>
      <c r="E202" s="12" t="s">
        <v>806</v>
      </c>
    </row>
    <row r="203">
      <c r="A203" s="2" t="s">
        <v>808</v>
      </c>
      <c r="B203" s="2" t="s">
        <v>807</v>
      </c>
      <c r="C203" s="2" t="s">
        <v>809</v>
      </c>
      <c r="D203" s="2">
        <v>2.9206630292595445E-4</v>
      </c>
      <c r="E203" s="12" t="s">
        <v>810</v>
      </c>
    </row>
    <row r="204">
      <c r="A204" s="2" t="s">
        <v>812</v>
      </c>
      <c r="B204" s="2" t="s">
        <v>811</v>
      </c>
      <c r="C204" s="2" t="s">
        <v>813</v>
      </c>
      <c r="D204" s="2">
        <v>2.904399373975199E-4</v>
      </c>
      <c r="E204" s="12" t="s">
        <v>814</v>
      </c>
    </row>
    <row r="205">
      <c r="A205" s="2" t="s">
        <v>816</v>
      </c>
      <c r="B205" s="2" t="s">
        <v>815</v>
      </c>
      <c r="C205" s="2" t="s">
        <v>817</v>
      </c>
      <c r="D205" s="2">
        <v>2.8673891327972E-4</v>
      </c>
      <c r="E205" s="12" t="s">
        <v>818</v>
      </c>
    </row>
    <row r="206">
      <c r="A206" s="2" t="s">
        <v>820</v>
      </c>
      <c r="B206" s="2" t="s">
        <v>819</v>
      </c>
      <c r="C206" s="2" t="s">
        <v>821</v>
      </c>
      <c r="D206" s="2">
        <v>2.856734353511803E-4</v>
      </c>
      <c r="E206" s="12" t="s">
        <v>822</v>
      </c>
    </row>
    <row r="207">
      <c r="A207" s="2" t="s">
        <v>824</v>
      </c>
      <c r="B207" s="2" t="s">
        <v>823</v>
      </c>
      <c r="C207" s="2" t="s">
        <v>825</v>
      </c>
      <c r="D207" s="2">
        <v>2.8031052977456426E-4</v>
      </c>
      <c r="E207" s="12" t="s">
        <v>826</v>
      </c>
    </row>
    <row r="208">
      <c r="A208" s="2" t="s">
        <v>828</v>
      </c>
      <c r="B208" s="2" t="s">
        <v>827</v>
      </c>
      <c r="C208" s="2" t="s">
        <v>829</v>
      </c>
      <c r="D208" s="2">
        <v>2.792805677764062E-4</v>
      </c>
      <c r="E208" s="12" t="s">
        <v>830</v>
      </c>
    </row>
    <row r="209">
      <c r="A209" s="2" t="s">
        <v>832</v>
      </c>
      <c r="B209" s="2" t="s">
        <v>831</v>
      </c>
      <c r="C209" s="2" t="s">
        <v>833</v>
      </c>
      <c r="D209" s="2">
        <v>2.7324285951134175E-4</v>
      </c>
      <c r="E209" s="12" t="s">
        <v>834</v>
      </c>
    </row>
    <row r="210">
      <c r="A210" s="2" t="s">
        <v>836</v>
      </c>
      <c r="B210" s="2" t="s">
        <v>835</v>
      </c>
      <c r="C210" s="2" t="s">
        <v>837</v>
      </c>
      <c r="D210" s="2">
        <v>2.7322741780222393E-4</v>
      </c>
      <c r="E210" s="12" t="s">
        <v>838</v>
      </c>
    </row>
    <row r="211">
      <c r="A211" s="2" t="s">
        <v>840</v>
      </c>
      <c r="B211" s="2" t="s">
        <v>839</v>
      </c>
      <c r="C211" s="2" t="s">
        <v>841</v>
      </c>
      <c r="D211" s="2">
        <v>2.7322741780222393E-4</v>
      </c>
      <c r="E211" s="12" t="s">
        <v>842</v>
      </c>
    </row>
    <row r="212">
      <c r="A212" s="2" t="s">
        <v>843</v>
      </c>
      <c r="B212" s="2" t="s">
        <v>843</v>
      </c>
      <c r="C212" s="2" t="s">
        <v>844</v>
      </c>
      <c r="D212" s="2">
        <v>2.707567443433741E-4</v>
      </c>
      <c r="E212" s="12" t="s">
        <v>845</v>
      </c>
    </row>
    <row r="213">
      <c r="A213" s="2" t="s">
        <v>847</v>
      </c>
      <c r="B213" s="2" t="s">
        <v>846</v>
      </c>
      <c r="C213" s="2" t="s">
        <v>848</v>
      </c>
      <c r="D213" s="2">
        <v>2.707567443433741E-4</v>
      </c>
      <c r="E213" s="12" t="s">
        <v>849</v>
      </c>
    </row>
    <row r="214">
      <c r="A214" s="2" t="s">
        <v>851</v>
      </c>
      <c r="B214" s="2" t="s">
        <v>850</v>
      </c>
      <c r="C214" s="2" t="s">
        <v>852</v>
      </c>
      <c r="D214" s="2">
        <v>2.707567443433741E-4</v>
      </c>
      <c r="E214" s="12" t="s">
        <v>853</v>
      </c>
    </row>
    <row r="215">
      <c r="A215" s="2" t="s">
        <v>855</v>
      </c>
      <c r="B215" s="2" t="s">
        <v>854</v>
      </c>
      <c r="C215" s="2" t="s">
        <v>856</v>
      </c>
      <c r="D215" s="2">
        <v>2.707567443433741E-4</v>
      </c>
      <c r="E215" s="12" t="s">
        <v>857</v>
      </c>
    </row>
    <row r="216">
      <c r="A216" s="2" t="s">
        <v>859</v>
      </c>
      <c r="B216" s="2" t="s">
        <v>858</v>
      </c>
      <c r="C216" s="2" t="s">
        <v>860</v>
      </c>
      <c r="D216" s="2">
        <v>2.707567443433741E-4</v>
      </c>
      <c r="E216" s="12" t="s">
        <v>861</v>
      </c>
    </row>
    <row r="217">
      <c r="A217" s="2" t="s">
        <v>863</v>
      </c>
      <c r="B217" s="2" t="s">
        <v>862</v>
      </c>
      <c r="C217" s="2" t="s">
        <v>864</v>
      </c>
      <c r="D217" s="2">
        <v>2.707567443433741E-4</v>
      </c>
      <c r="E217" s="12" t="s">
        <v>865</v>
      </c>
    </row>
    <row r="218">
      <c r="A218" s="2" t="s">
        <v>867</v>
      </c>
      <c r="B218" s="2" t="s">
        <v>866</v>
      </c>
      <c r="C218" s="2" t="s">
        <v>868</v>
      </c>
      <c r="D218" s="2">
        <v>2.707567443433741E-4</v>
      </c>
      <c r="E218" s="12" t="s">
        <v>869</v>
      </c>
    </row>
    <row r="219">
      <c r="A219" s="2" t="s">
        <v>871</v>
      </c>
      <c r="B219" s="2" t="s">
        <v>870</v>
      </c>
      <c r="C219" s="2" t="s">
        <v>872</v>
      </c>
      <c r="D219" s="2">
        <v>2.707567443433741E-4</v>
      </c>
      <c r="E219" s="12" t="s">
        <v>873</v>
      </c>
    </row>
    <row r="220">
      <c r="A220" s="2" t="s">
        <v>875</v>
      </c>
      <c r="B220" s="2" t="s">
        <v>874</v>
      </c>
      <c r="C220" s="2" t="s">
        <v>876</v>
      </c>
      <c r="D220" s="2">
        <v>2.707567443433741E-4</v>
      </c>
      <c r="E220" s="12" t="s">
        <v>877</v>
      </c>
    </row>
    <row r="221">
      <c r="A221" s="2" t="s">
        <v>879</v>
      </c>
      <c r="B221" s="2" t="s">
        <v>878</v>
      </c>
      <c r="C221" s="2" t="s">
        <v>880</v>
      </c>
      <c r="D221" s="2">
        <v>2.707567443433741E-4</v>
      </c>
      <c r="E221" s="12" t="s">
        <v>881</v>
      </c>
    </row>
    <row r="222">
      <c r="A222" s="2" t="s">
        <v>883</v>
      </c>
      <c r="B222" s="2" t="s">
        <v>882</v>
      </c>
      <c r="C222" s="2" t="s">
        <v>884</v>
      </c>
      <c r="D222" s="2">
        <v>2.707567443433741E-4</v>
      </c>
      <c r="E222" s="12" t="s">
        <v>885</v>
      </c>
    </row>
    <row r="223">
      <c r="A223" s="2" t="s">
        <v>887</v>
      </c>
      <c r="B223" s="2" t="s">
        <v>886</v>
      </c>
      <c r="C223" s="2" t="s">
        <v>888</v>
      </c>
      <c r="D223" s="2">
        <v>2.707567443433741E-4</v>
      </c>
      <c r="E223" s="12" t="s">
        <v>889</v>
      </c>
    </row>
    <row r="224">
      <c r="A224" s="2" t="s">
        <v>891</v>
      </c>
      <c r="B224" s="2" t="s">
        <v>890</v>
      </c>
      <c r="C224" s="2" t="s">
        <v>892</v>
      </c>
      <c r="D224" s="2">
        <v>2.707567443433741E-4</v>
      </c>
      <c r="E224" s="12" t="s">
        <v>893</v>
      </c>
    </row>
    <row r="225">
      <c r="A225" s="2" t="s">
        <v>895</v>
      </c>
      <c r="B225" s="2" t="s">
        <v>894</v>
      </c>
      <c r="C225" s="2" t="s">
        <v>896</v>
      </c>
      <c r="D225" s="2">
        <v>2.707567443433741E-4</v>
      </c>
      <c r="E225" s="12" t="s">
        <v>897</v>
      </c>
    </row>
    <row r="226">
      <c r="A226" s="2" t="s">
        <v>899</v>
      </c>
      <c r="B226" s="2" t="s">
        <v>898</v>
      </c>
      <c r="C226" s="2" t="s">
        <v>900</v>
      </c>
      <c r="D226" s="2">
        <v>2.707567443433741E-4</v>
      </c>
      <c r="E226" s="12" t="s">
        <v>901</v>
      </c>
    </row>
    <row r="227">
      <c r="A227" s="2" t="s">
        <v>903</v>
      </c>
      <c r="B227" s="2" t="s">
        <v>902</v>
      </c>
      <c r="C227" s="2" t="s">
        <v>904</v>
      </c>
      <c r="D227" s="2">
        <v>2.707567443433741E-4</v>
      </c>
      <c r="E227" s="12" t="s">
        <v>905</v>
      </c>
    </row>
    <row r="228">
      <c r="A228" s="2" t="s">
        <v>907</v>
      </c>
      <c r="B228" s="2" t="s">
        <v>906</v>
      </c>
      <c r="C228" s="2" t="s">
        <v>908</v>
      </c>
      <c r="D228" s="2">
        <v>2.707567443433741E-4</v>
      </c>
      <c r="E228" s="12" t="s">
        <v>909</v>
      </c>
    </row>
    <row r="229">
      <c r="A229" s="2" t="s">
        <v>911</v>
      </c>
      <c r="B229" s="2" t="s">
        <v>910</v>
      </c>
      <c r="C229" s="2" t="s">
        <v>912</v>
      </c>
      <c r="D229" s="2">
        <v>2.707567443433741E-4</v>
      </c>
      <c r="E229" s="12" t="s">
        <v>913</v>
      </c>
    </row>
    <row r="230">
      <c r="A230" s="2" t="s">
        <v>915</v>
      </c>
      <c r="B230" s="2" t="s">
        <v>914</v>
      </c>
      <c r="C230" s="2" t="s">
        <v>916</v>
      </c>
      <c r="D230" s="2">
        <v>2.707567443433741E-4</v>
      </c>
      <c r="E230" s="12" t="s">
        <v>917</v>
      </c>
    </row>
    <row r="231">
      <c r="A231" s="2" t="s">
        <v>919</v>
      </c>
      <c r="B231" s="2" t="s">
        <v>918</v>
      </c>
      <c r="C231" s="2" t="s">
        <v>920</v>
      </c>
      <c r="D231" s="2">
        <v>2.707567443433741E-4</v>
      </c>
      <c r="E231" s="12" t="s">
        <v>921</v>
      </c>
    </row>
    <row r="232">
      <c r="A232" s="2" t="s">
        <v>923</v>
      </c>
      <c r="B232" s="2" t="s">
        <v>922</v>
      </c>
      <c r="C232" s="2" t="s">
        <v>924</v>
      </c>
      <c r="D232" s="2">
        <v>2.707567443433741E-4</v>
      </c>
      <c r="E232" s="12" t="s">
        <v>925</v>
      </c>
    </row>
    <row r="233">
      <c r="A233" s="2" t="s">
        <v>927</v>
      </c>
      <c r="B233" s="2" t="s">
        <v>926</v>
      </c>
      <c r="C233" s="2" t="s">
        <v>928</v>
      </c>
      <c r="D233" s="2">
        <v>2.707567443433741E-4</v>
      </c>
      <c r="E233" s="12" t="s">
        <v>929</v>
      </c>
    </row>
    <row r="234">
      <c r="A234" s="2" t="s">
        <v>931</v>
      </c>
      <c r="B234" s="2" t="s">
        <v>930</v>
      </c>
      <c r="D234" s="2">
        <v>2.707567443433741E-4</v>
      </c>
      <c r="E234" s="12" t="s">
        <v>932</v>
      </c>
    </row>
    <row r="235">
      <c r="A235" s="2" t="s">
        <v>934</v>
      </c>
      <c r="B235" s="2" t="s">
        <v>933</v>
      </c>
      <c r="C235" s="2" t="s">
        <v>935</v>
      </c>
      <c r="D235" s="2">
        <v>2.707567443433741E-4</v>
      </c>
      <c r="E235" s="12" t="s">
        <v>936</v>
      </c>
    </row>
    <row r="236">
      <c r="A236" s="2" t="s">
        <v>938</v>
      </c>
      <c r="B236" s="2" t="s">
        <v>937</v>
      </c>
      <c r="C236" s="2" t="s">
        <v>939</v>
      </c>
      <c r="D236" s="2">
        <v>2.707567443433741E-4</v>
      </c>
      <c r="E236" s="12" t="s">
        <v>940</v>
      </c>
    </row>
    <row r="237">
      <c r="A237" s="2" t="s">
        <v>942</v>
      </c>
      <c r="B237" s="2" t="s">
        <v>941</v>
      </c>
      <c r="C237" s="2" t="s">
        <v>943</v>
      </c>
      <c r="D237" s="2">
        <v>2.707567443433741E-4</v>
      </c>
      <c r="E237" s="12" t="s">
        <v>944</v>
      </c>
    </row>
    <row r="238">
      <c r="A238" s="2" t="s">
        <v>946</v>
      </c>
      <c r="B238" s="2" t="s">
        <v>945</v>
      </c>
      <c r="C238" s="2" t="s">
        <v>947</v>
      </c>
      <c r="D238" s="2">
        <v>2.707567443433741E-4</v>
      </c>
      <c r="E238" s="12" t="s">
        <v>948</v>
      </c>
    </row>
    <row r="239">
      <c r="A239" s="2" t="s">
        <v>950</v>
      </c>
      <c r="B239" s="2" t="s">
        <v>949</v>
      </c>
      <c r="C239" s="2" t="s">
        <v>951</v>
      </c>
      <c r="D239" s="2">
        <v>2.707567443433741E-4</v>
      </c>
      <c r="E239" s="12" t="s">
        <v>952</v>
      </c>
    </row>
    <row r="240">
      <c r="A240" s="2" t="s">
        <v>954</v>
      </c>
      <c r="B240" s="2" t="s">
        <v>953</v>
      </c>
      <c r="C240" s="2" t="s">
        <v>955</v>
      </c>
      <c r="D240" s="2">
        <v>2.707567443433741E-4</v>
      </c>
      <c r="E240" s="12" t="s">
        <v>956</v>
      </c>
    </row>
    <row r="241">
      <c r="A241" s="2" t="s">
        <v>958</v>
      </c>
      <c r="B241" s="2" t="s">
        <v>957</v>
      </c>
      <c r="C241" s="2" t="s">
        <v>959</v>
      </c>
      <c r="D241" s="2">
        <v>2.6436387676859993E-4</v>
      </c>
      <c r="E241" s="12" t="s">
        <v>960</v>
      </c>
    </row>
    <row r="242">
      <c r="A242" s="2" t="s">
        <v>962</v>
      </c>
      <c r="B242" s="2" t="s">
        <v>961</v>
      </c>
      <c r="C242" s="2" t="s">
        <v>963</v>
      </c>
      <c r="D242" s="2">
        <v>2.6436387676859993E-4</v>
      </c>
      <c r="E242" s="12" t="s">
        <v>964</v>
      </c>
    </row>
    <row r="243">
      <c r="A243" s="2" t="s">
        <v>966</v>
      </c>
      <c r="B243" s="2" t="s">
        <v>965</v>
      </c>
      <c r="C243" s="2" t="s">
        <v>967</v>
      </c>
      <c r="D243" s="2">
        <v>2.6436387676859993E-4</v>
      </c>
      <c r="E243" s="12" t="s">
        <v>968</v>
      </c>
    </row>
    <row r="244">
      <c r="A244" s="2" t="s">
        <v>970</v>
      </c>
      <c r="B244" s="2" t="s">
        <v>969</v>
      </c>
      <c r="C244" s="2" t="s">
        <v>971</v>
      </c>
      <c r="D244" s="2">
        <v>2.6436387676859993E-4</v>
      </c>
      <c r="E244" s="12" t="s">
        <v>972</v>
      </c>
    </row>
    <row r="245">
      <c r="A245" s="2" t="s">
        <v>974</v>
      </c>
      <c r="B245" s="2" t="s">
        <v>973</v>
      </c>
      <c r="C245" s="2" t="s">
        <v>975</v>
      </c>
      <c r="D245" s="2">
        <v>2.6436387676859993E-4</v>
      </c>
      <c r="E245" s="12" t="s">
        <v>976</v>
      </c>
    </row>
    <row r="246">
      <c r="A246" s="2" t="s">
        <v>978</v>
      </c>
      <c r="B246" s="2" t="s">
        <v>977</v>
      </c>
      <c r="C246" s="2" t="s">
        <v>979</v>
      </c>
      <c r="D246" s="2">
        <v>2.6436387676859993E-4</v>
      </c>
      <c r="E246" s="12" t="s">
        <v>980</v>
      </c>
    </row>
    <row r="247">
      <c r="A247" s="2" t="s">
        <v>982</v>
      </c>
      <c r="B247" s="2" t="s">
        <v>981</v>
      </c>
      <c r="C247" s="2" t="s">
        <v>983</v>
      </c>
      <c r="D247" s="2">
        <v>2.6436387676859993E-4</v>
      </c>
      <c r="E247" s="12" t="s">
        <v>984</v>
      </c>
    </row>
    <row r="248">
      <c r="A248" s="2" t="s">
        <v>986</v>
      </c>
      <c r="B248" s="2" t="s">
        <v>985</v>
      </c>
      <c r="C248" s="2" t="s">
        <v>987</v>
      </c>
      <c r="D248" s="2">
        <v>2.6436387676859993E-4</v>
      </c>
      <c r="E248" s="12" t="s">
        <v>988</v>
      </c>
    </row>
    <row r="249">
      <c r="A249" s="2" t="s">
        <v>990</v>
      </c>
      <c r="B249" s="2" t="s">
        <v>989</v>
      </c>
      <c r="C249" s="2" t="s">
        <v>991</v>
      </c>
      <c r="D249" s="2">
        <v>2.5963871377854953E-4</v>
      </c>
      <c r="E249" s="12" t="s">
        <v>992</v>
      </c>
    </row>
    <row r="250">
      <c r="A250" s="2" t="s">
        <v>994</v>
      </c>
      <c r="B250" s="2" t="s">
        <v>993</v>
      </c>
      <c r="C250" s="2" t="s">
        <v>995</v>
      </c>
      <c r="D250" s="2">
        <v>2.5963871377854953E-4</v>
      </c>
      <c r="E250" s="12" t="s">
        <v>996</v>
      </c>
    </row>
    <row r="251">
      <c r="A251" s="2" t="s">
        <v>998</v>
      </c>
      <c r="B251" s="2" t="s">
        <v>997</v>
      </c>
      <c r="C251" s="2" t="s">
        <v>999</v>
      </c>
      <c r="D251" s="2">
        <v>2.5963871377854953E-4</v>
      </c>
      <c r="E251" s="12" t="s">
        <v>1000</v>
      </c>
    </row>
    <row r="252">
      <c r="A252" s="2" t="s">
        <v>1002</v>
      </c>
      <c r="B252" s="2" t="s">
        <v>1001</v>
      </c>
      <c r="C252" s="2" t="s">
        <v>1003</v>
      </c>
      <c r="D252" s="2">
        <v>2.5797100919382584E-4</v>
      </c>
      <c r="E252" s="12" t="s">
        <v>1004</v>
      </c>
    </row>
    <row r="253">
      <c r="A253" s="2" t="s">
        <v>1006</v>
      </c>
      <c r="B253" s="2" t="s">
        <v>1005</v>
      </c>
      <c r="C253" s="2" t="s">
        <v>1007</v>
      </c>
      <c r="D253" s="2">
        <v>2.5797100919382584E-4</v>
      </c>
      <c r="E253" s="12" t="s">
        <v>1008</v>
      </c>
    </row>
    <row r="254">
      <c r="A254" s="2" t="s">
        <v>1010</v>
      </c>
      <c r="B254" s="2" t="s">
        <v>1009</v>
      </c>
      <c r="C254" s="2" t="s">
        <v>1011</v>
      </c>
      <c r="D254" s="2">
        <v>2.5797100919382584E-4</v>
      </c>
      <c r="E254" s="12" t="s">
        <v>1012</v>
      </c>
    </row>
    <row r="255">
      <c r="A255" s="2" t="s">
        <v>1014</v>
      </c>
      <c r="B255" s="2" t="s">
        <v>1013</v>
      </c>
      <c r="C255" s="2" t="s">
        <v>1015</v>
      </c>
      <c r="D255" s="2">
        <v>2.5797100919382584E-4</v>
      </c>
      <c r="E255" s="12" t="s">
        <v>1016</v>
      </c>
    </row>
    <row r="256">
      <c r="A256" s="2" t="s">
        <v>1018</v>
      </c>
      <c r="B256" s="2" t="s">
        <v>1017</v>
      </c>
      <c r="C256" s="2" t="s">
        <v>1019</v>
      </c>
      <c r="D256" s="2">
        <v>2.5797100919382584E-4</v>
      </c>
      <c r="E256" s="12" t="s">
        <v>1020</v>
      </c>
    </row>
    <row r="257">
      <c r="A257" s="2" t="s">
        <v>1022</v>
      </c>
      <c r="B257" s="2" t="s">
        <v>1021</v>
      </c>
      <c r="C257" s="2" t="s">
        <v>1023</v>
      </c>
      <c r="D257" s="2">
        <v>2.5797100919382584E-4</v>
      </c>
      <c r="E257" s="12" t="s">
        <v>1024</v>
      </c>
    </row>
    <row r="258">
      <c r="A258" s="2" t="s">
        <v>1026</v>
      </c>
      <c r="B258" s="2" t="s">
        <v>1025</v>
      </c>
      <c r="C258" s="2" t="s">
        <v>1027</v>
      </c>
      <c r="D258" s="2">
        <v>2.5797100919382584E-4</v>
      </c>
      <c r="E258" s="12" t="s">
        <v>1028</v>
      </c>
    </row>
    <row r="259">
      <c r="A259" s="2" t="s">
        <v>1030</v>
      </c>
      <c r="B259" s="2" t="s">
        <v>1029</v>
      </c>
      <c r="C259" s="2" t="s">
        <v>1031</v>
      </c>
      <c r="D259" s="2">
        <v>2.5797100919382584E-4</v>
      </c>
      <c r="E259" s="12" t="s">
        <v>1032</v>
      </c>
    </row>
    <row r="260">
      <c r="A260" s="2" t="s">
        <v>1034</v>
      </c>
      <c r="B260" s="2" t="s">
        <v>1033</v>
      </c>
      <c r="C260" s="2" t="s">
        <v>1035</v>
      </c>
      <c r="D260" s="2">
        <v>2.565503719549872E-4</v>
      </c>
      <c r="E260" s="12" t="s">
        <v>1036</v>
      </c>
    </row>
    <row r="261">
      <c r="A261" s="2" t="s">
        <v>1038</v>
      </c>
      <c r="B261" s="2" t="s">
        <v>1037</v>
      </c>
      <c r="C261" s="2" t="s">
        <v>1039</v>
      </c>
      <c r="D261" s="2">
        <v>2.5655037195498713E-4</v>
      </c>
      <c r="E261" s="12" t="s">
        <v>1040</v>
      </c>
    </row>
    <row r="262">
      <c r="A262" s="2" t="s">
        <v>1042</v>
      </c>
      <c r="B262" s="2" t="s">
        <v>1041</v>
      </c>
      <c r="C262" s="2" t="s">
        <v>1043</v>
      </c>
      <c r="D262" s="2">
        <v>2.5655037195498713E-4</v>
      </c>
      <c r="E262" s="12" t="s">
        <v>1044</v>
      </c>
    </row>
    <row r="263">
      <c r="A263" s="2" t="s">
        <v>1046</v>
      </c>
      <c r="B263" s="2" t="s">
        <v>1045</v>
      </c>
      <c r="C263" s="2" t="s">
        <v>1047</v>
      </c>
      <c r="D263" s="2">
        <v>2.560627390354411E-4</v>
      </c>
      <c r="E263" s="12" t="s">
        <v>1048</v>
      </c>
    </row>
    <row r="264">
      <c r="A264" s="2" t="s">
        <v>1050</v>
      </c>
      <c r="B264" s="2" t="s">
        <v>1049</v>
      </c>
      <c r="C264" s="2" t="s">
        <v>1051</v>
      </c>
      <c r="D264" s="2">
        <v>2.5350061105271416E-4</v>
      </c>
      <c r="E264" s="12" t="s">
        <v>1052</v>
      </c>
    </row>
    <row r="265">
      <c r="A265" s="2" t="s">
        <v>1054</v>
      </c>
      <c r="B265" s="2" t="s">
        <v>1053</v>
      </c>
      <c r="C265" s="2" t="s">
        <v>1055</v>
      </c>
      <c r="D265" s="2">
        <v>2.494471857607937E-4</v>
      </c>
      <c r="E265" s="12" t="s">
        <v>1056</v>
      </c>
    </row>
    <row r="266">
      <c r="A266" s="2" t="s">
        <v>1058</v>
      </c>
      <c r="B266" s="2" t="s">
        <v>1057</v>
      </c>
      <c r="C266" s="2" t="s">
        <v>1059</v>
      </c>
      <c r="D266" s="2">
        <v>2.494471857607937E-4</v>
      </c>
      <c r="E266" s="12" t="s">
        <v>1060</v>
      </c>
    </row>
    <row r="267">
      <c r="A267" s="2" t="s">
        <v>1062</v>
      </c>
      <c r="B267" s="2" t="s">
        <v>1061</v>
      </c>
      <c r="C267" s="2" t="s">
        <v>1063</v>
      </c>
      <c r="D267" s="2">
        <v>2.485206832135894E-4</v>
      </c>
      <c r="E267" s="12" t="s">
        <v>1064</v>
      </c>
    </row>
    <row r="268">
      <c r="A268" s="2" t="s">
        <v>1066</v>
      </c>
      <c r="B268" s="2" t="s">
        <v>1065</v>
      </c>
      <c r="C268" s="2" t="s">
        <v>1067</v>
      </c>
      <c r="D268" s="2">
        <v>2.485206832135894E-4</v>
      </c>
      <c r="E268" s="12" t="s">
        <v>1068</v>
      </c>
    </row>
    <row r="269">
      <c r="A269" s="2" t="s">
        <v>1070</v>
      </c>
      <c r="B269" s="2" t="s">
        <v>1069</v>
      </c>
      <c r="D269" s="2">
        <v>2.485206832135894E-4</v>
      </c>
      <c r="E269" s="12" t="s">
        <v>1071</v>
      </c>
    </row>
    <row r="270">
      <c r="A270" s="2" t="s">
        <v>1073</v>
      </c>
      <c r="B270" s="2" t="s">
        <v>1072</v>
      </c>
      <c r="C270" s="2" t="s">
        <v>1074</v>
      </c>
      <c r="D270" s="2">
        <v>2.48026548521955E-4</v>
      </c>
      <c r="E270" s="12" t="s">
        <v>1075</v>
      </c>
    </row>
    <row r="271">
      <c r="A271" s="2" t="s">
        <v>1076</v>
      </c>
      <c r="B271" s="2" t="s">
        <v>1076</v>
      </c>
      <c r="C271" s="2" t="s">
        <v>1077</v>
      </c>
      <c r="D271" s="2">
        <v>2.4655374789625106E-4</v>
      </c>
      <c r="E271" s="12" t="s">
        <v>1078</v>
      </c>
    </row>
    <row r="272">
      <c r="A272" s="2" t="s">
        <v>1080</v>
      </c>
      <c r="B272" s="2" t="s">
        <v>1079</v>
      </c>
      <c r="C272" s="2" t="s">
        <v>1081</v>
      </c>
      <c r="D272" s="2">
        <v>2.4592755700157085E-4</v>
      </c>
      <c r="E272" s="12" t="s">
        <v>1082</v>
      </c>
    </row>
    <row r="273">
      <c r="A273" s="2" t="s">
        <v>1084</v>
      </c>
      <c r="B273" s="2" t="s">
        <v>1083</v>
      </c>
      <c r="C273" s="2" t="s">
        <v>1085</v>
      </c>
      <c r="D273" s="2">
        <v>2.451852740442776E-4</v>
      </c>
      <c r="E273" s="12" t="s">
        <v>1086</v>
      </c>
    </row>
    <row r="274">
      <c r="A274" s="2" t="s">
        <v>1088</v>
      </c>
      <c r="B274" s="2" t="s">
        <v>1087</v>
      </c>
      <c r="C274" s="2" t="s">
        <v>1089</v>
      </c>
      <c r="D274" s="2">
        <v>2.423439995666002E-4</v>
      </c>
      <c r="E274" s="12" t="s">
        <v>1090</v>
      </c>
    </row>
    <row r="275">
      <c r="A275" s="2" t="s">
        <v>1092</v>
      </c>
      <c r="B275" s="2" t="s">
        <v>1091</v>
      </c>
      <c r="C275" s="2" t="s">
        <v>1093</v>
      </c>
      <c r="D275" s="2">
        <v>2.4099101172008716E-4</v>
      </c>
      <c r="E275" s="12" t="s">
        <v>1094</v>
      </c>
    </row>
    <row r="276">
      <c r="A276" s="2" t="s">
        <v>1096</v>
      </c>
      <c r="B276" s="2" t="s">
        <v>1095</v>
      </c>
      <c r="C276" s="2" t="s">
        <v>1097</v>
      </c>
      <c r="D276" s="2">
        <v>2.396380238735485E-4</v>
      </c>
      <c r="E276" s="12" t="s">
        <v>1098</v>
      </c>
    </row>
    <row r="277">
      <c r="A277" s="2" t="s">
        <v>1100</v>
      </c>
      <c r="B277" s="2" t="s">
        <v>1099</v>
      </c>
      <c r="C277" s="2" t="s">
        <v>1101</v>
      </c>
      <c r="D277" s="2">
        <v>2.3808208785008414E-4</v>
      </c>
      <c r="E277" s="12" t="s">
        <v>1102</v>
      </c>
    </row>
    <row r="278">
      <c r="A278" s="2" t="s">
        <v>1104</v>
      </c>
      <c r="B278" s="2" t="s">
        <v>1103</v>
      </c>
      <c r="C278" s="2" t="s">
        <v>1105</v>
      </c>
      <c r="D278" s="2">
        <v>2.3740265264890045E-4</v>
      </c>
      <c r="E278" s="12" t="s">
        <v>1106</v>
      </c>
    </row>
    <row r="279">
      <c r="A279" s="2" t="s">
        <v>1108</v>
      </c>
      <c r="B279" s="2" t="s">
        <v>1107</v>
      </c>
      <c r="D279" s="2">
        <v>2.3737176923066482E-4</v>
      </c>
      <c r="E279" s="12" t="s">
        <v>1109</v>
      </c>
    </row>
    <row r="280">
      <c r="A280" s="2" t="s">
        <v>1111</v>
      </c>
      <c r="B280" s="2" t="s">
        <v>1110</v>
      </c>
      <c r="C280" s="2" t="s">
        <v>1112</v>
      </c>
      <c r="D280" s="2">
        <v>2.3337229746149522E-4</v>
      </c>
      <c r="E280" s="12" t="s">
        <v>1113</v>
      </c>
    </row>
    <row r="281">
      <c r="A281" s="2" t="s">
        <v>1115</v>
      </c>
      <c r="B281" s="2" t="s">
        <v>1114</v>
      </c>
      <c r="C281" s="2" t="s">
        <v>1116</v>
      </c>
      <c r="D281" s="2">
        <v>2.281376271782133E-4</v>
      </c>
      <c r="E281" s="12" t="s">
        <v>1117</v>
      </c>
    </row>
    <row r="282">
      <c r="A282" s="2" t="s">
        <v>1119</v>
      </c>
      <c r="B282" s="2" t="s">
        <v>1118</v>
      </c>
      <c r="C282" s="2" t="s">
        <v>1120</v>
      </c>
      <c r="D282" s="2">
        <v>2.281376271782133E-4</v>
      </c>
      <c r="E282" s="12" t="s">
        <v>1121</v>
      </c>
    </row>
    <row r="283">
      <c r="A283" s="2" t="s">
        <v>1123</v>
      </c>
      <c r="B283" s="2" t="s">
        <v>1122</v>
      </c>
      <c r="C283" s="2" t="s">
        <v>1124</v>
      </c>
      <c r="D283" s="2">
        <v>2.281376271782133E-4</v>
      </c>
      <c r="E283" s="12" t="s">
        <v>1125</v>
      </c>
    </row>
    <row r="284">
      <c r="A284" s="2" t="s">
        <v>1127</v>
      </c>
      <c r="B284" s="2" t="s">
        <v>1126</v>
      </c>
      <c r="C284" s="2" t="s">
        <v>1128</v>
      </c>
      <c r="D284" s="2">
        <v>2.281376271782133E-4</v>
      </c>
      <c r="E284" s="12" t="s">
        <v>1129</v>
      </c>
    </row>
    <row r="285">
      <c r="A285" s="2" t="s">
        <v>1131</v>
      </c>
      <c r="B285" s="2" t="s">
        <v>1130</v>
      </c>
      <c r="C285" s="2" t="s">
        <v>1132</v>
      </c>
      <c r="D285" s="2">
        <v>2.281376271782133E-4</v>
      </c>
      <c r="E285" s="12" t="s">
        <v>1133</v>
      </c>
    </row>
    <row r="286">
      <c r="A286" s="2" t="s">
        <v>1135</v>
      </c>
      <c r="B286" s="2" t="s">
        <v>1134</v>
      </c>
      <c r="C286" s="2" t="s">
        <v>1136</v>
      </c>
      <c r="D286" s="2">
        <v>2.281376271782133E-4</v>
      </c>
      <c r="E286" s="12" t="s">
        <v>1137</v>
      </c>
    </row>
    <row r="287">
      <c r="A287" s="2" t="s">
        <v>1139</v>
      </c>
      <c r="B287" s="2" t="s">
        <v>1138</v>
      </c>
      <c r="C287" s="2" t="s">
        <v>1140</v>
      </c>
      <c r="D287" s="2">
        <v>2.281376271782133E-4</v>
      </c>
      <c r="E287" s="12" t="s">
        <v>1141</v>
      </c>
    </row>
    <row r="288">
      <c r="A288" s="2" t="s">
        <v>1143</v>
      </c>
      <c r="B288" s="2" t="s">
        <v>1142</v>
      </c>
      <c r="C288" s="2" t="s">
        <v>1144</v>
      </c>
      <c r="D288" s="2">
        <v>2.281376271782133E-4</v>
      </c>
      <c r="E288" s="12" t="s">
        <v>1145</v>
      </c>
    </row>
    <row r="289">
      <c r="A289" s="2" t="s">
        <v>1147</v>
      </c>
      <c r="B289" s="2" t="s">
        <v>1146</v>
      </c>
      <c r="C289" s="2" t="s">
        <v>1148</v>
      </c>
      <c r="D289" s="2">
        <v>2.281376271782133E-4</v>
      </c>
      <c r="E289" s="12" t="s">
        <v>1149</v>
      </c>
    </row>
    <row r="290">
      <c r="A290" s="2" t="s">
        <v>1151</v>
      </c>
      <c r="B290" s="2" t="s">
        <v>1150</v>
      </c>
      <c r="C290" s="2" t="s">
        <v>1152</v>
      </c>
      <c r="D290" s="2">
        <v>2.281376271782133E-4</v>
      </c>
      <c r="E290" s="12" t="s">
        <v>1153</v>
      </c>
    </row>
    <row r="291">
      <c r="A291" s="2" t="s">
        <v>1155</v>
      </c>
      <c r="B291" s="2" t="s">
        <v>1154</v>
      </c>
      <c r="C291" s="2" t="s">
        <v>1156</v>
      </c>
      <c r="D291" s="2">
        <v>2.281376271782133E-4</v>
      </c>
      <c r="E291" s="12" t="s">
        <v>1157</v>
      </c>
    </row>
    <row r="292">
      <c r="A292" s="2" t="s">
        <v>1159</v>
      </c>
      <c r="B292" s="2" t="s">
        <v>1158</v>
      </c>
      <c r="C292" s="2" t="s">
        <v>1160</v>
      </c>
      <c r="D292" s="2">
        <v>2.281376271782133E-4</v>
      </c>
      <c r="E292" s="12" t="s">
        <v>1161</v>
      </c>
    </row>
    <row r="293">
      <c r="A293" s="2" t="s">
        <v>1163</v>
      </c>
      <c r="B293" s="2" t="s">
        <v>1162</v>
      </c>
      <c r="C293" s="2" t="s">
        <v>1164</v>
      </c>
      <c r="D293" s="2">
        <v>2.281376271782133E-4</v>
      </c>
      <c r="E293" s="12" t="s">
        <v>1165</v>
      </c>
    </row>
    <row r="294">
      <c r="A294" s="2" t="s">
        <v>1167</v>
      </c>
      <c r="B294" s="2" t="s">
        <v>1166</v>
      </c>
      <c r="C294" s="2" t="s">
        <v>1168</v>
      </c>
      <c r="D294" s="2">
        <v>2.281376271782133E-4</v>
      </c>
      <c r="E294" s="12" t="s">
        <v>1169</v>
      </c>
    </row>
    <row r="295">
      <c r="A295" s="2" t="s">
        <v>1171</v>
      </c>
      <c r="B295" s="2" t="s">
        <v>1170</v>
      </c>
      <c r="C295" s="2" t="s">
        <v>1172</v>
      </c>
      <c r="D295" s="2">
        <v>2.281376271782133E-4</v>
      </c>
      <c r="E295" s="12" t="s">
        <v>1173</v>
      </c>
    </row>
    <row r="296">
      <c r="A296" s="2" t="s">
        <v>1175</v>
      </c>
      <c r="B296" s="2" t="s">
        <v>1174</v>
      </c>
      <c r="C296" s="2" t="s">
        <v>1176</v>
      </c>
      <c r="D296" s="2">
        <v>2.281376271782133E-4</v>
      </c>
      <c r="E296" s="12" t="s">
        <v>1177</v>
      </c>
    </row>
    <row r="297">
      <c r="A297" s="2" t="s">
        <v>1179</v>
      </c>
      <c r="B297" s="2" t="s">
        <v>1178</v>
      </c>
      <c r="C297" s="2" t="s">
        <v>1180</v>
      </c>
      <c r="D297" s="2">
        <v>2.2600667131995528E-4</v>
      </c>
      <c r="E297" s="12" t="s">
        <v>1181</v>
      </c>
    </row>
    <row r="298">
      <c r="A298" s="2" t="s">
        <v>1183</v>
      </c>
      <c r="B298" s="2" t="s">
        <v>1182</v>
      </c>
      <c r="C298" s="2" t="s">
        <v>1184</v>
      </c>
      <c r="D298" s="2">
        <v>2.2450343889281202E-4</v>
      </c>
      <c r="E298" s="12" t="s">
        <v>1185</v>
      </c>
    </row>
    <row r="299">
      <c r="A299" s="2" t="s">
        <v>1187</v>
      </c>
      <c r="B299" s="2" t="s">
        <v>1186</v>
      </c>
      <c r="C299" s="2" t="s">
        <v>1188</v>
      </c>
      <c r="D299" s="2">
        <v>2.23813948625226E-4</v>
      </c>
      <c r="E299" s="12" t="s">
        <v>1189</v>
      </c>
    </row>
    <row r="300">
      <c r="A300" s="2" t="s">
        <v>1191</v>
      </c>
      <c r="B300" s="2" t="s">
        <v>1190</v>
      </c>
      <c r="C300" s="2" t="s">
        <v>1192</v>
      </c>
      <c r="D300" s="2">
        <v>2.2371724907667705E-4</v>
      </c>
      <c r="E300" s="12" t="s">
        <v>1193</v>
      </c>
    </row>
    <row r="301">
      <c r="A301" s="2" t="s">
        <v>1195</v>
      </c>
      <c r="B301" s="2" t="s">
        <v>1194</v>
      </c>
      <c r="C301" s="2" t="s">
        <v>1196</v>
      </c>
      <c r="D301" s="2">
        <v>2.2371724907622206E-4</v>
      </c>
      <c r="E301" s="12" t="s">
        <v>1197</v>
      </c>
    </row>
    <row r="302">
      <c r="A302" s="2" t="s">
        <v>1199</v>
      </c>
      <c r="B302" s="2" t="s">
        <v>1198</v>
      </c>
      <c r="C302" s="2" t="s">
        <v>1200</v>
      </c>
      <c r="D302" s="2">
        <v>2.217447596034392E-4</v>
      </c>
      <c r="E302" s="12" t="s">
        <v>1201</v>
      </c>
    </row>
    <row r="303">
      <c r="A303" s="2" t="s">
        <v>1203</v>
      </c>
      <c r="B303" s="2" t="s">
        <v>1202</v>
      </c>
      <c r="C303" s="2" t="s">
        <v>1204</v>
      </c>
      <c r="D303" s="2">
        <v>2.217447596034392E-4</v>
      </c>
      <c r="E303" s="12" t="s">
        <v>1205</v>
      </c>
    </row>
    <row r="304">
      <c r="A304" s="2" t="s">
        <v>1207</v>
      </c>
      <c r="B304" s="2" t="s">
        <v>1206</v>
      </c>
      <c r="C304" s="2" t="s">
        <v>1208</v>
      </c>
      <c r="D304" s="2">
        <v>2.217447596034392E-4</v>
      </c>
      <c r="E304" s="12" t="s">
        <v>1209</v>
      </c>
    </row>
    <row r="305">
      <c r="A305" s="2" t="s">
        <v>1211</v>
      </c>
      <c r="B305" s="2" t="s">
        <v>1210</v>
      </c>
      <c r="C305" s="2" t="s">
        <v>1212</v>
      </c>
      <c r="D305" s="2">
        <v>2.217447596034392E-4</v>
      </c>
      <c r="E305" s="12" t="s">
        <v>1213</v>
      </c>
    </row>
    <row r="306">
      <c r="A306" s="2" t="s">
        <v>1215</v>
      </c>
      <c r="B306" s="2" t="s">
        <v>1214</v>
      </c>
      <c r="C306" s="2" t="s">
        <v>1216</v>
      </c>
      <c r="D306" s="2">
        <v>2.217447596034392E-4</v>
      </c>
      <c r="E306" s="12" t="s">
        <v>1217</v>
      </c>
    </row>
    <row r="307">
      <c r="A307" s="2" t="s">
        <v>1219</v>
      </c>
      <c r="B307" s="2" t="s">
        <v>1218</v>
      </c>
      <c r="C307" s="2" t="s">
        <v>1220</v>
      </c>
      <c r="D307" s="2">
        <v>2.217447596034392E-4</v>
      </c>
      <c r="E307" s="12" t="s">
        <v>1221</v>
      </c>
    </row>
    <row r="308">
      <c r="A308" s="2" t="s">
        <v>1223</v>
      </c>
      <c r="B308" s="2" t="s">
        <v>1222</v>
      </c>
      <c r="C308" s="2" t="s">
        <v>1224</v>
      </c>
      <c r="D308" s="2">
        <v>2.2103444098401983E-4</v>
      </c>
      <c r="E308" s="12" t="s">
        <v>1225</v>
      </c>
    </row>
    <row r="309">
      <c r="A309" s="2" t="s">
        <v>1227</v>
      </c>
      <c r="B309" s="2" t="s">
        <v>1226</v>
      </c>
      <c r="C309" s="2" t="s">
        <v>1228</v>
      </c>
      <c r="D309" s="2">
        <v>2.1705665671527155E-4</v>
      </c>
      <c r="E309" s="12" t="s">
        <v>1229</v>
      </c>
    </row>
    <row r="310">
      <c r="A310" s="2" t="s">
        <v>1231</v>
      </c>
      <c r="B310" s="2" t="s">
        <v>1230</v>
      </c>
      <c r="C310" s="2" t="s">
        <v>1232</v>
      </c>
      <c r="D310" s="2">
        <v>2.1474304749773425E-4</v>
      </c>
      <c r="E310" s="12" t="s">
        <v>1233</v>
      </c>
    </row>
    <row r="311">
      <c r="A311" s="2" t="s">
        <v>1235</v>
      </c>
      <c r="B311" s="2" t="s">
        <v>1234</v>
      </c>
      <c r="C311" s="2" t="s">
        <v>1236</v>
      </c>
      <c r="D311" s="2">
        <v>2.139312547898264E-4</v>
      </c>
      <c r="E311" s="12" t="s">
        <v>1237</v>
      </c>
    </row>
    <row r="312">
      <c r="A312" s="2" t="s">
        <v>1239</v>
      </c>
      <c r="B312" s="2" t="s">
        <v>1238</v>
      </c>
      <c r="C312" s="2" t="s">
        <v>1240</v>
      </c>
      <c r="D312" s="2">
        <v>2.139312547898264E-4</v>
      </c>
      <c r="E312" s="12" t="s">
        <v>1241</v>
      </c>
    </row>
    <row r="313">
      <c r="A313" s="2" t="s">
        <v>1243</v>
      </c>
      <c r="B313" s="2" t="s">
        <v>1242</v>
      </c>
      <c r="C313" s="2" t="s">
        <v>1244</v>
      </c>
      <c r="D313" s="2">
        <v>2.139312547898264E-4</v>
      </c>
      <c r="E313" s="12" t="s">
        <v>1245</v>
      </c>
    </row>
    <row r="314">
      <c r="A314" s="2" t="s">
        <v>1247</v>
      </c>
      <c r="B314" s="2" t="s">
        <v>1246</v>
      </c>
      <c r="C314" s="2" t="s">
        <v>1248</v>
      </c>
      <c r="D314" s="2">
        <v>2.139312547898264E-4</v>
      </c>
      <c r="E314" s="12" t="s">
        <v>1249</v>
      </c>
    </row>
    <row r="315">
      <c r="A315" s="2" t="s">
        <v>1251</v>
      </c>
      <c r="B315" s="2" t="s">
        <v>1250</v>
      </c>
      <c r="C315" s="2" t="s">
        <v>1252</v>
      </c>
      <c r="D315" s="2">
        <v>2.139312547898264E-4</v>
      </c>
      <c r="E315" s="12" t="s">
        <v>1253</v>
      </c>
    </row>
    <row r="316">
      <c r="A316" s="2" t="s">
        <v>1255</v>
      </c>
      <c r="B316" s="2" t="s">
        <v>1254</v>
      </c>
      <c r="C316" s="2" t="s">
        <v>1256</v>
      </c>
      <c r="D316" s="2">
        <v>2.1257826694331334E-4</v>
      </c>
      <c r="E316" s="12" t="s">
        <v>1257</v>
      </c>
    </row>
    <row r="317">
      <c r="A317" s="2" t="s">
        <v>1259</v>
      </c>
      <c r="B317" s="2" t="s">
        <v>1258</v>
      </c>
      <c r="C317" s="2" t="s">
        <v>1260</v>
      </c>
      <c r="D317" s="2">
        <v>2.1180029893156838E-4</v>
      </c>
      <c r="E317" s="12" t="s">
        <v>1261</v>
      </c>
    </row>
    <row r="318">
      <c r="A318" s="2" t="s">
        <v>1263</v>
      </c>
      <c r="B318" s="2" t="s">
        <v>1262</v>
      </c>
      <c r="D318" s="2">
        <v>2.1180029893156838E-4</v>
      </c>
      <c r="E318" s="12" t="s">
        <v>1264</v>
      </c>
    </row>
    <row r="319">
      <c r="A319" s="2" t="s">
        <v>1266</v>
      </c>
      <c r="B319" s="2" t="s">
        <v>1265</v>
      </c>
      <c r="C319" s="2" t="s">
        <v>1267</v>
      </c>
      <c r="D319" s="2">
        <v>2.0966934307331032E-4</v>
      </c>
      <c r="E319" s="12" t="s">
        <v>1268</v>
      </c>
    </row>
    <row r="320">
      <c r="A320" s="2" t="s">
        <v>1270</v>
      </c>
      <c r="B320" s="2" t="s">
        <v>1269</v>
      </c>
      <c r="C320" s="2" t="s">
        <v>1271</v>
      </c>
      <c r="D320" s="2">
        <v>2.0966934307331032E-4</v>
      </c>
      <c r="E320" s="12" t="s">
        <v>1272</v>
      </c>
    </row>
    <row r="321">
      <c r="A321" s="2" t="s">
        <v>1274</v>
      </c>
      <c r="B321" s="2" t="s">
        <v>1273</v>
      </c>
      <c r="C321" s="2" t="s">
        <v>1275</v>
      </c>
      <c r="D321" s="2">
        <v>2.0849366649519275E-4</v>
      </c>
      <c r="E321" s="12" t="s">
        <v>1276</v>
      </c>
    </row>
    <row r="322">
      <c r="A322" s="2" t="s">
        <v>1278</v>
      </c>
      <c r="B322" s="2" t="s">
        <v>1277</v>
      </c>
      <c r="C322" s="2" t="s">
        <v>1279</v>
      </c>
      <c r="D322" s="2">
        <v>2.07984401231897E-4</v>
      </c>
      <c r="E322" s="12" t="s">
        <v>1280</v>
      </c>
    </row>
    <row r="323">
      <c r="A323" s="2" t="s">
        <v>1282</v>
      </c>
      <c r="B323" s="2" t="s">
        <v>1281</v>
      </c>
      <c r="C323" s="2" t="s">
        <v>1283</v>
      </c>
      <c r="D323" s="2">
        <v>2.0682806859563294E-4</v>
      </c>
      <c r="E323" s="12" t="s">
        <v>1284</v>
      </c>
    </row>
    <row r="324">
      <c r="A324" s="2" t="s">
        <v>1286</v>
      </c>
      <c r="B324" s="2" t="s">
        <v>1285</v>
      </c>
      <c r="D324" s="2">
        <v>2.0256615687911687E-4</v>
      </c>
      <c r="E324" s="12" t="s">
        <v>1287</v>
      </c>
    </row>
    <row r="325">
      <c r="A325" s="2" t="s">
        <v>1289</v>
      </c>
      <c r="B325" s="2" t="s">
        <v>1288</v>
      </c>
      <c r="C325" s="2" t="s">
        <v>1290</v>
      </c>
      <c r="D325" s="2">
        <v>1.9972488240143952E-4</v>
      </c>
      <c r="E325" s="12" t="s">
        <v>1291</v>
      </c>
    </row>
    <row r="326">
      <c r="A326" s="2" t="s">
        <v>1293</v>
      </c>
      <c r="B326" s="2" t="s">
        <v>1292</v>
      </c>
      <c r="C326" s="2" t="s">
        <v>1294</v>
      </c>
      <c r="D326" s="2">
        <v>1.9946350210386658E-4</v>
      </c>
      <c r="E326" s="12" t="s">
        <v>1295</v>
      </c>
    </row>
    <row r="327">
      <c r="A327" s="2" t="s">
        <v>1297</v>
      </c>
      <c r="B327" s="2" t="s">
        <v>1296</v>
      </c>
      <c r="C327" s="2" t="s">
        <v>1298</v>
      </c>
      <c r="D327" s="2">
        <v>1.865406790177121E-4</v>
      </c>
      <c r="E327" s="12" t="s">
        <v>1299</v>
      </c>
    </row>
    <row r="328">
      <c r="A328" s="2" t="s">
        <v>1301</v>
      </c>
      <c r="B328" s="2" t="s">
        <v>1300</v>
      </c>
      <c r="C328" s="2" t="s">
        <v>1302</v>
      </c>
      <c r="D328" s="2">
        <v>1.865406790177121E-4</v>
      </c>
      <c r="E328" s="12" t="s">
        <v>1303</v>
      </c>
    </row>
    <row r="329">
      <c r="A329" s="2" t="s">
        <v>1305</v>
      </c>
      <c r="B329" s="2" t="s">
        <v>1304</v>
      </c>
      <c r="C329" s="2" t="s">
        <v>1306</v>
      </c>
      <c r="D329" s="2">
        <v>1.865406790177121E-4</v>
      </c>
      <c r="E329" s="12" t="s">
        <v>1307</v>
      </c>
    </row>
    <row r="330">
      <c r="A330" s="2" t="s">
        <v>1309</v>
      </c>
      <c r="B330" s="2" t="s">
        <v>1308</v>
      </c>
      <c r="C330" s="2" t="s">
        <v>1310</v>
      </c>
      <c r="D330" s="2">
        <v>1.855185100130526E-4</v>
      </c>
      <c r="E330" s="12" t="s">
        <v>1261</v>
      </c>
    </row>
    <row r="331">
      <c r="A331" s="2" t="s">
        <v>1312</v>
      </c>
      <c r="B331" s="2" t="s">
        <v>1311</v>
      </c>
      <c r="C331" s="2" t="s">
        <v>1313</v>
      </c>
      <c r="D331" s="2">
        <v>1.855185100130526E-4</v>
      </c>
      <c r="E331" s="12" t="s">
        <v>1314</v>
      </c>
    </row>
    <row r="332">
      <c r="A332" s="2" t="s">
        <v>1316</v>
      </c>
      <c r="B332" s="2" t="s">
        <v>1315</v>
      </c>
      <c r="C332" s="2" t="s">
        <v>1317</v>
      </c>
      <c r="D332" s="2">
        <v>1.855185100130526E-4</v>
      </c>
      <c r="E332" s="12" t="s">
        <v>1318</v>
      </c>
    </row>
    <row r="333">
      <c r="A333" s="2" t="s">
        <v>1320</v>
      </c>
      <c r="B333" s="2" t="s">
        <v>1319</v>
      </c>
      <c r="C333" s="2" t="s">
        <v>1321</v>
      </c>
      <c r="D333" s="2">
        <v>1.855185100130526E-4</v>
      </c>
      <c r="E333" s="12" t="s">
        <v>1322</v>
      </c>
    </row>
    <row r="334">
      <c r="A334" s="2" t="s">
        <v>1324</v>
      </c>
      <c r="B334" s="2" t="s">
        <v>1323</v>
      </c>
      <c r="C334" s="2" t="s">
        <v>1325</v>
      </c>
      <c r="D334" s="2">
        <v>1.855185100130526E-4</v>
      </c>
      <c r="E334" s="12" t="s">
        <v>1326</v>
      </c>
    </row>
    <row r="335">
      <c r="A335" s="2" t="s">
        <v>1328</v>
      </c>
      <c r="B335" s="2" t="s">
        <v>1327</v>
      </c>
      <c r="C335" s="2" t="s">
        <v>1329</v>
      </c>
      <c r="D335" s="2">
        <v>1.855185100130526E-4</v>
      </c>
      <c r="E335" s="12" t="s">
        <v>1330</v>
      </c>
    </row>
    <row r="336">
      <c r="A336" s="2" t="s">
        <v>1332</v>
      </c>
      <c r="B336" s="2" t="s">
        <v>1331</v>
      </c>
      <c r="C336" s="2" t="s">
        <v>1333</v>
      </c>
      <c r="D336" s="2">
        <v>1.855185100130526E-4</v>
      </c>
      <c r="E336" s="12" t="s">
        <v>1334</v>
      </c>
    </row>
    <row r="337">
      <c r="A337" s="2" t="s">
        <v>1336</v>
      </c>
      <c r="B337" s="2" t="s">
        <v>1335</v>
      </c>
      <c r="C337" s="2" t="s">
        <v>1337</v>
      </c>
      <c r="D337" s="2">
        <v>1.855185100130526E-4</v>
      </c>
      <c r="E337" s="12" t="s">
        <v>1338</v>
      </c>
    </row>
    <row r="338">
      <c r="A338" s="2" t="s">
        <v>1340</v>
      </c>
      <c r="B338" s="2" t="s">
        <v>1339</v>
      </c>
      <c r="C338" s="2" t="s">
        <v>1341</v>
      </c>
      <c r="D338" s="2">
        <v>1.855185100130526E-4</v>
      </c>
      <c r="E338" s="12" t="s">
        <v>1342</v>
      </c>
    </row>
    <row r="339">
      <c r="A339" s="2" t="s">
        <v>1344</v>
      </c>
      <c r="B339" s="2" t="s">
        <v>1343</v>
      </c>
      <c r="C339" s="2" t="s">
        <v>1345</v>
      </c>
      <c r="D339" s="2">
        <v>1.855185100130526E-4</v>
      </c>
      <c r="E339" s="12" t="s">
        <v>1346</v>
      </c>
    </row>
    <row r="340">
      <c r="A340" s="2" t="s">
        <v>1348</v>
      </c>
      <c r="B340" s="2" t="s">
        <v>1347</v>
      </c>
      <c r="C340" s="2" t="s">
        <v>1349</v>
      </c>
      <c r="D340" s="2">
        <v>1.855185100130526E-4</v>
      </c>
      <c r="E340" s="12" t="s">
        <v>1350</v>
      </c>
    </row>
    <row r="341">
      <c r="A341" s="2" t="s">
        <v>1352</v>
      </c>
      <c r="B341" s="2" t="s">
        <v>1351</v>
      </c>
      <c r="C341" s="2" t="s">
        <v>1353</v>
      </c>
      <c r="D341" s="2">
        <v>1.855185100130526E-4</v>
      </c>
      <c r="E341" s="12" t="s">
        <v>1354</v>
      </c>
    </row>
    <row r="342">
      <c r="A342" s="2" t="s">
        <v>1356</v>
      </c>
      <c r="B342" s="2" t="s">
        <v>1355</v>
      </c>
      <c r="C342" s="2" t="s">
        <v>1357</v>
      </c>
      <c r="D342" s="2">
        <v>1.855185100130526E-4</v>
      </c>
      <c r="E342" s="12" t="s">
        <v>1358</v>
      </c>
    </row>
    <row r="343">
      <c r="A343" s="2" t="s">
        <v>1360</v>
      </c>
      <c r="B343" s="2" t="s">
        <v>1359</v>
      </c>
      <c r="C343" s="2" t="s">
        <v>1361</v>
      </c>
      <c r="D343" s="2">
        <v>1.855185100130526E-4</v>
      </c>
      <c r="E343" s="12" t="s">
        <v>1362</v>
      </c>
    </row>
    <row r="344">
      <c r="A344" s="2" t="s">
        <v>1364</v>
      </c>
      <c r="B344" s="2" t="s">
        <v>1363</v>
      </c>
      <c r="C344" s="2" t="s">
        <v>1365</v>
      </c>
      <c r="D344" s="2">
        <v>1.855185100130526E-4</v>
      </c>
      <c r="E344" s="12" t="s">
        <v>1366</v>
      </c>
    </row>
    <row r="345">
      <c r="A345" s="2" t="s">
        <v>1368</v>
      </c>
      <c r="B345" s="2" t="s">
        <v>1367</v>
      </c>
      <c r="C345" s="2" t="s">
        <v>1369</v>
      </c>
      <c r="D345" s="2">
        <v>1.855185100130526E-4</v>
      </c>
      <c r="E345" s="12" t="s">
        <v>1370</v>
      </c>
    </row>
    <row r="346">
      <c r="A346" s="2" t="s">
        <v>1372</v>
      </c>
      <c r="B346" s="2" t="s">
        <v>1371</v>
      </c>
      <c r="C346" s="2" t="s">
        <v>1373</v>
      </c>
      <c r="D346" s="2">
        <v>1.855185100130526E-4</v>
      </c>
      <c r="E346" s="12" t="s">
        <v>1374</v>
      </c>
    </row>
    <row r="347">
      <c r="A347" s="2" t="s">
        <v>1376</v>
      </c>
      <c r="B347" s="2" t="s">
        <v>1375</v>
      </c>
      <c r="C347" s="2" t="s">
        <v>1377</v>
      </c>
      <c r="D347" s="2">
        <v>1.855185100130526E-4</v>
      </c>
      <c r="E347" s="12" t="s">
        <v>1378</v>
      </c>
    </row>
    <row r="348">
      <c r="A348" s="2" t="s">
        <v>1380</v>
      </c>
      <c r="B348" s="2" t="s">
        <v>1379</v>
      </c>
      <c r="C348" s="2" t="s">
        <v>1381</v>
      </c>
      <c r="D348" s="2">
        <v>1.855185100130526E-4</v>
      </c>
      <c r="E348" s="12" t="s">
        <v>1382</v>
      </c>
    </row>
    <row r="349">
      <c r="A349" s="2" t="s">
        <v>1384</v>
      </c>
      <c r="B349" s="2" t="s">
        <v>1383</v>
      </c>
      <c r="C349" s="2" t="s">
        <v>1385</v>
      </c>
      <c r="D349" s="2">
        <v>1.855185100130526E-4</v>
      </c>
      <c r="E349" s="12" t="s">
        <v>1386</v>
      </c>
    </row>
    <row r="350">
      <c r="A350" s="2" t="s">
        <v>1388</v>
      </c>
      <c r="B350" s="2" t="s">
        <v>1387</v>
      </c>
      <c r="C350" s="2" t="s">
        <v>1389</v>
      </c>
      <c r="D350" s="2">
        <v>1.855185100130526E-4</v>
      </c>
      <c r="E350" s="12" t="s">
        <v>1390</v>
      </c>
    </row>
    <row r="351">
      <c r="A351" s="2" t="s">
        <v>1392</v>
      </c>
      <c r="B351" s="2" t="s">
        <v>1391</v>
      </c>
      <c r="C351" s="2" t="s">
        <v>1393</v>
      </c>
      <c r="D351" s="2">
        <v>1.855185100130526E-4</v>
      </c>
      <c r="E351" s="12" t="s">
        <v>1394</v>
      </c>
    </row>
    <row r="352">
      <c r="A352" s="2" t="s">
        <v>1395</v>
      </c>
      <c r="B352" s="2" t="s">
        <v>1395</v>
      </c>
      <c r="C352" s="2" t="s">
        <v>1396</v>
      </c>
      <c r="D352" s="2">
        <v>1.855185100130526E-4</v>
      </c>
      <c r="E352" s="12" t="s">
        <v>1397</v>
      </c>
    </row>
    <row r="353">
      <c r="A353" s="2" t="s">
        <v>1399</v>
      </c>
      <c r="B353" s="2" t="s">
        <v>1398</v>
      </c>
      <c r="C353" s="2" t="s">
        <v>1400</v>
      </c>
      <c r="D353" s="2">
        <v>1.855185100130526E-4</v>
      </c>
      <c r="E353" s="12" t="s">
        <v>1401</v>
      </c>
    </row>
    <row r="354">
      <c r="A354" s="2" t="s">
        <v>1403</v>
      </c>
      <c r="B354" s="2" t="s">
        <v>1402</v>
      </c>
      <c r="C354" s="2" t="s">
        <v>1404</v>
      </c>
      <c r="D354" s="2">
        <v>1.855185100130526E-4</v>
      </c>
      <c r="E354" s="12" t="s">
        <v>1405</v>
      </c>
    </row>
    <row r="355">
      <c r="A355" s="2" t="s">
        <v>1407</v>
      </c>
      <c r="B355" s="2" t="s">
        <v>1406</v>
      </c>
      <c r="C355" s="2" t="s">
        <v>1408</v>
      </c>
      <c r="D355" s="2">
        <v>1.855185100130526E-4</v>
      </c>
      <c r="E355" s="12" t="s">
        <v>1409</v>
      </c>
    </row>
    <row r="356">
      <c r="A356" s="2" t="s">
        <v>1411</v>
      </c>
      <c r="B356" s="2" t="s">
        <v>1410</v>
      </c>
      <c r="C356" s="2" t="s">
        <v>1412</v>
      </c>
      <c r="D356" s="2">
        <v>1.855185100130526E-4</v>
      </c>
      <c r="E356" s="12" t="s">
        <v>1413</v>
      </c>
    </row>
    <row r="357">
      <c r="A357" s="2" t="s">
        <v>1415</v>
      </c>
      <c r="B357" s="2" t="s">
        <v>1414</v>
      </c>
      <c r="C357" s="2" t="s">
        <v>1416</v>
      </c>
      <c r="D357" s="2">
        <v>1.855185100130526E-4</v>
      </c>
      <c r="E357" s="12" t="s">
        <v>1417</v>
      </c>
    </row>
    <row r="358">
      <c r="A358" s="2" t="s">
        <v>1419</v>
      </c>
      <c r="B358" s="2" t="s">
        <v>1418</v>
      </c>
      <c r="C358" s="2" t="s">
        <v>1420</v>
      </c>
      <c r="D358" s="2">
        <v>1.855185100130526E-4</v>
      </c>
      <c r="E358" s="12" t="s">
        <v>1421</v>
      </c>
    </row>
    <row r="359">
      <c r="A359" s="2" t="s">
        <v>1423</v>
      </c>
      <c r="B359" s="2" t="s">
        <v>1422</v>
      </c>
      <c r="C359" s="2" t="s">
        <v>1424</v>
      </c>
      <c r="D359" s="2">
        <v>1.855185100130526E-4</v>
      </c>
      <c r="E359" s="12" t="s">
        <v>1425</v>
      </c>
    </row>
    <row r="360">
      <c r="A360" s="2" t="s">
        <v>1427</v>
      </c>
      <c r="B360" s="2" t="s">
        <v>1426</v>
      </c>
      <c r="C360" s="2" t="s">
        <v>1428</v>
      </c>
      <c r="D360" s="2">
        <v>1.855185100130526E-4</v>
      </c>
      <c r="E360" s="12" t="s">
        <v>1429</v>
      </c>
    </row>
    <row r="361">
      <c r="A361" s="2" t="s">
        <v>1431</v>
      </c>
      <c r="B361" s="2" t="s">
        <v>1430</v>
      </c>
      <c r="C361" s="2" t="s">
        <v>1432</v>
      </c>
      <c r="D361" s="2">
        <v>1.855185100130526E-4</v>
      </c>
      <c r="E361" s="12" t="s">
        <v>1433</v>
      </c>
    </row>
    <row r="362">
      <c r="A362" s="2" t="s">
        <v>1435</v>
      </c>
      <c r="B362" s="2" t="s">
        <v>1434</v>
      </c>
      <c r="C362" s="2" t="s">
        <v>1436</v>
      </c>
      <c r="D362" s="2">
        <v>1.855185100130526E-4</v>
      </c>
      <c r="E362" s="12" t="s">
        <v>1437</v>
      </c>
    </row>
    <row r="363">
      <c r="A363" s="2" t="s">
        <v>1439</v>
      </c>
      <c r="B363" s="2" t="s">
        <v>1438</v>
      </c>
      <c r="C363" s="2" t="s">
        <v>1440</v>
      </c>
      <c r="D363" s="2">
        <v>1.855185100130526E-4</v>
      </c>
      <c r="E363" s="12" t="s">
        <v>1441</v>
      </c>
    </row>
    <row r="364">
      <c r="A364" s="2" t="s">
        <v>1443</v>
      </c>
      <c r="B364" s="2" t="s">
        <v>1442</v>
      </c>
      <c r="C364" s="2" t="s">
        <v>1444</v>
      </c>
      <c r="D364" s="2">
        <v>1.855185100130526E-4</v>
      </c>
      <c r="E364" s="12" t="s">
        <v>1445</v>
      </c>
    </row>
    <row r="365">
      <c r="A365" s="2" t="s">
        <v>1447</v>
      </c>
      <c r="B365" s="2" t="s">
        <v>1446</v>
      </c>
      <c r="C365" s="2" t="s">
        <v>1448</v>
      </c>
      <c r="D365" s="2">
        <v>1.855185100130526E-4</v>
      </c>
      <c r="E365" s="12" t="s">
        <v>1449</v>
      </c>
    </row>
    <row r="366">
      <c r="A366" s="2" t="s">
        <v>1451</v>
      </c>
      <c r="B366" s="2" t="s">
        <v>1450</v>
      </c>
      <c r="C366" s="2" t="s">
        <v>1452</v>
      </c>
      <c r="D366" s="2">
        <v>1.855185100130526E-4</v>
      </c>
      <c r="E366" s="12" t="s">
        <v>1453</v>
      </c>
    </row>
    <row r="367">
      <c r="A367" s="2" t="s">
        <v>1455</v>
      </c>
      <c r="B367" s="2" t="s">
        <v>1454</v>
      </c>
      <c r="C367" s="2" t="s">
        <v>1456</v>
      </c>
      <c r="D367" s="2">
        <v>1.855185100130526E-4</v>
      </c>
      <c r="E367" s="12" t="s">
        <v>1457</v>
      </c>
    </row>
    <row r="368">
      <c r="A368" s="2" t="s">
        <v>1459</v>
      </c>
      <c r="B368" s="2" t="s">
        <v>1458</v>
      </c>
      <c r="C368" s="2" t="s">
        <v>1460</v>
      </c>
      <c r="D368" s="2">
        <v>1.855185100130526E-4</v>
      </c>
      <c r="E368" s="12" t="s">
        <v>1461</v>
      </c>
    </row>
    <row r="369">
      <c r="A369" s="2" t="s">
        <v>1463</v>
      </c>
      <c r="B369" s="2" t="s">
        <v>1462</v>
      </c>
      <c r="C369" s="2" t="s">
        <v>1464</v>
      </c>
      <c r="D369" s="2">
        <v>1.855185100130526E-4</v>
      </c>
      <c r="E369" s="12" t="s">
        <v>1465</v>
      </c>
    </row>
    <row r="370">
      <c r="A370" s="2" t="s">
        <v>1467</v>
      </c>
      <c r="B370" s="2" t="s">
        <v>1466</v>
      </c>
      <c r="D370" s="2">
        <v>1.855185100130526E-4</v>
      </c>
      <c r="E370" s="12" t="s">
        <v>1468</v>
      </c>
    </row>
    <row r="371">
      <c r="A371" s="2" t="s">
        <v>1470</v>
      </c>
      <c r="B371" s="2" t="s">
        <v>1469</v>
      </c>
      <c r="C371" s="2" t="s">
        <v>1471</v>
      </c>
      <c r="D371" s="2">
        <v>1.855185100130526E-4</v>
      </c>
      <c r="E371" s="12" t="s">
        <v>1472</v>
      </c>
    </row>
    <row r="372">
      <c r="A372" s="2" t="s">
        <v>1474</v>
      </c>
      <c r="B372" s="2" t="s">
        <v>1473</v>
      </c>
      <c r="C372" s="2" t="s">
        <v>1475</v>
      </c>
      <c r="D372" s="2">
        <v>1.855185100130526E-4</v>
      </c>
      <c r="E372" s="12" t="s">
        <v>1476</v>
      </c>
    </row>
    <row r="373">
      <c r="A373" s="2" t="s">
        <v>1478</v>
      </c>
      <c r="B373" s="2" t="s">
        <v>1477</v>
      </c>
      <c r="C373" s="2" t="s">
        <v>1479</v>
      </c>
      <c r="D373" s="2">
        <v>1.855185100130526E-4</v>
      </c>
      <c r="E373" s="12" t="s">
        <v>1480</v>
      </c>
    </row>
    <row r="374">
      <c r="A374" s="2" t="s">
        <v>1482</v>
      </c>
      <c r="B374" s="2" t="s">
        <v>1481</v>
      </c>
      <c r="C374" s="2" t="s">
        <v>1483</v>
      </c>
      <c r="D374" s="2">
        <v>1.855185100130526E-4</v>
      </c>
      <c r="E374" s="12" t="s">
        <v>1484</v>
      </c>
    </row>
    <row r="375">
      <c r="A375" s="2" t="s">
        <v>1486</v>
      </c>
      <c r="B375" s="2" t="s">
        <v>1485</v>
      </c>
      <c r="C375" s="2" t="s">
        <v>1487</v>
      </c>
      <c r="D375" s="2">
        <v>1.855185100130526E-4</v>
      </c>
      <c r="E375" s="12" t="s">
        <v>1488</v>
      </c>
    </row>
    <row r="376">
      <c r="A376" s="2" t="s">
        <v>1490</v>
      </c>
      <c r="B376" s="2" t="s">
        <v>1489</v>
      </c>
      <c r="C376" s="2" t="s">
        <v>1491</v>
      </c>
      <c r="D376" s="2">
        <v>1.855185100130526E-4</v>
      </c>
      <c r="E376" s="12" t="s">
        <v>1492</v>
      </c>
    </row>
    <row r="377">
      <c r="A377" s="2" t="s">
        <v>1494</v>
      </c>
      <c r="B377" s="2" t="s">
        <v>1493</v>
      </c>
      <c r="C377" s="2" t="s">
        <v>1495</v>
      </c>
      <c r="D377" s="2">
        <v>1.855185100130526E-4</v>
      </c>
      <c r="E377" s="12" t="s">
        <v>1496</v>
      </c>
    </row>
    <row r="378">
      <c r="A378" s="2" t="s">
        <v>1498</v>
      </c>
      <c r="B378" s="2" t="s">
        <v>1497</v>
      </c>
      <c r="C378" s="2" t="s">
        <v>1499</v>
      </c>
      <c r="D378" s="2">
        <v>1.855185100130526E-4</v>
      </c>
      <c r="E378" s="12" t="s">
        <v>1500</v>
      </c>
    </row>
    <row r="379">
      <c r="A379" s="2" t="s">
        <v>1502</v>
      </c>
      <c r="B379" s="2" t="s">
        <v>1501</v>
      </c>
      <c r="C379" s="2" t="s">
        <v>1503</v>
      </c>
      <c r="D379" s="2">
        <v>1.855185100130526E-4</v>
      </c>
      <c r="E379" s="12" t="s">
        <v>1504</v>
      </c>
    </row>
    <row r="380">
      <c r="A380" s="2" t="s">
        <v>1506</v>
      </c>
      <c r="B380" s="2" t="s">
        <v>1505</v>
      </c>
      <c r="C380" s="2" t="s">
        <v>1507</v>
      </c>
      <c r="D380" s="2">
        <v>1.855185100130526E-4</v>
      </c>
      <c r="E380" s="12" t="s">
        <v>1508</v>
      </c>
    </row>
    <row r="381">
      <c r="A381" s="2" t="s">
        <v>1510</v>
      </c>
      <c r="B381" s="2" t="s">
        <v>1509</v>
      </c>
      <c r="C381" s="2" t="s">
        <v>1511</v>
      </c>
      <c r="D381" s="2">
        <v>1.855185100130526E-4</v>
      </c>
      <c r="E381" s="12" t="s">
        <v>1512</v>
      </c>
    </row>
    <row r="382">
      <c r="A382" s="2" t="s">
        <v>1514</v>
      </c>
      <c r="B382" s="2" t="s">
        <v>1513</v>
      </c>
      <c r="C382" s="2" t="s">
        <v>1515</v>
      </c>
      <c r="D382" s="2">
        <v>1.855185100130526E-4</v>
      </c>
      <c r="E382" s="12" t="s">
        <v>1516</v>
      </c>
    </row>
    <row r="383">
      <c r="A383" s="2" t="s">
        <v>1518</v>
      </c>
      <c r="B383" s="2" t="s">
        <v>1517</v>
      </c>
      <c r="C383" s="2" t="s">
        <v>1519</v>
      </c>
      <c r="D383" s="2">
        <v>1.855185100130526E-4</v>
      </c>
      <c r="E383" s="12" t="s">
        <v>1520</v>
      </c>
    </row>
    <row r="384">
      <c r="A384" s="2" t="s">
        <v>1522</v>
      </c>
      <c r="B384" s="2" t="s">
        <v>1521</v>
      </c>
      <c r="C384" s="2" t="s">
        <v>1523</v>
      </c>
      <c r="D384" s="2">
        <v>1.855185100130526E-4</v>
      </c>
      <c r="E384" s="12" t="s">
        <v>1524</v>
      </c>
    </row>
    <row r="385">
      <c r="A385" s="2" t="s">
        <v>1526</v>
      </c>
      <c r="B385" s="2" t="s">
        <v>1525</v>
      </c>
      <c r="C385" s="2" t="s">
        <v>1527</v>
      </c>
      <c r="D385" s="2">
        <v>1.855185100130526E-4</v>
      </c>
      <c r="E385" s="12" t="s">
        <v>1528</v>
      </c>
    </row>
    <row r="386">
      <c r="A386" s="2" t="s">
        <v>1530</v>
      </c>
      <c r="B386" s="2" t="s">
        <v>1529</v>
      </c>
      <c r="C386" s="2" t="s">
        <v>1531</v>
      </c>
      <c r="D386" s="2">
        <v>1.855185100130526E-4</v>
      </c>
      <c r="E386" s="12" t="s">
        <v>1532</v>
      </c>
    </row>
    <row r="387">
      <c r="A387" s="2" t="s">
        <v>1534</v>
      </c>
      <c r="B387" s="2" t="s">
        <v>1533</v>
      </c>
      <c r="C387" s="2" t="s">
        <v>1535</v>
      </c>
      <c r="D387" s="2">
        <v>1.855185100130526E-4</v>
      </c>
      <c r="E387" s="12" t="s">
        <v>1536</v>
      </c>
    </row>
    <row r="388">
      <c r="A388" s="2" t="s">
        <v>1538</v>
      </c>
      <c r="B388" s="2" t="s">
        <v>1537</v>
      </c>
      <c r="C388" s="2" t="s">
        <v>1539</v>
      </c>
      <c r="D388" s="2">
        <v>1.855185100130526E-4</v>
      </c>
      <c r="E388" s="12" t="s">
        <v>1540</v>
      </c>
    </row>
    <row r="389">
      <c r="A389" s="2" t="s">
        <v>1542</v>
      </c>
      <c r="B389" s="2" t="s">
        <v>1541</v>
      </c>
      <c r="C389" s="2" t="s">
        <v>1543</v>
      </c>
      <c r="D389" s="2">
        <v>1.855185100130526E-4</v>
      </c>
      <c r="E389" s="12" t="s">
        <v>1544</v>
      </c>
    </row>
    <row r="390">
      <c r="A390" s="2" t="s">
        <v>1546</v>
      </c>
      <c r="B390" s="2" t="s">
        <v>1545</v>
      </c>
      <c r="C390" s="2" t="s">
        <v>1547</v>
      </c>
      <c r="D390" s="2">
        <v>1.855185100130526E-4</v>
      </c>
      <c r="E390" s="12" t="s">
        <v>1548</v>
      </c>
    </row>
    <row r="391">
      <c r="A391" s="2" t="s">
        <v>1550</v>
      </c>
      <c r="B391" s="2" t="s">
        <v>1549</v>
      </c>
      <c r="C391" s="2" t="s">
        <v>1551</v>
      </c>
      <c r="D391" s="2">
        <v>1.855185100130526E-4</v>
      </c>
      <c r="E391" s="12" t="s">
        <v>1552</v>
      </c>
    </row>
    <row r="392">
      <c r="A392" s="2" t="s">
        <v>1554</v>
      </c>
      <c r="B392" s="2" t="s">
        <v>1553</v>
      </c>
      <c r="C392" s="2" t="s">
        <v>1555</v>
      </c>
      <c r="D392" s="2">
        <v>1.855185100130526E-4</v>
      </c>
      <c r="E392" s="12" t="s">
        <v>1556</v>
      </c>
    </row>
    <row r="393">
      <c r="A393" s="2" t="s">
        <v>1558</v>
      </c>
      <c r="B393" s="2" t="s">
        <v>1557</v>
      </c>
      <c r="C393" s="2" t="s">
        <v>1559</v>
      </c>
      <c r="D393" s="2">
        <v>1.855185100130526E-4</v>
      </c>
      <c r="E393" s="12" t="s">
        <v>1560</v>
      </c>
    </row>
    <row r="394">
      <c r="A394" s="2" t="s">
        <v>1562</v>
      </c>
      <c r="B394" s="2" t="s">
        <v>1561</v>
      </c>
      <c r="C394" s="2" t="s">
        <v>1563</v>
      </c>
      <c r="D394" s="2">
        <v>1.855185100130526E-4</v>
      </c>
      <c r="E394" s="12" t="s">
        <v>1564</v>
      </c>
    </row>
    <row r="395">
      <c r="A395" s="2" t="s">
        <v>1566</v>
      </c>
      <c r="B395" s="2" t="s">
        <v>1565</v>
      </c>
      <c r="C395" s="2" t="s">
        <v>1567</v>
      </c>
      <c r="D395" s="2">
        <v>1.855185100130526E-4</v>
      </c>
      <c r="E395" s="12" t="s">
        <v>1568</v>
      </c>
    </row>
    <row r="396">
      <c r="A396" s="2" t="s">
        <v>1570</v>
      </c>
      <c r="B396" s="2" t="s">
        <v>1569</v>
      </c>
      <c r="C396" s="2" t="s">
        <v>1571</v>
      </c>
      <c r="D396" s="2">
        <v>1.855185100130526E-4</v>
      </c>
      <c r="E396" s="12" t="s">
        <v>1572</v>
      </c>
    </row>
    <row r="397">
      <c r="A397" s="2" t="s">
        <v>1574</v>
      </c>
      <c r="B397" s="2" t="s">
        <v>1573</v>
      </c>
      <c r="C397" s="2" t="s">
        <v>1575</v>
      </c>
      <c r="D397" s="2">
        <v>1.855185100130526E-4</v>
      </c>
      <c r="E397" s="12" t="s">
        <v>1576</v>
      </c>
    </row>
    <row r="398">
      <c r="A398" s="2" t="s">
        <v>1578</v>
      </c>
      <c r="B398" s="2" t="s">
        <v>1577</v>
      </c>
      <c r="C398" s="2" t="s">
        <v>1579</v>
      </c>
      <c r="D398" s="2">
        <v>1.855185100130526E-4</v>
      </c>
      <c r="E398" s="12" t="s">
        <v>1580</v>
      </c>
    </row>
    <row r="399">
      <c r="A399" s="2" t="s">
        <v>1582</v>
      </c>
      <c r="B399" s="2" t="s">
        <v>1581</v>
      </c>
      <c r="C399" s="2" t="s">
        <v>1583</v>
      </c>
      <c r="D399" s="2">
        <v>1.855185100130526E-4</v>
      </c>
      <c r="E399" s="12" t="s">
        <v>1584</v>
      </c>
    </row>
    <row r="400">
      <c r="A400" s="2" t="s">
        <v>1586</v>
      </c>
      <c r="B400" s="2" t="s">
        <v>1585</v>
      </c>
      <c r="C400" s="2" t="s">
        <v>1587</v>
      </c>
      <c r="D400" s="2">
        <v>1.855185100130526E-4</v>
      </c>
      <c r="E400" s="12" t="s">
        <v>1588</v>
      </c>
    </row>
    <row r="401">
      <c r="A401" s="2" t="s">
        <v>1590</v>
      </c>
      <c r="B401" s="2" t="s">
        <v>1589</v>
      </c>
      <c r="C401" s="2" t="s">
        <v>1591</v>
      </c>
      <c r="D401" s="2">
        <v>1.855185100130526E-4</v>
      </c>
      <c r="E401" s="12" t="s">
        <v>1592</v>
      </c>
    </row>
    <row r="402">
      <c r="A402" s="2" t="s">
        <v>1594</v>
      </c>
      <c r="B402" s="2" t="s">
        <v>1593</v>
      </c>
      <c r="C402" s="2" t="s">
        <v>1595</v>
      </c>
      <c r="D402" s="2">
        <v>1.855185100130526E-4</v>
      </c>
      <c r="E402" s="12" t="s">
        <v>1596</v>
      </c>
    </row>
    <row r="403">
      <c r="A403" s="2" t="s">
        <v>1598</v>
      </c>
      <c r="B403" s="2" t="s">
        <v>1597</v>
      </c>
      <c r="C403" s="2" t="s">
        <v>1599</v>
      </c>
      <c r="D403" s="2">
        <v>1.855185100130526E-4</v>
      </c>
      <c r="E403" s="12" t="s">
        <v>1600</v>
      </c>
    </row>
    <row r="404">
      <c r="A404" s="2" t="s">
        <v>1602</v>
      </c>
      <c r="B404" s="2" t="s">
        <v>1601</v>
      </c>
      <c r="C404" s="2" t="s">
        <v>1603</v>
      </c>
      <c r="D404" s="2">
        <v>1.855185100130526E-4</v>
      </c>
      <c r="E404" s="12" t="s">
        <v>1604</v>
      </c>
    </row>
    <row r="405">
      <c r="A405" s="2" t="s">
        <v>1606</v>
      </c>
      <c r="B405" s="2" t="s">
        <v>1605</v>
      </c>
      <c r="C405" s="2" t="s">
        <v>1607</v>
      </c>
      <c r="D405" s="2">
        <v>1.855185100130526E-4</v>
      </c>
      <c r="E405" s="12" t="s">
        <v>1608</v>
      </c>
    </row>
    <row r="406">
      <c r="A406" s="2" t="s">
        <v>1610</v>
      </c>
      <c r="B406" s="2" t="s">
        <v>1609</v>
      </c>
      <c r="C406" s="2" t="s">
        <v>1611</v>
      </c>
      <c r="D406" s="2">
        <v>1.855185100130526E-4</v>
      </c>
      <c r="E406" s="12" t="s">
        <v>1612</v>
      </c>
    </row>
    <row r="407">
      <c r="A407" s="2" t="s">
        <v>1614</v>
      </c>
      <c r="B407" s="2" t="s">
        <v>1613</v>
      </c>
      <c r="C407" s="2" t="s">
        <v>1615</v>
      </c>
      <c r="D407" s="2">
        <v>1.855185100130526E-4</v>
      </c>
      <c r="E407" s="12" t="s">
        <v>1616</v>
      </c>
    </row>
    <row r="408">
      <c r="A408" s="2" t="s">
        <v>1618</v>
      </c>
      <c r="B408" s="2" t="s">
        <v>1617</v>
      </c>
      <c r="C408" s="2" t="s">
        <v>1619</v>
      </c>
      <c r="D408" s="2">
        <v>1.855185100130526E-4</v>
      </c>
      <c r="E408" s="12" t="s">
        <v>1620</v>
      </c>
    </row>
    <row r="409">
      <c r="A409" s="2" t="s">
        <v>1622</v>
      </c>
      <c r="B409" s="2" t="s">
        <v>1621</v>
      </c>
      <c r="C409" s="2" t="s">
        <v>1623</v>
      </c>
      <c r="D409" s="2">
        <v>1.855185100130526E-4</v>
      </c>
      <c r="E409" s="12" t="s">
        <v>1624</v>
      </c>
    </row>
    <row r="410">
      <c r="A410" s="2" t="s">
        <v>1626</v>
      </c>
      <c r="B410" s="2" t="s">
        <v>1625</v>
      </c>
      <c r="C410" s="2" t="s">
        <v>1627</v>
      </c>
      <c r="D410" s="2">
        <v>1.855185100130526E-4</v>
      </c>
      <c r="E410" s="12" t="s">
        <v>1628</v>
      </c>
    </row>
    <row r="411">
      <c r="A411" s="2" t="s">
        <v>1630</v>
      </c>
      <c r="B411" s="2" t="s">
        <v>1629</v>
      </c>
      <c r="C411" s="2" t="s">
        <v>1631</v>
      </c>
      <c r="D411" s="2">
        <v>1.855185100130526E-4</v>
      </c>
      <c r="E411" s="12" t="s">
        <v>1632</v>
      </c>
    </row>
    <row r="412">
      <c r="A412" s="2" t="s">
        <v>1634</v>
      </c>
      <c r="B412" s="2" t="s">
        <v>1633</v>
      </c>
      <c r="C412" s="2" t="s">
        <v>1635</v>
      </c>
      <c r="D412" s="2">
        <v>1.855185100130526E-4</v>
      </c>
      <c r="E412" s="12" t="s">
        <v>1636</v>
      </c>
    </row>
    <row r="413">
      <c r="A413" s="2" t="s">
        <v>1638</v>
      </c>
      <c r="B413" s="2" t="s">
        <v>1637</v>
      </c>
      <c r="C413" s="2" t="s">
        <v>1639</v>
      </c>
      <c r="D413" s="2">
        <v>1.855185100130526E-4</v>
      </c>
      <c r="E413" s="12" t="s">
        <v>1640</v>
      </c>
    </row>
    <row r="414">
      <c r="A414" s="2" t="s">
        <v>1642</v>
      </c>
      <c r="B414" s="2" t="s">
        <v>1641</v>
      </c>
      <c r="C414" s="2" t="s">
        <v>1643</v>
      </c>
      <c r="D414" s="2">
        <v>1.855185100130526E-4</v>
      </c>
      <c r="E414" s="12" t="s">
        <v>1644</v>
      </c>
    </row>
    <row r="415">
      <c r="A415" s="2" t="s">
        <v>1646</v>
      </c>
      <c r="B415" s="2" t="s">
        <v>1645</v>
      </c>
      <c r="C415" s="2" t="s">
        <v>1647</v>
      </c>
      <c r="D415" s="2">
        <v>1.855185100130526E-4</v>
      </c>
      <c r="E415" s="12" t="s">
        <v>1648</v>
      </c>
    </row>
    <row r="416">
      <c r="A416" s="2" t="s">
        <v>1650</v>
      </c>
      <c r="B416" s="2" t="s">
        <v>1649</v>
      </c>
      <c r="C416" s="2" t="s">
        <v>1651</v>
      </c>
      <c r="D416" s="2">
        <v>1.855185100130526E-4</v>
      </c>
      <c r="E416" s="12" t="s">
        <v>1652</v>
      </c>
    </row>
    <row r="417">
      <c r="A417" s="2" t="s">
        <v>1654</v>
      </c>
      <c r="B417" s="2" t="s">
        <v>1653</v>
      </c>
      <c r="C417" s="2" t="s">
        <v>1655</v>
      </c>
      <c r="D417" s="2">
        <v>1.855185100130526E-4</v>
      </c>
      <c r="E417" s="12" t="s">
        <v>1656</v>
      </c>
    </row>
    <row r="418">
      <c r="A418" s="2" t="s">
        <v>1658</v>
      </c>
      <c r="B418" s="2" t="s">
        <v>1657</v>
      </c>
      <c r="C418" s="2" t="s">
        <v>1659</v>
      </c>
      <c r="D418" s="2">
        <v>1.855185100130526E-4</v>
      </c>
      <c r="E418" s="12" t="s">
        <v>1660</v>
      </c>
    </row>
    <row r="419">
      <c r="A419" s="2" t="s">
        <v>1662</v>
      </c>
      <c r="B419" s="2" t="s">
        <v>1661</v>
      </c>
      <c r="C419" s="2" t="s">
        <v>1663</v>
      </c>
      <c r="D419" s="2">
        <v>1.855185100130526E-4</v>
      </c>
      <c r="E419" s="12" t="s">
        <v>1664</v>
      </c>
    </row>
    <row r="420">
      <c r="A420" s="2" t="s">
        <v>1666</v>
      </c>
      <c r="B420" s="2" t="s">
        <v>1665</v>
      </c>
      <c r="C420" s="2" t="s">
        <v>1667</v>
      </c>
      <c r="D420" s="2">
        <v>1.855185100130526E-4</v>
      </c>
      <c r="E420" s="12" t="s">
        <v>1668</v>
      </c>
    </row>
    <row r="421">
      <c r="A421" s="2" t="s">
        <v>1670</v>
      </c>
      <c r="B421" s="2" t="s">
        <v>1669</v>
      </c>
      <c r="C421" s="2" t="s">
        <v>1671</v>
      </c>
      <c r="D421" s="2">
        <v>1.855185100130526E-4</v>
      </c>
      <c r="E421" s="12" t="s">
        <v>1672</v>
      </c>
    </row>
    <row r="422">
      <c r="A422" s="2" t="s">
        <v>1674</v>
      </c>
      <c r="B422" s="2" t="s">
        <v>1673</v>
      </c>
      <c r="C422" s="2" t="s">
        <v>1675</v>
      </c>
      <c r="D422" s="2">
        <v>1.855185100130526E-4</v>
      </c>
      <c r="E422" s="12" t="s">
        <v>1676</v>
      </c>
    </row>
    <row r="423">
      <c r="A423" s="2" t="s">
        <v>1678</v>
      </c>
      <c r="B423" s="2" t="s">
        <v>1677</v>
      </c>
      <c r="C423" s="2" t="s">
        <v>1679</v>
      </c>
      <c r="D423" s="2">
        <v>1.855185100130526E-4</v>
      </c>
      <c r="E423" s="12" t="s">
        <v>1680</v>
      </c>
    </row>
    <row r="424">
      <c r="A424" s="2" t="s">
        <v>1682</v>
      </c>
      <c r="B424" s="2" t="s">
        <v>1681</v>
      </c>
      <c r="C424" s="2" t="s">
        <v>1683</v>
      </c>
      <c r="D424" s="2">
        <v>1.855185100130526E-4</v>
      </c>
      <c r="E424" s="12" t="s">
        <v>1684</v>
      </c>
    </row>
    <row r="425">
      <c r="A425" s="2" t="s">
        <v>1686</v>
      </c>
      <c r="B425" s="2" t="s">
        <v>1685</v>
      </c>
      <c r="C425" s="2" t="s">
        <v>1687</v>
      </c>
      <c r="D425" s="2">
        <v>1.855185100130526E-4</v>
      </c>
      <c r="E425" s="12" t="s">
        <v>1688</v>
      </c>
    </row>
    <row r="426">
      <c r="A426" s="2" t="s">
        <v>1690</v>
      </c>
      <c r="B426" s="2" t="s">
        <v>1689</v>
      </c>
      <c r="C426" s="2" t="s">
        <v>1691</v>
      </c>
      <c r="D426" s="2">
        <v>1.855185100130526E-4</v>
      </c>
      <c r="E426" s="12" t="s">
        <v>1692</v>
      </c>
    </row>
    <row r="427">
      <c r="A427" s="2" t="s">
        <v>1694</v>
      </c>
      <c r="B427" s="2" t="s">
        <v>1693</v>
      </c>
      <c r="C427" s="2" t="s">
        <v>1695</v>
      </c>
      <c r="D427" s="2">
        <v>1.855185100130526E-4</v>
      </c>
      <c r="E427" s="12" t="s">
        <v>1696</v>
      </c>
    </row>
    <row r="428">
      <c r="A428" s="2" t="s">
        <v>1698</v>
      </c>
      <c r="B428" s="2" t="s">
        <v>1697</v>
      </c>
      <c r="C428" s="2" t="s">
        <v>1699</v>
      </c>
      <c r="D428" s="2">
        <v>1.855185100130526E-4</v>
      </c>
      <c r="E428" s="12" t="s">
        <v>1700</v>
      </c>
    </row>
    <row r="429">
      <c r="A429" s="2" t="s">
        <v>1702</v>
      </c>
      <c r="B429" s="2" t="s">
        <v>1701</v>
      </c>
      <c r="C429" s="2" t="s">
        <v>1703</v>
      </c>
      <c r="D429" s="2">
        <v>1.855185100130526E-4</v>
      </c>
      <c r="E429" s="12" t="s">
        <v>1704</v>
      </c>
    </row>
    <row r="430">
      <c r="A430" s="2" t="s">
        <v>1706</v>
      </c>
      <c r="B430" s="2" t="s">
        <v>1705</v>
      </c>
      <c r="C430" s="2" t="s">
        <v>1707</v>
      </c>
      <c r="D430" s="2">
        <v>1.855185100130526E-4</v>
      </c>
      <c r="E430" s="12" t="s">
        <v>1708</v>
      </c>
    </row>
    <row r="431">
      <c r="A431" s="2" t="s">
        <v>1710</v>
      </c>
      <c r="B431" s="2" t="s">
        <v>1709</v>
      </c>
      <c r="C431" s="2" t="s">
        <v>1711</v>
      </c>
      <c r="D431" s="2">
        <v>1.855185100130526E-4</v>
      </c>
      <c r="E431" s="12" t="s">
        <v>1712</v>
      </c>
    </row>
    <row r="432">
      <c r="A432" s="2" t="s">
        <v>1714</v>
      </c>
      <c r="B432" s="2" t="s">
        <v>1713</v>
      </c>
      <c r="C432" s="2" t="s">
        <v>1715</v>
      </c>
      <c r="D432" s="2">
        <v>1.855185100130526E-4</v>
      </c>
      <c r="E432" s="12" t="s">
        <v>1716</v>
      </c>
    </row>
    <row r="433">
      <c r="A433" s="2" t="s">
        <v>1718</v>
      </c>
      <c r="B433" s="2" t="s">
        <v>1717</v>
      </c>
      <c r="C433" s="2" t="s">
        <v>1719</v>
      </c>
      <c r="D433" s="2">
        <v>1.855185100130526E-4</v>
      </c>
      <c r="E433" s="12" t="s">
        <v>1720</v>
      </c>
    </row>
    <row r="434">
      <c r="A434" s="2" t="s">
        <v>1722</v>
      </c>
      <c r="B434" s="2" t="s">
        <v>1721</v>
      </c>
      <c r="C434" s="2" t="s">
        <v>1723</v>
      </c>
      <c r="D434" s="2">
        <v>1.855185100130526E-4</v>
      </c>
      <c r="E434" s="12" t="s">
        <v>1724</v>
      </c>
    </row>
    <row r="435">
      <c r="A435" s="2" t="s">
        <v>1726</v>
      </c>
      <c r="B435" s="2" t="s">
        <v>1725</v>
      </c>
      <c r="C435" s="2" t="s">
        <v>1727</v>
      </c>
      <c r="D435" s="2">
        <v>1.855185100130526E-4</v>
      </c>
      <c r="E435" s="12" t="s">
        <v>1728</v>
      </c>
    </row>
    <row r="436">
      <c r="A436" s="2" t="s">
        <v>1730</v>
      </c>
      <c r="B436" s="2" t="s">
        <v>1729</v>
      </c>
      <c r="C436" s="2" t="s">
        <v>1731</v>
      </c>
      <c r="D436" s="2">
        <v>1.855185100130526E-4</v>
      </c>
      <c r="E436" s="12" t="s">
        <v>1732</v>
      </c>
    </row>
    <row r="437">
      <c r="A437" s="2" t="s">
        <v>1734</v>
      </c>
      <c r="B437" s="2" t="s">
        <v>1733</v>
      </c>
      <c r="C437" s="2" t="s">
        <v>1735</v>
      </c>
      <c r="D437" s="2">
        <v>1.855185100130526E-4</v>
      </c>
      <c r="E437" s="12" t="s">
        <v>1736</v>
      </c>
    </row>
    <row r="438">
      <c r="A438" s="2" t="s">
        <v>1738</v>
      </c>
      <c r="B438" s="2" t="s">
        <v>1737</v>
      </c>
      <c r="C438" s="2" t="s">
        <v>1739</v>
      </c>
      <c r="D438" s="2">
        <v>1.855185100130526E-4</v>
      </c>
      <c r="E438" s="12" t="s">
        <v>1740</v>
      </c>
    </row>
    <row r="439">
      <c r="A439" s="2" t="s">
        <v>1742</v>
      </c>
      <c r="B439" s="2" t="s">
        <v>1741</v>
      </c>
      <c r="C439" s="2" t="s">
        <v>1743</v>
      </c>
      <c r="D439" s="2">
        <v>1.855185100130526E-4</v>
      </c>
      <c r="E439" s="12" t="s">
        <v>1744</v>
      </c>
    </row>
    <row r="440">
      <c r="A440" s="2" t="s">
        <v>1746</v>
      </c>
      <c r="B440" s="2" t="s">
        <v>1745</v>
      </c>
      <c r="C440" s="2" t="s">
        <v>1747</v>
      </c>
      <c r="D440" s="2">
        <v>1.855185100130526E-4</v>
      </c>
      <c r="E440" s="12" t="s">
        <v>1748</v>
      </c>
    </row>
    <row r="441">
      <c r="A441" s="2" t="s">
        <v>1750</v>
      </c>
      <c r="B441" s="2" t="s">
        <v>1749</v>
      </c>
      <c r="C441" s="2" t="s">
        <v>1751</v>
      </c>
      <c r="D441" s="2">
        <v>1.855185100130526E-4</v>
      </c>
      <c r="E441" s="12" t="s">
        <v>1752</v>
      </c>
    </row>
    <row r="442">
      <c r="A442" s="2" t="s">
        <v>1754</v>
      </c>
      <c r="B442" s="2" t="s">
        <v>1753</v>
      </c>
      <c r="C442" s="2" t="s">
        <v>1755</v>
      </c>
      <c r="D442" s="2">
        <v>1.855185100130526E-4</v>
      </c>
      <c r="E442" s="12" t="s">
        <v>1756</v>
      </c>
    </row>
    <row r="443">
      <c r="A443" s="2" t="s">
        <v>1758</v>
      </c>
      <c r="B443" s="2" t="s">
        <v>1757</v>
      </c>
      <c r="C443" s="2" t="s">
        <v>1759</v>
      </c>
      <c r="D443" s="2">
        <v>1.855185100130526E-4</v>
      </c>
      <c r="E443" s="12" t="s">
        <v>1760</v>
      </c>
    </row>
    <row r="444">
      <c r="A444" s="2" t="s">
        <v>1762</v>
      </c>
      <c r="B444" s="2" t="s">
        <v>1761</v>
      </c>
      <c r="C444" s="2" t="s">
        <v>1763</v>
      </c>
      <c r="D444" s="2">
        <v>1.855185100130526E-4</v>
      </c>
      <c r="E444" s="12" t="s">
        <v>1764</v>
      </c>
    </row>
    <row r="445">
      <c r="A445" s="2" t="s">
        <v>1766</v>
      </c>
      <c r="B445" s="2" t="s">
        <v>1765</v>
      </c>
      <c r="C445" s="2" t="s">
        <v>1767</v>
      </c>
      <c r="D445" s="2">
        <v>1.855185100130526E-4</v>
      </c>
      <c r="E445" s="12" t="s">
        <v>1768</v>
      </c>
    </row>
    <row r="446">
      <c r="A446" s="2" t="s">
        <v>1770</v>
      </c>
      <c r="B446" s="2" t="s">
        <v>1769</v>
      </c>
      <c r="C446" s="2" t="s">
        <v>1771</v>
      </c>
      <c r="D446" s="2">
        <v>1.855185100130526E-4</v>
      </c>
      <c r="E446" s="12" t="s">
        <v>1772</v>
      </c>
    </row>
    <row r="447">
      <c r="A447" s="2" t="s">
        <v>1774</v>
      </c>
      <c r="B447" s="2" t="s">
        <v>1773</v>
      </c>
      <c r="C447" s="2" t="s">
        <v>1775</v>
      </c>
      <c r="D447" s="2">
        <v>1.855185100130526E-4</v>
      </c>
      <c r="E447" s="12" t="s">
        <v>1776</v>
      </c>
    </row>
    <row r="448">
      <c r="A448" s="2" t="s">
        <v>1778</v>
      </c>
      <c r="B448" s="2" t="s">
        <v>1777</v>
      </c>
      <c r="C448" s="2" t="s">
        <v>1779</v>
      </c>
      <c r="D448" s="2">
        <v>1.855185100130526E-4</v>
      </c>
      <c r="E448" s="12" t="s">
        <v>1780</v>
      </c>
    </row>
    <row r="449">
      <c r="A449" s="2" t="s">
        <v>1782</v>
      </c>
      <c r="B449" s="2" t="s">
        <v>1781</v>
      </c>
      <c r="C449" s="2" t="s">
        <v>1783</v>
      </c>
      <c r="D449" s="2">
        <v>1.855185100130526E-4</v>
      </c>
      <c r="E449" s="12" t="s">
        <v>1784</v>
      </c>
    </row>
    <row r="450">
      <c r="A450" s="2" t="s">
        <v>1786</v>
      </c>
      <c r="B450" s="2" t="s">
        <v>1785</v>
      </c>
      <c r="C450" s="2" t="s">
        <v>1787</v>
      </c>
      <c r="D450" s="2">
        <v>1.855185100130526E-4</v>
      </c>
      <c r="E450" s="12" t="s">
        <v>1788</v>
      </c>
    </row>
    <row r="451">
      <c r="A451" s="2" t="s">
        <v>1790</v>
      </c>
      <c r="B451" s="2" t="s">
        <v>1789</v>
      </c>
      <c r="C451" s="2" t="s">
        <v>1791</v>
      </c>
      <c r="D451" s="2">
        <v>1.855185100130526E-4</v>
      </c>
      <c r="E451" s="12" t="s">
        <v>1792</v>
      </c>
    </row>
    <row r="452">
      <c r="A452" s="2" t="s">
        <v>1794</v>
      </c>
      <c r="B452" s="2" t="s">
        <v>1793</v>
      </c>
      <c r="C452" s="2" t="s">
        <v>1795</v>
      </c>
      <c r="D452" s="2">
        <v>1.855185100130526E-4</v>
      </c>
      <c r="E452" s="12" t="s">
        <v>1796</v>
      </c>
    </row>
    <row r="453">
      <c r="A453" s="2" t="s">
        <v>1798</v>
      </c>
      <c r="B453" s="2" t="s">
        <v>1797</v>
      </c>
      <c r="C453" s="2" t="s">
        <v>1799</v>
      </c>
      <c r="D453" s="2">
        <v>1.855185100130526E-4</v>
      </c>
      <c r="E453" s="12" t="s">
        <v>1800</v>
      </c>
    </row>
    <row r="454">
      <c r="A454" s="2" t="s">
        <v>1802</v>
      </c>
      <c r="B454" s="2" t="s">
        <v>1801</v>
      </c>
      <c r="C454" s="2" t="s">
        <v>1803</v>
      </c>
      <c r="D454" s="2">
        <v>1.855185100130526E-4</v>
      </c>
      <c r="E454" s="12" t="s">
        <v>1804</v>
      </c>
    </row>
    <row r="455">
      <c r="A455" s="2" t="s">
        <v>1806</v>
      </c>
      <c r="B455" s="2" t="s">
        <v>1805</v>
      </c>
      <c r="C455" s="2" t="s">
        <v>1807</v>
      </c>
      <c r="D455" s="2">
        <v>1.855185100130526E-4</v>
      </c>
      <c r="E455" s="12" t="s">
        <v>1808</v>
      </c>
    </row>
    <row r="456">
      <c r="A456" s="2" t="s">
        <v>1810</v>
      </c>
      <c r="B456" s="2" t="s">
        <v>1809</v>
      </c>
      <c r="C456" s="2" t="s">
        <v>1811</v>
      </c>
      <c r="D456" s="2">
        <v>1.855185100130526E-4</v>
      </c>
      <c r="E456" s="12" t="s">
        <v>1812</v>
      </c>
    </row>
    <row r="457">
      <c r="A457" s="2" t="s">
        <v>1814</v>
      </c>
      <c r="B457" s="2" t="s">
        <v>1813</v>
      </c>
      <c r="C457" s="2" t="s">
        <v>1815</v>
      </c>
      <c r="D457" s="2">
        <v>1.855185100130526E-4</v>
      </c>
      <c r="E457" s="12" t="s">
        <v>1816</v>
      </c>
    </row>
    <row r="458">
      <c r="A458" s="2" t="s">
        <v>1818</v>
      </c>
      <c r="B458" s="2" t="s">
        <v>1817</v>
      </c>
      <c r="C458" s="2" t="s">
        <v>1819</v>
      </c>
      <c r="D458" s="2">
        <v>1.855185100130526E-4</v>
      </c>
      <c r="E458" s="12" t="s">
        <v>1820</v>
      </c>
    </row>
    <row r="459">
      <c r="A459" s="2" t="s">
        <v>1822</v>
      </c>
      <c r="B459" s="2" t="s">
        <v>1821</v>
      </c>
      <c r="C459" s="2" t="s">
        <v>1823</v>
      </c>
      <c r="D459" s="2">
        <v>1.855185100130526E-4</v>
      </c>
      <c r="E459" s="12" t="s">
        <v>1824</v>
      </c>
    </row>
    <row r="460">
      <c r="A460" s="2" t="s">
        <v>1826</v>
      </c>
      <c r="B460" s="2" t="s">
        <v>1825</v>
      </c>
      <c r="C460" s="2" t="s">
        <v>1827</v>
      </c>
      <c r="D460" s="2">
        <v>1.855185100130526E-4</v>
      </c>
      <c r="E460" s="12" t="s">
        <v>1828</v>
      </c>
    </row>
    <row r="461">
      <c r="A461" s="2" t="s">
        <v>1830</v>
      </c>
      <c r="B461" s="2" t="s">
        <v>1829</v>
      </c>
      <c r="C461" s="2" t="s">
        <v>1831</v>
      </c>
      <c r="D461" s="2">
        <v>1.855185100130526E-4</v>
      </c>
      <c r="E461" s="12" t="s">
        <v>1832</v>
      </c>
    </row>
    <row r="462">
      <c r="A462" s="2" t="s">
        <v>1834</v>
      </c>
      <c r="B462" s="2" t="s">
        <v>1833</v>
      </c>
      <c r="C462" s="2" t="s">
        <v>1835</v>
      </c>
      <c r="D462" s="2">
        <v>1.855185100130526E-4</v>
      </c>
      <c r="E462" s="12" t="s">
        <v>1836</v>
      </c>
    </row>
    <row r="463">
      <c r="A463" s="2" t="s">
        <v>1838</v>
      </c>
      <c r="B463" s="2" t="s">
        <v>1837</v>
      </c>
      <c r="C463" s="2" t="s">
        <v>1839</v>
      </c>
      <c r="D463" s="2">
        <v>1.855185100130526E-4</v>
      </c>
      <c r="E463" s="12" t="s">
        <v>1840</v>
      </c>
    </row>
    <row r="464">
      <c r="A464" s="2" t="s">
        <v>1842</v>
      </c>
      <c r="B464" s="2" t="s">
        <v>1841</v>
      </c>
      <c r="C464" s="2" t="s">
        <v>1843</v>
      </c>
      <c r="D464" s="2">
        <v>1.855185100130526E-4</v>
      </c>
      <c r="E464" s="12" t="s">
        <v>1844</v>
      </c>
    </row>
    <row r="465">
      <c r="A465" s="2" t="s">
        <v>1846</v>
      </c>
      <c r="B465" s="2" t="s">
        <v>1845</v>
      </c>
      <c r="C465" s="2" t="s">
        <v>1847</v>
      </c>
      <c r="D465" s="2">
        <v>1.855185100130526E-4</v>
      </c>
      <c r="E465" s="12" t="s">
        <v>1848</v>
      </c>
    </row>
    <row r="466">
      <c r="A466" s="2" t="s">
        <v>1850</v>
      </c>
      <c r="B466" s="2" t="s">
        <v>1849</v>
      </c>
      <c r="C466" s="2" t="s">
        <v>1851</v>
      </c>
      <c r="D466" s="2">
        <v>1.855185100130526E-4</v>
      </c>
      <c r="E466" s="12" t="s">
        <v>1852</v>
      </c>
    </row>
    <row r="467">
      <c r="A467" s="2" t="s">
        <v>1854</v>
      </c>
      <c r="B467" s="2" t="s">
        <v>1853</v>
      </c>
      <c r="C467" s="2" t="s">
        <v>1855</v>
      </c>
      <c r="D467" s="2">
        <v>1.855185100130526E-4</v>
      </c>
      <c r="E467" s="12" t="s">
        <v>1856</v>
      </c>
    </row>
    <row r="468">
      <c r="A468" s="2" t="s">
        <v>1858</v>
      </c>
      <c r="B468" s="2" t="s">
        <v>1857</v>
      </c>
      <c r="C468" s="2" t="s">
        <v>1859</v>
      </c>
      <c r="D468" s="2">
        <v>1.855185100130526E-4</v>
      </c>
      <c r="E468" s="12" t="s">
        <v>1860</v>
      </c>
    </row>
    <row r="469">
      <c r="A469" s="2" t="s">
        <v>1862</v>
      </c>
      <c r="B469" s="2" t="s">
        <v>1861</v>
      </c>
      <c r="C469" s="2" t="s">
        <v>1863</v>
      </c>
      <c r="D469" s="2">
        <v>1.855185100130526E-4</v>
      </c>
      <c r="E469" s="12" t="s">
        <v>1864</v>
      </c>
    </row>
    <row r="470">
      <c r="A470" s="2" t="s">
        <v>1866</v>
      </c>
      <c r="B470" s="2" t="s">
        <v>1865</v>
      </c>
      <c r="C470" s="2" t="s">
        <v>1867</v>
      </c>
      <c r="D470" s="2">
        <v>1.855185100130526E-4</v>
      </c>
      <c r="E470" s="12" t="s">
        <v>1868</v>
      </c>
    </row>
    <row r="471">
      <c r="A471" s="2" t="s">
        <v>1870</v>
      </c>
      <c r="B471" s="2" t="s">
        <v>1869</v>
      </c>
      <c r="C471" s="2" t="s">
        <v>1871</v>
      </c>
      <c r="D471" s="2">
        <v>1.855185100130526E-4</v>
      </c>
      <c r="E471" s="12" t="s">
        <v>1872</v>
      </c>
    </row>
    <row r="472">
      <c r="A472" s="2" t="s">
        <v>1874</v>
      </c>
      <c r="B472" s="2" t="s">
        <v>1873</v>
      </c>
      <c r="C472" s="2" t="s">
        <v>1875</v>
      </c>
      <c r="D472" s="2">
        <v>1.855185100130526E-4</v>
      </c>
      <c r="E472" s="12" t="s">
        <v>1876</v>
      </c>
    </row>
    <row r="473">
      <c r="A473" s="2" t="s">
        <v>1878</v>
      </c>
      <c r="B473" s="2" t="s">
        <v>1877</v>
      </c>
      <c r="C473" s="2" t="s">
        <v>1879</v>
      </c>
      <c r="D473" s="2">
        <v>1.855185100130526E-4</v>
      </c>
      <c r="E473" s="12" t="s">
        <v>1880</v>
      </c>
    </row>
    <row r="474">
      <c r="A474" s="2" t="s">
        <v>1882</v>
      </c>
      <c r="B474" s="2" t="s">
        <v>1881</v>
      </c>
      <c r="C474" s="2" t="s">
        <v>1883</v>
      </c>
      <c r="D474" s="2">
        <v>1.855185100130526E-4</v>
      </c>
      <c r="E474" s="12" t="s">
        <v>1884</v>
      </c>
    </row>
    <row r="475">
      <c r="A475" s="2" t="s">
        <v>1886</v>
      </c>
      <c r="B475" s="2" t="s">
        <v>1885</v>
      </c>
      <c r="C475" s="2" t="s">
        <v>1887</v>
      </c>
      <c r="D475" s="2">
        <v>1.855185100130526E-4</v>
      </c>
      <c r="E475" s="12" t="s">
        <v>1688</v>
      </c>
    </row>
    <row r="476">
      <c r="A476" s="2" t="s">
        <v>1888</v>
      </c>
      <c r="B476" s="2" t="s">
        <v>1888</v>
      </c>
      <c r="C476" s="2" t="s">
        <v>1889</v>
      </c>
      <c r="D476" s="2">
        <v>1.855185100130526E-4</v>
      </c>
      <c r="E476" s="12" t="s">
        <v>1890</v>
      </c>
    </row>
    <row r="477">
      <c r="A477" s="2" t="s">
        <v>1892</v>
      </c>
      <c r="B477" s="2" t="s">
        <v>1891</v>
      </c>
      <c r="C477" s="2" t="s">
        <v>1893</v>
      </c>
      <c r="D477" s="2">
        <v>1.855185100130526E-4</v>
      </c>
      <c r="E477" s="12" t="s">
        <v>1894</v>
      </c>
    </row>
    <row r="478">
      <c r="A478" s="2" t="s">
        <v>1896</v>
      </c>
      <c r="B478" s="2" t="s">
        <v>1895</v>
      </c>
      <c r="C478" s="2" t="s">
        <v>1897</v>
      </c>
      <c r="D478" s="2">
        <v>1.855185100130526E-4</v>
      </c>
      <c r="E478" s="12" t="s">
        <v>1898</v>
      </c>
    </row>
    <row r="479">
      <c r="A479" s="2" t="s">
        <v>1900</v>
      </c>
      <c r="B479" s="2" t="s">
        <v>1899</v>
      </c>
      <c r="C479" s="2" t="s">
        <v>1901</v>
      </c>
      <c r="D479" s="2">
        <v>1.855185100130526E-4</v>
      </c>
      <c r="E479" s="12" t="s">
        <v>1902</v>
      </c>
    </row>
    <row r="480">
      <c r="A480" s="2" t="s">
        <v>1904</v>
      </c>
      <c r="B480" s="2" t="s">
        <v>1903</v>
      </c>
      <c r="C480" s="2" t="s">
        <v>1905</v>
      </c>
      <c r="D480" s="2">
        <v>1.855185100130526E-4</v>
      </c>
      <c r="E480" s="12" t="s">
        <v>1906</v>
      </c>
    </row>
    <row r="481">
      <c r="A481" s="2" t="s">
        <v>1908</v>
      </c>
      <c r="B481" s="2" t="s">
        <v>1907</v>
      </c>
      <c r="C481" s="2" t="s">
        <v>1909</v>
      </c>
      <c r="D481" s="2">
        <v>1.855185100130526E-4</v>
      </c>
      <c r="E481" s="12" t="s">
        <v>1910</v>
      </c>
    </row>
    <row r="482">
      <c r="A482" s="2" t="s">
        <v>1912</v>
      </c>
      <c r="B482" s="2" t="s">
        <v>1911</v>
      </c>
      <c r="C482" s="2" t="s">
        <v>1913</v>
      </c>
      <c r="D482" s="2">
        <v>1.855185100130526E-4</v>
      </c>
      <c r="E482" s="12" t="s">
        <v>1914</v>
      </c>
    </row>
    <row r="483">
      <c r="A483" s="2" t="s">
        <v>1916</v>
      </c>
      <c r="B483" s="2" t="s">
        <v>1915</v>
      </c>
      <c r="C483" s="2" t="s">
        <v>1917</v>
      </c>
      <c r="D483" s="2">
        <v>1.855185100130526E-4</v>
      </c>
      <c r="E483" s="12" t="s">
        <v>1918</v>
      </c>
    </row>
    <row r="484">
      <c r="A484" s="2" t="s">
        <v>1920</v>
      </c>
      <c r="B484" s="2" t="s">
        <v>1919</v>
      </c>
      <c r="D484" s="2">
        <v>1.855185100130526E-4</v>
      </c>
      <c r="E484" s="12" t="s">
        <v>1921</v>
      </c>
    </row>
    <row r="485">
      <c r="A485" s="2" t="s">
        <v>1923</v>
      </c>
      <c r="B485" s="2" t="s">
        <v>1922</v>
      </c>
      <c r="C485" s="2" t="s">
        <v>1924</v>
      </c>
      <c r="D485" s="2">
        <v>1.855185100130526E-4</v>
      </c>
      <c r="E485" s="12" t="s">
        <v>1925</v>
      </c>
    </row>
    <row r="486">
      <c r="A486" s="2" t="s">
        <v>1927</v>
      </c>
      <c r="B486" s="2" t="s">
        <v>1926</v>
      </c>
      <c r="C486" s="2" t="s">
        <v>1928</v>
      </c>
      <c r="D486" s="2">
        <v>1.855185100130526E-4</v>
      </c>
      <c r="E486" s="12" t="s">
        <v>1929</v>
      </c>
    </row>
    <row r="487">
      <c r="A487" s="2" t="s">
        <v>1931</v>
      </c>
      <c r="B487" s="2" t="s">
        <v>1930</v>
      </c>
      <c r="C487" s="2" t="s">
        <v>1932</v>
      </c>
      <c r="D487" s="2">
        <v>1.855185100130526E-4</v>
      </c>
      <c r="E487" s="12" t="s">
        <v>1933</v>
      </c>
    </row>
    <row r="488">
      <c r="A488" s="2" t="s">
        <v>1935</v>
      </c>
      <c r="B488" s="2" t="s">
        <v>1934</v>
      </c>
      <c r="C488" s="2" t="s">
        <v>1936</v>
      </c>
      <c r="D488" s="2">
        <v>1.855185100130526E-4</v>
      </c>
      <c r="E488" s="12" t="s">
        <v>1937</v>
      </c>
    </row>
    <row r="489">
      <c r="A489" s="2" t="s">
        <v>1939</v>
      </c>
      <c r="B489" s="2" t="s">
        <v>1938</v>
      </c>
      <c r="C489" s="2" t="s">
        <v>1940</v>
      </c>
      <c r="D489" s="2">
        <v>1.855185100130526E-4</v>
      </c>
      <c r="E489" s="12" t="s">
        <v>1941</v>
      </c>
    </row>
    <row r="490">
      <c r="A490" s="2" t="s">
        <v>1943</v>
      </c>
      <c r="B490" s="2" t="s">
        <v>1942</v>
      </c>
      <c r="C490" s="2" t="s">
        <v>1944</v>
      </c>
      <c r="D490" s="2">
        <v>1.855185100130526E-4</v>
      </c>
      <c r="E490" s="12" t="s">
        <v>1945</v>
      </c>
    </row>
    <row r="491">
      <c r="A491" s="2" t="s">
        <v>1947</v>
      </c>
      <c r="B491" s="2" t="s">
        <v>1946</v>
      </c>
      <c r="C491" s="2" t="s">
        <v>1948</v>
      </c>
      <c r="D491" s="2">
        <v>1.855185100130526E-4</v>
      </c>
      <c r="E491" s="12" t="s">
        <v>1949</v>
      </c>
    </row>
    <row r="492">
      <c r="A492" s="2" t="s">
        <v>1951</v>
      </c>
      <c r="B492" s="2" t="s">
        <v>1950</v>
      </c>
      <c r="C492" s="2" t="s">
        <v>1952</v>
      </c>
      <c r="D492" s="2">
        <v>1.855185100130526E-4</v>
      </c>
      <c r="E492" s="12" t="s">
        <v>1953</v>
      </c>
    </row>
    <row r="493">
      <c r="A493" s="2" t="s">
        <v>1955</v>
      </c>
      <c r="B493" s="2" t="s">
        <v>1954</v>
      </c>
      <c r="C493" s="2" t="s">
        <v>1956</v>
      </c>
      <c r="D493" s="2">
        <v>1.855185100130526E-4</v>
      </c>
      <c r="E493" s="12" t="s">
        <v>1957</v>
      </c>
    </row>
    <row r="494">
      <c r="A494" s="2" t="s">
        <v>1959</v>
      </c>
      <c r="B494" s="2" t="s">
        <v>1958</v>
      </c>
      <c r="C494" s="2" t="s">
        <v>1960</v>
      </c>
      <c r="D494" s="2">
        <v>1.855185100130526E-4</v>
      </c>
      <c r="E494" s="12" t="s">
        <v>1961</v>
      </c>
    </row>
    <row r="495">
      <c r="A495" s="2" t="s">
        <v>1963</v>
      </c>
      <c r="B495" s="2" t="s">
        <v>1962</v>
      </c>
      <c r="C495" s="2" t="s">
        <v>1964</v>
      </c>
      <c r="D495" s="2">
        <v>1.855185100130526E-4</v>
      </c>
      <c r="E495" s="12" t="s">
        <v>1965</v>
      </c>
    </row>
    <row r="496">
      <c r="A496" s="2" t="s">
        <v>1967</v>
      </c>
      <c r="B496" s="2" t="s">
        <v>1966</v>
      </c>
      <c r="D496" s="2">
        <v>1.855185100130526E-4</v>
      </c>
      <c r="E496" s="12" t="s">
        <v>1968</v>
      </c>
    </row>
    <row r="497">
      <c r="A497" s="2" t="s">
        <v>1970</v>
      </c>
      <c r="B497" s="2" t="s">
        <v>1969</v>
      </c>
      <c r="C497" s="2" t="s">
        <v>1971</v>
      </c>
      <c r="D497" s="2">
        <v>1.855185100130526E-4</v>
      </c>
      <c r="E497" s="12" t="s">
        <v>1972</v>
      </c>
    </row>
    <row r="498">
      <c r="A498" s="2" t="s">
        <v>1974</v>
      </c>
      <c r="B498" s="2" t="s">
        <v>1973</v>
      </c>
      <c r="C498" s="2" t="s">
        <v>1975</v>
      </c>
      <c r="D498" s="2">
        <v>1.855185100130526E-4</v>
      </c>
      <c r="E498" s="12" t="s">
        <v>1976</v>
      </c>
    </row>
    <row r="499">
      <c r="A499" s="2" t="s">
        <v>1978</v>
      </c>
      <c r="B499" s="2" t="s">
        <v>1977</v>
      </c>
      <c r="C499" s="2" t="s">
        <v>1979</v>
      </c>
      <c r="D499" s="2">
        <v>1.855185100130526E-4</v>
      </c>
      <c r="E499" s="12" t="s">
        <v>1980</v>
      </c>
    </row>
    <row r="500">
      <c r="A500" s="2" t="s">
        <v>1982</v>
      </c>
      <c r="B500" s="2" t="s">
        <v>1981</v>
      </c>
      <c r="D500" s="2">
        <v>1.855185100130526E-4</v>
      </c>
      <c r="E500" s="12" t="s">
        <v>1983</v>
      </c>
    </row>
    <row r="501">
      <c r="A501" s="2" t="s">
        <v>1985</v>
      </c>
      <c r="B501" s="2" t="s">
        <v>1984</v>
      </c>
      <c r="C501" s="2" t="s">
        <v>1986</v>
      </c>
      <c r="D501" s="2">
        <v>1.855185100130526E-4</v>
      </c>
      <c r="E501" s="12" t="s">
        <v>1987</v>
      </c>
    </row>
    <row r="502">
      <c r="A502" s="2" t="s">
        <v>1989</v>
      </c>
      <c r="B502" s="2" t="s">
        <v>1988</v>
      </c>
      <c r="C502" s="2" t="s">
        <v>1990</v>
      </c>
      <c r="D502" s="2">
        <v>1.855185100130526E-4</v>
      </c>
      <c r="E502" s="12" t="s">
        <v>1991</v>
      </c>
    </row>
    <row r="503">
      <c r="A503" s="2" t="s">
        <v>1993</v>
      </c>
      <c r="B503" s="2" t="s">
        <v>1992</v>
      </c>
      <c r="C503" s="2" t="s">
        <v>1994</v>
      </c>
      <c r="D503" s="2">
        <v>1.855185100130526E-4</v>
      </c>
      <c r="E503" s="12" t="s">
        <v>1995</v>
      </c>
    </row>
    <row r="504">
      <c r="A504" s="2" t="s">
        <v>1997</v>
      </c>
      <c r="B504" s="2" t="s">
        <v>1996</v>
      </c>
      <c r="C504" s="2" t="s">
        <v>1998</v>
      </c>
      <c r="D504" s="2">
        <v>1.855185100130526E-4</v>
      </c>
      <c r="E504" s="12" t="s">
        <v>1999</v>
      </c>
    </row>
    <row r="505">
      <c r="A505" s="2" t="s">
        <v>2001</v>
      </c>
      <c r="B505" s="2" t="s">
        <v>2000</v>
      </c>
      <c r="C505" s="2" t="s">
        <v>2002</v>
      </c>
      <c r="D505" s="2">
        <v>1.855185100130526E-4</v>
      </c>
      <c r="E505" s="12" t="s">
        <v>2003</v>
      </c>
    </row>
    <row r="506">
      <c r="A506" s="2" t="s">
        <v>2005</v>
      </c>
      <c r="B506" s="2" t="s">
        <v>2004</v>
      </c>
      <c r="C506" s="2" t="s">
        <v>2006</v>
      </c>
      <c r="D506" s="2">
        <v>1.855185100130526E-4</v>
      </c>
      <c r="E506" s="12" t="s">
        <v>2007</v>
      </c>
    </row>
    <row r="507">
      <c r="A507" s="2" t="s">
        <v>2009</v>
      </c>
      <c r="B507" s="2" t="s">
        <v>2008</v>
      </c>
      <c r="C507" s="2" t="s">
        <v>2010</v>
      </c>
      <c r="D507" s="2">
        <v>1.855185100130526E-4</v>
      </c>
      <c r="E507" s="12" t="s">
        <v>2011</v>
      </c>
    </row>
    <row r="508">
      <c r="A508" s="2" t="s">
        <v>2013</v>
      </c>
      <c r="B508" s="2" t="s">
        <v>2012</v>
      </c>
      <c r="C508" s="2" t="s">
        <v>2014</v>
      </c>
      <c r="D508" s="2">
        <v>1.855185100130526E-4</v>
      </c>
      <c r="E508" s="12" t="s">
        <v>2015</v>
      </c>
    </row>
    <row r="509">
      <c r="A509" s="2" t="s">
        <v>2017</v>
      </c>
      <c r="B509" s="2" t="s">
        <v>2016</v>
      </c>
      <c r="C509" s="2" t="s">
        <v>2018</v>
      </c>
      <c r="D509" s="2">
        <v>1.855185100130526E-4</v>
      </c>
      <c r="E509" s="12" t="s">
        <v>2019</v>
      </c>
    </row>
    <row r="510">
      <c r="A510" s="2" t="s">
        <v>2021</v>
      </c>
      <c r="B510" s="2" t="s">
        <v>2020</v>
      </c>
      <c r="C510" s="2" t="s">
        <v>2022</v>
      </c>
      <c r="D510" s="2">
        <v>1.855185100130526E-4</v>
      </c>
      <c r="E510" s="12" t="s">
        <v>2023</v>
      </c>
    </row>
    <row r="511">
      <c r="A511" s="2" t="s">
        <v>2025</v>
      </c>
      <c r="B511" s="2" t="s">
        <v>2024</v>
      </c>
      <c r="C511" s="2" t="s">
        <v>2026</v>
      </c>
      <c r="D511" s="2">
        <v>1.855185100130526E-4</v>
      </c>
      <c r="E511" s="12" t="s">
        <v>2027</v>
      </c>
    </row>
    <row r="512">
      <c r="A512" s="2" t="s">
        <v>2029</v>
      </c>
      <c r="B512" s="2" t="s">
        <v>2028</v>
      </c>
      <c r="C512" s="2" t="s">
        <v>2030</v>
      </c>
      <c r="D512" s="2">
        <v>1.855185100130526E-4</v>
      </c>
      <c r="E512" s="12" t="s">
        <v>2031</v>
      </c>
    </row>
    <row r="513">
      <c r="A513" s="2" t="s">
        <v>2033</v>
      </c>
      <c r="B513" s="2" t="s">
        <v>2032</v>
      </c>
      <c r="C513" s="2" t="s">
        <v>2034</v>
      </c>
      <c r="D513" s="2">
        <v>1.855185100130526E-4</v>
      </c>
      <c r="E513" s="12" t="s">
        <v>2035</v>
      </c>
    </row>
    <row r="514">
      <c r="A514" s="2" t="s">
        <v>2037</v>
      </c>
      <c r="B514" s="2" t="s">
        <v>2036</v>
      </c>
      <c r="C514" s="2" t="s">
        <v>2038</v>
      </c>
      <c r="D514" s="2">
        <v>1.855185100130526E-4</v>
      </c>
      <c r="E514" s="12" t="s">
        <v>2039</v>
      </c>
    </row>
    <row r="515">
      <c r="A515" s="2" t="s">
        <v>2041</v>
      </c>
      <c r="B515" s="2" t="s">
        <v>2040</v>
      </c>
      <c r="C515" s="2" t="s">
        <v>2042</v>
      </c>
      <c r="D515" s="2">
        <v>1.855185100130526E-4</v>
      </c>
      <c r="E515" s="12" t="s">
        <v>2043</v>
      </c>
    </row>
    <row r="516">
      <c r="A516" s="2" t="s">
        <v>2045</v>
      </c>
      <c r="B516" s="2" t="s">
        <v>2044</v>
      </c>
      <c r="C516" s="2" t="s">
        <v>2046</v>
      </c>
      <c r="D516" s="2">
        <v>1.855185100130526E-4</v>
      </c>
      <c r="E516" s="12" t="s">
        <v>2047</v>
      </c>
    </row>
    <row r="517">
      <c r="A517" s="2" t="s">
        <v>2049</v>
      </c>
      <c r="B517" s="2" t="s">
        <v>2048</v>
      </c>
      <c r="C517" s="2" t="s">
        <v>2050</v>
      </c>
      <c r="D517" s="2">
        <v>1.855185100130526E-4</v>
      </c>
      <c r="E517" s="12" t="s">
        <v>2051</v>
      </c>
    </row>
    <row r="518">
      <c r="A518" s="2" t="s">
        <v>2053</v>
      </c>
      <c r="B518" s="2" t="s">
        <v>2052</v>
      </c>
      <c r="C518" s="2" t="s">
        <v>2054</v>
      </c>
      <c r="D518" s="2">
        <v>1.855185100130526E-4</v>
      </c>
      <c r="E518" s="12" t="s">
        <v>2055</v>
      </c>
    </row>
    <row r="519">
      <c r="A519" s="2" t="s">
        <v>2057</v>
      </c>
      <c r="B519" s="2" t="s">
        <v>2056</v>
      </c>
      <c r="C519" s="2" t="s">
        <v>2058</v>
      </c>
      <c r="D519" s="2">
        <v>1.855185100130526E-4</v>
      </c>
      <c r="E519" s="12" t="s">
        <v>2059</v>
      </c>
    </row>
    <row r="520">
      <c r="A520" s="2" t="s">
        <v>2061</v>
      </c>
      <c r="B520" s="2" t="s">
        <v>2060</v>
      </c>
      <c r="C520" s="2" t="s">
        <v>2062</v>
      </c>
      <c r="D520" s="2">
        <v>1.855185100130526E-4</v>
      </c>
      <c r="E520" s="12" t="s">
        <v>2063</v>
      </c>
    </row>
    <row r="521">
      <c r="A521" s="2" t="s">
        <v>2065</v>
      </c>
      <c r="B521" s="2" t="s">
        <v>2064</v>
      </c>
      <c r="C521" s="2" t="s">
        <v>2066</v>
      </c>
      <c r="D521" s="2">
        <v>1.855185100130526E-4</v>
      </c>
      <c r="E521" s="12" t="s">
        <v>2067</v>
      </c>
    </row>
    <row r="522">
      <c r="A522" s="2" t="s">
        <v>2069</v>
      </c>
      <c r="B522" s="2" t="s">
        <v>2068</v>
      </c>
      <c r="C522" s="2" t="s">
        <v>2070</v>
      </c>
      <c r="D522" s="2">
        <v>1.855185100130526E-4</v>
      </c>
      <c r="E522" s="12" t="s">
        <v>2071</v>
      </c>
    </row>
    <row r="523">
      <c r="A523" s="2" t="s">
        <v>2073</v>
      </c>
      <c r="B523" s="2" t="s">
        <v>2072</v>
      </c>
      <c r="C523" s="2" t="s">
        <v>2074</v>
      </c>
      <c r="D523" s="2">
        <v>1.855185100130526E-4</v>
      </c>
      <c r="E523" s="12" t="s">
        <v>2075</v>
      </c>
    </row>
    <row r="524">
      <c r="A524" s="2" t="s">
        <v>2077</v>
      </c>
      <c r="B524" s="2" t="s">
        <v>2076</v>
      </c>
      <c r="C524" s="2" t="s">
        <v>2078</v>
      </c>
      <c r="D524" s="2">
        <v>1.855185100130526E-4</v>
      </c>
      <c r="E524" s="12" t="s">
        <v>2079</v>
      </c>
    </row>
    <row r="525">
      <c r="A525" s="2" t="s">
        <v>2081</v>
      </c>
      <c r="B525" s="2" t="s">
        <v>2080</v>
      </c>
      <c r="C525" s="2" t="s">
        <v>2082</v>
      </c>
      <c r="D525" s="2">
        <v>1.855185100130526E-4</v>
      </c>
      <c r="E525" s="12" t="s">
        <v>2083</v>
      </c>
    </row>
    <row r="526">
      <c r="A526" s="2" t="s">
        <v>2085</v>
      </c>
      <c r="B526" s="2" t="s">
        <v>2084</v>
      </c>
      <c r="C526" s="2" t="s">
        <v>2086</v>
      </c>
      <c r="D526" s="2">
        <v>1.855185100130526E-4</v>
      </c>
      <c r="E526" s="12" t="s">
        <v>2087</v>
      </c>
    </row>
    <row r="527">
      <c r="A527" s="2" t="s">
        <v>2089</v>
      </c>
      <c r="B527" s="2" t="s">
        <v>2088</v>
      </c>
      <c r="C527" s="2" t="s">
        <v>2090</v>
      </c>
      <c r="D527" s="2">
        <v>1.855185100130526E-4</v>
      </c>
      <c r="E527" s="12" t="s">
        <v>2091</v>
      </c>
    </row>
    <row r="528">
      <c r="A528" s="2" t="s">
        <v>2093</v>
      </c>
      <c r="B528" s="2" t="s">
        <v>2092</v>
      </c>
      <c r="C528" s="2" t="s">
        <v>2094</v>
      </c>
      <c r="D528" s="2">
        <v>1.855185100130526E-4</v>
      </c>
      <c r="E528" s="12" t="s">
        <v>2095</v>
      </c>
    </row>
    <row r="529">
      <c r="A529" s="2" t="s">
        <v>2097</v>
      </c>
      <c r="B529" s="2" t="s">
        <v>2096</v>
      </c>
      <c r="C529" s="2" t="s">
        <v>2098</v>
      </c>
      <c r="D529" s="2">
        <v>1.855185100130526E-4</v>
      </c>
      <c r="E529" s="12" t="s">
        <v>2099</v>
      </c>
    </row>
    <row r="530">
      <c r="A530" s="2" t="s">
        <v>2101</v>
      </c>
      <c r="B530" s="2" t="s">
        <v>2100</v>
      </c>
      <c r="C530" s="2" t="s">
        <v>2102</v>
      </c>
      <c r="D530" s="2">
        <v>1.855185100130526E-4</v>
      </c>
      <c r="E530" s="12" t="s">
        <v>2103</v>
      </c>
    </row>
    <row r="531">
      <c r="A531" s="2" t="s">
        <v>2105</v>
      </c>
      <c r="B531" s="2" t="s">
        <v>2104</v>
      </c>
      <c r="C531" s="2" t="s">
        <v>2106</v>
      </c>
      <c r="D531" s="2">
        <v>1.855185100130526E-4</v>
      </c>
      <c r="E531" s="12" t="s">
        <v>2107</v>
      </c>
    </row>
    <row r="532">
      <c r="A532" s="2" t="s">
        <v>2109</v>
      </c>
      <c r="B532" s="2" t="s">
        <v>2108</v>
      </c>
      <c r="C532" s="2" t="s">
        <v>2110</v>
      </c>
      <c r="D532" s="2">
        <v>1.855185100130526E-4</v>
      </c>
      <c r="E532" s="12" t="s">
        <v>2111</v>
      </c>
    </row>
    <row r="533">
      <c r="A533" s="2" t="s">
        <v>2112</v>
      </c>
      <c r="B533" s="2" t="s">
        <v>2112</v>
      </c>
      <c r="C533" s="2" t="s">
        <v>2113</v>
      </c>
      <c r="D533" s="2">
        <v>1.855185100130526E-4</v>
      </c>
      <c r="E533" s="12" t="s">
        <v>2114</v>
      </c>
    </row>
    <row r="534">
      <c r="A534" s="2" t="s">
        <v>2116</v>
      </c>
      <c r="B534" s="2" t="s">
        <v>2115</v>
      </c>
      <c r="C534" s="2" t="s">
        <v>2117</v>
      </c>
      <c r="D534" s="2">
        <v>1.855185100130526E-4</v>
      </c>
      <c r="E534" s="12" t="s">
        <v>2118</v>
      </c>
    </row>
    <row r="535">
      <c r="A535" s="2" t="s">
        <v>2120</v>
      </c>
      <c r="B535" s="2" t="s">
        <v>2119</v>
      </c>
      <c r="C535" s="2" t="s">
        <v>2121</v>
      </c>
      <c r="D535" s="2">
        <v>1.855185100130526E-4</v>
      </c>
      <c r="E535" s="12" t="s">
        <v>2122</v>
      </c>
    </row>
    <row r="536">
      <c r="A536" s="2" t="s">
        <v>2124</v>
      </c>
      <c r="B536" s="2" t="s">
        <v>2123</v>
      </c>
      <c r="C536" s="2" t="s">
        <v>2125</v>
      </c>
      <c r="D536" s="2">
        <v>1.855185100130526E-4</v>
      </c>
      <c r="E536" s="12" t="s">
        <v>2126</v>
      </c>
    </row>
    <row r="537">
      <c r="A537" s="2" t="s">
        <v>2128</v>
      </c>
      <c r="B537" s="2" t="s">
        <v>2127</v>
      </c>
      <c r="C537" s="2" t="s">
        <v>2129</v>
      </c>
      <c r="D537" s="2">
        <v>1.855185100130526E-4</v>
      </c>
      <c r="E537" s="12" t="s">
        <v>2130</v>
      </c>
    </row>
    <row r="538">
      <c r="A538" s="2" t="s">
        <v>2132</v>
      </c>
      <c r="B538" s="2" t="s">
        <v>2131</v>
      </c>
      <c r="C538" s="2" t="s">
        <v>2133</v>
      </c>
      <c r="D538" s="2">
        <v>1.855185100130526E-4</v>
      </c>
      <c r="E538" s="12" t="s">
        <v>2134</v>
      </c>
    </row>
    <row r="539">
      <c r="A539" s="2" t="s">
        <v>2136</v>
      </c>
      <c r="B539" s="2" t="s">
        <v>2135</v>
      </c>
      <c r="C539" s="2" t="s">
        <v>2137</v>
      </c>
      <c r="D539" s="2">
        <v>1.855185100130526E-4</v>
      </c>
      <c r="E539" s="12" t="s">
        <v>2138</v>
      </c>
    </row>
    <row r="540">
      <c r="A540" s="2" t="s">
        <v>2140</v>
      </c>
      <c r="B540" s="2" t="s">
        <v>2139</v>
      </c>
      <c r="C540" s="2" t="s">
        <v>2141</v>
      </c>
      <c r="D540" s="2">
        <v>1.855185100130526E-4</v>
      </c>
      <c r="E540" s="12" t="s">
        <v>2142</v>
      </c>
    </row>
    <row r="541">
      <c r="A541" s="2" t="s">
        <v>2144</v>
      </c>
      <c r="B541" s="2" t="s">
        <v>2143</v>
      </c>
      <c r="C541" s="2" t="s">
        <v>2145</v>
      </c>
      <c r="D541" s="2">
        <v>1.855185100130526E-4</v>
      </c>
      <c r="E541" s="12" t="s">
        <v>2146</v>
      </c>
    </row>
    <row r="542">
      <c r="A542" s="2" t="s">
        <v>2148</v>
      </c>
      <c r="B542" s="2" t="s">
        <v>2147</v>
      </c>
      <c r="C542" s="2" t="s">
        <v>2149</v>
      </c>
      <c r="D542" s="2">
        <v>1.855185100130526E-4</v>
      </c>
      <c r="E542" s="12" t="s">
        <v>2150</v>
      </c>
    </row>
    <row r="543">
      <c r="A543" s="2" t="s">
        <v>2152</v>
      </c>
      <c r="B543" s="2" t="s">
        <v>2151</v>
      </c>
      <c r="C543" s="2" t="s">
        <v>2153</v>
      </c>
      <c r="D543" s="2">
        <v>1.855185100130526E-4</v>
      </c>
      <c r="E543" s="12" t="s">
        <v>2154</v>
      </c>
    </row>
    <row r="544">
      <c r="A544" s="2" t="s">
        <v>2156</v>
      </c>
      <c r="B544" s="2" t="s">
        <v>2155</v>
      </c>
      <c r="C544" s="2" t="s">
        <v>2157</v>
      </c>
      <c r="D544" s="2">
        <v>1.855185100130526E-4</v>
      </c>
      <c r="E544" s="12" t="s">
        <v>2158</v>
      </c>
    </row>
    <row r="545">
      <c r="A545" s="2" t="s">
        <v>2160</v>
      </c>
      <c r="B545" s="2" t="s">
        <v>2159</v>
      </c>
      <c r="C545" s="2" t="s">
        <v>2161</v>
      </c>
      <c r="D545" s="2">
        <v>1.855185100130526E-4</v>
      </c>
      <c r="E545" s="12" t="s">
        <v>2162</v>
      </c>
    </row>
    <row r="546">
      <c r="A546" s="2" t="s">
        <v>2164</v>
      </c>
      <c r="B546" s="2" t="s">
        <v>2163</v>
      </c>
      <c r="C546" s="2" t="s">
        <v>2165</v>
      </c>
      <c r="D546" s="2">
        <v>1.855185100130526E-4</v>
      </c>
      <c r="E546" s="12" t="s">
        <v>2166</v>
      </c>
    </row>
    <row r="547">
      <c r="A547" s="2" t="s">
        <v>2168</v>
      </c>
      <c r="B547" s="2" t="s">
        <v>2167</v>
      </c>
      <c r="C547" s="2" t="s">
        <v>2169</v>
      </c>
      <c r="D547" s="2">
        <v>1.855185100130526E-4</v>
      </c>
      <c r="E547" s="12" t="s">
        <v>2170</v>
      </c>
    </row>
    <row r="548">
      <c r="A548" s="2" t="s">
        <v>2172</v>
      </c>
      <c r="B548" s="2" t="s">
        <v>2171</v>
      </c>
      <c r="C548" s="2" t="s">
        <v>2173</v>
      </c>
      <c r="D548" s="2">
        <v>1.855185100130526E-4</v>
      </c>
      <c r="E548" s="12" t="s">
        <v>2174</v>
      </c>
    </row>
    <row r="549">
      <c r="A549" s="2" t="s">
        <v>2176</v>
      </c>
      <c r="B549" s="2" t="s">
        <v>2175</v>
      </c>
      <c r="C549" s="2" t="s">
        <v>2177</v>
      </c>
      <c r="D549" s="2">
        <v>1.855185100130526E-4</v>
      </c>
      <c r="E549" s="12" t="s">
        <v>2178</v>
      </c>
    </row>
    <row r="550">
      <c r="A550" s="2" t="s">
        <v>2180</v>
      </c>
      <c r="B550" s="2" t="s">
        <v>2179</v>
      </c>
      <c r="C550" s="2" t="s">
        <v>2181</v>
      </c>
      <c r="D550" s="2">
        <v>1.855185100130526E-4</v>
      </c>
      <c r="E550" s="12" t="s">
        <v>2182</v>
      </c>
    </row>
    <row r="551">
      <c r="A551" s="2" t="s">
        <v>2184</v>
      </c>
      <c r="B551" s="2" t="s">
        <v>2183</v>
      </c>
      <c r="C551" s="2" t="s">
        <v>2185</v>
      </c>
      <c r="D551" s="2">
        <v>1.855185100130526E-4</v>
      </c>
      <c r="E551" s="12" t="s">
        <v>2186</v>
      </c>
    </row>
    <row r="552">
      <c r="A552" s="2" t="s">
        <v>2188</v>
      </c>
      <c r="B552" s="2" t="s">
        <v>2187</v>
      </c>
      <c r="C552" s="2" t="s">
        <v>2189</v>
      </c>
      <c r="D552" s="2">
        <v>1.855185100130526E-4</v>
      </c>
      <c r="E552" s="12" t="s">
        <v>2190</v>
      </c>
    </row>
    <row r="553">
      <c r="A553" s="2" t="s">
        <v>2192</v>
      </c>
      <c r="B553" s="2" t="s">
        <v>2191</v>
      </c>
      <c r="C553" s="2" t="s">
        <v>2193</v>
      </c>
      <c r="D553" s="2">
        <v>1.855185100130526E-4</v>
      </c>
      <c r="E553" s="12" t="s">
        <v>2194</v>
      </c>
    </row>
    <row r="554">
      <c r="A554" s="2" t="s">
        <v>2196</v>
      </c>
      <c r="B554" s="2" t="s">
        <v>2195</v>
      </c>
      <c r="C554" s="2" t="s">
        <v>2197</v>
      </c>
      <c r="D554" s="2">
        <v>1.855185100130526E-4</v>
      </c>
      <c r="E554" s="12" t="s">
        <v>2198</v>
      </c>
    </row>
    <row r="555">
      <c r="A555" s="2" t="s">
        <v>2200</v>
      </c>
      <c r="B555" s="2" t="s">
        <v>2199</v>
      </c>
      <c r="C555" s="2" t="s">
        <v>2201</v>
      </c>
      <c r="D555" s="2">
        <v>1.855185100130526E-4</v>
      </c>
      <c r="E555" s="12" t="s">
        <v>2202</v>
      </c>
    </row>
    <row r="556">
      <c r="A556" s="2" t="s">
        <v>2204</v>
      </c>
      <c r="B556" s="2" t="s">
        <v>2203</v>
      </c>
      <c r="C556" s="2" t="s">
        <v>2205</v>
      </c>
      <c r="D556" s="2">
        <v>1.855185100130526E-4</v>
      </c>
      <c r="E556" s="12" t="s">
        <v>2206</v>
      </c>
    </row>
    <row r="557">
      <c r="A557" s="2" t="s">
        <v>2208</v>
      </c>
      <c r="B557" s="2" t="s">
        <v>2207</v>
      </c>
      <c r="C557" s="2" t="s">
        <v>2209</v>
      </c>
      <c r="D557" s="2">
        <v>1.855185100130526E-4</v>
      </c>
      <c r="E557" s="12" t="s">
        <v>2210</v>
      </c>
    </row>
    <row r="558">
      <c r="A558" s="2" t="s">
        <v>2212</v>
      </c>
      <c r="B558" s="2" t="s">
        <v>2211</v>
      </c>
      <c r="C558" s="2" t="s">
        <v>2213</v>
      </c>
      <c r="D558" s="2">
        <v>1.8551851001305256E-4</v>
      </c>
      <c r="E558" s="12" t="s">
        <v>2214</v>
      </c>
    </row>
    <row r="559">
      <c r="A559" s="2" t="s">
        <v>2216</v>
      </c>
      <c r="B559" s="2" t="s">
        <v>2215</v>
      </c>
      <c r="C559" s="2" t="s">
        <v>2217</v>
      </c>
      <c r="D559" s="2">
        <v>1.8551851001305256E-4</v>
      </c>
      <c r="E559" s="12" t="s">
        <v>2218</v>
      </c>
    </row>
    <row r="560">
      <c r="A560" s="2" t="s">
        <v>2220</v>
      </c>
      <c r="B560" s="2" t="s">
        <v>2219</v>
      </c>
      <c r="C560" s="2" t="s">
        <v>2221</v>
      </c>
      <c r="D560" s="2">
        <v>1.8338755415479453E-4</v>
      </c>
      <c r="E560" s="12" t="s">
        <v>2222</v>
      </c>
    </row>
    <row r="561">
      <c r="A561" s="2" t="s">
        <v>2224</v>
      </c>
      <c r="B561" s="2" t="s">
        <v>2223</v>
      </c>
      <c r="C561" s="2" t="s">
        <v>2225</v>
      </c>
      <c r="D561" s="2">
        <v>1.8338755415479453E-4</v>
      </c>
      <c r="E561" s="12" t="s">
        <v>2226</v>
      </c>
    </row>
    <row r="562">
      <c r="A562" s="2" t="s">
        <v>2228</v>
      </c>
      <c r="B562" s="2" t="s">
        <v>2227</v>
      </c>
      <c r="C562" s="2" t="s">
        <v>2229</v>
      </c>
      <c r="D562" s="2">
        <v>1.8338755415479453E-4</v>
      </c>
      <c r="E562" s="12" t="s">
        <v>2230</v>
      </c>
    </row>
    <row r="563">
      <c r="A563" s="2" t="s">
        <v>2232</v>
      </c>
      <c r="B563" s="2" t="s">
        <v>2231</v>
      </c>
      <c r="C563" s="2" t="s">
        <v>2233</v>
      </c>
      <c r="D563" s="2">
        <v>1.8338755415479453E-4</v>
      </c>
      <c r="E563" s="12" t="s">
        <v>2234</v>
      </c>
    </row>
    <row r="564">
      <c r="A564" s="2" t="s">
        <v>2236</v>
      </c>
      <c r="B564" s="2" t="s">
        <v>2235</v>
      </c>
      <c r="C564" s="2" t="s">
        <v>2237</v>
      </c>
      <c r="D564" s="2">
        <v>1.8338755415479453E-4</v>
      </c>
      <c r="E564" s="12" t="s">
        <v>2238</v>
      </c>
    </row>
    <row r="565">
      <c r="A565" s="2" t="s">
        <v>2240</v>
      </c>
      <c r="B565" s="2" t="s">
        <v>2239</v>
      </c>
      <c r="C565" s="2" t="s">
        <v>2241</v>
      </c>
      <c r="D565" s="2">
        <v>1.7957165645507775E-4</v>
      </c>
      <c r="E565" s="12" t="s">
        <v>2242</v>
      </c>
    </row>
    <row r="566">
      <c r="A566" s="2" t="s">
        <v>2244</v>
      </c>
      <c r="B566" s="2" t="s">
        <v>2243</v>
      </c>
      <c r="C566" s="2" t="s">
        <v>2245</v>
      </c>
      <c r="D566" s="2">
        <v>1.7957165645507775E-4</v>
      </c>
      <c r="E566" s="12" t="s">
        <v>2246</v>
      </c>
    </row>
    <row r="567">
      <c r="A567" s="2" t="s">
        <v>2248</v>
      </c>
      <c r="B567" s="2" t="s">
        <v>2247</v>
      </c>
      <c r="C567" s="2" t="s">
        <v>2249</v>
      </c>
      <c r="D567" s="2">
        <v>1.7936241531141823E-4</v>
      </c>
      <c r="E567" s="12" t="s">
        <v>2250</v>
      </c>
    </row>
    <row r="568">
      <c r="A568" s="2" t="s">
        <v>2252</v>
      </c>
      <c r="B568" s="2" t="s">
        <v>2251</v>
      </c>
      <c r="C568" s="2" t="s">
        <v>2253</v>
      </c>
      <c r="D568" s="2">
        <v>1.791256424382785E-4</v>
      </c>
      <c r="E568" s="12" t="s">
        <v>2254</v>
      </c>
    </row>
    <row r="569">
      <c r="A569" s="2" t="s">
        <v>2256</v>
      </c>
      <c r="B569" s="2" t="s">
        <v>2255</v>
      </c>
      <c r="C569" s="2" t="s">
        <v>2257</v>
      </c>
      <c r="D569" s="2">
        <v>1.791256424382785E-4</v>
      </c>
      <c r="E569" s="12" t="s">
        <v>2258</v>
      </c>
    </row>
    <row r="570">
      <c r="A570" s="2" t="s">
        <v>2260</v>
      </c>
      <c r="B570" s="2" t="s">
        <v>2259</v>
      </c>
      <c r="C570" s="2" t="s">
        <v>2261</v>
      </c>
      <c r="D570" s="2">
        <v>1.791256424382785E-4</v>
      </c>
      <c r="E570" s="12" t="s">
        <v>2262</v>
      </c>
    </row>
    <row r="571">
      <c r="A571" s="2" t="s">
        <v>2264</v>
      </c>
      <c r="B571" s="2" t="s">
        <v>2263</v>
      </c>
      <c r="C571" s="2" t="s">
        <v>2265</v>
      </c>
      <c r="D571" s="2">
        <v>1.7440047944822806E-4</v>
      </c>
      <c r="E571" s="12" t="s">
        <v>2266</v>
      </c>
    </row>
    <row r="572">
      <c r="A572" s="2" t="s">
        <v>2268</v>
      </c>
      <c r="B572" s="2" t="s">
        <v>2267</v>
      </c>
      <c r="C572" s="2" t="s">
        <v>2269</v>
      </c>
      <c r="D572" s="2">
        <v>1.7440047944822806E-4</v>
      </c>
      <c r="E572" s="12" t="s">
        <v>2270</v>
      </c>
    </row>
    <row r="573">
      <c r="A573" s="2" t="s">
        <v>2272</v>
      </c>
      <c r="B573" s="2" t="s">
        <v>2271</v>
      </c>
      <c r="C573" s="2" t="s">
        <v>2273</v>
      </c>
      <c r="D573" s="2">
        <v>1.7440047944822806E-4</v>
      </c>
      <c r="E573" s="12" t="s">
        <v>2274</v>
      </c>
    </row>
    <row r="574">
      <c r="A574" s="2" t="s">
        <v>2276</v>
      </c>
      <c r="B574" s="2" t="s">
        <v>2275</v>
      </c>
      <c r="C574" s="2" t="s">
        <v>2277</v>
      </c>
      <c r="D574" s="2">
        <v>1.7440047944822806E-4</v>
      </c>
      <c r="E574" s="12" t="s">
        <v>2278</v>
      </c>
    </row>
    <row r="575">
      <c r="A575" s="2" t="s">
        <v>2280</v>
      </c>
      <c r="B575" s="2" t="s">
        <v>2279</v>
      </c>
      <c r="C575" s="2" t="s">
        <v>2281</v>
      </c>
      <c r="D575" s="2">
        <v>1.7440047944822806E-4</v>
      </c>
      <c r="E575" s="12" t="s">
        <v>2282</v>
      </c>
    </row>
    <row r="576">
      <c r="A576" s="2" t="s">
        <v>2284</v>
      </c>
      <c r="B576" s="2" t="s">
        <v>2283</v>
      </c>
      <c r="C576" s="2" t="s">
        <v>2285</v>
      </c>
      <c r="D576" s="2">
        <v>1.7440047944822806E-4</v>
      </c>
      <c r="E576" s="12" t="s">
        <v>2286</v>
      </c>
    </row>
    <row r="577">
      <c r="A577" s="2" t="s">
        <v>2288</v>
      </c>
      <c r="B577" s="2" t="s">
        <v>2287</v>
      </c>
      <c r="C577" s="2" t="s">
        <v>2289</v>
      </c>
      <c r="D577" s="2">
        <v>1.7440047944822806E-4</v>
      </c>
      <c r="E577" s="12" t="s">
        <v>2290</v>
      </c>
    </row>
    <row r="578">
      <c r="A578" s="2" t="s">
        <v>2292</v>
      </c>
      <c r="B578" s="2" t="s">
        <v>2291</v>
      </c>
      <c r="C578" s="2" t="s">
        <v>2293</v>
      </c>
      <c r="D578" s="2">
        <v>1.7440047944822806E-4</v>
      </c>
      <c r="E578" s="12" t="s">
        <v>2294</v>
      </c>
    </row>
    <row r="579">
      <c r="A579" s="2" t="s">
        <v>2296</v>
      </c>
      <c r="B579" s="2" t="s">
        <v>2295</v>
      </c>
      <c r="C579" s="2" t="s">
        <v>2297</v>
      </c>
      <c r="D579" s="2">
        <v>1.7440047944822806E-4</v>
      </c>
      <c r="E579" s="12" t="s">
        <v>2298</v>
      </c>
    </row>
    <row r="580">
      <c r="A580" s="2" t="s">
        <v>2300</v>
      </c>
      <c r="B580" s="2" t="s">
        <v>2299</v>
      </c>
      <c r="C580" s="2" t="s">
        <v>2301</v>
      </c>
      <c r="D580" s="2">
        <v>1.7440047944822806E-4</v>
      </c>
      <c r="E580" s="12" t="s">
        <v>2302</v>
      </c>
    </row>
    <row r="581">
      <c r="A581" s="2" t="s">
        <v>2304</v>
      </c>
      <c r="B581" s="2" t="s">
        <v>2303</v>
      </c>
      <c r="C581" s="2" t="s">
        <v>2305</v>
      </c>
      <c r="D581" s="2">
        <v>1.7440047944822806E-4</v>
      </c>
      <c r="E581" s="12" t="s">
        <v>2306</v>
      </c>
    </row>
    <row r="582">
      <c r="A582" s="2" t="s">
        <v>2308</v>
      </c>
      <c r="B582" s="2" t="s">
        <v>2307</v>
      </c>
      <c r="C582" s="2" t="s">
        <v>2309</v>
      </c>
      <c r="D582" s="2">
        <v>1.744004794481329E-4</v>
      </c>
      <c r="E582" s="12" t="s">
        <v>2310</v>
      </c>
    </row>
    <row r="583">
      <c r="A583" s="2" t="s">
        <v>2312</v>
      </c>
      <c r="B583" s="2" t="s">
        <v>2311</v>
      </c>
      <c r="C583" s="2" t="s">
        <v>2313</v>
      </c>
      <c r="D583" s="2">
        <v>1.7440047944800418E-4</v>
      </c>
      <c r="E583" s="12" t="s">
        <v>2314</v>
      </c>
    </row>
    <row r="584">
      <c r="A584" s="2" t="s">
        <v>2316</v>
      </c>
      <c r="B584" s="2" t="s">
        <v>2315</v>
      </c>
      <c r="C584" s="2" t="s">
        <v>2317</v>
      </c>
      <c r="D584" s="2">
        <v>1.7440047944800418E-4</v>
      </c>
      <c r="E584" s="12" t="s">
        <v>2318</v>
      </c>
    </row>
    <row r="585">
      <c r="A585" s="2" t="s">
        <v>2320</v>
      </c>
      <c r="B585" s="2" t="s">
        <v>2319</v>
      </c>
      <c r="C585" s="2" t="s">
        <v>2321</v>
      </c>
      <c r="D585" s="2">
        <v>1.7415341210234305E-4</v>
      </c>
      <c r="E585" s="12" t="s">
        <v>2322</v>
      </c>
    </row>
    <row r="586">
      <c r="A586" s="2" t="s">
        <v>2324</v>
      </c>
      <c r="B586" s="2" t="s">
        <v>2323</v>
      </c>
      <c r="C586" s="2" t="s">
        <v>2325</v>
      </c>
      <c r="D586" s="2">
        <v>1.7131213762466567E-4</v>
      </c>
      <c r="E586" s="12" t="s">
        <v>2326</v>
      </c>
    </row>
    <row r="587">
      <c r="A587" s="2" t="s">
        <v>2328</v>
      </c>
      <c r="B587" s="2" t="s">
        <v>2327</v>
      </c>
      <c r="C587" s="2" t="s">
        <v>2329</v>
      </c>
      <c r="D587" s="2">
        <v>1.7131213762466567E-4</v>
      </c>
      <c r="E587" s="12" t="s">
        <v>2330</v>
      </c>
    </row>
    <row r="588">
      <c r="A588" s="2" t="s">
        <v>2332</v>
      </c>
      <c r="B588" s="2" t="s">
        <v>2331</v>
      </c>
      <c r="C588" s="2" t="s">
        <v>2333</v>
      </c>
      <c r="D588" s="2">
        <v>1.7131213762466567E-4</v>
      </c>
      <c r="E588" s="12" t="s">
        <v>2334</v>
      </c>
    </row>
    <row r="589">
      <c r="A589" s="2" t="s">
        <v>2336</v>
      </c>
      <c r="B589" s="2" t="s">
        <v>2335</v>
      </c>
      <c r="C589" s="2" t="s">
        <v>2337</v>
      </c>
      <c r="D589" s="2">
        <v>1.6928265585489612E-4</v>
      </c>
      <c r="E589" s="12" t="s">
        <v>2338</v>
      </c>
    </row>
    <row r="590">
      <c r="A590" s="2" t="s">
        <v>2340</v>
      </c>
      <c r="B590" s="2" t="s">
        <v>2339</v>
      </c>
      <c r="C590" s="2" t="s">
        <v>2341</v>
      </c>
      <c r="D590" s="2">
        <v>1.6420895143047225E-4</v>
      </c>
      <c r="E590" s="12" t="s">
        <v>2342</v>
      </c>
    </row>
    <row r="591">
      <c r="A591" s="2" t="s">
        <v>2344</v>
      </c>
      <c r="B591" s="2" t="s">
        <v>2343</v>
      </c>
      <c r="C591" s="2" t="s">
        <v>2345</v>
      </c>
      <c r="D591" s="2">
        <v>1.6420895143047225E-4</v>
      </c>
      <c r="E591" s="12" t="s">
        <v>2346</v>
      </c>
    </row>
    <row r="592">
      <c r="A592" s="2" t="s">
        <v>2348</v>
      </c>
      <c r="B592" s="2" t="s">
        <v>2347</v>
      </c>
      <c r="C592" s="2" t="s">
        <v>2349</v>
      </c>
      <c r="D592" s="2">
        <v>1.6420895143047225E-4</v>
      </c>
      <c r="E592" s="12" t="s">
        <v>2350</v>
      </c>
    </row>
    <row r="593">
      <c r="A593" s="2" t="s">
        <v>2352</v>
      </c>
      <c r="B593" s="2" t="s">
        <v>2351</v>
      </c>
      <c r="C593" s="2" t="s">
        <v>2353</v>
      </c>
      <c r="D593" s="2">
        <v>1.626685014124427E-4</v>
      </c>
      <c r="E593" s="12" t="s">
        <v>2354</v>
      </c>
    </row>
    <row r="594">
      <c r="A594" s="2" t="s">
        <v>2356</v>
      </c>
      <c r="B594" s="2" t="s">
        <v>2355</v>
      </c>
      <c r="C594" s="2" t="s">
        <v>2357</v>
      </c>
      <c r="D594" s="2">
        <v>1.6068932267124939E-4</v>
      </c>
      <c r="E594" s="12" t="s">
        <v>2358</v>
      </c>
    </row>
    <row r="595">
      <c r="A595" s="2" t="s">
        <v>2360</v>
      </c>
      <c r="B595" s="2" t="s">
        <v>2359</v>
      </c>
      <c r="C595" s="2" t="s">
        <v>2361</v>
      </c>
      <c r="D595" s="2">
        <v>1.5994703971395616E-4</v>
      </c>
      <c r="E595" s="12" t="s">
        <v>2362</v>
      </c>
    </row>
    <row r="596">
      <c r="A596" s="2" t="s">
        <v>2364</v>
      </c>
      <c r="B596" s="2" t="s">
        <v>2363</v>
      </c>
      <c r="C596" s="2" t="s">
        <v>2365</v>
      </c>
      <c r="D596" s="2">
        <v>1.594364777929163E-4</v>
      </c>
      <c r="E596" s="12" t="s">
        <v>2366</v>
      </c>
    </row>
    <row r="597">
      <c r="A597" s="2" t="s">
        <v>2368</v>
      </c>
      <c r="B597" s="2" t="s">
        <v>2367</v>
      </c>
      <c r="C597" s="2" t="s">
        <v>2369</v>
      </c>
      <c r="D597" s="2">
        <v>1.584065896959266E-4</v>
      </c>
      <c r="E597" s="12" t="s">
        <v>2370</v>
      </c>
    </row>
    <row r="598">
      <c r="A598" s="2" t="s">
        <v>2372</v>
      </c>
      <c r="B598" s="2" t="s">
        <v>2371</v>
      </c>
      <c r="C598" s="2" t="s">
        <v>2373</v>
      </c>
      <c r="D598" s="2">
        <v>1.5710576523627877E-4</v>
      </c>
      <c r="E598" s="12" t="s">
        <v>2374</v>
      </c>
    </row>
    <row r="599">
      <c r="A599" s="2" t="s">
        <v>2376</v>
      </c>
      <c r="B599" s="2" t="s">
        <v>2375</v>
      </c>
      <c r="C599" s="2" t="s">
        <v>2377</v>
      </c>
      <c r="D599" s="2">
        <v>1.5710576523627877E-4</v>
      </c>
      <c r="E599" s="12" t="s">
        <v>2378</v>
      </c>
    </row>
    <row r="600">
      <c r="A600" s="2" t="s">
        <v>2380</v>
      </c>
      <c r="B600" s="2" t="s">
        <v>2379</v>
      </c>
      <c r="C600" s="2" t="s">
        <v>2381</v>
      </c>
      <c r="D600" s="2">
        <v>1.5710576523627877E-4</v>
      </c>
      <c r="E600" s="12" t="s">
        <v>2382</v>
      </c>
    </row>
    <row r="601">
      <c r="A601" s="2" t="s">
        <v>2384</v>
      </c>
      <c r="B601" s="2" t="s">
        <v>2383</v>
      </c>
      <c r="C601" s="2" t="s">
        <v>2385</v>
      </c>
      <c r="D601" s="2">
        <v>1.5710576523627877E-4</v>
      </c>
      <c r="E601" s="12" t="s">
        <v>2386</v>
      </c>
    </row>
    <row r="602">
      <c r="A602" s="2" t="s">
        <v>2388</v>
      </c>
      <c r="B602" s="2" t="s">
        <v>2387</v>
      </c>
      <c r="C602" s="2" t="s">
        <v>2389</v>
      </c>
      <c r="D602" s="2">
        <v>1.5710576523627877E-4</v>
      </c>
      <c r="E602" s="12" t="s">
        <v>2390</v>
      </c>
    </row>
    <row r="603">
      <c r="A603" s="2" t="s">
        <v>2392</v>
      </c>
      <c r="B603" s="2" t="s">
        <v>2391</v>
      </c>
      <c r="C603" s="2" t="s">
        <v>2393</v>
      </c>
      <c r="D603" s="2">
        <v>1.5710576523627877E-4</v>
      </c>
      <c r="E603" s="12" t="s">
        <v>2394</v>
      </c>
    </row>
    <row r="604">
      <c r="A604" s="2" t="s">
        <v>2396</v>
      </c>
      <c r="B604" s="2" t="s">
        <v>2395</v>
      </c>
      <c r="C604" s="2" t="s">
        <v>2397</v>
      </c>
      <c r="D604" s="2">
        <v>1.5710576523627877E-4</v>
      </c>
      <c r="E604" s="12" t="s">
        <v>2398</v>
      </c>
    </row>
    <row r="605">
      <c r="A605" s="2" t="s">
        <v>2400</v>
      </c>
      <c r="B605" s="2" t="s">
        <v>2399</v>
      </c>
      <c r="C605" s="2" t="s">
        <v>2401</v>
      </c>
      <c r="D605" s="2">
        <v>1.5710576523627877E-4</v>
      </c>
      <c r="E605" s="12" t="s">
        <v>2402</v>
      </c>
    </row>
    <row r="606">
      <c r="A606" s="2" t="s">
        <v>2404</v>
      </c>
      <c r="B606" s="2" t="s">
        <v>2403</v>
      </c>
      <c r="C606" s="2" t="s">
        <v>2405</v>
      </c>
      <c r="D606" s="2">
        <v>1.5710576523627877E-4</v>
      </c>
      <c r="E606" s="12" t="s">
        <v>2406</v>
      </c>
    </row>
    <row r="607">
      <c r="A607" s="2" t="s">
        <v>2408</v>
      </c>
      <c r="B607" s="2" t="s">
        <v>2407</v>
      </c>
      <c r="C607" s="2" t="s">
        <v>2409</v>
      </c>
      <c r="D607" s="2">
        <v>1.5710576523627877E-4</v>
      </c>
      <c r="E607" s="12" t="s">
        <v>2410</v>
      </c>
    </row>
    <row r="608">
      <c r="A608" s="2" t="s">
        <v>2412</v>
      </c>
      <c r="B608" s="2" t="s">
        <v>2411</v>
      </c>
      <c r="C608" s="2" t="s">
        <v>2413</v>
      </c>
      <c r="D608" s="2">
        <v>1.5604028730714975E-4</v>
      </c>
      <c r="E608" s="12" t="s">
        <v>2414</v>
      </c>
    </row>
    <row r="609">
      <c r="A609" s="2" t="s">
        <v>2416</v>
      </c>
      <c r="B609" s="2" t="s">
        <v>2415</v>
      </c>
      <c r="C609" s="2" t="s">
        <v>2417</v>
      </c>
      <c r="D609" s="2">
        <v>1.5512148226313482E-4</v>
      </c>
      <c r="E609" s="12" t="s">
        <v>2418</v>
      </c>
    </row>
    <row r="610">
      <c r="A610" s="2" t="s">
        <v>2420</v>
      </c>
      <c r="B610" s="2" t="s">
        <v>2419</v>
      </c>
      <c r="C610" s="2" t="s">
        <v>2421</v>
      </c>
      <c r="D610" s="2">
        <v>1.549748093780207E-4</v>
      </c>
      <c r="E610" s="12" t="s">
        <v>2422</v>
      </c>
    </row>
    <row r="611">
      <c r="A611" s="2" t="s">
        <v>2424</v>
      </c>
      <c r="B611" s="2" t="s">
        <v>2423</v>
      </c>
      <c r="C611" s="2" t="s">
        <v>2425</v>
      </c>
      <c r="D611" s="2">
        <v>1.549748093780207E-4</v>
      </c>
      <c r="E611" s="12" t="s">
        <v>2426</v>
      </c>
    </row>
    <row r="612">
      <c r="A612" s="2" t="s">
        <v>2428</v>
      </c>
      <c r="B612" s="2" t="s">
        <v>2427</v>
      </c>
      <c r="C612" s="2" t="s">
        <v>2429</v>
      </c>
      <c r="D612" s="2">
        <v>1.5494719982037545E-4</v>
      </c>
      <c r="E612" s="12" t="s">
        <v>2430</v>
      </c>
    </row>
    <row r="613">
      <c r="A613" s="2" t="s">
        <v>2432</v>
      </c>
      <c r="B613" s="2" t="s">
        <v>2431</v>
      </c>
      <c r="C613" s="2" t="s">
        <v>2433</v>
      </c>
      <c r="D613" s="2">
        <v>1.543997895432527E-4</v>
      </c>
      <c r="E613" s="12" t="s">
        <v>2434</v>
      </c>
    </row>
    <row r="614">
      <c r="A614" s="2" t="s">
        <v>2436</v>
      </c>
      <c r="B614" s="2" t="s">
        <v>2435</v>
      </c>
      <c r="C614" s="2" t="s">
        <v>2437</v>
      </c>
      <c r="D614" s="2">
        <v>1.5439978954322707E-4</v>
      </c>
      <c r="E614" s="12" t="s">
        <v>2438</v>
      </c>
    </row>
    <row r="615">
      <c r="A615" s="2" t="s">
        <v>2440</v>
      </c>
      <c r="B615" s="2" t="s">
        <v>2439</v>
      </c>
      <c r="C615" s="2" t="s">
        <v>2441</v>
      </c>
      <c r="D615" s="2">
        <v>1.5284385351976268E-4</v>
      </c>
      <c r="E615" s="12" t="s">
        <v>2442</v>
      </c>
    </row>
    <row r="616">
      <c r="A616" s="2" t="s">
        <v>2444</v>
      </c>
      <c r="B616" s="2" t="s">
        <v>2443</v>
      </c>
      <c r="C616" s="2" t="s">
        <v>2445</v>
      </c>
      <c r="D616" s="2">
        <v>1.509970251092724E-4</v>
      </c>
      <c r="E616" s="12" t="s">
        <v>2446</v>
      </c>
    </row>
    <row r="617">
      <c r="A617" s="2" t="s">
        <v>2448</v>
      </c>
      <c r="B617" s="2" t="s">
        <v>2447</v>
      </c>
      <c r="C617" s="2" t="s">
        <v>2449</v>
      </c>
      <c r="D617" s="2">
        <v>1.5000257904208532E-4</v>
      </c>
      <c r="E617" s="12" t="s">
        <v>2450</v>
      </c>
    </row>
    <row r="618">
      <c r="A618" s="2" t="s">
        <v>2452</v>
      </c>
      <c r="B618" s="2" t="s">
        <v>2451</v>
      </c>
      <c r="C618" s="2" t="s">
        <v>2453</v>
      </c>
      <c r="D618" s="2">
        <v>1.5000257904208532E-4</v>
      </c>
      <c r="E618" s="12" t="s">
        <v>2454</v>
      </c>
    </row>
    <row r="619">
      <c r="A619" s="2" t="s">
        <v>2456</v>
      </c>
      <c r="B619" s="2" t="s">
        <v>2455</v>
      </c>
      <c r="C619" s="2" t="s">
        <v>2457</v>
      </c>
      <c r="D619" s="2">
        <v>1.5000257904208532E-4</v>
      </c>
      <c r="E619" s="12" t="s">
        <v>2458</v>
      </c>
    </row>
    <row r="620">
      <c r="A620" s="2" t="s">
        <v>2460</v>
      </c>
      <c r="B620" s="2" t="s">
        <v>2459</v>
      </c>
      <c r="C620" s="2" t="s">
        <v>2461</v>
      </c>
      <c r="D620" s="2">
        <v>1.4950535600849178E-4</v>
      </c>
      <c r="E620" s="12" t="s">
        <v>2462</v>
      </c>
    </row>
    <row r="621">
      <c r="A621" s="2" t="s">
        <v>2464</v>
      </c>
      <c r="B621" s="2" t="s">
        <v>2463</v>
      </c>
      <c r="C621" s="2" t="s">
        <v>2465</v>
      </c>
      <c r="D621" s="2">
        <v>1.474171081062154E-4</v>
      </c>
      <c r="E621" s="12" t="s">
        <v>2466</v>
      </c>
    </row>
    <row r="622">
      <c r="A622" s="2" t="s">
        <v>2468</v>
      </c>
      <c r="B622" s="2" t="s">
        <v>2467</v>
      </c>
      <c r="C622" s="2" t="s">
        <v>2469</v>
      </c>
      <c r="D622" s="2">
        <v>1.4289939284789187E-4</v>
      </c>
      <c r="E622" s="12" t="s">
        <v>2470</v>
      </c>
    </row>
    <row r="623">
      <c r="A623" s="2" t="s">
        <v>2472</v>
      </c>
      <c r="B623" s="2" t="s">
        <v>2471</v>
      </c>
      <c r="C623" s="2" t="s">
        <v>2473</v>
      </c>
      <c r="D623" s="2">
        <v>1.4289939284789187E-4</v>
      </c>
      <c r="E623" s="12" t="s">
        <v>2474</v>
      </c>
    </row>
    <row r="624">
      <c r="A624" s="2" t="s">
        <v>2476</v>
      </c>
      <c r="B624" s="2" t="s">
        <v>2475</v>
      </c>
      <c r="D624" s="2">
        <v>1.4289939284789187E-4</v>
      </c>
      <c r="E624" s="12" t="s">
        <v>2477</v>
      </c>
    </row>
    <row r="625">
      <c r="A625" s="2" t="s">
        <v>2479</v>
      </c>
      <c r="B625" s="2" t="s">
        <v>2478</v>
      </c>
      <c r="C625" s="2" t="s">
        <v>2480</v>
      </c>
      <c r="D625" s="2">
        <v>1.4289939284789187E-4</v>
      </c>
      <c r="E625" s="12" t="s">
        <v>2481</v>
      </c>
    </row>
    <row r="626">
      <c r="A626" s="2" t="s">
        <v>2483</v>
      </c>
      <c r="B626" s="2" t="s">
        <v>2482</v>
      </c>
      <c r="C626" s="2" t="s">
        <v>2484</v>
      </c>
      <c r="D626" s="2">
        <v>1.4289939284789187E-4</v>
      </c>
      <c r="E626" s="12" t="s">
        <v>2485</v>
      </c>
    </row>
    <row r="627">
      <c r="A627" s="2" t="s">
        <v>2487</v>
      </c>
      <c r="B627" s="2" t="s">
        <v>2486</v>
      </c>
      <c r="C627" s="2" t="s">
        <v>2488</v>
      </c>
      <c r="D627" s="2">
        <v>1.4289939284789187E-4</v>
      </c>
      <c r="E627" s="12" t="s">
        <v>2489</v>
      </c>
    </row>
    <row r="628">
      <c r="A628" s="2" t="s">
        <v>2491</v>
      </c>
      <c r="B628" s="2" t="s">
        <v>2490</v>
      </c>
      <c r="C628" s="2" t="s">
        <v>2492</v>
      </c>
      <c r="D628" s="2">
        <v>1.4289939284789187E-4</v>
      </c>
      <c r="E628" s="12" t="s">
        <v>2493</v>
      </c>
    </row>
    <row r="629">
      <c r="A629" s="2" t="s">
        <v>2495</v>
      </c>
      <c r="B629" s="2" t="s">
        <v>2494</v>
      </c>
      <c r="C629" s="2" t="s">
        <v>2496</v>
      </c>
      <c r="D629" s="2">
        <v>1.4289939284789187E-4</v>
      </c>
      <c r="E629" s="12" t="s">
        <v>2497</v>
      </c>
    </row>
    <row r="630">
      <c r="A630" s="2" t="s">
        <v>2499</v>
      </c>
      <c r="B630" s="2" t="s">
        <v>2498</v>
      </c>
      <c r="C630" s="2" t="s">
        <v>2500</v>
      </c>
      <c r="D630" s="2">
        <v>1.4289939284789187E-4</v>
      </c>
      <c r="E630" s="12" t="s">
        <v>2501</v>
      </c>
    </row>
    <row r="631">
      <c r="A631" s="2" t="s">
        <v>2502</v>
      </c>
      <c r="B631" s="2" t="s">
        <v>2502</v>
      </c>
      <c r="C631" s="2" t="s">
        <v>2503</v>
      </c>
      <c r="D631" s="2">
        <v>1.4289939284789187E-4</v>
      </c>
      <c r="E631" s="12" t="s">
        <v>2504</v>
      </c>
    </row>
    <row r="632">
      <c r="A632" s="2" t="s">
        <v>2506</v>
      </c>
      <c r="B632" s="2" t="s">
        <v>2505</v>
      </c>
      <c r="C632" s="2" t="s">
        <v>2507</v>
      </c>
      <c r="D632" s="2">
        <v>1.4289939284789187E-4</v>
      </c>
      <c r="E632" s="12" t="s">
        <v>2508</v>
      </c>
    </row>
    <row r="633">
      <c r="A633" s="2" t="s">
        <v>2510</v>
      </c>
      <c r="B633" s="2" t="s">
        <v>2509</v>
      </c>
      <c r="C633" s="2" t="s">
        <v>2511</v>
      </c>
      <c r="D633" s="2">
        <v>1.4289939284789187E-4</v>
      </c>
      <c r="E633" s="12" t="s">
        <v>2302</v>
      </c>
    </row>
    <row r="634">
      <c r="A634" s="2" t="s">
        <v>2513</v>
      </c>
      <c r="B634" s="2" t="s">
        <v>2512</v>
      </c>
      <c r="C634" s="2" t="s">
        <v>2514</v>
      </c>
      <c r="D634" s="2">
        <v>1.4289939284789187E-4</v>
      </c>
      <c r="E634" s="12" t="s">
        <v>2515</v>
      </c>
    </row>
    <row r="635">
      <c r="A635" s="2" t="s">
        <v>2517</v>
      </c>
      <c r="B635" s="2" t="s">
        <v>2516</v>
      </c>
      <c r="C635" s="2" t="s">
        <v>2518</v>
      </c>
      <c r="D635" s="2">
        <v>1.4289939284789187E-4</v>
      </c>
      <c r="E635" s="12" t="s">
        <v>2519</v>
      </c>
    </row>
    <row r="636">
      <c r="A636" s="2" t="s">
        <v>2521</v>
      </c>
      <c r="B636" s="2" t="s">
        <v>2520</v>
      </c>
      <c r="C636" s="2" t="s">
        <v>2522</v>
      </c>
      <c r="D636" s="2">
        <v>1.4289939284789187E-4</v>
      </c>
      <c r="E636" s="12" t="s">
        <v>2523</v>
      </c>
    </row>
    <row r="637">
      <c r="A637" s="2" t="s">
        <v>2525</v>
      </c>
      <c r="B637" s="2" t="s">
        <v>2524</v>
      </c>
      <c r="C637" s="2" t="s">
        <v>2526</v>
      </c>
      <c r="D637" s="2">
        <v>1.4289939284789187E-4</v>
      </c>
      <c r="E637" s="12" t="s">
        <v>2527</v>
      </c>
    </row>
    <row r="638">
      <c r="A638" s="2" t="s">
        <v>2529</v>
      </c>
      <c r="B638" s="2" t="s">
        <v>2528</v>
      </c>
      <c r="C638" s="2" t="s">
        <v>2530</v>
      </c>
      <c r="D638" s="2">
        <v>1.4289939284789187E-4</v>
      </c>
      <c r="E638" s="12" t="s">
        <v>2531</v>
      </c>
    </row>
    <row r="639">
      <c r="A639" s="2" t="s">
        <v>2533</v>
      </c>
      <c r="B639" s="2" t="s">
        <v>2532</v>
      </c>
      <c r="C639" s="2" t="s">
        <v>2534</v>
      </c>
      <c r="D639" s="2">
        <v>1.4289939284789187E-4</v>
      </c>
      <c r="E639" s="12" t="s">
        <v>2535</v>
      </c>
    </row>
    <row r="640">
      <c r="A640" s="2" t="s">
        <v>2537</v>
      </c>
      <c r="B640" s="2" t="s">
        <v>2536</v>
      </c>
      <c r="C640" s="2" t="s">
        <v>2538</v>
      </c>
      <c r="D640" s="2">
        <v>1.4289939284789187E-4</v>
      </c>
      <c r="E640" s="12" t="s">
        <v>2539</v>
      </c>
    </row>
    <row r="641">
      <c r="A641" s="2" t="s">
        <v>2541</v>
      </c>
      <c r="B641" s="2" t="s">
        <v>2540</v>
      </c>
      <c r="C641" s="2" t="s">
        <v>2542</v>
      </c>
      <c r="D641" s="2">
        <v>1.4289939284789187E-4</v>
      </c>
      <c r="E641" s="12" t="s">
        <v>2543</v>
      </c>
    </row>
    <row r="642">
      <c r="A642" s="2" t="s">
        <v>2545</v>
      </c>
      <c r="B642" s="2" t="s">
        <v>2544</v>
      </c>
      <c r="C642" s="2" t="s">
        <v>2546</v>
      </c>
      <c r="D642" s="2">
        <v>1.4289939284789187E-4</v>
      </c>
      <c r="E642" s="12" t="s">
        <v>2547</v>
      </c>
    </row>
    <row r="643">
      <c r="A643" s="2" t="s">
        <v>2549</v>
      </c>
      <c r="B643" s="2" t="s">
        <v>2548</v>
      </c>
      <c r="C643" s="2" t="s">
        <v>2550</v>
      </c>
      <c r="D643" s="2">
        <v>1.4289939284789187E-4</v>
      </c>
      <c r="E643" s="12" t="s">
        <v>2551</v>
      </c>
    </row>
    <row r="644">
      <c r="A644" s="2" t="s">
        <v>2553</v>
      </c>
      <c r="B644" s="2" t="s">
        <v>2552</v>
      </c>
      <c r="C644" s="2" t="s">
        <v>2554</v>
      </c>
      <c r="D644" s="2">
        <v>1.4289939284789187E-4</v>
      </c>
      <c r="E644" s="12" t="s">
        <v>2555</v>
      </c>
    </row>
    <row r="645">
      <c r="A645" s="2" t="s">
        <v>2557</v>
      </c>
      <c r="B645" s="2" t="s">
        <v>2556</v>
      </c>
      <c r="C645" s="2" t="s">
        <v>2558</v>
      </c>
      <c r="D645" s="2">
        <v>1.4289939284789187E-4</v>
      </c>
      <c r="E645" s="12" t="s">
        <v>2559</v>
      </c>
    </row>
    <row r="646">
      <c r="A646" s="2" t="s">
        <v>2561</v>
      </c>
      <c r="B646" s="2" t="s">
        <v>2560</v>
      </c>
      <c r="C646" s="2" t="s">
        <v>2562</v>
      </c>
      <c r="D646" s="2">
        <v>1.4289939284789187E-4</v>
      </c>
      <c r="E646" s="12" t="s">
        <v>2563</v>
      </c>
    </row>
    <row r="647">
      <c r="A647" s="2" t="s">
        <v>2565</v>
      </c>
      <c r="B647" s="2" t="s">
        <v>2564</v>
      </c>
      <c r="C647" s="2" t="s">
        <v>2566</v>
      </c>
      <c r="D647" s="2">
        <v>1.4289939284789187E-4</v>
      </c>
      <c r="E647" s="12" t="s">
        <v>822</v>
      </c>
    </row>
    <row r="648">
      <c r="A648" s="2" t="s">
        <v>2568</v>
      </c>
      <c r="B648" s="2" t="s">
        <v>2567</v>
      </c>
      <c r="C648" s="2" t="s">
        <v>2569</v>
      </c>
      <c r="D648" s="2">
        <v>1.4289939284789187E-4</v>
      </c>
      <c r="E648" s="12" t="s">
        <v>2570</v>
      </c>
    </row>
    <row r="649">
      <c r="A649" s="2" t="s">
        <v>2572</v>
      </c>
      <c r="B649" s="2" t="s">
        <v>2571</v>
      </c>
      <c r="D649" s="2">
        <v>1.4289939284789187E-4</v>
      </c>
      <c r="E649" s="12" t="s">
        <v>2573</v>
      </c>
    </row>
    <row r="650">
      <c r="A650" s="2" t="s">
        <v>2575</v>
      </c>
      <c r="B650" s="2" t="s">
        <v>2574</v>
      </c>
      <c r="C650" s="2" t="s">
        <v>2576</v>
      </c>
      <c r="D650" s="2">
        <v>1.4289939284789187E-4</v>
      </c>
      <c r="E650" s="12" t="s">
        <v>2577</v>
      </c>
    </row>
    <row r="651">
      <c r="A651" s="2" t="s">
        <v>2579</v>
      </c>
      <c r="B651" s="2" t="s">
        <v>2578</v>
      </c>
      <c r="C651" s="2" t="s">
        <v>2580</v>
      </c>
      <c r="D651" s="2">
        <v>1.4289939284789187E-4</v>
      </c>
      <c r="E651" s="12" t="s">
        <v>2581</v>
      </c>
    </row>
    <row r="652">
      <c r="A652" s="2" t="s">
        <v>2583</v>
      </c>
      <c r="B652" s="2" t="s">
        <v>2582</v>
      </c>
      <c r="C652" s="2" t="s">
        <v>2584</v>
      </c>
      <c r="D652" s="2">
        <v>1.4289939284789187E-4</v>
      </c>
      <c r="E652" s="12" t="s">
        <v>2585</v>
      </c>
    </row>
    <row r="653">
      <c r="A653" s="2" t="s">
        <v>2587</v>
      </c>
      <c r="B653" s="2" t="s">
        <v>2586</v>
      </c>
      <c r="D653" s="2">
        <v>1.4289939284789187E-4</v>
      </c>
      <c r="E653" s="12" t="s">
        <v>2588</v>
      </c>
    </row>
    <row r="654">
      <c r="A654" s="2" t="s">
        <v>2590</v>
      </c>
      <c r="B654" s="2" t="s">
        <v>2589</v>
      </c>
      <c r="C654" s="2" t="s">
        <v>2591</v>
      </c>
      <c r="D654" s="2">
        <v>1.4289939284789187E-4</v>
      </c>
      <c r="E654" s="12" t="s">
        <v>2592</v>
      </c>
    </row>
    <row r="655">
      <c r="A655" s="2" t="s">
        <v>2593</v>
      </c>
      <c r="B655" s="2" t="s">
        <v>2593</v>
      </c>
      <c r="C655" s="2" t="s">
        <v>2594</v>
      </c>
      <c r="D655" s="2">
        <v>1.4289939284789187E-4</v>
      </c>
      <c r="E655" s="12" t="s">
        <v>2595</v>
      </c>
    </row>
    <row r="656">
      <c r="A656" s="2" t="s">
        <v>2597</v>
      </c>
      <c r="B656" s="2" t="s">
        <v>2596</v>
      </c>
      <c r="C656" s="2" t="s">
        <v>2598</v>
      </c>
      <c r="D656" s="2">
        <v>1.4289939284789187E-4</v>
      </c>
      <c r="E656" s="12" t="s">
        <v>2599</v>
      </c>
    </row>
    <row r="657">
      <c r="A657" s="2" t="s">
        <v>2601</v>
      </c>
      <c r="B657" s="2" t="s">
        <v>2600</v>
      </c>
      <c r="C657" s="2" t="s">
        <v>2602</v>
      </c>
      <c r="D657" s="2">
        <v>1.4289939284789187E-4</v>
      </c>
      <c r="E657" s="12" t="s">
        <v>2603</v>
      </c>
    </row>
    <row r="658">
      <c r="A658" s="2" t="s">
        <v>2605</v>
      </c>
      <c r="B658" s="2" t="s">
        <v>2604</v>
      </c>
      <c r="C658" s="2" t="s">
        <v>2606</v>
      </c>
      <c r="D658" s="2">
        <v>1.4289939284789187E-4</v>
      </c>
      <c r="E658" s="12" t="s">
        <v>2607</v>
      </c>
    </row>
    <row r="659">
      <c r="A659" s="2" t="s">
        <v>2609</v>
      </c>
      <c r="B659" s="2" t="s">
        <v>2608</v>
      </c>
      <c r="C659" s="2" t="s">
        <v>2610</v>
      </c>
      <c r="D659" s="2">
        <v>1.4289939284789187E-4</v>
      </c>
      <c r="E659" s="12" t="s">
        <v>2611</v>
      </c>
    </row>
    <row r="660">
      <c r="A660" s="2" t="s">
        <v>2613</v>
      </c>
      <c r="B660" s="2" t="s">
        <v>2612</v>
      </c>
      <c r="C660" s="2" t="s">
        <v>2614</v>
      </c>
      <c r="D660" s="2">
        <v>1.4289939284789187E-4</v>
      </c>
      <c r="E660" s="12" t="s">
        <v>2615</v>
      </c>
    </row>
    <row r="661">
      <c r="A661" s="2" t="s">
        <v>2617</v>
      </c>
      <c r="B661" s="2" t="s">
        <v>2616</v>
      </c>
      <c r="C661" s="2" t="s">
        <v>2618</v>
      </c>
      <c r="D661" s="2">
        <v>1.4289939284789187E-4</v>
      </c>
      <c r="E661" s="12" t="s">
        <v>2619</v>
      </c>
    </row>
    <row r="662">
      <c r="A662" s="2" t="s">
        <v>2621</v>
      </c>
      <c r="B662" s="2" t="s">
        <v>2620</v>
      </c>
      <c r="C662" s="2" t="s">
        <v>2622</v>
      </c>
      <c r="D662" s="2">
        <v>1.4289939284789187E-4</v>
      </c>
      <c r="E662" s="12" t="s">
        <v>2623</v>
      </c>
    </row>
    <row r="663">
      <c r="A663" s="2" t="s">
        <v>2625</v>
      </c>
      <c r="B663" s="2" t="s">
        <v>2624</v>
      </c>
      <c r="C663" s="2" t="s">
        <v>2626</v>
      </c>
      <c r="D663" s="2">
        <v>1.4289939284789187E-4</v>
      </c>
      <c r="E663" s="12" t="s">
        <v>2627</v>
      </c>
    </row>
    <row r="664">
      <c r="A664" s="2" t="s">
        <v>2629</v>
      </c>
      <c r="B664" s="2" t="s">
        <v>2628</v>
      </c>
      <c r="C664" s="2" t="s">
        <v>2630</v>
      </c>
      <c r="D664" s="2">
        <v>1.4289939284789187E-4</v>
      </c>
      <c r="E664" s="12" t="s">
        <v>2631</v>
      </c>
    </row>
    <row r="665">
      <c r="A665" s="2" t="s">
        <v>2633</v>
      </c>
      <c r="B665" s="2" t="s">
        <v>2632</v>
      </c>
      <c r="C665" s="2" t="s">
        <v>2634</v>
      </c>
      <c r="D665" s="2">
        <v>1.4289939284789187E-4</v>
      </c>
      <c r="E665" s="12" t="s">
        <v>2635</v>
      </c>
    </row>
    <row r="666">
      <c r="A666" s="2" t="s">
        <v>2637</v>
      </c>
      <c r="B666" s="2" t="s">
        <v>2636</v>
      </c>
      <c r="D666" s="2">
        <v>1.4289939284789187E-4</v>
      </c>
      <c r="E666" s="12" t="s">
        <v>2638</v>
      </c>
    </row>
    <row r="667">
      <c r="A667" s="2" t="s">
        <v>2640</v>
      </c>
      <c r="B667" s="2" t="s">
        <v>2639</v>
      </c>
      <c r="C667" s="2" t="s">
        <v>2641</v>
      </c>
      <c r="D667" s="2">
        <v>1.4289939284789187E-4</v>
      </c>
      <c r="E667" s="12" t="s">
        <v>2642</v>
      </c>
    </row>
    <row r="668">
      <c r="A668" s="2" t="s">
        <v>2644</v>
      </c>
      <c r="B668" s="2" t="s">
        <v>2643</v>
      </c>
      <c r="C668" s="2" t="s">
        <v>2645</v>
      </c>
      <c r="D668" s="2">
        <v>1.4289939284789187E-4</v>
      </c>
      <c r="E668" s="12" t="s">
        <v>2646</v>
      </c>
    </row>
    <row r="669">
      <c r="A669" s="2" t="s">
        <v>2648</v>
      </c>
      <c r="B669" s="2" t="s">
        <v>2647</v>
      </c>
      <c r="C669" s="2" t="s">
        <v>2649</v>
      </c>
      <c r="D669" s="2">
        <v>1.4289939284789187E-4</v>
      </c>
      <c r="E669" s="12" t="s">
        <v>2650</v>
      </c>
    </row>
    <row r="670">
      <c r="A670" s="2" t="s">
        <v>2652</v>
      </c>
      <c r="B670" s="2" t="s">
        <v>2651</v>
      </c>
      <c r="C670" s="2" t="s">
        <v>2653</v>
      </c>
      <c r="D670" s="2">
        <v>1.4289939284789187E-4</v>
      </c>
      <c r="E670" s="12" t="s">
        <v>2654</v>
      </c>
    </row>
    <row r="671">
      <c r="A671" s="2" t="s">
        <v>2656</v>
      </c>
      <c r="B671" s="2" t="s">
        <v>2655</v>
      </c>
      <c r="C671" s="2" t="s">
        <v>2657</v>
      </c>
      <c r="D671" s="2">
        <v>1.4289939284789187E-4</v>
      </c>
      <c r="E671" s="12" t="s">
        <v>2658</v>
      </c>
    </row>
    <row r="672">
      <c r="A672" s="2" t="s">
        <v>2660</v>
      </c>
      <c r="B672" s="2" t="s">
        <v>2659</v>
      </c>
      <c r="D672" s="2">
        <v>1.4289939284789187E-4</v>
      </c>
      <c r="E672" s="12" t="s">
        <v>2661</v>
      </c>
    </row>
    <row r="673">
      <c r="A673" s="2" t="s">
        <v>2663</v>
      </c>
      <c r="B673" s="2" t="s">
        <v>2662</v>
      </c>
      <c r="C673" s="2" t="s">
        <v>2664</v>
      </c>
      <c r="D673" s="2">
        <v>1.4289939284789187E-4</v>
      </c>
      <c r="E673" s="12" t="s">
        <v>2665</v>
      </c>
    </row>
    <row r="674">
      <c r="A674" s="2" t="s">
        <v>2667</v>
      </c>
      <c r="B674" s="2" t="s">
        <v>2666</v>
      </c>
      <c r="C674" s="2" t="s">
        <v>2668</v>
      </c>
      <c r="D674" s="2">
        <v>1.4289939284789187E-4</v>
      </c>
      <c r="E674" s="12" t="s">
        <v>2669</v>
      </c>
    </row>
    <row r="675">
      <c r="A675" s="2" t="s">
        <v>2671</v>
      </c>
      <c r="B675" s="2" t="s">
        <v>2670</v>
      </c>
      <c r="C675" s="2" t="s">
        <v>2672</v>
      </c>
      <c r="D675" s="2">
        <v>1.4289939284789187E-4</v>
      </c>
      <c r="E675" s="12" t="s">
        <v>2673</v>
      </c>
    </row>
    <row r="676">
      <c r="A676" s="2" t="s">
        <v>2675</v>
      </c>
      <c r="B676" s="2" t="s">
        <v>2674</v>
      </c>
      <c r="C676" s="2" t="s">
        <v>2676</v>
      </c>
      <c r="D676" s="2">
        <v>1.4289939284789187E-4</v>
      </c>
      <c r="E676" s="12" t="s">
        <v>2677</v>
      </c>
    </row>
    <row r="677">
      <c r="A677" s="2" t="s">
        <v>2679</v>
      </c>
      <c r="B677" s="2" t="s">
        <v>2678</v>
      </c>
      <c r="C677" s="2" t="s">
        <v>2680</v>
      </c>
      <c r="D677" s="2">
        <v>1.4289939284789187E-4</v>
      </c>
      <c r="E677" s="12" t="s">
        <v>2681</v>
      </c>
    </row>
    <row r="678">
      <c r="A678" s="2" t="s">
        <v>2683</v>
      </c>
      <c r="B678" s="2" t="s">
        <v>2682</v>
      </c>
      <c r="C678" s="2" t="s">
        <v>2684</v>
      </c>
      <c r="D678" s="2">
        <v>1.4289939284789187E-4</v>
      </c>
      <c r="E678" s="12" t="s">
        <v>2685</v>
      </c>
    </row>
    <row r="679">
      <c r="A679" s="2" t="s">
        <v>2687</v>
      </c>
      <c r="B679" s="2" t="s">
        <v>2686</v>
      </c>
      <c r="C679" s="2" t="s">
        <v>2688</v>
      </c>
      <c r="D679" s="2">
        <v>1.4289939284789187E-4</v>
      </c>
      <c r="E679" s="12" t="s">
        <v>2689</v>
      </c>
    </row>
    <row r="680">
      <c r="A680" s="2" t="s">
        <v>2691</v>
      </c>
      <c r="B680" s="2" t="s">
        <v>2690</v>
      </c>
      <c r="C680" s="2" t="s">
        <v>2692</v>
      </c>
      <c r="D680" s="2">
        <v>1.4289939284789187E-4</v>
      </c>
      <c r="E680" s="12" t="s">
        <v>2693</v>
      </c>
    </row>
    <row r="681">
      <c r="A681" s="2" t="s">
        <v>2695</v>
      </c>
      <c r="B681" s="2" t="s">
        <v>2694</v>
      </c>
      <c r="C681" s="2" t="s">
        <v>2696</v>
      </c>
      <c r="D681" s="2">
        <v>1.4289939284789187E-4</v>
      </c>
      <c r="E681" s="12" t="s">
        <v>2697</v>
      </c>
    </row>
    <row r="682">
      <c r="A682" s="2" t="s">
        <v>2699</v>
      </c>
      <c r="B682" s="2" t="s">
        <v>2698</v>
      </c>
      <c r="C682" s="2" t="s">
        <v>2700</v>
      </c>
      <c r="D682" s="2">
        <v>1.4289939284789187E-4</v>
      </c>
      <c r="E682" s="12" t="s">
        <v>2701</v>
      </c>
    </row>
    <row r="683">
      <c r="A683" s="2" t="s">
        <v>2703</v>
      </c>
      <c r="B683" s="2" t="s">
        <v>2702</v>
      </c>
      <c r="C683" s="2" t="s">
        <v>2704</v>
      </c>
      <c r="D683" s="2">
        <v>1.4289939284789187E-4</v>
      </c>
      <c r="E683" s="12" t="s">
        <v>2705</v>
      </c>
    </row>
    <row r="684">
      <c r="A684" s="2" t="s">
        <v>2707</v>
      </c>
      <c r="B684" s="2" t="s">
        <v>2706</v>
      </c>
      <c r="C684" s="2" t="s">
        <v>2708</v>
      </c>
      <c r="D684" s="2">
        <v>1.4289939284789187E-4</v>
      </c>
      <c r="E684" s="12" t="s">
        <v>2709</v>
      </c>
    </row>
    <row r="685">
      <c r="A685" s="2" t="s">
        <v>2711</v>
      </c>
      <c r="B685" s="2" t="s">
        <v>2710</v>
      </c>
      <c r="C685" s="2" t="s">
        <v>2712</v>
      </c>
      <c r="D685" s="2">
        <v>1.4289939284789187E-4</v>
      </c>
      <c r="E685" s="12" t="s">
        <v>2713</v>
      </c>
    </row>
    <row r="686">
      <c r="A686" s="2" t="s">
        <v>2715</v>
      </c>
      <c r="B686" s="2" t="s">
        <v>2714</v>
      </c>
      <c r="C686" s="2" t="s">
        <v>2716</v>
      </c>
      <c r="D686" s="2">
        <v>1.4289939284789187E-4</v>
      </c>
      <c r="E686" s="12" t="s">
        <v>2717</v>
      </c>
    </row>
    <row r="687">
      <c r="A687" s="2" t="s">
        <v>2719</v>
      </c>
      <c r="B687" s="2" t="s">
        <v>2718</v>
      </c>
      <c r="C687" s="2" t="s">
        <v>2720</v>
      </c>
      <c r="D687" s="2">
        <v>1.4289939284789187E-4</v>
      </c>
      <c r="E687" s="12" t="s">
        <v>2721</v>
      </c>
    </row>
    <row r="688">
      <c r="A688" s="2" t="s">
        <v>2723</v>
      </c>
      <c r="B688" s="2" t="s">
        <v>2722</v>
      </c>
      <c r="C688" s="2" t="s">
        <v>2724</v>
      </c>
      <c r="D688" s="2">
        <v>1.4289939284789187E-4</v>
      </c>
      <c r="E688" s="12" t="s">
        <v>2274</v>
      </c>
    </row>
    <row r="689">
      <c r="A689" s="2" t="s">
        <v>2726</v>
      </c>
      <c r="B689" s="2" t="s">
        <v>2725</v>
      </c>
      <c r="C689" s="2" t="s">
        <v>2727</v>
      </c>
      <c r="D689" s="2">
        <v>1.4289939284789187E-4</v>
      </c>
      <c r="E689" s="12" t="s">
        <v>2728</v>
      </c>
    </row>
    <row r="690">
      <c r="A690" s="2" t="s">
        <v>2730</v>
      </c>
      <c r="B690" s="2" t="s">
        <v>2729</v>
      </c>
      <c r="C690" s="2" t="s">
        <v>2731</v>
      </c>
      <c r="D690" s="2">
        <v>1.4289939284789187E-4</v>
      </c>
      <c r="E690" s="12" t="s">
        <v>2732</v>
      </c>
    </row>
    <row r="691">
      <c r="A691" s="2" t="s">
        <v>2734</v>
      </c>
      <c r="B691" s="2" t="s">
        <v>2733</v>
      </c>
      <c r="C691" s="2" t="s">
        <v>2735</v>
      </c>
      <c r="D691" s="2">
        <v>1.4289939284789187E-4</v>
      </c>
      <c r="E691" s="12" t="s">
        <v>2736</v>
      </c>
    </row>
    <row r="692">
      <c r="A692" s="2" t="s">
        <v>2738</v>
      </c>
      <c r="B692" s="2" t="s">
        <v>2737</v>
      </c>
      <c r="C692" s="2" t="s">
        <v>2739</v>
      </c>
      <c r="D692" s="2">
        <v>1.4289939284789187E-4</v>
      </c>
      <c r="E692" s="12" t="s">
        <v>2740</v>
      </c>
    </row>
    <row r="693">
      <c r="A693" s="2" t="s">
        <v>2742</v>
      </c>
      <c r="B693" s="2" t="s">
        <v>2741</v>
      </c>
      <c r="C693" s="2" t="s">
        <v>2743</v>
      </c>
      <c r="D693" s="2">
        <v>1.4289939284789187E-4</v>
      </c>
      <c r="E693" s="12" t="s">
        <v>2744</v>
      </c>
    </row>
    <row r="694">
      <c r="A694" s="2" t="s">
        <v>2746</v>
      </c>
      <c r="B694" s="2" t="s">
        <v>2745</v>
      </c>
      <c r="D694" s="2">
        <v>1.4289939284789187E-4</v>
      </c>
      <c r="E694" s="12" t="s">
        <v>2747</v>
      </c>
    </row>
    <row r="695">
      <c r="A695" s="2" t="s">
        <v>2749</v>
      </c>
      <c r="B695" s="2" t="s">
        <v>2748</v>
      </c>
      <c r="C695" s="2" t="s">
        <v>2750</v>
      </c>
      <c r="D695" s="2">
        <v>1.4289939284789187E-4</v>
      </c>
      <c r="E695" s="12" t="s">
        <v>2751</v>
      </c>
    </row>
    <row r="696">
      <c r="A696" s="2" t="s">
        <v>2753</v>
      </c>
      <c r="B696" s="2" t="s">
        <v>2752</v>
      </c>
      <c r="C696" s="2" t="s">
        <v>2754</v>
      </c>
      <c r="D696" s="2">
        <v>1.4289939284789187E-4</v>
      </c>
      <c r="E696" s="12" t="s">
        <v>2755</v>
      </c>
    </row>
    <row r="697">
      <c r="A697" s="2" t="s">
        <v>2757</v>
      </c>
      <c r="B697" s="2" t="s">
        <v>2756</v>
      </c>
      <c r="C697" s="2" t="s">
        <v>2758</v>
      </c>
      <c r="D697" s="2">
        <v>1.4289939284789187E-4</v>
      </c>
      <c r="E697" s="12" t="s">
        <v>2759</v>
      </c>
    </row>
    <row r="698">
      <c r="A698" s="2" t="s">
        <v>2761</v>
      </c>
      <c r="B698" s="2" t="s">
        <v>2760</v>
      </c>
      <c r="C698" s="2" t="s">
        <v>2762</v>
      </c>
      <c r="D698" s="2">
        <v>1.4289939284789187E-4</v>
      </c>
      <c r="E698" s="12" t="s">
        <v>2763</v>
      </c>
    </row>
    <row r="699">
      <c r="A699" s="2" t="s">
        <v>2765</v>
      </c>
      <c r="B699" s="2" t="s">
        <v>2764</v>
      </c>
      <c r="C699" s="2" t="s">
        <v>2766</v>
      </c>
      <c r="D699" s="2">
        <v>1.4289939284789187E-4</v>
      </c>
      <c r="E699" s="12" t="s">
        <v>2767</v>
      </c>
    </row>
    <row r="700">
      <c r="A700" s="2" t="s">
        <v>2769</v>
      </c>
      <c r="B700" s="2" t="s">
        <v>2768</v>
      </c>
      <c r="C700" s="2" t="s">
        <v>2770</v>
      </c>
      <c r="D700" s="2">
        <v>1.4289939284789187E-4</v>
      </c>
      <c r="E700" s="12" t="s">
        <v>2771</v>
      </c>
    </row>
    <row r="701">
      <c r="A701" s="2" t="s">
        <v>2773</v>
      </c>
      <c r="B701" s="2" t="s">
        <v>2772</v>
      </c>
      <c r="C701" s="2" t="s">
        <v>2774</v>
      </c>
      <c r="D701" s="2">
        <v>1.4289939284789187E-4</v>
      </c>
      <c r="E701" s="12" t="s">
        <v>2775</v>
      </c>
    </row>
    <row r="702">
      <c r="A702" s="2" t="s">
        <v>2777</v>
      </c>
      <c r="B702" s="2" t="s">
        <v>2776</v>
      </c>
      <c r="C702" s="2" t="s">
        <v>2778</v>
      </c>
      <c r="D702" s="2">
        <v>1.4289939284789187E-4</v>
      </c>
      <c r="E702" s="12" t="s">
        <v>2779</v>
      </c>
    </row>
    <row r="703">
      <c r="A703" s="2" t="s">
        <v>2781</v>
      </c>
      <c r="B703" s="2" t="s">
        <v>2780</v>
      </c>
      <c r="C703" s="2" t="s">
        <v>2782</v>
      </c>
      <c r="D703" s="2">
        <v>1.4289939284789187E-4</v>
      </c>
      <c r="E703" s="12" t="s">
        <v>2783</v>
      </c>
    </row>
    <row r="704">
      <c r="A704" s="2" t="s">
        <v>2785</v>
      </c>
      <c r="B704" s="2" t="s">
        <v>2784</v>
      </c>
      <c r="C704" s="2" t="s">
        <v>2786</v>
      </c>
      <c r="D704" s="2">
        <v>1.4289939284789187E-4</v>
      </c>
      <c r="E704" s="12" t="s">
        <v>2787</v>
      </c>
    </row>
    <row r="705">
      <c r="A705" s="2" t="s">
        <v>2789</v>
      </c>
      <c r="B705" s="2" t="s">
        <v>2788</v>
      </c>
      <c r="C705" s="2" t="s">
        <v>2790</v>
      </c>
      <c r="D705" s="2">
        <v>1.4289939284789187E-4</v>
      </c>
      <c r="E705" s="12" t="s">
        <v>2791</v>
      </c>
    </row>
    <row r="706">
      <c r="A706" s="2" t="s">
        <v>2793</v>
      </c>
      <c r="B706" s="2" t="s">
        <v>2792</v>
      </c>
      <c r="C706" s="2" t="s">
        <v>2794</v>
      </c>
      <c r="D706" s="2">
        <v>1.4289939284789187E-4</v>
      </c>
      <c r="E706" s="12" t="s">
        <v>2795</v>
      </c>
    </row>
    <row r="707">
      <c r="A707" s="2" t="s">
        <v>2797</v>
      </c>
      <c r="B707" s="2" t="s">
        <v>2796</v>
      </c>
      <c r="C707" s="2" t="s">
        <v>2798</v>
      </c>
      <c r="D707" s="2">
        <v>1.4289939284789187E-4</v>
      </c>
      <c r="E707" s="12" t="s">
        <v>2799</v>
      </c>
    </row>
    <row r="708">
      <c r="A708" s="2" t="s">
        <v>2801</v>
      </c>
      <c r="B708" s="2" t="s">
        <v>2800</v>
      </c>
      <c r="C708" s="2" t="s">
        <v>2802</v>
      </c>
      <c r="D708" s="2">
        <v>1.4289939284789187E-4</v>
      </c>
      <c r="E708" s="12" t="s">
        <v>2803</v>
      </c>
    </row>
    <row r="709">
      <c r="A709" s="2" t="s">
        <v>2805</v>
      </c>
      <c r="B709" s="2" t="s">
        <v>2804</v>
      </c>
      <c r="C709" s="2" t="s">
        <v>2806</v>
      </c>
      <c r="D709" s="2">
        <v>1.4289939284789187E-4</v>
      </c>
      <c r="E709" s="12" t="s">
        <v>2807</v>
      </c>
    </row>
    <row r="710">
      <c r="A710" s="2" t="s">
        <v>2809</v>
      </c>
      <c r="B710" s="2" t="s">
        <v>2808</v>
      </c>
      <c r="C710" s="2" t="s">
        <v>2810</v>
      </c>
      <c r="D710" s="2">
        <v>1.4289939284789187E-4</v>
      </c>
      <c r="E710" s="12" t="s">
        <v>2811</v>
      </c>
    </row>
    <row r="711">
      <c r="A711" s="2" t="s">
        <v>2813</v>
      </c>
      <c r="B711" s="2" t="s">
        <v>2812</v>
      </c>
      <c r="C711" s="2" t="s">
        <v>2814</v>
      </c>
      <c r="D711" s="2">
        <v>1.4289939284789187E-4</v>
      </c>
      <c r="E711" s="12" t="s">
        <v>2815</v>
      </c>
    </row>
    <row r="712">
      <c r="A712" s="2" t="s">
        <v>2817</v>
      </c>
      <c r="B712" s="2" t="s">
        <v>2816</v>
      </c>
      <c r="C712" s="2" t="s">
        <v>2818</v>
      </c>
      <c r="D712" s="2">
        <v>1.4289939284789187E-4</v>
      </c>
      <c r="E712" s="12" t="s">
        <v>2819</v>
      </c>
    </row>
    <row r="713">
      <c r="A713" s="2" t="s">
        <v>2821</v>
      </c>
      <c r="B713" s="2" t="s">
        <v>2820</v>
      </c>
      <c r="C713" s="2" t="s">
        <v>2822</v>
      </c>
      <c r="D713" s="2">
        <v>1.4289939284789187E-4</v>
      </c>
      <c r="E713" s="12" t="s">
        <v>2823</v>
      </c>
    </row>
    <row r="714">
      <c r="A714" s="2" t="s">
        <v>2825</v>
      </c>
      <c r="B714" s="2" t="s">
        <v>2824</v>
      </c>
      <c r="C714" s="2" t="s">
        <v>2826</v>
      </c>
      <c r="D714" s="2">
        <v>1.4289939284789187E-4</v>
      </c>
      <c r="E714" s="12" t="s">
        <v>2827</v>
      </c>
    </row>
    <row r="715">
      <c r="A715" s="2" t="s">
        <v>2829</v>
      </c>
      <c r="B715" s="2" t="s">
        <v>2828</v>
      </c>
      <c r="C715" s="2" t="s">
        <v>2830</v>
      </c>
      <c r="D715" s="2">
        <v>1.4289939284789187E-4</v>
      </c>
      <c r="E715" s="12" t="s">
        <v>2831</v>
      </c>
    </row>
    <row r="716">
      <c r="A716" s="2" t="s">
        <v>2833</v>
      </c>
      <c r="B716" s="2" t="s">
        <v>2832</v>
      </c>
      <c r="C716" s="2" t="s">
        <v>2834</v>
      </c>
      <c r="D716" s="2">
        <v>1.4289939284789187E-4</v>
      </c>
      <c r="E716" s="12" t="s">
        <v>2835</v>
      </c>
    </row>
    <row r="717">
      <c r="A717" s="2" t="s">
        <v>2837</v>
      </c>
      <c r="B717" s="2" t="s">
        <v>2836</v>
      </c>
      <c r="C717" s="2" t="s">
        <v>2838</v>
      </c>
      <c r="D717" s="2">
        <v>1.4289939284789187E-4</v>
      </c>
      <c r="E717" s="12" t="s">
        <v>2839</v>
      </c>
    </row>
    <row r="718">
      <c r="A718" s="2" t="s">
        <v>2841</v>
      </c>
      <c r="B718" s="2" t="s">
        <v>2840</v>
      </c>
      <c r="C718" s="2" t="s">
        <v>2842</v>
      </c>
      <c r="D718" s="2">
        <v>1.4289939284789187E-4</v>
      </c>
      <c r="E718" s="12" t="s">
        <v>2843</v>
      </c>
    </row>
    <row r="719">
      <c r="A719" s="2" t="s">
        <v>2845</v>
      </c>
      <c r="B719" s="2" t="s">
        <v>2844</v>
      </c>
      <c r="C719" s="2" t="s">
        <v>2846</v>
      </c>
      <c r="D719" s="2">
        <v>1.4289939284789187E-4</v>
      </c>
      <c r="E719" s="12" t="s">
        <v>2847</v>
      </c>
    </row>
    <row r="720">
      <c r="A720" s="2" t="s">
        <v>2849</v>
      </c>
      <c r="B720" s="2" t="s">
        <v>2848</v>
      </c>
      <c r="C720" s="2" t="s">
        <v>2850</v>
      </c>
      <c r="D720" s="2">
        <v>1.4289939284789187E-4</v>
      </c>
      <c r="E720" s="12" t="s">
        <v>2851</v>
      </c>
    </row>
    <row r="721">
      <c r="A721" s="2" t="s">
        <v>2853</v>
      </c>
      <c r="B721" s="2" t="s">
        <v>2852</v>
      </c>
      <c r="C721" s="2" t="s">
        <v>2854</v>
      </c>
      <c r="D721" s="2">
        <v>1.4289939284789187E-4</v>
      </c>
      <c r="E721" s="12" t="s">
        <v>2855</v>
      </c>
    </row>
    <row r="722">
      <c r="A722" s="2" t="s">
        <v>2857</v>
      </c>
      <c r="B722" s="2" t="s">
        <v>2856</v>
      </c>
      <c r="C722" s="2" t="s">
        <v>2858</v>
      </c>
      <c r="D722" s="2">
        <v>1.4289939284789187E-4</v>
      </c>
      <c r="E722" s="12" t="s">
        <v>2859</v>
      </c>
    </row>
    <row r="723">
      <c r="A723" s="2" t="s">
        <v>2861</v>
      </c>
      <c r="B723" s="2" t="s">
        <v>2860</v>
      </c>
      <c r="C723" s="2" t="s">
        <v>2862</v>
      </c>
      <c r="D723" s="2">
        <v>1.4289939284789187E-4</v>
      </c>
      <c r="E723" s="12" t="s">
        <v>2863</v>
      </c>
    </row>
    <row r="724">
      <c r="A724" s="2" t="s">
        <v>2865</v>
      </c>
      <c r="B724" s="2" t="s">
        <v>2864</v>
      </c>
      <c r="C724" s="2" t="s">
        <v>2866</v>
      </c>
      <c r="D724" s="2">
        <v>1.4289939284789187E-4</v>
      </c>
      <c r="E724" s="12" t="s">
        <v>2867</v>
      </c>
    </row>
    <row r="725">
      <c r="A725" s="2" t="s">
        <v>2869</v>
      </c>
      <c r="B725" s="2" t="s">
        <v>2868</v>
      </c>
      <c r="C725" s="2" t="s">
        <v>2870</v>
      </c>
      <c r="D725" s="2">
        <v>1.4289939284789187E-4</v>
      </c>
      <c r="E725" s="12" t="s">
        <v>2871</v>
      </c>
    </row>
    <row r="726">
      <c r="A726" s="2" t="s">
        <v>2873</v>
      </c>
      <c r="B726" s="2" t="s">
        <v>2872</v>
      </c>
      <c r="C726" s="2" t="s">
        <v>2874</v>
      </c>
      <c r="D726" s="2">
        <v>1.4289939284789187E-4</v>
      </c>
      <c r="E726" s="12" t="s">
        <v>2875</v>
      </c>
    </row>
    <row r="727">
      <c r="A727" s="2" t="s">
        <v>2877</v>
      </c>
      <c r="B727" s="2" t="s">
        <v>2876</v>
      </c>
      <c r="C727" s="2" t="s">
        <v>2878</v>
      </c>
      <c r="D727" s="2">
        <v>1.4289939284789187E-4</v>
      </c>
      <c r="E727" s="12" t="s">
        <v>2879</v>
      </c>
    </row>
    <row r="728">
      <c r="A728" s="2" t="s">
        <v>2881</v>
      </c>
      <c r="B728" s="2" t="s">
        <v>2880</v>
      </c>
      <c r="C728" s="2" t="s">
        <v>2882</v>
      </c>
      <c r="D728" s="2">
        <v>1.4289939284789187E-4</v>
      </c>
      <c r="E728" s="12" t="s">
        <v>2883</v>
      </c>
    </row>
    <row r="729">
      <c r="A729" s="2" t="s">
        <v>2885</v>
      </c>
      <c r="B729" s="2" t="s">
        <v>2884</v>
      </c>
      <c r="C729" s="2" t="s">
        <v>2886</v>
      </c>
      <c r="D729" s="2">
        <v>1.4289939284789187E-4</v>
      </c>
      <c r="E729" s="12" t="s">
        <v>2887</v>
      </c>
    </row>
    <row r="730">
      <c r="A730" s="2" t="s">
        <v>2889</v>
      </c>
      <c r="B730" s="2" t="s">
        <v>2888</v>
      </c>
      <c r="C730" s="2" t="s">
        <v>2890</v>
      </c>
      <c r="D730" s="2">
        <v>1.4289939284789187E-4</v>
      </c>
      <c r="E730" s="12" t="s">
        <v>2891</v>
      </c>
    </row>
    <row r="731">
      <c r="A731" s="2" t="s">
        <v>2893</v>
      </c>
      <c r="B731" s="2" t="s">
        <v>2892</v>
      </c>
      <c r="C731" s="2" t="s">
        <v>2894</v>
      </c>
      <c r="D731" s="2">
        <v>1.4289939284789187E-4</v>
      </c>
      <c r="E731" s="12" t="s">
        <v>2895</v>
      </c>
    </row>
    <row r="732">
      <c r="A732" s="2" t="s">
        <v>2897</v>
      </c>
      <c r="B732" s="2" t="s">
        <v>2896</v>
      </c>
      <c r="C732" s="2" t="s">
        <v>2898</v>
      </c>
      <c r="D732" s="2">
        <v>1.4289939284789187E-4</v>
      </c>
      <c r="E732" s="12" t="s">
        <v>2899</v>
      </c>
    </row>
    <row r="733">
      <c r="A733" s="2" t="s">
        <v>2901</v>
      </c>
      <c r="B733" s="2" t="s">
        <v>2900</v>
      </c>
      <c r="C733" s="2" t="s">
        <v>2902</v>
      </c>
      <c r="D733" s="2">
        <v>1.4289939284789187E-4</v>
      </c>
      <c r="E733" s="12" t="s">
        <v>2903</v>
      </c>
    </row>
    <row r="734">
      <c r="A734" s="2" t="s">
        <v>2905</v>
      </c>
      <c r="B734" s="2" t="s">
        <v>2904</v>
      </c>
      <c r="C734" s="2" t="s">
        <v>2906</v>
      </c>
      <c r="D734" s="2">
        <v>1.4289939284789187E-4</v>
      </c>
      <c r="E734" s="12" t="s">
        <v>2907</v>
      </c>
    </row>
    <row r="735">
      <c r="A735" s="2" t="s">
        <v>2909</v>
      </c>
      <c r="B735" s="2" t="s">
        <v>2908</v>
      </c>
      <c r="C735" s="2" t="s">
        <v>2910</v>
      </c>
      <c r="D735" s="2">
        <v>1.4289939284789187E-4</v>
      </c>
      <c r="E735" s="12" t="s">
        <v>2911</v>
      </c>
    </row>
    <row r="736">
      <c r="A736" s="2" t="s">
        <v>2913</v>
      </c>
      <c r="B736" s="2" t="s">
        <v>2912</v>
      </c>
      <c r="C736" s="2" t="s">
        <v>2914</v>
      </c>
      <c r="D736" s="2">
        <v>1.4289939284789187E-4</v>
      </c>
      <c r="E736" s="12" t="s">
        <v>2915</v>
      </c>
    </row>
    <row r="737">
      <c r="A737" s="2" t="s">
        <v>2917</v>
      </c>
      <c r="B737" s="2" t="s">
        <v>2916</v>
      </c>
      <c r="C737" s="2" t="s">
        <v>2918</v>
      </c>
      <c r="D737" s="2">
        <v>1.4289939284789187E-4</v>
      </c>
      <c r="E737" s="12" t="s">
        <v>2919</v>
      </c>
    </row>
    <row r="738">
      <c r="A738" s="2" t="s">
        <v>2921</v>
      </c>
      <c r="B738" s="2" t="s">
        <v>2920</v>
      </c>
      <c r="C738" s="2" t="s">
        <v>2922</v>
      </c>
      <c r="D738" s="2">
        <v>1.4289939284789187E-4</v>
      </c>
      <c r="E738" s="12" t="s">
        <v>2923</v>
      </c>
    </row>
    <row r="739">
      <c r="A739" s="2" t="s">
        <v>2925</v>
      </c>
      <c r="B739" s="2" t="s">
        <v>2924</v>
      </c>
      <c r="C739" s="2" t="s">
        <v>2926</v>
      </c>
      <c r="D739" s="2">
        <v>1.4289939284789187E-4</v>
      </c>
      <c r="E739" s="12" t="s">
        <v>2927</v>
      </c>
    </row>
    <row r="740">
      <c r="A740" s="2" t="s">
        <v>2929</v>
      </c>
      <c r="B740" s="2" t="s">
        <v>2928</v>
      </c>
      <c r="C740" s="2" t="s">
        <v>2930</v>
      </c>
      <c r="D740" s="2">
        <v>1.4289939284789187E-4</v>
      </c>
      <c r="E740" s="12" t="s">
        <v>2931</v>
      </c>
    </row>
    <row r="741">
      <c r="A741" s="2" t="s">
        <v>2933</v>
      </c>
      <c r="B741" s="2" t="s">
        <v>2932</v>
      </c>
      <c r="C741" s="2" t="s">
        <v>2934</v>
      </c>
      <c r="D741" s="2">
        <v>1.4289939284789187E-4</v>
      </c>
      <c r="E741" s="12" t="s">
        <v>2935</v>
      </c>
    </row>
    <row r="742">
      <c r="A742" s="2" t="s">
        <v>2937</v>
      </c>
      <c r="B742" s="2" t="s">
        <v>2936</v>
      </c>
      <c r="C742" s="2" t="s">
        <v>2938</v>
      </c>
      <c r="D742" s="2">
        <v>1.4289939284789187E-4</v>
      </c>
      <c r="E742" s="12" t="s">
        <v>2939</v>
      </c>
    </row>
    <row r="743">
      <c r="A743" s="2" t="s">
        <v>2941</v>
      </c>
      <c r="B743" s="2" t="s">
        <v>2940</v>
      </c>
      <c r="C743" s="2" t="s">
        <v>2942</v>
      </c>
      <c r="D743" s="2">
        <v>1.4289939284789187E-4</v>
      </c>
      <c r="E743" s="12" t="s">
        <v>2943</v>
      </c>
    </row>
    <row r="744">
      <c r="A744" s="2" t="s">
        <v>2945</v>
      </c>
      <c r="B744" s="2" t="s">
        <v>2944</v>
      </c>
      <c r="C744" s="2" t="s">
        <v>2946</v>
      </c>
      <c r="D744" s="2">
        <v>1.4289939284789187E-4</v>
      </c>
      <c r="E744" s="12" t="s">
        <v>2947</v>
      </c>
    </row>
    <row r="745">
      <c r="A745" s="2" t="s">
        <v>2949</v>
      </c>
      <c r="B745" s="2" t="s">
        <v>2948</v>
      </c>
      <c r="C745" s="2" t="s">
        <v>2950</v>
      </c>
      <c r="D745" s="2">
        <v>1.4289939284789187E-4</v>
      </c>
      <c r="E745" s="12" t="s">
        <v>2951</v>
      </c>
    </row>
    <row r="746">
      <c r="A746" s="2" t="s">
        <v>2953</v>
      </c>
      <c r="B746" s="2" t="s">
        <v>2952</v>
      </c>
      <c r="C746" s="2" t="s">
        <v>2954</v>
      </c>
      <c r="D746" s="2">
        <v>1.4289939284789187E-4</v>
      </c>
      <c r="E746" s="12" t="s">
        <v>2955</v>
      </c>
    </row>
    <row r="747">
      <c r="A747" s="2" t="s">
        <v>2957</v>
      </c>
      <c r="B747" s="2" t="s">
        <v>2956</v>
      </c>
      <c r="C747" s="2" t="s">
        <v>2958</v>
      </c>
      <c r="D747" s="2">
        <v>1.4289939284789187E-4</v>
      </c>
      <c r="E747" s="12" t="s">
        <v>2959</v>
      </c>
    </row>
    <row r="748">
      <c r="A748" s="2" t="s">
        <v>2961</v>
      </c>
      <c r="B748" s="2" t="s">
        <v>2960</v>
      </c>
      <c r="C748" s="2" t="s">
        <v>2962</v>
      </c>
      <c r="D748" s="2">
        <v>1.4289939284789187E-4</v>
      </c>
      <c r="E748" s="12" t="s">
        <v>2963</v>
      </c>
    </row>
    <row r="749">
      <c r="A749" s="2" t="s">
        <v>2965</v>
      </c>
      <c r="B749" s="2" t="s">
        <v>2964</v>
      </c>
      <c r="C749" s="2" t="s">
        <v>2966</v>
      </c>
      <c r="D749" s="2">
        <v>1.4289939284789187E-4</v>
      </c>
      <c r="E749" s="12" t="s">
        <v>2967</v>
      </c>
    </row>
    <row r="750">
      <c r="A750" s="2" t="s">
        <v>2969</v>
      </c>
      <c r="B750" s="2" t="s">
        <v>2968</v>
      </c>
      <c r="C750" s="2" t="s">
        <v>2970</v>
      </c>
      <c r="D750" s="2">
        <v>1.4289939284789187E-4</v>
      </c>
      <c r="E750" s="12" t="s">
        <v>2971</v>
      </c>
    </row>
    <row r="751">
      <c r="A751" s="2" t="s">
        <v>2973</v>
      </c>
      <c r="B751" s="2" t="s">
        <v>2972</v>
      </c>
      <c r="C751" s="2" t="s">
        <v>2974</v>
      </c>
      <c r="D751" s="2">
        <v>1.4289939284789187E-4</v>
      </c>
      <c r="E751" s="12" t="s">
        <v>2975</v>
      </c>
    </row>
    <row r="752">
      <c r="A752" s="2" t="s">
        <v>2977</v>
      </c>
      <c r="B752" s="2" t="s">
        <v>2976</v>
      </c>
      <c r="C752" s="2" t="s">
        <v>2978</v>
      </c>
      <c r="D752" s="2">
        <v>1.4289939284789187E-4</v>
      </c>
      <c r="E752" s="12" t="s">
        <v>2979</v>
      </c>
    </row>
    <row r="753">
      <c r="A753" s="2" t="s">
        <v>2981</v>
      </c>
      <c r="B753" s="2" t="s">
        <v>2980</v>
      </c>
      <c r="C753" s="2" t="s">
        <v>2982</v>
      </c>
      <c r="D753" s="2">
        <v>1.4289939284789187E-4</v>
      </c>
      <c r="E753" s="12" t="s">
        <v>2983</v>
      </c>
    </row>
    <row r="754">
      <c r="A754" s="2" t="s">
        <v>2985</v>
      </c>
      <c r="B754" s="2" t="s">
        <v>2984</v>
      </c>
      <c r="C754" s="2" t="s">
        <v>2986</v>
      </c>
      <c r="D754" s="2">
        <v>1.4289939284789187E-4</v>
      </c>
      <c r="E754" s="12" t="s">
        <v>2987</v>
      </c>
    </row>
    <row r="755">
      <c r="A755" s="2" t="s">
        <v>2989</v>
      </c>
      <c r="B755" s="2" t="s">
        <v>2988</v>
      </c>
      <c r="C755" s="2" t="s">
        <v>2990</v>
      </c>
      <c r="D755" s="2">
        <v>1.4289939284789187E-4</v>
      </c>
      <c r="E755" s="12" t="s">
        <v>2991</v>
      </c>
    </row>
    <row r="756">
      <c r="A756" s="2" t="s">
        <v>2993</v>
      </c>
      <c r="B756" s="2" t="s">
        <v>2992</v>
      </c>
      <c r="C756" s="2" t="s">
        <v>2994</v>
      </c>
      <c r="D756" s="2">
        <v>1.4289939284789187E-4</v>
      </c>
      <c r="E756" s="12" t="s">
        <v>2995</v>
      </c>
    </row>
    <row r="757">
      <c r="A757" s="2" t="s">
        <v>2997</v>
      </c>
      <c r="B757" s="2" t="s">
        <v>2996</v>
      </c>
      <c r="D757" s="2">
        <v>1.4289939284789187E-4</v>
      </c>
      <c r="E757" s="12" t="s">
        <v>2998</v>
      </c>
    </row>
    <row r="758">
      <c r="A758" s="2" t="s">
        <v>3000</v>
      </c>
      <c r="B758" s="2" t="s">
        <v>2999</v>
      </c>
      <c r="C758" s="2" t="s">
        <v>3001</v>
      </c>
      <c r="D758" s="2">
        <v>1.4289939284789187E-4</v>
      </c>
      <c r="E758" s="12" t="s">
        <v>3002</v>
      </c>
    </row>
    <row r="759">
      <c r="A759" s="2" t="s">
        <v>3004</v>
      </c>
      <c r="B759" s="2" t="s">
        <v>3003</v>
      </c>
      <c r="C759" s="2" t="s">
        <v>3005</v>
      </c>
      <c r="D759" s="2">
        <v>1.4289939284789187E-4</v>
      </c>
      <c r="E759" s="12" t="s">
        <v>3006</v>
      </c>
    </row>
    <row r="760">
      <c r="A760" s="2" t="s">
        <v>3007</v>
      </c>
      <c r="B760" s="2" t="s">
        <v>3007</v>
      </c>
      <c r="C760" s="2" t="s">
        <v>3008</v>
      </c>
      <c r="D760" s="2">
        <v>1.4289939284789187E-4</v>
      </c>
      <c r="E760" s="12" t="s">
        <v>3009</v>
      </c>
    </row>
    <row r="761">
      <c r="A761" s="2" t="s">
        <v>3011</v>
      </c>
      <c r="B761" s="2" t="s">
        <v>3010</v>
      </c>
      <c r="C761" s="2" t="s">
        <v>3012</v>
      </c>
      <c r="D761" s="2">
        <v>1.4289939284789187E-4</v>
      </c>
      <c r="E761" s="12" t="s">
        <v>3013</v>
      </c>
    </row>
    <row r="762">
      <c r="A762" s="2" t="s">
        <v>3015</v>
      </c>
      <c r="B762" s="2" t="s">
        <v>3014</v>
      </c>
      <c r="C762" s="2" t="s">
        <v>3016</v>
      </c>
      <c r="D762" s="2">
        <v>1.4289939284789187E-4</v>
      </c>
      <c r="E762" s="12" t="s">
        <v>3017</v>
      </c>
    </row>
    <row r="763">
      <c r="A763" s="2" t="s">
        <v>3019</v>
      </c>
      <c r="B763" s="2" t="s">
        <v>3018</v>
      </c>
      <c r="C763" s="2" t="s">
        <v>3020</v>
      </c>
      <c r="D763" s="2">
        <v>1.4289939284789187E-4</v>
      </c>
      <c r="E763" s="12" t="s">
        <v>3021</v>
      </c>
    </row>
    <row r="764">
      <c r="A764" s="2" t="s">
        <v>3023</v>
      </c>
      <c r="B764" s="2" t="s">
        <v>3022</v>
      </c>
      <c r="C764" s="2" t="s">
        <v>3024</v>
      </c>
      <c r="D764" s="2">
        <v>1.4289939284789187E-4</v>
      </c>
      <c r="E764" s="12" t="s">
        <v>3025</v>
      </c>
    </row>
    <row r="765">
      <c r="A765" s="2" t="s">
        <v>3027</v>
      </c>
      <c r="B765" s="2" t="s">
        <v>3026</v>
      </c>
      <c r="C765" s="2" t="s">
        <v>3028</v>
      </c>
      <c r="D765" s="2">
        <v>1.4168170378603013E-4</v>
      </c>
      <c r="E765" s="12" t="s">
        <v>3029</v>
      </c>
    </row>
    <row r="766">
      <c r="A766" s="2" t="s">
        <v>3031</v>
      </c>
      <c r="B766" s="2" t="s">
        <v>3030</v>
      </c>
      <c r="C766" s="2" t="s">
        <v>3032</v>
      </c>
      <c r="D766" s="2">
        <v>1.4135894282986232E-4</v>
      </c>
      <c r="E766" s="12" t="s">
        <v>3033</v>
      </c>
    </row>
    <row r="767">
      <c r="A767" s="2" t="s">
        <v>3035</v>
      </c>
      <c r="B767" s="2" t="s">
        <v>3034</v>
      </c>
      <c r="C767" s="2" t="s">
        <v>3036</v>
      </c>
      <c r="D767" s="2">
        <v>1.3992596606892717E-4</v>
      </c>
      <c r="E767" s="12" t="s">
        <v>3037</v>
      </c>
    </row>
    <row r="768">
      <c r="A768" s="2" t="s">
        <v>3039</v>
      </c>
      <c r="B768" s="2" t="s">
        <v>3038</v>
      </c>
      <c r="C768" s="2" t="s">
        <v>3040</v>
      </c>
      <c r="D768" s="2">
        <v>1.3992596606892717E-4</v>
      </c>
      <c r="E768" s="12" t="s">
        <v>3041</v>
      </c>
    </row>
    <row r="769">
      <c r="A769" s="2" t="s">
        <v>3043</v>
      </c>
      <c r="B769" s="2" t="s">
        <v>3042</v>
      </c>
      <c r="C769" s="2" t="s">
        <v>3044</v>
      </c>
      <c r="D769" s="2">
        <v>1.3992596606892717E-4</v>
      </c>
      <c r="E769" s="12" t="s">
        <v>3045</v>
      </c>
    </row>
    <row r="770">
      <c r="A770" s="2" t="s">
        <v>3047</v>
      </c>
      <c r="B770" s="2" t="s">
        <v>3046</v>
      </c>
      <c r="C770" s="2" t="s">
        <v>3048</v>
      </c>
      <c r="D770" s="2">
        <v>1.3992596606892717E-4</v>
      </c>
      <c r="E770" s="12" t="s">
        <v>3049</v>
      </c>
    </row>
    <row r="771">
      <c r="A771" s="2" t="s">
        <v>3051</v>
      </c>
      <c r="B771" s="2" t="s">
        <v>3050</v>
      </c>
      <c r="C771" s="2" t="s">
        <v>3052</v>
      </c>
      <c r="D771" s="2">
        <v>1.3992596606892717E-4</v>
      </c>
      <c r="E771" s="12" t="s">
        <v>3053</v>
      </c>
    </row>
    <row r="772">
      <c r="A772" s="2" t="s">
        <v>3055</v>
      </c>
      <c r="B772" s="2" t="s">
        <v>3054</v>
      </c>
      <c r="C772" s="2" t="s">
        <v>3056</v>
      </c>
      <c r="D772" s="2">
        <v>1.3992596606892717E-4</v>
      </c>
      <c r="E772" s="12" t="s">
        <v>3057</v>
      </c>
    </row>
    <row r="773">
      <c r="A773" s="2" t="s">
        <v>3059</v>
      </c>
      <c r="B773" s="2" t="s">
        <v>3058</v>
      </c>
      <c r="C773" s="2" t="s">
        <v>3060</v>
      </c>
      <c r="D773" s="2">
        <v>1.3992596606892717E-4</v>
      </c>
      <c r="E773" s="12" t="s">
        <v>3061</v>
      </c>
    </row>
    <row r="774">
      <c r="A774" s="2" t="s">
        <v>3063</v>
      </c>
      <c r="B774" s="2" t="s">
        <v>3062</v>
      </c>
      <c r="C774" s="2" t="s">
        <v>3064</v>
      </c>
      <c r="D774" s="2">
        <v>1.3992596606892717E-4</v>
      </c>
      <c r="E774" s="12" t="s">
        <v>3065</v>
      </c>
    </row>
    <row r="775">
      <c r="A775" s="2" t="s">
        <v>3067</v>
      </c>
      <c r="B775" s="2" t="s">
        <v>3066</v>
      </c>
      <c r="C775" s="2" t="s">
        <v>3068</v>
      </c>
      <c r="D775" s="2">
        <v>1.3940384659422543E-4</v>
      </c>
      <c r="E775" s="12" t="s">
        <v>3069</v>
      </c>
    </row>
    <row r="776">
      <c r="A776" s="2" t="s">
        <v>3071</v>
      </c>
      <c r="B776" s="2" t="s">
        <v>3070</v>
      </c>
      <c r="C776" s="2" t="s">
        <v>3072</v>
      </c>
      <c r="D776" s="2">
        <v>1.3757200320224677E-4</v>
      </c>
      <c r="E776" s="12" t="s">
        <v>3073</v>
      </c>
    </row>
    <row r="777">
      <c r="A777" s="2" t="s">
        <v>3075</v>
      </c>
      <c r="B777" s="2" t="s">
        <v>3074</v>
      </c>
      <c r="D777" s="2">
        <v>1.357962066536984E-4</v>
      </c>
      <c r="E777" s="12" t="s">
        <v>3076</v>
      </c>
    </row>
    <row r="778">
      <c r="A778" s="2" t="s">
        <v>3078</v>
      </c>
      <c r="B778" s="2" t="s">
        <v>3077</v>
      </c>
      <c r="C778" s="2" t="s">
        <v>3079</v>
      </c>
      <c r="D778" s="2">
        <v>1.357962066536984E-4</v>
      </c>
      <c r="E778" s="12" t="s">
        <v>3080</v>
      </c>
    </row>
    <row r="779">
      <c r="A779" s="2" t="s">
        <v>3082</v>
      </c>
      <c r="B779" s="2" t="s">
        <v>3081</v>
      </c>
      <c r="C779" s="2" t="s">
        <v>3083</v>
      </c>
      <c r="D779" s="2">
        <v>1.3508588803427904E-4</v>
      </c>
      <c r="E779" s="12" t="s">
        <v>3084</v>
      </c>
    </row>
    <row r="780">
      <c r="A780" s="2" t="s">
        <v>3086</v>
      </c>
      <c r="B780" s="2" t="s">
        <v>3085</v>
      </c>
      <c r="C780" s="2" t="s">
        <v>3087</v>
      </c>
      <c r="D780" s="2">
        <v>1.322446135566017E-4</v>
      </c>
      <c r="E780" s="12" t="s">
        <v>3088</v>
      </c>
    </row>
    <row r="781">
      <c r="A781" s="2" t="s">
        <v>3090</v>
      </c>
      <c r="B781" s="2" t="s">
        <v>3089</v>
      </c>
      <c r="C781" s="2" t="s">
        <v>3091</v>
      </c>
      <c r="D781" s="2">
        <v>1.3181842238495006E-4</v>
      </c>
      <c r="E781" s="12" t="s">
        <v>3092</v>
      </c>
    </row>
    <row r="782">
      <c r="A782" s="2" t="s">
        <v>3094</v>
      </c>
      <c r="B782" s="2" t="s">
        <v>3093</v>
      </c>
      <c r="C782" s="2" t="s">
        <v>3095</v>
      </c>
      <c r="D782" s="2">
        <v>1.3181842238495006E-4</v>
      </c>
      <c r="E782" s="12" t="s">
        <v>3096</v>
      </c>
    </row>
    <row r="783">
      <c r="A783" s="2" t="s">
        <v>3098</v>
      </c>
      <c r="B783" s="2" t="s">
        <v>3097</v>
      </c>
      <c r="C783" s="2" t="s">
        <v>3099</v>
      </c>
      <c r="D783" s="2">
        <v>1.3181842238495006E-4</v>
      </c>
      <c r="E783" s="12" t="s">
        <v>3100</v>
      </c>
    </row>
    <row r="784">
      <c r="A784" s="2" t="s">
        <v>3102</v>
      </c>
      <c r="B784" s="2" t="s">
        <v>3101</v>
      </c>
      <c r="C784" s="2" t="s">
        <v>3103</v>
      </c>
      <c r="D784" s="2">
        <v>1.2950481316741279E-4</v>
      </c>
      <c r="E784" s="12" t="s">
        <v>3104</v>
      </c>
    </row>
    <row r="785">
      <c r="A785" s="2" t="s">
        <v>3106</v>
      </c>
      <c r="B785" s="2" t="s">
        <v>3105</v>
      </c>
      <c r="C785" s="2" t="s">
        <v>3107</v>
      </c>
      <c r="D785" s="2">
        <v>1.2869302045950495E-4</v>
      </c>
      <c r="E785" s="12" t="s">
        <v>3108</v>
      </c>
    </row>
    <row r="786">
      <c r="A786" s="2" t="s">
        <v>3110</v>
      </c>
      <c r="B786" s="2" t="s">
        <v>3109</v>
      </c>
      <c r="C786" s="2" t="s">
        <v>3111</v>
      </c>
      <c r="D786" s="2">
        <v>1.2869302045950495E-4</v>
      </c>
      <c r="E786" s="12" t="s">
        <v>3112</v>
      </c>
    </row>
    <row r="787">
      <c r="A787" s="2" t="s">
        <v>3114</v>
      </c>
      <c r="B787" s="2" t="s">
        <v>3113</v>
      </c>
      <c r="C787" s="2" t="s">
        <v>3115</v>
      </c>
      <c r="D787" s="2">
        <v>1.2869302045950495E-4</v>
      </c>
      <c r="E787" s="12" t="s">
        <v>3116</v>
      </c>
    </row>
    <row r="788">
      <c r="A788" s="2" t="s">
        <v>3118</v>
      </c>
      <c r="B788" s="2" t="s">
        <v>3117</v>
      </c>
      <c r="D788" s="2">
        <v>1.2869302045950495E-4</v>
      </c>
      <c r="E788" s="12" t="s">
        <v>3119</v>
      </c>
    </row>
    <row r="789">
      <c r="A789" s="2" t="s">
        <v>3121</v>
      </c>
      <c r="B789" s="2" t="s">
        <v>3120</v>
      </c>
      <c r="C789" s="2" t="s">
        <v>3122</v>
      </c>
      <c r="D789" s="2">
        <v>1.2869302045950495E-4</v>
      </c>
      <c r="E789" s="12" t="s">
        <v>3123</v>
      </c>
    </row>
    <row r="790">
      <c r="A790" s="2" t="s">
        <v>3125</v>
      </c>
      <c r="B790" s="2" t="s">
        <v>3124</v>
      </c>
      <c r="C790" s="2" t="s">
        <v>3126</v>
      </c>
      <c r="D790" s="2">
        <v>1.2869302045950495E-4</v>
      </c>
      <c r="E790" s="12" t="s">
        <v>3127</v>
      </c>
    </row>
    <row r="791">
      <c r="A791" s="2" t="s">
        <v>3129</v>
      </c>
      <c r="B791" s="2" t="s">
        <v>3128</v>
      </c>
      <c r="C791" s="2" t="s">
        <v>3130</v>
      </c>
      <c r="D791" s="2">
        <v>1.2869302045950495E-4</v>
      </c>
      <c r="E791" s="12" t="s">
        <v>3131</v>
      </c>
    </row>
    <row r="792">
      <c r="A792" s="2" t="s">
        <v>3133</v>
      </c>
      <c r="B792" s="2" t="s">
        <v>3132</v>
      </c>
      <c r="C792" s="2" t="s">
        <v>3134</v>
      </c>
      <c r="D792" s="2">
        <v>1.2869302045950495E-4</v>
      </c>
      <c r="E792" s="12" t="s">
        <v>3135</v>
      </c>
    </row>
    <row r="793">
      <c r="A793" s="2" t="s">
        <v>3137</v>
      </c>
      <c r="B793" s="2" t="s">
        <v>3136</v>
      </c>
      <c r="C793" s="2" t="s">
        <v>3138</v>
      </c>
      <c r="D793" s="2">
        <v>1.2869302045950495E-4</v>
      </c>
      <c r="E793" s="12" t="s">
        <v>3139</v>
      </c>
    </row>
    <row r="794">
      <c r="A794" s="2" t="s">
        <v>3141</v>
      </c>
      <c r="B794" s="2" t="s">
        <v>3140</v>
      </c>
      <c r="C794" s="2" t="s">
        <v>3142</v>
      </c>
      <c r="D794" s="2">
        <v>1.2869302045950495E-4</v>
      </c>
      <c r="E794" s="12" t="s">
        <v>3143</v>
      </c>
    </row>
    <row r="795">
      <c r="A795" s="2" t="s">
        <v>3145</v>
      </c>
      <c r="B795" s="2" t="s">
        <v>3144</v>
      </c>
      <c r="C795" s="2" t="s">
        <v>3146</v>
      </c>
      <c r="D795" s="2">
        <v>1.2869302045950495E-4</v>
      </c>
      <c r="E795" s="12" t="s">
        <v>3147</v>
      </c>
    </row>
    <row r="796">
      <c r="A796" s="2" t="s">
        <v>3149</v>
      </c>
      <c r="B796" s="2" t="s">
        <v>3148</v>
      </c>
      <c r="C796" s="2" t="s">
        <v>3150</v>
      </c>
      <c r="D796" s="2">
        <v>1.2869302045950495E-4</v>
      </c>
      <c r="E796" s="12" t="s">
        <v>3151</v>
      </c>
    </row>
    <row r="797">
      <c r="A797" s="2" t="s">
        <v>3153</v>
      </c>
      <c r="B797" s="2" t="s">
        <v>3152</v>
      </c>
      <c r="C797" s="2" t="s">
        <v>3154</v>
      </c>
      <c r="D797" s="2">
        <v>1.2869302045950495E-4</v>
      </c>
      <c r="E797" s="12" t="s">
        <v>3155</v>
      </c>
    </row>
    <row r="798">
      <c r="A798" s="2" t="s">
        <v>3157</v>
      </c>
      <c r="B798" s="2" t="s">
        <v>3156</v>
      </c>
      <c r="C798" s="2" t="s">
        <v>3158</v>
      </c>
      <c r="D798" s="2">
        <v>1.2869302045950495E-4</v>
      </c>
      <c r="E798" s="12" t="s">
        <v>3159</v>
      </c>
    </row>
    <row r="799">
      <c r="A799" s="2" t="s">
        <v>3161</v>
      </c>
      <c r="B799" s="2" t="s">
        <v>3160</v>
      </c>
      <c r="C799" s="2" t="s">
        <v>3162</v>
      </c>
      <c r="D799" s="2">
        <v>1.2869302045950495E-4</v>
      </c>
      <c r="E799" s="12" t="s">
        <v>3163</v>
      </c>
    </row>
    <row r="800">
      <c r="A800" s="2" t="s">
        <v>3165</v>
      </c>
      <c r="B800" s="2" t="s">
        <v>3164</v>
      </c>
      <c r="C800" s="2" t="s">
        <v>3166</v>
      </c>
      <c r="D800" s="2">
        <v>1.2869302045950495E-4</v>
      </c>
      <c r="E800" s="12" t="s">
        <v>3167</v>
      </c>
    </row>
    <row r="801">
      <c r="A801" s="2" t="s">
        <v>3169</v>
      </c>
      <c r="B801" s="2" t="s">
        <v>3168</v>
      </c>
      <c r="C801" s="2" t="s">
        <v>3170</v>
      </c>
      <c r="D801" s="2">
        <v>1.2869302045950495E-4</v>
      </c>
      <c r="E801" s="12" t="s">
        <v>3171</v>
      </c>
    </row>
    <row r="802">
      <c r="A802" s="2" t="s">
        <v>3173</v>
      </c>
      <c r="B802" s="2" t="s">
        <v>3172</v>
      </c>
      <c r="C802" s="2" t="s">
        <v>3174</v>
      </c>
      <c r="D802" s="2">
        <v>1.2869302045950495E-4</v>
      </c>
      <c r="E802" s="12" t="s">
        <v>3175</v>
      </c>
    </row>
    <row r="803">
      <c r="A803" s="2" t="s">
        <v>3177</v>
      </c>
      <c r="B803" s="2" t="s">
        <v>3176</v>
      </c>
      <c r="C803" s="2" t="s">
        <v>3178</v>
      </c>
      <c r="D803" s="2">
        <v>1.2869302045950495E-4</v>
      </c>
      <c r="E803" s="12" t="s">
        <v>3179</v>
      </c>
    </row>
    <row r="804">
      <c r="A804" s="2" t="s">
        <v>3181</v>
      </c>
      <c r="B804" s="2" t="s">
        <v>3180</v>
      </c>
      <c r="C804" s="2" t="s">
        <v>3182</v>
      </c>
      <c r="D804" s="2">
        <v>1.2869302045950495E-4</v>
      </c>
      <c r="E804" s="12" t="s">
        <v>3183</v>
      </c>
    </row>
    <row r="805">
      <c r="A805" s="2" t="s">
        <v>3185</v>
      </c>
      <c r="B805" s="2" t="s">
        <v>3184</v>
      </c>
      <c r="C805" s="2" t="s">
        <v>3186</v>
      </c>
      <c r="D805" s="2">
        <v>1.2869302045950495E-4</v>
      </c>
      <c r="E805" s="12" t="s">
        <v>3187</v>
      </c>
    </row>
    <row r="806">
      <c r="A806" s="2" t="s">
        <v>3189</v>
      </c>
      <c r="B806" s="2" t="s">
        <v>3188</v>
      </c>
      <c r="C806" s="2" t="s">
        <v>3190</v>
      </c>
      <c r="D806" s="2">
        <v>1.2869302045950495E-4</v>
      </c>
      <c r="E806" s="12" t="s">
        <v>3191</v>
      </c>
    </row>
    <row r="807">
      <c r="A807" s="2" t="s">
        <v>3193</v>
      </c>
      <c r="B807" s="2" t="s">
        <v>3192</v>
      </c>
      <c r="D807" s="2">
        <v>1.2869302045950495E-4</v>
      </c>
      <c r="E807" s="12" t="s">
        <v>3194</v>
      </c>
    </row>
    <row r="808">
      <c r="A808" s="2" t="s">
        <v>3196</v>
      </c>
      <c r="B808" s="2" t="s">
        <v>3195</v>
      </c>
      <c r="C808" s="2" t="s">
        <v>3197</v>
      </c>
      <c r="D808" s="2">
        <v>1.2869302045950495E-4</v>
      </c>
      <c r="E808" s="12" t="s">
        <v>3198</v>
      </c>
    </row>
    <row r="809">
      <c r="A809" s="2" t="s">
        <v>3200</v>
      </c>
      <c r="B809" s="2" t="s">
        <v>3199</v>
      </c>
      <c r="C809" s="2" t="s">
        <v>3201</v>
      </c>
      <c r="D809" s="2">
        <v>1.2869302045950495E-4</v>
      </c>
      <c r="E809" s="12" t="s">
        <v>3202</v>
      </c>
    </row>
    <row r="810">
      <c r="A810" s="2" t="s">
        <v>3204</v>
      </c>
      <c r="B810" s="2" t="s">
        <v>3203</v>
      </c>
      <c r="D810" s="2">
        <v>1.2869302045950495E-4</v>
      </c>
      <c r="E810" s="12" t="s">
        <v>3205</v>
      </c>
    </row>
    <row r="811">
      <c r="A811" s="2" t="s">
        <v>3207</v>
      </c>
      <c r="B811" s="2" t="s">
        <v>3206</v>
      </c>
      <c r="C811" s="2" t="s">
        <v>3208</v>
      </c>
      <c r="D811" s="2">
        <v>1.2869302045950495E-4</v>
      </c>
      <c r="E811" s="12" t="s">
        <v>3209</v>
      </c>
    </row>
    <row r="812">
      <c r="A812" s="2" t="s">
        <v>3211</v>
      </c>
      <c r="B812" s="2" t="s">
        <v>3210</v>
      </c>
      <c r="C812" s="2" t="s">
        <v>3212</v>
      </c>
      <c r="D812" s="2">
        <v>1.2869302045950495E-4</v>
      </c>
      <c r="E812" s="12" t="s">
        <v>3213</v>
      </c>
    </row>
    <row r="813">
      <c r="A813" s="2" t="s">
        <v>3215</v>
      </c>
      <c r="B813" s="2" t="s">
        <v>3214</v>
      </c>
      <c r="C813" s="2" t="s">
        <v>3216</v>
      </c>
      <c r="D813" s="2">
        <v>1.2869302045950495E-4</v>
      </c>
      <c r="E813" s="12" t="s">
        <v>3217</v>
      </c>
    </row>
    <row r="814">
      <c r="A814" s="2" t="s">
        <v>3219</v>
      </c>
      <c r="B814" s="2" t="s">
        <v>3218</v>
      </c>
      <c r="C814" s="2" t="s">
        <v>3220</v>
      </c>
      <c r="D814" s="2">
        <v>1.2869302045950495E-4</v>
      </c>
      <c r="E814" s="12" t="s">
        <v>3221</v>
      </c>
    </row>
    <row r="815">
      <c r="A815" s="2" t="s">
        <v>3223</v>
      </c>
      <c r="B815" s="2" t="s">
        <v>3222</v>
      </c>
      <c r="D815" s="2">
        <v>1.2869302045950495E-4</v>
      </c>
      <c r="E815" s="12" t="s">
        <v>3224</v>
      </c>
    </row>
    <row r="816">
      <c r="A816" s="2" t="s">
        <v>3226</v>
      </c>
      <c r="B816" s="2" t="s">
        <v>3225</v>
      </c>
      <c r="C816" s="2" t="s">
        <v>3227</v>
      </c>
      <c r="D816" s="2">
        <v>1.2869302045950495E-4</v>
      </c>
      <c r="E816" s="12" t="s">
        <v>3228</v>
      </c>
    </row>
    <row r="817">
      <c r="A817" s="2" t="s">
        <v>3230</v>
      </c>
      <c r="B817" s="2" t="s">
        <v>3229</v>
      </c>
      <c r="C817" s="2" t="s">
        <v>3231</v>
      </c>
      <c r="D817" s="2">
        <v>1.2869302045950495E-4</v>
      </c>
      <c r="E817" s="12" t="s">
        <v>3232</v>
      </c>
    </row>
    <row r="818">
      <c r="A818" s="2" t="s">
        <v>3234</v>
      </c>
      <c r="B818" s="2" t="s">
        <v>3233</v>
      </c>
      <c r="C818" s="2" t="s">
        <v>3235</v>
      </c>
      <c r="D818" s="2">
        <v>1.2869302045950495E-4</v>
      </c>
      <c r="E818" s="12" t="s">
        <v>3236</v>
      </c>
    </row>
    <row r="819">
      <c r="A819" s="2" t="s">
        <v>3238</v>
      </c>
      <c r="B819" s="2" t="s">
        <v>3237</v>
      </c>
      <c r="C819" s="2" t="s">
        <v>3239</v>
      </c>
      <c r="D819" s="2">
        <v>1.2869302045950495E-4</v>
      </c>
      <c r="E819" s="12" t="s">
        <v>3240</v>
      </c>
    </row>
    <row r="820">
      <c r="A820" s="2" t="s">
        <v>3242</v>
      </c>
      <c r="B820" s="2" t="s">
        <v>3241</v>
      </c>
      <c r="C820" s="2" t="s">
        <v>3243</v>
      </c>
      <c r="D820" s="2">
        <v>1.2869302045950495E-4</v>
      </c>
      <c r="E820" s="12" t="s">
        <v>3244</v>
      </c>
    </row>
    <row r="821">
      <c r="A821" s="2" t="s">
        <v>3246</v>
      </c>
      <c r="B821" s="2" t="s">
        <v>3245</v>
      </c>
      <c r="C821" s="2" t="s">
        <v>3247</v>
      </c>
      <c r="D821" s="2">
        <v>1.2869302045950495E-4</v>
      </c>
      <c r="E821" s="12" t="s">
        <v>3248</v>
      </c>
    </row>
    <row r="822">
      <c r="A822" s="2" t="s">
        <v>3250</v>
      </c>
      <c r="B822" s="2" t="s">
        <v>3249</v>
      </c>
      <c r="C822" s="2" t="s">
        <v>3251</v>
      </c>
      <c r="D822" s="2">
        <v>1.2869302045950495E-4</v>
      </c>
      <c r="E822" s="12" t="s">
        <v>3252</v>
      </c>
    </row>
    <row r="823">
      <c r="A823" s="2" t="s">
        <v>3254</v>
      </c>
      <c r="B823" s="2" t="s">
        <v>3253</v>
      </c>
      <c r="D823" s="2">
        <v>1.2869302045950495E-4</v>
      </c>
      <c r="E823" s="12" t="s">
        <v>3255</v>
      </c>
    </row>
    <row r="824">
      <c r="A824" s="2" t="s">
        <v>3257</v>
      </c>
      <c r="B824" s="2" t="s">
        <v>3256</v>
      </c>
      <c r="C824" s="2" t="s">
        <v>3258</v>
      </c>
      <c r="D824" s="2">
        <v>1.2869302045950495E-4</v>
      </c>
      <c r="E824" s="12" t="s">
        <v>3259</v>
      </c>
    </row>
    <row r="825">
      <c r="A825" s="2" t="s">
        <v>3261</v>
      </c>
      <c r="B825" s="2" t="s">
        <v>3260</v>
      </c>
      <c r="C825" s="2" t="s">
        <v>3262</v>
      </c>
      <c r="D825" s="2">
        <v>1.2869302045950495E-4</v>
      </c>
      <c r="E825" s="12" t="s">
        <v>3263</v>
      </c>
    </row>
    <row r="826">
      <c r="A826" s="2" t="s">
        <v>3265</v>
      </c>
      <c r="B826" s="2" t="s">
        <v>3264</v>
      </c>
      <c r="C826" s="2" t="s">
        <v>3266</v>
      </c>
      <c r="D826" s="2">
        <v>1.2869302045950495E-4</v>
      </c>
      <c r="E826" s="12" t="s">
        <v>3267</v>
      </c>
    </row>
    <row r="827">
      <c r="A827" s="2" t="s">
        <v>3269</v>
      </c>
      <c r="B827" s="2" t="s">
        <v>3268</v>
      </c>
      <c r="C827" s="2" t="s">
        <v>3270</v>
      </c>
      <c r="D827" s="2">
        <v>1.2869302045950495E-4</v>
      </c>
      <c r="E827" s="12" t="s">
        <v>3271</v>
      </c>
    </row>
    <row r="828">
      <c r="A828" s="2" t="s">
        <v>3273</v>
      </c>
      <c r="B828" s="2" t="s">
        <v>3272</v>
      </c>
      <c r="C828" s="2" t="s">
        <v>3274</v>
      </c>
      <c r="D828" s="2">
        <v>1.2869302045950495E-4</v>
      </c>
      <c r="E828" s="12" t="s">
        <v>3275</v>
      </c>
    </row>
    <row r="829">
      <c r="A829" s="2" t="s">
        <v>3277</v>
      </c>
      <c r="B829" s="2" t="s">
        <v>3276</v>
      </c>
      <c r="C829" s="2" t="s">
        <v>3278</v>
      </c>
      <c r="D829" s="2">
        <v>1.2869302045950495E-4</v>
      </c>
      <c r="E829" s="12" t="s">
        <v>3279</v>
      </c>
    </row>
    <row r="830">
      <c r="A830" s="2" t="s">
        <v>3281</v>
      </c>
      <c r="B830" s="2" t="s">
        <v>3280</v>
      </c>
      <c r="C830" s="2" t="s">
        <v>3282</v>
      </c>
      <c r="D830" s="2">
        <v>1.2869302045950495E-4</v>
      </c>
      <c r="E830" s="12" t="s">
        <v>3283</v>
      </c>
    </row>
    <row r="831">
      <c r="A831" s="2" t="s">
        <v>3285</v>
      </c>
      <c r="B831" s="2" t="s">
        <v>3284</v>
      </c>
      <c r="C831" s="2" t="s">
        <v>3286</v>
      </c>
      <c r="D831" s="2">
        <v>1.2869302045950495E-4</v>
      </c>
      <c r="E831" s="12" t="s">
        <v>3287</v>
      </c>
    </row>
    <row r="832">
      <c r="A832" s="2" t="s">
        <v>3289</v>
      </c>
      <c r="B832" s="2" t="s">
        <v>3288</v>
      </c>
      <c r="C832" s="2" t="s">
        <v>3290</v>
      </c>
      <c r="D832" s="2">
        <v>1.2869302045950495E-4</v>
      </c>
      <c r="E832" s="12" t="s">
        <v>3291</v>
      </c>
    </row>
    <row r="833">
      <c r="A833" s="2" t="s">
        <v>3293</v>
      </c>
      <c r="B833" s="2" t="s">
        <v>3292</v>
      </c>
      <c r="C833" s="2" t="s">
        <v>3294</v>
      </c>
      <c r="D833" s="2">
        <v>1.2869302045950495E-4</v>
      </c>
      <c r="E833" s="12" t="s">
        <v>3295</v>
      </c>
    </row>
    <row r="834">
      <c r="A834" s="2" t="s">
        <v>3297</v>
      </c>
      <c r="B834" s="2" t="s">
        <v>3296</v>
      </c>
      <c r="C834" s="2" t="s">
        <v>3298</v>
      </c>
      <c r="D834" s="2">
        <v>1.2869302045950495E-4</v>
      </c>
      <c r="E834" s="12" t="s">
        <v>3299</v>
      </c>
    </row>
    <row r="835">
      <c r="A835" s="2" t="s">
        <v>3301</v>
      </c>
      <c r="B835" s="2" t="s">
        <v>3300</v>
      </c>
      <c r="C835" s="2" t="s">
        <v>3302</v>
      </c>
      <c r="D835" s="2">
        <v>1.2869302045950495E-4</v>
      </c>
      <c r="E835" s="12" t="s">
        <v>3303</v>
      </c>
    </row>
    <row r="836">
      <c r="A836" s="2" t="s">
        <v>3305</v>
      </c>
      <c r="B836" s="2" t="s">
        <v>3304</v>
      </c>
      <c r="C836" s="2" t="s">
        <v>3306</v>
      </c>
      <c r="D836" s="2">
        <v>1.2869302045950495E-4</v>
      </c>
      <c r="E836" s="12" t="s">
        <v>3307</v>
      </c>
    </row>
    <row r="837">
      <c r="A837" s="2" t="s">
        <v>3309</v>
      </c>
      <c r="B837" s="2" t="s">
        <v>3308</v>
      </c>
      <c r="C837" s="2" t="s">
        <v>3310</v>
      </c>
      <c r="D837" s="2">
        <v>1.2869302045950495E-4</v>
      </c>
      <c r="E837" s="12" t="s">
        <v>3311</v>
      </c>
    </row>
    <row r="838">
      <c r="A838" s="2" t="s">
        <v>3313</v>
      </c>
      <c r="B838" s="2" t="s">
        <v>3312</v>
      </c>
      <c r="C838" s="2" t="s">
        <v>3314</v>
      </c>
      <c r="D838" s="2">
        <v>1.2869302045950495E-4</v>
      </c>
      <c r="E838" s="12" t="s">
        <v>3315</v>
      </c>
    </row>
    <row r="839">
      <c r="A839" s="2" t="s">
        <v>3317</v>
      </c>
      <c r="B839" s="2" t="s">
        <v>3316</v>
      </c>
      <c r="C839" s="2" t="s">
        <v>3318</v>
      </c>
      <c r="D839" s="2">
        <v>1.2869302045950495E-4</v>
      </c>
      <c r="E839" s="12" t="s">
        <v>3319</v>
      </c>
    </row>
    <row r="840">
      <c r="A840" s="2" t="s">
        <v>3321</v>
      </c>
      <c r="B840" s="2" t="s">
        <v>3320</v>
      </c>
      <c r="C840" s="2" t="s">
        <v>3322</v>
      </c>
      <c r="D840" s="2">
        <v>1.2869302045950495E-4</v>
      </c>
      <c r="E840" s="12" t="s">
        <v>3323</v>
      </c>
    </row>
    <row r="841">
      <c r="A841" s="2" t="s">
        <v>3325</v>
      </c>
      <c r="B841" s="2" t="s">
        <v>3324</v>
      </c>
      <c r="C841" s="2" t="s">
        <v>3326</v>
      </c>
      <c r="D841" s="2">
        <v>1.2869302045950495E-4</v>
      </c>
      <c r="E841" s="12" t="s">
        <v>3327</v>
      </c>
    </row>
    <row r="842">
      <c r="A842" s="2" t="s">
        <v>3329</v>
      </c>
      <c r="B842" s="2" t="s">
        <v>3328</v>
      </c>
      <c r="C842" s="2" t="s">
        <v>3330</v>
      </c>
      <c r="D842" s="2">
        <v>1.2869302045950495E-4</v>
      </c>
      <c r="E842" s="12" t="s">
        <v>3331</v>
      </c>
    </row>
    <row r="843">
      <c r="A843" s="2" t="s">
        <v>3333</v>
      </c>
      <c r="B843" s="2" t="s">
        <v>3332</v>
      </c>
      <c r="D843" s="2">
        <v>1.2869302045950495E-4</v>
      </c>
      <c r="E843" s="12" t="s">
        <v>3334</v>
      </c>
    </row>
    <row r="844">
      <c r="A844" s="2" t="s">
        <v>3336</v>
      </c>
      <c r="B844" s="2" t="s">
        <v>3335</v>
      </c>
      <c r="C844" s="2" t="s">
        <v>3337</v>
      </c>
      <c r="D844" s="2">
        <v>1.2869302045950495E-4</v>
      </c>
      <c r="E844" s="12" t="s">
        <v>3338</v>
      </c>
    </row>
    <row r="845">
      <c r="A845" s="2" t="s">
        <v>3340</v>
      </c>
      <c r="B845" s="2" t="s">
        <v>3339</v>
      </c>
      <c r="C845" s="2" t="s">
        <v>3341</v>
      </c>
      <c r="D845" s="2">
        <v>1.2869302045950495E-4</v>
      </c>
      <c r="E845" s="12" t="s">
        <v>3342</v>
      </c>
    </row>
    <row r="846">
      <c r="A846" s="2" t="s">
        <v>3344</v>
      </c>
      <c r="B846" s="2" t="s">
        <v>3343</v>
      </c>
      <c r="C846" s="2" t="s">
        <v>3345</v>
      </c>
      <c r="D846" s="2">
        <v>1.273844769075269E-4</v>
      </c>
      <c r="E846" s="12" t="s">
        <v>3346</v>
      </c>
    </row>
    <row r="847">
      <c r="A847" s="2" t="s">
        <v>3348</v>
      </c>
      <c r="B847" s="2" t="s">
        <v>3347</v>
      </c>
      <c r="C847" s="2" t="s">
        <v>3349</v>
      </c>
      <c r="D847" s="2">
        <v>1.2734003261299193E-4</v>
      </c>
      <c r="E847" s="12" t="s">
        <v>3350</v>
      </c>
    </row>
    <row r="848">
      <c r="A848" s="2" t="s">
        <v>3352</v>
      </c>
      <c r="B848" s="2" t="s">
        <v>3351</v>
      </c>
      <c r="C848" s="2" t="s">
        <v>3353</v>
      </c>
      <c r="D848" s="2">
        <v>1.2734003261299193E-4</v>
      </c>
      <c r="E848" s="12" t="s">
        <v>3354</v>
      </c>
    </row>
    <row r="849">
      <c r="A849" s="2" t="s">
        <v>3356</v>
      </c>
      <c r="B849" s="2" t="s">
        <v>3355</v>
      </c>
      <c r="C849" s="2" t="s">
        <v>3357</v>
      </c>
      <c r="D849" s="2">
        <v>1.273400326129919E-4</v>
      </c>
      <c r="E849" s="12" t="s">
        <v>3358</v>
      </c>
    </row>
    <row r="850">
      <c r="A850" s="2" t="s">
        <v>3360</v>
      </c>
      <c r="B850" s="2" t="s">
        <v>3359</v>
      </c>
      <c r="C850" s="2" t="s">
        <v>3361</v>
      </c>
      <c r="D850" s="2">
        <v>1.273400326129919E-4</v>
      </c>
      <c r="E850" s="12" t="s">
        <v>3362</v>
      </c>
    </row>
    <row r="851">
      <c r="A851" s="2" t="s">
        <v>3364</v>
      </c>
      <c r="B851" s="2" t="s">
        <v>3363</v>
      </c>
      <c r="C851" s="2" t="s">
        <v>3365</v>
      </c>
      <c r="D851" s="2">
        <v>1.273400326129919E-4</v>
      </c>
      <c r="E851" s="12" t="s">
        <v>3366</v>
      </c>
    </row>
    <row r="852">
      <c r="A852" s="2" t="s">
        <v>3368</v>
      </c>
      <c r="B852" s="2" t="s">
        <v>3367</v>
      </c>
      <c r="C852" s="2" t="s">
        <v>3369</v>
      </c>
      <c r="D852" s="2">
        <v>1.273400326129919E-4</v>
      </c>
      <c r="E852" s="12" t="s">
        <v>3370</v>
      </c>
    </row>
    <row r="853">
      <c r="A853" s="2" t="s">
        <v>3372</v>
      </c>
      <c r="B853" s="2" t="s">
        <v>3371</v>
      </c>
      <c r="C853" s="2" t="s">
        <v>3373</v>
      </c>
      <c r="D853" s="2">
        <v>1.273400326129919E-4</v>
      </c>
      <c r="E853" s="12" t="s">
        <v>3374</v>
      </c>
    </row>
    <row r="854">
      <c r="A854" s="2" t="s">
        <v>3376</v>
      </c>
      <c r="B854" s="2" t="s">
        <v>3375</v>
      </c>
      <c r="C854" s="2" t="s">
        <v>3377</v>
      </c>
      <c r="D854" s="2">
        <v>1.273400326129919E-4</v>
      </c>
      <c r="E854" s="12" t="s">
        <v>3378</v>
      </c>
    </row>
    <row r="855">
      <c r="A855" s="2" t="s">
        <v>3380</v>
      </c>
      <c r="B855" s="2" t="s">
        <v>3379</v>
      </c>
      <c r="C855" s="2" t="s">
        <v>3381</v>
      </c>
      <c r="D855" s="2">
        <v>1.273400326129919E-4</v>
      </c>
      <c r="E855" s="12" t="s">
        <v>3382</v>
      </c>
    </row>
    <row r="856">
      <c r="A856" s="2" t="s">
        <v>3384</v>
      </c>
      <c r="B856" s="2" t="s">
        <v>3383</v>
      </c>
      <c r="C856" s="2" t="s">
        <v>3385</v>
      </c>
      <c r="D856" s="2">
        <v>1.273400326129919E-4</v>
      </c>
      <c r="E856" s="12" t="s">
        <v>3386</v>
      </c>
    </row>
    <row r="857">
      <c r="A857" s="2" t="s">
        <v>3388</v>
      </c>
      <c r="B857" s="2" t="s">
        <v>3387</v>
      </c>
      <c r="C857" s="2" t="s">
        <v>3389</v>
      </c>
      <c r="D857" s="2">
        <v>1.2734003261289249E-4</v>
      </c>
      <c r="E857" s="12" t="s">
        <v>3390</v>
      </c>
    </row>
    <row r="858">
      <c r="A858" s="2" t="s">
        <v>3392</v>
      </c>
      <c r="B858" s="2" t="s">
        <v>3391</v>
      </c>
      <c r="C858" s="2" t="s">
        <v>3393</v>
      </c>
      <c r="D858" s="2">
        <v>1.2656206460124692E-4</v>
      </c>
      <c r="E858" s="12" t="s">
        <v>3394</v>
      </c>
    </row>
    <row r="859">
      <c r="A859" s="2" t="s">
        <v>3396</v>
      </c>
      <c r="B859" s="2" t="s">
        <v>3395</v>
      </c>
      <c r="C859" s="2" t="s">
        <v>3397</v>
      </c>
      <c r="D859" s="2">
        <v>1.2491089663497183E-4</v>
      </c>
      <c r="E859" s="12" t="s">
        <v>3398</v>
      </c>
    </row>
    <row r="860">
      <c r="A860" s="2" t="s">
        <v>3400</v>
      </c>
      <c r="B860" s="2" t="s">
        <v>3399</v>
      </c>
      <c r="C860" s="2" t="s">
        <v>3401</v>
      </c>
      <c r="D860" s="2">
        <v>1.2491089663497183E-4</v>
      </c>
      <c r="E860" s="12" t="s">
        <v>3402</v>
      </c>
    </row>
    <row r="861">
      <c r="A861" s="2" t="s">
        <v>3404</v>
      </c>
      <c r="B861" s="2" t="s">
        <v>3403</v>
      </c>
      <c r="C861" s="2" t="s">
        <v>3405</v>
      </c>
      <c r="D861" s="2">
        <v>1.2491089663497183E-4</v>
      </c>
      <c r="E861" s="12" t="s">
        <v>3406</v>
      </c>
    </row>
    <row r="862">
      <c r="A862" s="2" t="s">
        <v>3408</v>
      </c>
      <c r="B862" s="2" t="s">
        <v>3407</v>
      </c>
      <c r="C862" s="2" t="s">
        <v>3409</v>
      </c>
      <c r="D862" s="2">
        <v>1.2463405691996585E-4</v>
      </c>
      <c r="E862" s="12" t="s">
        <v>3410</v>
      </c>
    </row>
    <row r="863">
      <c r="A863" s="2" t="s">
        <v>3412</v>
      </c>
      <c r="B863" s="2" t="s">
        <v>3411</v>
      </c>
      <c r="C863" s="2" t="s">
        <v>3413</v>
      </c>
      <c r="D863" s="2">
        <v>1.225369257578706E-4</v>
      </c>
      <c r="E863" s="12" t="s">
        <v>3414</v>
      </c>
    </row>
    <row r="864">
      <c r="A864" s="2" t="s">
        <v>3416</v>
      </c>
      <c r="B864" s="2" t="s">
        <v>3415</v>
      </c>
      <c r="C864" s="2" t="s">
        <v>3417</v>
      </c>
      <c r="D864" s="2">
        <v>1.225369257578706E-4</v>
      </c>
      <c r="E864" s="12" t="s">
        <v>3418</v>
      </c>
    </row>
    <row r="865">
      <c r="A865" s="2" t="s">
        <v>3420</v>
      </c>
      <c r="B865" s="2" t="s">
        <v>3419</v>
      </c>
      <c r="C865" s="2" t="s">
        <v>3421</v>
      </c>
      <c r="D865" s="2">
        <v>1.225369257578706E-4</v>
      </c>
      <c r="E865" s="12" t="s">
        <v>3422</v>
      </c>
    </row>
    <row r="866">
      <c r="A866" s="2" t="s">
        <v>3424</v>
      </c>
      <c r="B866" s="2" t="s">
        <v>3423</v>
      </c>
      <c r="C866" s="2" t="s">
        <v>3425</v>
      </c>
      <c r="D866" s="2">
        <v>1.225369257578706E-4</v>
      </c>
      <c r="E866" s="12" t="s">
        <v>3426</v>
      </c>
    </row>
    <row r="867">
      <c r="A867" s="2" t="s">
        <v>3428</v>
      </c>
      <c r="B867" s="2" t="s">
        <v>3427</v>
      </c>
      <c r="C867" s="2" t="s">
        <v>3429</v>
      </c>
      <c r="D867" s="2">
        <v>1.223829380125974E-4</v>
      </c>
      <c r="E867" s="12" t="s">
        <v>3430</v>
      </c>
    </row>
    <row r="868">
      <c r="A868" s="2" t="s">
        <v>3432</v>
      </c>
      <c r="B868" s="2" t="s">
        <v>3431</v>
      </c>
      <c r="C868" s="2" t="s">
        <v>3433</v>
      </c>
      <c r="D868" s="2">
        <v>1.2158983426531149E-4</v>
      </c>
      <c r="E868" s="12" t="s">
        <v>3434</v>
      </c>
    </row>
    <row r="869">
      <c r="A869" s="2" t="s">
        <v>3436</v>
      </c>
      <c r="B869" s="2" t="s">
        <v>3435</v>
      </c>
      <c r="C869" s="2" t="s">
        <v>3437</v>
      </c>
      <c r="D869" s="2">
        <v>1.2158983426531149E-4</v>
      </c>
      <c r="E869" s="12" t="s">
        <v>3438</v>
      </c>
    </row>
    <row r="870">
      <c r="A870" s="2" t="s">
        <v>3440</v>
      </c>
      <c r="B870" s="2" t="s">
        <v>3439</v>
      </c>
      <c r="C870" s="2" t="s">
        <v>3441</v>
      </c>
      <c r="D870" s="2">
        <v>1.2158983426531149E-4</v>
      </c>
      <c r="E870" s="12" t="s">
        <v>3442</v>
      </c>
    </row>
    <row r="871">
      <c r="A871" s="2" t="s">
        <v>3444</v>
      </c>
      <c r="B871" s="2" t="s">
        <v>3443</v>
      </c>
      <c r="C871" s="2" t="s">
        <v>3445</v>
      </c>
      <c r="D871" s="2">
        <v>1.2158983426531149E-4</v>
      </c>
      <c r="E871" s="12" t="s">
        <v>3446</v>
      </c>
    </row>
    <row r="872">
      <c r="A872" s="2" t="s">
        <v>3448</v>
      </c>
      <c r="B872" s="2" t="s">
        <v>3447</v>
      </c>
      <c r="C872" s="2" t="s">
        <v>3449</v>
      </c>
      <c r="D872" s="2">
        <v>1.2158983426531149E-4</v>
      </c>
      <c r="E872" s="12" t="s">
        <v>3450</v>
      </c>
    </row>
    <row r="873">
      <c r="A873" s="2" t="s">
        <v>3452</v>
      </c>
      <c r="B873" s="2" t="s">
        <v>3451</v>
      </c>
      <c r="C873" s="2" t="s">
        <v>3453</v>
      </c>
      <c r="D873" s="2">
        <v>1.2158983426531149E-4</v>
      </c>
      <c r="E873" s="12" t="s">
        <v>3454</v>
      </c>
    </row>
    <row r="874">
      <c r="A874" s="2" t="s">
        <v>3456</v>
      </c>
      <c r="B874" s="2" t="s">
        <v>3455</v>
      </c>
      <c r="C874" s="2" t="s">
        <v>3457</v>
      </c>
      <c r="D874" s="2">
        <v>1.2158983426531149E-4</v>
      </c>
      <c r="E874" s="12" t="s">
        <v>3458</v>
      </c>
    </row>
    <row r="875">
      <c r="A875" s="2" t="s">
        <v>3460</v>
      </c>
      <c r="B875" s="2" t="s">
        <v>3459</v>
      </c>
      <c r="C875" s="2" t="s">
        <v>3461</v>
      </c>
      <c r="D875" s="2">
        <v>1.2158983426531149E-4</v>
      </c>
      <c r="E875" s="12" t="s">
        <v>3462</v>
      </c>
    </row>
    <row r="876">
      <c r="A876" s="2" t="s">
        <v>3464</v>
      </c>
      <c r="B876" s="2" t="s">
        <v>3463</v>
      </c>
      <c r="C876" s="2" t="s">
        <v>3465</v>
      </c>
      <c r="D876" s="2">
        <v>1.2158983426531149E-4</v>
      </c>
      <c r="E876" s="12" t="s">
        <v>3466</v>
      </c>
    </row>
    <row r="877">
      <c r="A877" s="2" t="s">
        <v>3468</v>
      </c>
      <c r="B877" s="2" t="s">
        <v>3467</v>
      </c>
      <c r="C877" s="2" t="s">
        <v>3469</v>
      </c>
      <c r="D877" s="2">
        <v>1.2158983426531149E-4</v>
      </c>
      <c r="E877" s="12" t="s">
        <v>3470</v>
      </c>
    </row>
    <row r="878">
      <c r="A878" s="2" t="s">
        <v>3472</v>
      </c>
      <c r="B878" s="2" t="s">
        <v>3471</v>
      </c>
      <c r="D878" s="2">
        <v>1.2158983426531149E-4</v>
      </c>
      <c r="E878" s="12" t="s">
        <v>3473</v>
      </c>
    </row>
    <row r="879">
      <c r="A879" s="2" t="s">
        <v>3475</v>
      </c>
      <c r="B879" s="2" t="s">
        <v>3474</v>
      </c>
      <c r="C879" s="2" t="s">
        <v>3476</v>
      </c>
      <c r="D879" s="2">
        <v>1.2158983426531149E-4</v>
      </c>
      <c r="E879" s="12" t="s">
        <v>3477</v>
      </c>
    </row>
    <row r="880">
      <c r="A880" s="2" t="s">
        <v>3479</v>
      </c>
      <c r="B880" s="2" t="s">
        <v>3478</v>
      </c>
      <c r="D880" s="2">
        <v>1.2158983426531149E-4</v>
      </c>
      <c r="E880" s="12" t="s">
        <v>3480</v>
      </c>
    </row>
    <row r="881">
      <c r="A881" s="2" t="s">
        <v>3482</v>
      </c>
      <c r="B881" s="2" t="s">
        <v>3481</v>
      </c>
      <c r="C881" s="2" t="s">
        <v>3483</v>
      </c>
      <c r="D881" s="2">
        <v>1.2158983426531149E-4</v>
      </c>
      <c r="E881" s="12" t="s">
        <v>3484</v>
      </c>
    </row>
    <row r="882">
      <c r="A882" s="2" t="s">
        <v>3486</v>
      </c>
      <c r="B882" s="2" t="s">
        <v>3485</v>
      </c>
      <c r="C882" s="2" t="s">
        <v>3487</v>
      </c>
      <c r="D882" s="2">
        <v>1.2158983426531149E-4</v>
      </c>
      <c r="E882" s="12" t="s">
        <v>3488</v>
      </c>
    </row>
    <row r="883">
      <c r="A883" s="2" t="s">
        <v>3490</v>
      </c>
      <c r="B883" s="2" t="s">
        <v>3489</v>
      </c>
      <c r="D883" s="2">
        <v>1.2158983426531149E-4</v>
      </c>
      <c r="E883" s="12" t="s">
        <v>3491</v>
      </c>
    </row>
    <row r="884">
      <c r="A884" s="2" t="s">
        <v>3493</v>
      </c>
      <c r="B884" s="2" t="s">
        <v>3492</v>
      </c>
      <c r="C884" s="2" t="s">
        <v>3494</v>
      </c>
      <c r="D884" s="2">
        <v>1.2158983426531149E-4</v>
      </c>
      <c r="E884" s="12" t="s">
        <v>3495</v>
      </c>
    </row>
    <row r="885">
      <c r="A885" s="2" t="s">
        <v>3497</v>
      </c>
      <c r="B885" s="2" t="s">
        <v>3496</v>
      </c>
      <c r="D885" s="2">
        <v>1.2158983426531149E-4</v>
      </c>
      <c r="E885" s="12" t="s">
        <v>3498</v>
      </c>
    </row>
    <row r="886">
      <c r="A886" s="2" t="s">
        <v>3500</v>
      </c>
      <c r="B886" s="2" t="s">
        <v>3499</v>
      </c>
      <c r="C886" s="2" t="s">
        <v>3501</v>
      </c>
      <c r="D886" s="2">
        <v>1.2158983426531149E-4</v>
      </c>
      <c r="E886" s="12" t="s">
        <v>3502</v>
      </c>
    </row>
    <row r="887">
      <c r="A887" s="2" t="s">
        <v>3504</v>
      </c>
      <c r="B887" s="2" t="s">
        <v>3503</v>
      </c>
      <c r="C887" s="2" t="s">
        <v>3505</v>
      </c>
      <c r="D887" s="2">
        <v>1.2158983426531149E-4</v>
      </c>
      <c r="E887" s="12" t="s">
        <v>3506</v>
      </c>
    </row>
    <row r="888">
      <c r="A888" s="2" t="s">
        <v>3508</v>
      </c>
      <c r="B888" s="2" t="s">
        <v>3507</v>
      </c>
      <c r="C888" s="2" t="s">
        <v>3509</v>
      </c>
      <c r="D888" s="2">
        <v>1.2158983426531149E-4</v>
      </c>
      <c r="E888" s="12" t="s">
        <v>3510</v>
      </c>
    </row>
    <row r="889">
      <c r="A889" s="2" t="s">
        <v>3512</v>
      </c>
      <c r="B889" s="2" t="s">
        <v>3511</v>
      </c>
      <c r="C889" s="2" t="s">
        <v>3513</v>
      </c>
      <c r="D889" s="2">
        <v>1.2158983426531149E-4</v>
      </c>
      <c r="E889" s="12" t="s">
        <v>3514</v>
      </c>
    </row>
    <row r="890">
      <c r="A890" s="2" t="s">
        <v>3516</v>
      </c>
      <c r="B890" s="2" t="s">
        <v>3515</v>
      </c>
      <c r="C890" s="2" t="s">
        <v>3517</v>
      </c>
      <c r="D890" s="2">
        <v>1.2158983426531149E-4</v>
      </c>
      <c r="E890" s="12" t="s">
        <v>3518</v>
      </c>
    </row>
    <row r="891">
      <c r="A891" s="2" t="s">
        <v>3520</v>
      </c>
      <c r="B891" s="2" t="s">
        <v>3519</v>
      </c>
      <c r="C891" s="2" t="s">
        <v>3521</v>
      </c>
      <c r="D891" s="2">
        <v>1.2158983426531149E-4</v>
      </c>
      <c r="E891" s="12" t="s">
        <v>3522</v>
      </c>
    </row>
    <row r="892">
      <c r="A892" s="2" t="s">
        <v>3524</v>
      </c>
      <c r="B892" s="2" t="s">
        <v>3523</v>
      </c>
      <c r="C892" s="2" t="s">
        <v>3525</v>
      </c>
      <c r="D892" s="2">
        <v>1.2158983426531149E-4</v>
      </c>
      <c r="E892" s="12" t="s">
        <v>3526</v>
      </c>
    </row>
    <row r="893">
      <c r="A893" s="2" t="s">
        <v>3528</v>
      </c>
      <c r="B893" s="2" t="s">
        <v>3527</v>
      </c>
      <c r="C893" s="2" t="s">
        <v>3529</v>
      </c>
      <c r="D893" s="2">
        <v>1.2158983426531149E-4</v>
      </c>
      <c r="E893" s="12" t="s">
        <v>3530</v>
      </c>
    </row>
    <row r="894">
      <c r="A894" s="2" t="s">
        <v>3532</v>
      </c>
      <c r="B894" s="2" t="s">
        <v>3531</v>
      </c>
      <c r="C894" s="2" t="s">
        <v>3533</v>
      </c>
      <c r="D894" s="2">
        <v>1.2158983426531149E-4</v>
      </c>
      <c r="E894" s="12" t="s">
        <v>3534</v>
      </c>
    </row>
    <row r="895">
      <c r="A895" s="2" t="s">
        <v>3536</v>
      </c>
      <c r="B895" s="2" t="s">
        <v>3535</v>
      </c>
      <c r="C895" s="2" t="s">
        <v>3537</v>
      </c>
      <c r="D895" s="2">
        <v>1.2158983426531149E-4</v>
      </c>
      <c r="E895" s="12" t="s">
        <v>3538</v>
      </c>
    </row>
    <row r="896">
      <c r="A896" s="2" t="s">
        <v>3540</v>
      </c>
      <c r="B896" s="2" t="s">
        <v>3539</v>
      </c>
      <c r="C896" s="2" t="s">
        <v>3541</v>
      </c>
      <c r="D896" s="2">
        <v>1.2158983426531149E-4</v>
      </c>
      <c r="E896" s="12" t="s">
        <v>3542</v>
      </c>
    </row>
    <row r="897">
      <c r="A897" s="2" t="s">
        <v>3544</v>
      </c>
      <c r="B897" s="2" t="s">
        <v>3543</v>
      </c>
      <c r="C897" s="2" t="s">
        <v>3545</v>
      </c>
      <c r="D897" s="2">
        <v>1.1732792254879542E-4</v>
      </c>
      <c r="E897" s="12" t="s">
        <v>3546</v>
      </c>
    </row>
    <row r="898">
      <c r="A898" s="2" t="s">
        <v>3548</v>
      </c>
      <c r="B898" s="2" t="s">
        <v>3547</v>
      </c>
      <c r="D898" s="2">
        <v>1.1732792254879542E-4</v>
      </c>
      <c r="E898" s="12" t="s">
        <v>3549</v>
      </c>
    </row>
    <row r="899">
      <c r="A899" s="2" t="s">
        <v>3551</v>
      </c>
      <c r="B899" s="2" t="s">
        <v>3550</v>
      </c>
      <c r="C899" s="2" t="s">
        <v>3552</v>
      </c>
      <c r="D899" s="2">
        <v>1.1732792254879542E-4</v>
      </c>
      <c r="E899" s="12" t="s">
        <v>3553</v>
      </c>
    </row>
    <row r="900">
      <c r="A900" s="2" t="s">
        <v>3555</v>
      </c>
      <c r="B900" s="2" t="s">
        <v>3554</v>
      </c>
      <c r="C900" s="2" t="s">
        <v>3556</v>
      </c>
      <c r="D900" s="2">
        <v>1.1732792254879542E-4</v>
      </c>
      <c r="E900" s="12" t="s">
        <v>3557</v>
      </c>
    </row>
    <row r="901">
      <c r="A901" s="2" t="s">
        <v>3559</v>
      </c>
      <c r="B901" s="2" t="s">
        <v>3558</v>
      </c>
      <c r="C901" s="2" t="s">
        <v>3560</v>
      </c>
      <c r="D901" s="2">
        <v>1.1732792254879542E-4</v>
      </c>
      <c r="E901" s="12" t="s">
        <v>3561</v>
      </c>
    </row>
    <row r="902">
      <c r="A902" s="2" t="s">
        <v>3563</v>
      </c>
      <c r="B902" s="2" t="s">
        <v>3562</v>
      </c>
      <c r="C902" s="2" t="s">
        <v>3564</v>
      </c>
      <c r="D902" s="2">
        <v>1.1732792254879542E-4</v>
      </c>
      <c r="E902" s="12" t="s">
        <v>3565</v>
      </c>
    </row>
    <row r="903">
      <c r="A903" s="2" t="s">
        <v>3567</v>
      </c>
      <c r="B903" s="2" t="s">
        <v>3566</v>
      </c>
      <c r="C903" s="2" t="s">
        <v>3568</v>
      </c>
      <c r="D903" s="2">
        <v>1.1732792254879542E-4</v>
      </c>
      <c r="E903" s="12" t="s">
        <v>412</v>
      </c>
    </row>
    <row r="904">
      <c r="A904" s="2" t="s">
        <v>3570</v>
      </c>
      <c r="B904" s="2" t="s">
        <v>3569</v>
      </c>
      <c r="C904" s="2" t="s">
        <v>3571</v>
      </c>
      <c r="D904" s="2">
        <v>1.1732792254879542E-4</v>
      </c>
      <c r="E904" s="12" t="s">
        <v>3572</v>
      </c>
    </row>
    <row r="905">
      <c r="A905" s="2" t="s">
        <v>3574</v>
      </c>
      <c r="B905" s="2" t="s">
        <v>3573</v>
      </c>
      <c r="C905" s="2" t="s">
        <v>3575</v>
      </c>
      <c r="D905" s="2">
        <v>1.1732792254879542E-4</v>
      </c>
      <c r="E905" s="12" t="s">
        <v>3576</v>
      </c>
    </row>
    <row r="906">
      <c r="A906" s="2" t="s">
        <v>3578</v>
      </c>
      <c r="B906" s="2" t="s">
        <v>3577</v>
      </c>
      <c r="C906" s="2" t="s">
        <v>3579</v>
      </c>
      <c r="D906" s="2">
        <v>1.1732792254879542E-4</v>
      </c>
      <c r="E906" s="12" t="s">
        <v>3580</v>
      </c>
    </row>
    <row r="907">
      <c r="A907" s="2" t="s">
        <v>3582</v>
      </c>
      <c r="B907" s="2" t="s">
        <v>3581</v>
      </c>
      <c r="C907" s="2" t="s">
        <v>3583</v>
      </c>
      <c r="D907" s="2">
        <v>1.1732792254879542E-4</v>
      </c>
      <c r="E907" s="12" t="s">
        <v>3584</v>
      </c>
    </row>
    <row r="908">
      <c r="A908" s="2" t="s">
        <v>3586</v>
      </c>
      <c r="B908" s="2" t="s">
        <v>3585</v>
      </c>
      <c r="C908" s="2" t="s">
        <v>3587</v>
      </c>
      <c r="D908" s="2">
        <v>1.1732792254879542E-4</v>
      </c>
      <c r="E908" s="12" t="s">
        <v>3588</v>
      </c>
    </row>
    <row r="909">
      <c r="A909" s="2" t="s">
        <v>3590</v>
      </c>
      <c r="B909" s="2" t="s">
        <v>3589</v>
      </c>
      <c r="C909" s="2" t="s">
        <v>3591</v>
      </c>
      <c r="D909" s="2">
        <v>1.1732792254879542E-4</v>
      </c>
      <c r="E909" s="12" t="s">
        <v>3592</v>
      </c>
    </row>
    <row r="910">
      <c r="A910" s="2" t="s">
        <v>3594</v>
      </c>
      <c r="B910" s="2" t="s">
        <v>3593</v>
      </c>
      <c r="C910" s="2" t="s">
        <v>3595</v>
      </c>
      <c r="D910" s="2">
        <v>1.1732792254879542E-4</v>
      </c>
      <c r="E910" s="12" t="s">
        <v>3596</v>
      </c>
    </row>
    <row r="911">
      <c r="A911" s="2" t="s">
        <v>3598</v>
      </c>
      <c r="B911" s="2" t="s">
        <v>3597</v>
      </c>
      <c r="C911" s="2" t="s">
        <v>3599</v>
      </c>
      <c r="D911" s="2">
        <v>1.1732792254879542E-4</v>
      </c>
      <c r="E911" s="12" t="s">
        <v>3600</v>
      </c>
    </row>
    <row r="912">
      <c r="A912" s="2" t="s">
        <v>3602</v>
      </c>
      <c r="B912" s="2" t="s">
        <v>3601</v>
      </c>
      <c r="C912" s="2" t="s">
        <v>3603</v>
      </c>
      <c r="D912" s="2">
        <v>1.1732792254879542E-4</v>
      </c>
      <c r="E912" s="12" t="s">
        <v>3604</v>
      </c>
    </row>
    <row r="913">
      <c r="A913" s="2" t="s">
        <v>3605</v>
      </c>
      <c r="B913" s="2" t="s">
        <v>3496</v>
      </c>
      <c r="C913" s="2" t="s">
        <v>3606</v>
      </c>
      <c r="D913" s="2">
        <v>1.1732792254879542E-4</v>
      </c>
      <c r="E913" s="12" t="s">
        <v>3607</v>
      </c>
    </row>
    <row r="914">
      <c r="A914" s="2" t="s">
        <v>3609</v>
      </c>
      <c r="B914" s="2" t="s">
        <v>3608</v>
      </c>
      <c r="C914" s="2" t="s">
        <v>3610</v>
      </c>
      <c r="D914" s="2">
        <v>1.1732792254879542E-4</v>
      </c>
      <c r="E914" s="12" t="s">
        <v>3611</v>
      </c>
    </row>
    <row r="915">
      <c r="A915" s="2" t="s">
        <v>3613</v>
      </c>
      <c r="B915" s="2" t="s">
        <v>3612</v>
      </c>
      <c r="C915" s="2" t="s">
        <v>3614</v>
      </c>
      <c r="D915" s="2">
        <v>1.1732792254879542E-4</v>
      </c>
      <c r="E915" s="12" t="s">
        <v>3615</v>
      </c>
    </row>
    <row r="916">
      <c r="A916" s="2" t="s">
        <v>3617</v>
      </c>
      <c r="B916" s="2" t="s">
        <v>3616</v>
      </c>
      <c r="C916" s="2" t="s">
        <v>3618</v>
      </c>
      <c r="D916" s="2">
        <v>1.1732792254879542E-4</v>
      </c>
      <c r="E916" s="12" t="s">
        <v>3619</v>
      </c>
    </row>
    <row r="917">
      <c r="A917" s="2" t="s">
        <v>3621</v>
      </c>
      <c r="B917" s="2" t="s">
        <v>3620</v>
      </c>
      <c r="C917" s="2" t="s">
        <v>3622</v>
      </c>
      <c r="D917" s="2">
        <v>1.1732792254879542E-4</v>
      </c>
      <c r="E917" s="12" t="s">
        <v>3623</v>
      </c>
    </row>
    <row r="918">
      <c r="A918" s="2" t="s">
        <v>3625</v>
      </c>
      <c r="B918" s="2" t="s">
        <v>3624</v>
      </c>
      <c r="C918" s="2" t="s">
        <v>3626</v>
      </c>
      <c r="D918" s="2">
        <v>1.1701460669349247E-4</v>
      </c>
      <c r="E918" s="12" t="s">
        <v>3627</v>
      </c>
    </row>
    <row r="919">
      <c r="A919" s="2" t="s">
        <v>3629</v>
      </c>
      <c r="B919" s="2" t="s">
        <v>3628</v>
      </c>
      <c r="C919" s="2" t="s">
        <v>3630</v>
      </c>
      <c r="D919" s="2">
        <v>1.1541006227636319E-4</v>
      </c>
      <c r="E919" s="12" t="s">
        <v>3631</v>
      </c>
    </row>
    <row r="920">
      <c r="A920" s="2" t="s">
        <v>3633</v>
      </c>
      <c r="B920" s="2" t="s">
        <v>3632</v>
      </c>
      <c r="C920" s="2" t="s">
        <v>3634</v>
      </c>
      <c r="D920" s="2">
        <v>1.1541006227636319E-4</v>
      </c>
      <c r="E920" s="12" t="s">
        <v>3635</v>
      </c>
    </row>
    <row r="921">
      <c r="A921" s="2" t="s">
        <v>3637</v>
      </c>
      <c r="B921" s="2" t="s">
        <v>3636</v>
      </c>
      <c r="C921" s="2" t="s">
        <v>3638</v>
      </c>
      <c r="D921" s="2">
        <v>1.1541006227636319E-4</v>
      </c>
      <c r="E921" s="12" t="s">
        <v>3639</v>
      </c>
    </row>
    <row r="922">
      <c r="A922" s="2" t="s">
        <v>3641</v>
      </c>
      <c r="B922" s="2" t="s">
        <v>3640</v>
      </c>
      <c r="C922" s="2" t="s">
        <v>3642</v>
      </c>
      <c r="D922" s="2">
        <v>1.1541006227636319E-4</v>
      </c>
      <c r="E922" s="12" t="s">
        <v>1945</v>
      </c>
    </row>
    <row r="923">
      <c r="A923" s="2" t="s">
        <v>3644</v>
      </c>
      <c r="B923" s="2" t="s">
        <v>3643</v>
      </c>
      <c r="C923" s="2" t="s">
        <v>3645</v>
      </c>
      <c r="D923" s="2">
        <v>1.1541006227636319E-4</v>
      </c>
      <c r="E923" s="12" t="s">
        <v>3646</v>
      </c>
    </row>
    <row r="924">
      <c r="A924" s="2" t="s">
        <v>3648</v>
      </c>
      <c r="B924" s="2" t="s">
        <v>3647</v>
      </c>
      <c r="C924" s="2" t="s">
        <v>3649</v>
      </c>
      <c r="D924" s="2">
        <v>1.1448664807111804E-4</v>
      </c>
      <c r="E924" s="12" t="s">
        <v>3650</v>
      </c>
    </row>
    <row r="925">
      <c r="A925" s="2" t="s">
        <v>3652</v>
      </c>
      <c r="B925" s="2" t="s">
        <v>3651</v>
      </c>
      <c r="C925" s="2" t="s">
        <v>3653</v>
      </c>
      <c r="D925" s="2">
        <v>1.1448664807111804E-4</v>
      </c>
      <c r="E925" s="12" t="s">
        <v>3654</v>
      </c>
    </row>
    <row r="926">
      <c r="A926" s="2" t="s">
        <v>3656</v>
      </c>
      <c r="B926" s="2" t="s">
        <v>3655</v>
      </c>
      <c r="C926" s="2" t="s">
        <v>3657</v>
      </c>
      <c r="D926" s="2">
        <v>1.1448664807111804E-4</v>
      </c>
      <c r="E926" s="12" t="s">
        <v>3658</v>
      </c>
    </row>
    <row r="927">
      <c r="A927" s="2" t="s">
        <v>3660</v>
      </c>
      <c r="B927" s="2" t="s">
        <v>3659</v>
      </c>
      <c r="C927" s="2" t="s">
        <v>3661</v>
      </c>
      <c r="D927" s="2">
        <v>1.1448664807111804E-4</v>
      </c>
      <c r="E927" s="12" t="s">
        <v>3662</v>
      </c>
    </row>
    <row r="928">
      <c r="A928" s="2" t="s">
        <v>3664</v>
      </c>
      <c r="B928" s="2" t="s">
        <v>3663</v>
      </c>
      <c r="C928" s="2" t="s">
        <v>3665</v>
      </c>
      <c r="D928" s="2">
        <v>1.1448664807111804E-4</v>
      </c>
      <c r="E928" s="12" t="s">
        <v>3666</v>
      </c>
    </row>
    <row r="929">
      <c r="A929" s="2" t="s">
        <v>3668</v>
      </c>
      <c r="B929" s="2" t="s">
        <v>3667</v>
      </c>
      <c r="C929" s="2" t="s">
        <v>3669</v>
      </c>
      <c r="D929" s="2">
        <v>1.1448664807111804E-4</v>
      </c>
      <c r="E929" s="12" t="s">
        <v>3670</v>
      </c>
    </row>
    <row r="930">
      <c r="A930" s="2" t="s">
        <v>3672</v>
      </c>
      <c r="B930" s="2" t="s">
        <v>3671</v>
      </c>
      <c r="C930" s="2" t="s">
        <v>3673</v>
      </c>
      <c r="D930" s="2">
        <v>1.1448664807111804E-4</v>
      </c>
      <c r="E930" s="12" t="s">
        <v>3674</v>
      </c>
    </row>
    <row r="931">
      <c r="A931" s="2" t="s">
        <v>3676</v>
      </c>
      <c r="B931" s="2" t="s">
        <v>3675</v>
      </c>
      <c r="C931" s="2" t="s">
        <v>3677</v>
      </c>
      <c r="D931" s="2">
        <v>1.1448664807111804E-4</v>
      </c>
      <c r="E931" s="12" t="s">
        <v>3678</v>
      </c>
    </row>
    <row r="932">
      <c r="A932" s="2" t="s">
        <v>3680</v>
      </c>
      <c r="B932" s="2" t="s">
        <v>3679</v>
      </c>
      <c r="C932" s="2" t="s">
        <v>3681</v>
      </c>
      <c r="D932" s="2">
        <v>1.1448664807111804E-4</v>
      </c>
      <c r="E932" s="12" t="s">
        <v>3682</v>
      </c>
    </row>
    <row r="933">
      <c r="A933" s="2" t="s">
        <v>3684</v>
      </c>
      <c r="B933" s="2" t="s">
        <v>3683</v>
      </c>
      <c r="C933" s="2" t="s">
        <v>3685</v>
      </c>
      <c r="D933" s="2">
        <v>1.1352168065982523E-4</v>
      </c>
      <c r="E933" s="12" t="s">
        <v>3686</v>
      </c>
    </row>
    <row r="934">
      <c r="A934" s="2" t="s">
        <v>3688</v>
      </c>
      <c r="B934" s="2" t="s">
        <v>3687</v>
      </c>
      <c r="C934" s="2" t="s">
        <v>3689</v>
      </c>
      <c r="D934" s="2">
        <v>1.1352168065982523E-4</v>
      </c>
      <c r="E934" s="12" t="s">
        <v>3690</v>
      </c>
    </row>
    <row r="935">
      <c r="A935" s="2" t="s">
        <v>3692</v>
      </c>
      <c r="B935" s="2" t="s">
        <v>3691</v>
      </c>
      <c r="C935" s="2" t="s">
        <v>3693</v>
      </c>
      <c r="D935" s="2">
        <v>1.1352168065982523E-4</v>
      </c>
      <c r="E935" s="12" t="s">
        <v>3694</v>
      </c>
    </row>
    <row r="936">
      <c r="A936" s="2" t="s">
        <v>3696</v>
      </c>
      <c r="B936" s="2" t="s">
        <v>3695</v>
      </c>
      <c r="C936" s="2" t="s">
        <v>3697</v>
      </c>
      <c r="D936" s="2">
        <v>1.1245716630134849E-4</v>
      </c>
      <c r="E936" s="12" t="s">
        <v>3698</v>
      </c>
    </row>
    <row r="937">
      <c r="A937" s="2" t="s">
        <v>3700</v>
      </c>
      <c r="B937" s="2" t="s">
        <v>3699</v>
      </c>
      <c r="C937" s="2" t="s">
        <v>3701</v>
      </c>
      <c r="D937" s="2">
        <v>1.1245716630134849E-4</v>
      </c>
      <c r="E937" s="12" t="s">
        <v>3702</v>
      </c>
    </row>
    <row r="938">
      <c r="A938" s="2" t="s">
        <v>3704</v>
      </c>
      <c r="B938" s="2" t="s">
        <v>3703</v>
      </c>
      <c r="C938" s="2" t="s">
        <v>3705</v>
      </c>
      <c r="D938" s="2">
        <v>1.1245716630134849E-4</v>
      </c>
      <c r="E938" s="12" t="s">
        <v>3706</v>
      </c>
    </row>
    <row r="939">
      <c r="A939" s="2" t="s">
        <v>3708</v>
      </c>
      <c r="B939" s="2" t="s">
        <v>3707</v>
      </c>
      <c r="C939" s="2" t="s">
        <v>3709</v>
      </c>
      <c r="D939" s="2">
        <v>1.1245716630134849E-4</v>
      </c>
      <c r="E939" s="12" t="s">
        <v>3710</v>
      </c>
    </row>
    <row r="940">
      <c r="A940" s="2" t="s">
        <v>3712</v>
      </c>
      <c r="B940" s="2" t="s">
        <v>3711</v>
      </c>
      <c r="C940" s="2" t="s">
        <v>3713</v>
      </c>
      <c r="D940" s="2">
        <v>1.1245716630134849E-4</v>
      </c>
      <c r="E940" s="12" t="s">
        <v>3714</v>
      </c>
    </row>
    <row r="941">
      <c r="A941" s="2" t="s">
        <v>3716</v>
      </c>
      <c r="B941" s="2" t="s">
        <v>3715</v>
      </c>
      <c r="C941" s="2" t="s">
        <v>3717</v>
      </c>
      <c r="D941" s="2">
        <v>1.1232808265521473E-4</v>
      </c>
      <c r="E941" s="12" t="s">
        <v>3718</v>
      </c>
    </row>
    <row r="942">
      <c r="A942" s="2" t="s">
        <v>3720</v>
      </c>
      <c r="B942" s="2" t="s">
        <v>3719</v>
      </c>
      <c r="C942" s="2" t="s">
        <v>3721</v>
      </c>
      <c r="D942" s="2">
        <v>1.1232808265521473E-4</v>
      </c>
      <c r="E942" s="12" t="s">
        <v>3722</v>
      </c>
    </row>
    <row r="943">
      <c r="A943" s="2" t="s">
        <v>3724</v>
      </c>
      <c r="B943" s="2" t="s">
        <v>3723</v>
      </c>
      <c r="C943" s="2" t="s">
        <v>3725</v>
      </c>
      <c r="D943" s="2">
        <v>1.1166949165787773E-4</v>
      </c>
      <c r="E943" s="12" t="s">
        <v>3726</v>
      </c>
    </row>
    <row r="944">
      <c r="A944" s="2" t="s">
        <v>3728</v>
      </c>
      <c r="B944" s="2" t="s">
        <v>3727</v>
      </c>
      <c r="C944" s="2" t="s">
        <v>3729</v>
      </c>
      <c r="D944" s="2">
        <v>1.1166949165787773E-4</v>
      </c>
      <c r="E944" s="12" t="s">
        <v>3730</v>
      </c>
    </row>
    <row r="945">
      <c r="A945" s="2" t="s">
        <v>3732</v>
      </c>
      <c r="B945" s="2" t="s">
        <v>3731</v>
      </c>
      <c r="C945" s="2" t="s">
        <v>3733</v>
      </c>
      <c r="D945" s="2">
        <v>1.1166949165787773E-4</v>
      </c>
      <c r="E945" s="12" t="s">
        <v>3734</v>
      </c>
    </row>
    <row r="946">
      <c r="A946" s="2" t="s">
        <v>3736</v>
      </c>
      <c r="B946" s="2" t="s">
        <v>3735</v>
      </c>
      <c r="C946" s="2" t="s">
        <v>3737</v>
      </c>
      <c r="D946" s="2">
        <v>1.1166949165787773E-4</v>
      </c>
      <c r="E946" s="12" t="s">
        <v>3738</v>
      </c>
    </row>
    <row r="947">
      <c r="A947" s="2" t="s">
        <v>3740</v>
      </c>
      <c r="B947" s="2" t="s">
        <v>3739</v>
      </c>
      <c r="C947" s="2" t="s">
        <v>3741</v>
      </c>
      <c r="D947" s="2">
        <v>1.116694916578777E-4</v>
      </c>
      <c r="E947" s="12" t="s">
        <v>3390</v>
      </c>
    </row>
    <row r="948">
      <c r="A948" s="2" t="s">
        <v>3743</v>
      </c>
      <c r="B948" s="2" t="s">
        <v>3742</v>
      </c>
      <c r="C948" s="2" t="s">
        <v>3744</v>
      </c>
      <c r="D948" s="2">
        <v>1.0959592970790288E-4</v>
      </c>
      <c r="E948" s="12" t="s">
        <v>3745</v>
      </c>
    </row>
    <row r="949">
      <c r="A949" s="2" t="s">
        <v>3747</v>
      </c>
      <c r="B949" s="2" t="s">
        <v>3746</v>
      </c>
      <c r="C949" s="2" t="s">
        <v>3748</v>
      </c>
      <c r="D949" s="2">
        <v>1.0959592970790288E-4</v>
      </c>
      <c r="E949" s="12" t="s">
        <v>3749</v>
      </c>
    </row>
    <row r="950">
      <c r="A950" s="2" t="s">
        <v>3751</v>
      </c>
      <c r="B950" s="2" t="s">
        <v>3750</v>
      </c>
      <c r="C950" s="2" t="s">
        <v>3752</v>
      </c>
      <c r="D950" s="2">
        <v>1.0959592970790288E-4</v>
      </c>
      <c r="E950" s="12" t="s">
        <v>3753</v>
      </c>
    </row>
    <row r="951">
      <c r="A951" s="2" t="s">
        <v>3755</v>
      </c>
      <c r="B951" s="2" t="s">
        <v>3754</v>
      </c>
      <c r="C951" s="2" t="s">
        <v>3756</v>
      </c>
      <c r="D951" s="2">
        <v>1.0959592970790288E-4</v>
      </c>
      <c r="E951" s="12" t="s">
        <v>3757</v>
      </c>
    </row>
    <row r="952">
      <c r="A952" s="2" t="s">
        <v>3759</v>
      </c>
      <c r="B952" s="2" t="s">
        <v>3758</v>
      </c>
      <c r="C952" s="2" t="s">
        <v>3760</v>
      </c>
      <c r="D952" s="2">
        <v>1.0959592970790288E-4</v>
      </c>
      <c r="E952" s="12" t="s">
        <v>3761</v>
      </c>
    </row>
    <row r="953">
      <c r="A953" s="2" t="s">
        <v>3763</v>
      </c>
      <c r="B953" s="2" t="s">
        <v>3762</v>
      </c>
      <c r="C953" s="2" t="s">
        <v>3764</v>
      </c>
      <c r="D953" s="2">
        <v>1.0959592970790288E-4</v>
      </c>
      <c r="E953" s="12" t="s">
        <v>3765</v>
      </c>
    </row>
    <row r="954">
      <c r="A954" s="2" t="s">
        <v>3767</v>
      </c>
      <c r="B954" s="2" t="s">
        <v>3766</v>
      </c>
      <c r="C954" s="2" t="s">
        <v>3768</v>
      </c>
      <c r="D954" s="2">
        <v>1.0959592970790288E-4</v>
      </c>
      <c r="E954" s="12" t="s">
        <v>3769</v>
      </c>
    </row>
    <row r="955">
      <c r="A955" s="2" t="s">
        <v>3771</v>
      </c>
      <c r="B955" s="2" t="s">
        <v>3770</v>
      </c>
      <c r="C955" s="2" t="s">
        <v>3772</v>
      </c>
      <c r="D955" s="2">
        <v>1.0880409911576328E-4</v>
      </c>
      <c r="E955" s="12" t="s">
        <v>3773</v>
      </c>
    </row>
    <row r="956">
      <c r="A956" s="2" t="s">
        <v>3775</v>
      </c>
      <c r="B956" s="2" t="s">
        <v>3774</v>
      </c>
      <c r="C956" s="2" t="s">
        <v>3776</v>
      </c>
      <c r="D956" s="2">
        <v>1.0880409911576328E-4</v>
      </c>
      <c r="E956" s="12" t="s">
        <v>3777</v>
      </c>
    </row>
    <row r="957">
      <c r="A957" s="2" t="s">
        <v>3779</v>
      </c>
      <c r="B957" s="2" t="s">
        <v>3778</v>
      </c>
      <c r="C957" s="2" t="s">
        <v>3780</v>
      </c>
      <c r="D957" s="2">
        <v>1.0880409911576328E-4</v>
      </c>
      <c r="E957" s="12" t="s">
        <v>3781</v>
      </c>
    </row>
    <row r="958">
      <c r="A958" s="2" t="s">
        <v>3783</v>
      </c>
      <c r="B958" s="2" t="s">
        <v>3782</v>
      </c>
      <c r="C958" s="2" t="s">
        <v>3784</v>
      </c>
      <c r="D958" s="2">
        <v>1.0688623884333105E-4</v>
      </c>
      <c r="E958" s="12" t="s">
        <v>3785</v>
      </c>
    </row>
    <row r="959">
      <c r="A959" s="2" t="s">
        <v>3787</v>
      </c>
      <c r="B959" s="2" t="s">
        <v>3786</v>
      </c>
      <c r="C959" s="2" t="s">
        <v>3788</v>
      </c>
      <c r="D959" s="2">
        <v>1.0688623884333105E-4</v>
      </c>
      <c r="E959" s="12" t="s">
        <v>3789</v>
      </c>
    </row>
    <row r="960">
      <c r="A960" s="2" t="s">
        <v>3791</v>
      </c>
      <c r="B960" s="2" t="s">
        <v>3790</v>
      </c>
      <c r="C960" s="2" t="s">
        <v>3792</v>
      </c>
      <c r="D960" s="2">
        <v>1.0688623884333105E-4</v>
      </c>
      <c r="E960" s="12" t="s">
        <v>3793</v>
      </c>
    </row>
    <row r="961">
      <c r="A961" s="2" t="s">
        <v>3795</v>
      </c>
      <c r="B961" s="2" t="s">
        <v>3794</v>
      </c>
      <c r="C961" s="2" t="s">
        <v>3796</v>
      </c>
      <c r="D961" s="2">
        <v>1.0688623884333105E-4</v>
      </c>
      <c r="E961" s="12" t="s">
        <v>3797</v>
      </c>
    </row>
    <row r="962">
      <c r="A962" s="2" t="s">
        <v>3799</v>
      </c>
      <c r="B962" s="2" t="s">
        <v>3798</v>
      </c>
      <c r="C962" s="2" t="s">
        <v>3800</v>
      </c>
      <c r="D962" s="2">
        <v>1.0630417916897293E-4</v>
      </c>
      <c r="E962" s="12" t="s">
        <v>3801</v>
      </c>
    </row>
    <row r="963">
      <c r="A963" s="2" t="s">
        <v>3803</v>
      </c>
      <c r="B963" s="2" t="s">
        <v>3802</v>
      </c>
      <c r="C963" s="2" t="s">
        <v>3804</v>
      </c>
      <c r="D963" s="2">
        <v>1.059628246380859E-4</v>
      </c>
      <c r="E963" s="12" t="s">
        <v>3805</v>
      </c>
    </row>
    <row r="964">
      <c r="A964" s="2" t="s">
        <v>3807</v>
      </c>
      <c r="B964" s="2" t="s">
        <v>3806</v>
      </c>
      <c r="C964" s="2" t="s">
        <v>3808</v>
      </c>
      <c r="D964" s="2">
        <v>1.059628246380859E-4</v>
      </c>
      <c r="E964" s="12" t="s">
        <v>3809</v>
      </c>
    </row>
    <row r="965">
      <c r="A965" s="2" t="s">
        <v>3811</v>
      </c>
      <c r="B965" s="2" t="s">
        <v>3810</v>
      </c>
      <c r="C965" s="2" t="s">
        <v>3812</v>
      </c>
      <c r="D965" s="2">
        <v>1.059628246380859E-4</v>
      </c>
      <c r="E965" s="12" t="s">
        <v>3813</v>
      </c>
    </row>
    <row r="966">
      <c r="A966" s="2" t="s">
        <v>3815</v>
      </c>
      <c r="B966" s="2" t="s">
        <v>3814</v>
      </c>
      <c r="C966" s="2" t="s">
        <v>3816</v>
      </c>
      <c r="D966" s="2">
        <v>1.059628246380859E-4</v>
      </c>
      <c r="E966" s="12" t="s">
        <v>3817</v>
      </c>
    </row>
    <row r="967">
      <c r="A967" s="2" t="s">
        <v>3819</v>
      </c>
      <c r="B967" s="2" t="s">
        <v>3818</v>
      </c>
      <c r="C967" s="2" t="s">
        <v>3820</v>
      </c>
      <c r="D967" s="2">
        <v>1.059628246380859E-4</v>
      </c>
      <c r="E967" s="12" t="s">
        <v>3821</v>
      </c>
    </row>
    <row r="968">
      <c r="A968" s="2" t="s">
        <v>3823</v>
      </c>
      <c r="B968" s="2" t="s">
        <v>3822</v>
      </c>
      <c r="C968" s="2" t="s">
        <v>3824</v>
      </c>
      <c r="D968" s="2">
        <v>1.059628246380859E-4</v>
      </c>
      <c r="E968" s="12" t="s">
        <v>3825</v>
      </c>
    </row>
    <row r="969">
      <c r="A969" s="2" t="s">
        <v>3827</v>
      </c>
      <c r="B969" s="2" t="s">
        <v>3826</v>
      </c>
      <c r="C969" s="2" t="s">
        <v>3828</v>
      </c>
      <c r="D969" s="2">
        <v>1.059628246380859E-4</v>
      </c>
      <c r="E969" s="12" t="s">
        <v>3829</v>
      </c>
    </row>
    <row r="970">
      <c r="A970" s="2" t="s">
        <v>3831</v>
      </c>
      <c r="B970" s="2" t="s">
        <v>3830</v>
      </c>
      <c r="C970" s="2" t="s">
        <v>3832</v>
      </c>
      <c r="D970" s="2">
        <v>1.059628246380859E-4</v>
      </c>
      <c r="E970" s="12" t="s">
        <v>3833</v>
      </c>
    </row>
    <row r="971">
      <c r="A971" s="2" t="s">
        <v>3835</v>
      </c>
      <c r="B971" s="2" t="s">
        <v>3834</v>
      </c>
      <c r="C971" s="2" t="s">
        <v>3836</v>
      </c>
      <c r="D971" s="2">
        <v>1.0560766532837622E-4</v>
      </c>
      <c r="E971" s="12" t="s">
        <v>3837</v>
      </c>
    </row>
    <row r="972">
      <c r="A972" s="2" t="s">
        <v>3839</v>
      </c>
      <c r="B972" s="2" t="s">
        <v>3838</v>
      </c>
      <c r="C972" s="2" t="s">
        <v>3840</v>
      </c>
      <c r="D972" s="2">
        <v>1.0560766532837622E-4</v>
      </c>
      <c r="E972" s="12" t="s">
        <v>3841</v>
      </c>
    </row>
    <row r="973">
      <c r="A973" s="2" t="s">
        <v>3843</v>
      </c>
      <c r="B973" s="2" t="s">
        <v>3842</v>
      </c>
      <c r="C973" s="2" t="s">
        <v>3844</v>
      </c>
      <c r="D973" s="2">
        <v>1.0560766532837622E-4</v>
      </c>
      <c r="E973" s="12" t="s">
        <v>3845</v>
      </c>
    </row>
    <row r="974">
      <c r="A974" s="2" t="s">
        <v>3847</v>
      </c>
      <c r="B974" s="2" t="s">
        <v>3846</v>
      </c>
      <c r="C974" s="2" t="s">
        <v>3848</v>
      </c>
      <c r="D974" s="2">
        <v>1.0196558143098074E-4</v>
      </c>
      <c r="E974" s="12" t="s">
        <v>3849</v>
      </c>
    </row>
    <row r="975">
      <c r="A975" s="2" t="s">
        <v>3851</v>
      </c>
      <c r="B975" s="2" t="s">
        <v>3850</v>
      </c>
      <c r="C975" s="2" t="s">
        <v>3852</v>
      </c>
      <c r="D975" s="2">
        <v>1.0196558143098074E-4</v>
      </c>
      <c r="E975" s="12" t="s">
        <v>3853</v>
      </c>
    </row>
    <row r="976">
      <c r="A976" s="2" t="s">
        <v>3855</v>
      </c>
      <c r="B976" s="2" t="s">
        <v>3854</v>
      </c>
      <c r="C976" s="2" t="s">
        <v>3856</v>
      </c>
      <c r="D976" s="2">
        <v>1.0196558143098074E-4</v>
      </c>
      <c r="E976" s="12" t="s">
        <v>3857</v>
      </c>
    </row>
    <row r="977">
      <c r="A977" s="2" t="s">
        <v>3859</v>
      </c>
      <c r="B977" s="2" t="s">
        <v>3858</v>
      </c>
      <c r="C977" s="2" t="s">
        <v>3860</v>
      </c>
      <c r="D977" s="2">
        <v>1.0196558143098074E-4</v>
      </c>
      <c r="E977" s="12" t="s">
        <v>3861</v>
      </c>
    </row>
    <row r="978">
      <c r="A978" s="2" t="s">
        <v>3863</v>
      </c>
      <c r="B978" s="2" t="s">
        <v>3862</v>
      </c>
      <c r="D978" s="2">
        <v>1.0196558143098074E-4</v>
      </c>
      <c r="E978" s="12" t="s">
        <v>3864</v>
      </c>
    </row>
    <row r="979">
      <c r="A979" s="2" t="s">
        <v>3866</v>
      </c>
      <c r="B979" s="2" t="s">
        <v>3865</v>
      </c>
      <c r="C979" s="2" t="s">
        <v>3867</v>
      </c>
      <c r="D979" s="2">
        <v>1.0196558143098074E-4</v>
      </c>
      <c r="E979" s="12" t="s">
        <v>3868</v>
      </c>
    </row>
    <row r="980">
      <c r="A980" s="2" t="s">
        <v>3870</v>
      </c>
      <c r="B980" s="2" t="s">
        <v>3869</v>
      </c>
      <c r="C980" s="2" t="s">
        <v>3871</v>
      </c>
      <c r="D980" s="2">
        <v>1.0196558143098074E-4</v>
      </c>
      <c r="E980" s="12" t="s">
        <v>2059</v>
      </c>
    </row>
    <row r="981">
      <c r="A981" s="2" t="s">
        <v>3873</v>
      </c>
      <c r="B981" s="2" t="s">
        <v>3872</v>
      </c>
      <c r="C981" s="2" t="s">
        <v>3874</v>
      </c>
      <c r="D981" s="2">
        <v>1.0196558143098074E-4</v>
      </c>
      <c r="E981" s="12" t="s">
        <v>3875</v>
      </c>
    </row>
    <row r="982">
      <c r="A982" s="2" t="s">
        <v>3877</v>
      </c>
      <c r="B982" s="2" t="s">
        <v>3876</v>
      </c>
      <c r="C982" s="2" t="s">
        <v>3878</v>
      </c>
      <c r="D982" s="2">
        <v>1.0196558143098074E-4</v>
      </c>
      <c r="E982" s="12" t="s">
        <v>3342</v>
      </c>
    </row>
    <row r="983">
      <c r="A983" s="2" t="s">
        <v>3880</v>
      </c>
      <c r="B983" s="2" t="s">
        <v>3879</v>
      </c>
      <c r="C983" s="2" t="s">
        <v>3881</v>
      </c>
      <c r="D983" s="2">
        <v>1.0196558143098074E-4</v>
      </c>
      <c r="E983" s="12" t="s">
        <v>3882</v>
      </c>
    </row>
    <row r="984">
      <c r="A984" s="2" t="s">
        <v>3884</v>
      </c>
      <c r="B984" s="2" t="s">
        <v>3883</v>
      </c>
      <c r="C984" s="2" t="s">
        <v>3885</v>
      </c>
      <c r="D984" s="2">
        <v>1.0196558143098074E-4</v>
      </c>
      <c r="E984" s="12" t="s">
        <v>3886</v>
      </c>
    </row>
    <row r="985">
      <c r="A985" s="2" t="s">
        <v>3888</v>
      </c>
      <c r="B985" s="2" t="s">
        <v>3887</v>
      </c>
      <c r="C985" s="2" t="s">
        <v>3889</v>
      </c>
      <c r="D985" s="2">
        <v>1.0196558143098074E-4</v>
      </c>
      <c r="E985" s="12" t="s">
        <v>3890</v>
      </c>
    </row>
    <row r="986">
      <c r="A986" s="2" t="s">
        <v>3892</v>
      </c>
      <c r="B986" s="2" t="s">
        <v>3891</v>
      </c>
      <c r="C986" s="2" t="s">
        <v>3893</v>
      </c>
      <c r="D986" s="2">
        <v>1.0196558143098074E-4</v>
      </c>
      <c r="E986" s="12" t="s">
        <v>3894</v>
      </c>
    </row>
    <row r="987">
      <c r="A987" s="2" t="s">
        <v>3896</v>
      </c>
      <c r="B987" s="2" t="s">
        <v>3895</v>
      </c>
      <c r="C987" s="2" t="s">
        <v>3897</v>
      </c>
      <c r="D987" s="2">
        <v>1.0196558143098074E-4</v>
      </c>
      <c r="E987" s="12" t="s">
        <v>3898</v>
      </c>
    </row>
    <row r="988">
      <c r="A988" s="2" t="s">
        <v>3900</v>
      </c>
      <c r="B988" s="2" t="s">
        <v>3899</v>
      </c>
      <c r="C988" s="2" t="s">
        <v>3901</v>
      </c>
      <c r="D988" s="2">
        <v>1.0196558143098074E-4</v>
      </c>
      <c r="E988" s="12" t="s">
        <v>3902</v>
      </c>
    </row>
    <row r="989">
      <c r="A989" s="2" t="s">
        <v>3904</v>
      </c>
      <c r="B989" s="2" t="s">
        <v>3903</v>
      </c>
      <c r="C989" s="2" t="s">
        <v>3905</v>
      </c>
      <c r="D989" s="2">
        <v>1.0196558143098074E-4</v>
      </c>
      <c r="E989" s="12" t="s">
        <v>3906</v>
      </c>
    </row>
    <row r="990">
      <c r="A990" s="2" t="s">
        <v>3908</v>
      </c>
      <c r="B990" s="2" t="s">
        <v>3907</v>
      </c>
      <c r="C990" s="2" t="s">
        <v>3909</v>
      </c>
      <c r="D990" s="2">
        <v>1.0196558143098074E-4</v>
      </c>
      <c r="E990" s="12" t="s">
        <v>3910</v>
      </c>
    </row>
    <row r="991">
      <c r="A991" s="2" t="s">
        <v>3912</v>
      </c>
      <c r="B991" s="2" t="s">
        <v>3911</v>
      </c>
      <c r="C991" s="2" t="s">
        <v>3913</v>
      </c>
      <c r="D991" s="2">
        <v>1.0196558143098074E-4</v>
      </c>
      <c r="E991" s="12" t="s">
        <v>3914</v>
      </c>
    </row>
    <row r="992">
      <c r="A992" s="2" t="s">
        <v>3916</v>
      </c>
      <c r="B992" s="2" t="s">
        <v>3915</v>
      </c>
      <c r="C992" s="2" t="s">
        <v>3917</v>
      </c>
      <c r="D992" s="2">
        <v>1.0196558143098074E-4</v>
      </c>
      <c r="E992" s="12" t="s">
        <v>3918</v>
      </c>
    </row>
    <row r="993">
      <c r="A993" s="2" t="s">
        <v>3920</v>
      </c>
      <c r="B993" s="2" t="s">
        <v>3919</v>
      </c>
      <c r="C993" s="2" t="s">
        <v>3921</v>
      </c>
      <c r="D993" s="2">
        <v>1.0196558143098074E-4</v>
      </c>
      <c r="E993" s="12" t="s">
        <v>3922</v>
      </c>
    </row>
    <row r="994">
      <c r="A994" s="2" t="s">
        <v>3924</v>
      </c>
      <c r="B994" s="2" t="s">
        <v>3923</v>
      </c>
      <c r="C994" s="2" t="s">
        <v>3925</v>
      </c>
      <c r="D994" s="2">
        <v>1.0196558143098074E-4</v>
      </c>
      <c r="E994" s="12" t="s">
        <v>3926</v>
      </c>
    </row>
    <row r="995">
      <c r="A995" s="2" t="s">
        <v>3928</v>
      </c>
      <c r="B995" s="2" t="s">
        <v>3927</v>
      </c>
      <c r="C995" s="2" t="s">
        <v>3929</v>
      </c>
      <c r="D995" s="2">
        <v>1.0196558143098074E-4</v>
      </c>
      <c r="E995" s="12" t="s">
        <v>3930</v>
      </c>
    </row>
    <row r="996">
      <c r="A996" s="2" t="s">
        <v>3932</v>
      </c>
      <c r="B996" s="2" t="s">
        <v>3931</v>
      </c>
      <c r="C996" s="2" t="s">
        <v>3933</v>
      </c>
      <c r="D996" s="2">
        <v>1.0196558143098074E-4</v>
      </c>
      <c r="E996" s="12" t="s">
        <v>3934</v>
      </c>
    </row>
    <row r="997">
      <c r="A997" s="2" t="s">
        <v>3936</v>
      </c>
      <c r="B997" s="2" t="s">
        <v>3935</v>
      </c>
      <c r="C997" s="2" t="s">
        <v>3937</v>
      </c>
      <c r="D997" s="2">
        <v>1.0196558143098074E-4</v>
      </c>
      <c r="E997" s="12" t="s">
        <v>3686</v>
      </c>
    </row>
    <row r="998">
      <c r="A998" s="2" t="s">
        <v>3939</v>
      </c>
      <c r="B998" s="2" t="s">
        <v>3938</v>
      </c>
      <c r="C998" s="2" t="s">
        <v>3940</v>
      </c>
      <c r="D998" s="2">
        <v>1.0196558143098074E-4</v>
      </c>
      <c r="E998" s="12" t="s">
        <v>3941</v>
      </c>
    </row>
    <row r="999">
      <c r="A999" s="2" t="s">
        <v>3943</v>
      </c>
      <c r="B999" s="2" t="s">
        <v>3942</v>
      </c>
      <c r="C999" s="2" t="s">
        <v>3944</v>
      </c>
      <c r="D999" s="2">
        <v>1.0196558143098074E-4</v>
      </c>
      <c r="E999" s="12" t="s">
        <v>3945</v>
      </c>
    </row>
    <row r="1000">
      <c r="A1000" s="2" t="s">
        <v>3947</v>
      </c>
      <c r="B1000" s="2" t="s">
        <v>3946</v>
      </c>
      <c r="D1000" s="2">
        <v>1.0196558143098074E-4</v>
      </c>
      <c r="E1000" s="12" t="s">
        <v>3948</v>
      </c>
    </row>
    <row r="1001">
      <c r="A1001" s="2" t="s">
        <v>3950</v>
      </c>
      <c r="B1001" s="2" t="s">
        <v>3949</v>
      </c>
      <c r="C1001" s="2" t="s">
        <v>3951</v>
      </c>
      <c r="D1001" s="2">
        <v>1.0196558143098074E-4</v>
      </c>
      <c r="E1001" s="12" t="s">
        <v>3952</v>
      </c>
    </row>
    <row r="1002">
      <c r="A1002" s="2" t="s">
        <v>3954</v>
      </c>
      <c r="B1002" s="2" t="s">
        <v>3953</v>
      </c>
      <c r="C1002" s="2" t="s">
        <v>3955</v>
      </c>
      <c r="D1002" s="2">
        <v>1.0196558143098073E-4</v>
      </c>
      <c r="E1002" s="12" t="s">
        <v>3956</v>
      </c>
    </row>
    <row r="1003">
      <c r="A1003" s="2" t="s">
        <v>3958</v>
      </c>
      <c r="B1003" s="2" t="s">
        <v>3957</v>
      </c>
      <c r="C1003" s="2" t="s">
        <v>3959</v>
      </c>
      <c r="D1003" s="2">
        <v>1.0112292855685594E-4</v>
      </c>
      <c r="E1003" s="12" t="s">
        <v>3960</v>
      </c>
    </row>
    <row r="1004">
      <c r="A1004" s="2" t="s">
        <v>3962</v>
      </c>
      <c r="B1004" s="2" t="s">
        <v>3961</v>
      </c>
      <c r="C1004" s="2" t="s">
        <v>3963</v>
      </c>
      <c r="D1004" s="2">
        <v>1.0112292855685594E-4</v>
      </c>
      <c r="E1004" s="12" t="s">
        <v>3964</v>
      </c>
    </row>
    <row r="1005">
      <c r="A1005" s="2" t="s">
        <v>3966</v>
      </c>
      <c r="B1005" s="2" t="s">
        <v>3965</v>
      </c>
      <c r="C1005" s="2" t="s">
        <v>3967</v>
      </c>
      <c r="D1005" s="2">
        <v>1.0112292855685594E-4</v>
      </c>
      <c r="E1005" s="12" t="s">
        <v>3968</v>
      </c>
    </row>
    <row r="1006">
      <c r="A1006" s="2" t="s">
        <v>3970</v>
      </c>
      <c r="B1006" s="2" t="s">
        <v>3969</v>
      </c>
      <c r="D1006" s="2">
        <v>1.0112292855685594E-4</v>
      </c>
      <c r="E1006" s="12" t="s">
        <v>3971</v>
      </c>
    </row>
    <row r="1007">
      <c r="A1007" s="2" t="s">
        <v>3973</v>
      </c>
      <c r="B1007" s="2" t="s">
        <v>3972</v>
      </c>
      <c r="C1007" s="2" t="s">
        <v>3974</v>
      </c>
      <c r="D1007" s="2">
        <v>1.0112292855685594E-4</v>
      </c>
      <c r="E1007" s="12" t="s">
        <v>3975</v>
      </c>
    </row>
    <row r="1008">
      <c r="A1008" s="2" t="s">
        <v>3977</v>
      </c>
      <c r="B1008" s="2" t="s">
        <v>3976</v>
      </c>
      <c r="D1008" s="2">
        <v>1.0112292855685594E-4</v>
      </c>
      <c r="E1008" s="12" t="s">
        <v>3978</v>
      </c>
    </row>
    <row r="1009">
      <c r="A1009" s="2" t="s">
        <v>3980</v>
      </c>
      <c r="B1009" s="2" t="s">
        <v>3979</v>
      </c>
      <c r="C1009" s="2" t="s">
        <v>3981</v>
      </c>
      <c r="D1009" s="2">
        <v>1.0112292855685594E-4</v>
      </c>
      <c r="E1009" s="12" t="s">
        <v>3982</v>
      </c>
    </row>
    <row r="1010">
      <c r="A1010" s="2" t="s">
        <v>3984</v>
      </c>
      <c r="B1010" s="2" t="s">
        <v>3983</v>
      </c>
      <c r="C1010" s="2" t="s">
        <v>3985</v>
      </c>
      <c r="D1010" s="2">
        <v>1.0112292855685594E-4</v>
      </c>
      <c r="E1010" s="12" t="s">
        <v>3986</v>
      </c>
    </row>
    <row r="1011">
      <c r="A1011" s="2" t="s">
        <v>3988</v>
      </c>
      <c r="B1011" s="2" t="s">
        <v>3987</v>
      </c>
      <c r="C1011" s="2" t="s">
        <v>3989</v>
      </c>
      <c r="D1011" s="2">
        <v>1.0112292855685594E-4</v>
      </c>
      <c r="E1011" s="12" t="s">
        <v>3990</v>
      </c>
    </row>
    <row r="1012">
      <c r="A1012" s="2" t="s">
        <v>3992</v>
      </c>
      <c r="B1012" s="2" t="s">
        <v>3991</v>
      </c>
      <c r="C1012" s="2" t="s">
        <v>3993</v>
      </c>
      <c r="D1012" s="2">
        <v>1.0112292855685594E-4</v>
      </c>
      <c r="E1012" s="12" t="s">
        <v>3994</v>
      </c>
    </row>
    <row r="1013">
      <c r="A1013" s="2" t="s">
        <v>3996</v>
      </c>
      <c r="B1013" s="2" t="s">
        <v>3995</v>
      </c>
      <c r="C1013" s="2" t="s">
        <v>3997</v>
      </c>
      <c r="D1013" s="2">
        <v>1.0112292855685594E-4</v>
      </c>
      <c r="E1013" s="12" t="s">
        <v>3781</v>
      </c>
    </row>
    <row r="1014">
      <c r="A1014" s="2" t="s">
        <v>3999</v>
      </c>
      <c r="B1014" s="2" t="s">
        <v>3998</v>
      </c>
      <c r="C1014" s="2" t="s">
        <v>4000</v>
      </c>
      <c r="D1014" s="2">
        <v>1.0112292855685594E-4</v>
      </c>
      <c r="E1014" s="12" t="s">
        <v>4001</v>
      </c>
    </row>
    <row r="1015">
      <c r="A1015" s="2" t="s">
        <v>4003</v>
      </c>
      <c r="B1015" s="2" t="s">
        <v>4002</v>
      </c>
      <c r="C1015" s="2" t="s">
        <v>4004</v>
      </c>
      <c r="D1015" s="2">
        <v>1.0112292855685594E-4</v>
      </c>
      <c r="E1015" s="12" t="s">
        <v>4005</v>
      </c>
    </row>
    <row r="1016">
      <c r="A1016" s="2" t="s">
        <v>4007</v>
      </c>
      <c r="B1016" s="2" t="s">
        <v>4006</v>
      </c>
      <c r="C1016" s="2" t="s">
        <v>4008</v>
      </c>
      <c r="D1016" s="2">
        <v>1.0112292855685594E-4</v>
      </c>
      <c r="E1016" s="12" t="s">
        <v>4009</v>
      </c>
    </row>
    <row r="1017">
      <c r="A1017" s="2" t="s">
        <v>4011</v>
      </c>
      <c r="B1017" s="2" t="s">
        <v>4010</v>
      </c>
      <c r="C1017" s="2" t="s">
        <v>4012</v>
      </c>
      <c r="D1017" s="2">
        <v>1.0112292855685594E-4</v>
      </c>
      <c r="E1017" s="12" t="s">
        <v>4013</v>
      </c>
    </row>
    <row r="1018">
      <c r="A1018" s="2" t="s">
        <v>4015</v>
      </c>
      <c r="B1018" s="2" t="s">
        <v>4014</v>
      </c>
      <c r="C1018" s="2" t="s">
        <v>4016</v>
      </c>
      <c r="D1018" s="2">
        <v>1.0112292855685594E-4</v>
      </c>
      <c r="E1018" s="12" t="s">
        <v>4017</v>
      </c>
    </row>
    <row r="1019">
      <c r="A1019" s="2" t="s">
        <v>4019</v>
      </c>
      <c r="B1019" s="2" t="s">
        <v>4018</v>
      </c>
      <c r="C1019" s="2" t="s">
        <v>4020</v>
      </c>
      <c r="D1019" s="2">
        <v>1.0112292855685594E-4</v>
      </c>
      <c r="E1019" s="12" t="s">
        <v>4021</v>
      </c>
    </row>
    <row r="1020">
      <c r="A1020" s="2" t="s">
        <v>4023</v>
      </c>
      <c r="B1020" s="2" t="s">
        <v>4022</v>
      </c>
      <c r="C1020" s="2" t="s">
        <v>4024</v>
      </c>
      <c r="D1020" s="2">
        <v>1.0112292855685594E-4</v>
      </c>
      <c r="E1020" s="12" t="s">
        <v>4025</v>
      </c>
    </row>
    <row r="1021">
      <c r="A1021" s="2" t="s">
        <v>4027</v>
      </c>
      <c r="B1021" s="2" t="s">
        <v>4026</v>
      </c>
      <c r="C1021" s="2" t="s">
        <v>4028</v>
      </c>
      <c r="D1021" s="2">
        <v>1.0112292855685594E-4</v>
      </c>
      <c r="E1021" s="12" t="s">
        <v>4029</v>
      </c>
    </row>
    <row r="1022">
      <c r="A1022" s="2" t="s">
        <v>4031</v>
      </c>
      <c r="B1022" s="2" t="s">
        <v>4030</v>
      </c>
      <c r="C1022" s="2" t="s">
        <v>4032</v>
      </c>
      <c r="D1022" s="2">
        <v>1.0112292855685594E-4</v>
      </c>
      <c r="E1022" s="12" t="s">
        <v>4033</v>
      </c>
    </row>
    <row r="1023">
      <c r="A1023" s="2" t="s">
        <v>4035</v>
      </c>
      <c r="B1023" s="2" t="s">
        <v>4034</v>
      </c>
      <c r="C1023" s="2" t="s">
        <v>4036</v>
      </c>
      <c r="D1023" s="2">
        <v>1.0112292855685594E-4</v>
      </c>
      <c r="E1023" s="12" t="s">
        <v>4037</v>
      </c>
    </row>
    <row r="1024">
      <c r="A1024" s="2" t="s">
        <v>4039</v>
      </c>
      <c r="B1024" s="2" t="s">
        <v>4038</v>
      </c>
      <c r="C1024" s="2" t="s">
        <v>4040</v>
      </c>
      <c r="D1024" s="2">
        <v>1.0112292855685594E-4</v>
      </c>
      <c r="E1024" s="12" t="s">
        <v>4041</v>
      </c>
    </row>
    <row r="1025">
      <c r="A1025" s="2" t="s">
        <v>4043</v>
      </c>
      <c r="B1025" s="2" t="s">
        <v>4042</v>
      </c>
      <c r="C1025" s="2" t="s">
        <v>4044</v>
      </c>
      <c r="D1025" s="2">
        <v>1.0112292855685594E-4</v>
      </c>
      <c r="E1025" s="12" t="s">
        <v>4045</v>
      </c>
    </row>
    <row r="1026">
      <c r="A1026" s="2" t="s">
        <v>4047</v>
      </c>
      <c r="B1026" s="2" t="s">
        <v>4046</v>
      </c>
      <c r="C1026" s="2" t="s">
        <v>4048</v>
      </c>
      <c r="D1026" s="2">
        <v>1.0112292855685594E-4</v>
      </c>
      <c r="E1026" s="12" t="s">
        <v>4049</v>
      </c>
    </row>
    <row r="1027">
      <c r="A1027" s="2" t="s">
        <v>4051</v>
      </c>
      <c r="B1027" s="2" t="s">
        <v>4050</v>
      </c>
      <c r="C1027" s="2" t="s">
        <v>4052</v>
      </c>
      <c r="D1027" s="2">
        <v>1.0112292855685594E-4</v>
      </c>
      <c r="E1027" s="12" t="s">
        <v>4053</v>
      </c>
    </row>
    <row r="1028">
      <c r="A1028" s="2" t="s">
        <v>4055</v>
      </c>
      <c r="B1028" s="2" t="s">
        <v>4054</v>
      </c>
      <c r="C1028" s="2" t="s">
        <v>4056</v>
      </c>
      <c r="D1028" s="2">
        <v>1.0112292855685594E-4</v>
      </c>
      <c r="E1028" s="12" t="s">
        <v>4057</v>
      </c>
    </row>
    <row r="1029">
      <c r="A1029" s="2" t="s">
        <v>4059</v>
      </c>
      <c r="B1029" s="2" t="s">
        <v>4058</v>
      </c>
      <c r="C1029" s="2" t="s">
        <v>4060</v>
      </c>
      <c r="D1029" s="2">
        <v>1.0112292855685594E-4</v>
      </c>
      <c r="E1029" s="12" t="s">
        <v>4061</v>
      </c>
    </row>
    <row r="1030">
      <c r="A1030" s="2" t="s">
        <v>4063</v>
      </c>
      <c r="B1030" s="2" t="s">
        <v>4062</v>
      </c>
      <c r="C1030" s="2" t="s">
        <v>4064</v>
      </c>
      <c r="D1030" s="2">
        <v>1.0112292855685594E-4</v>
      </c>
      <c r="E1030" s="12" t="s">
        <v>4065</v>
      </c>
    </row>
    <row r="1031">
      <c r="A1031" s="2" t="s">
        <v>4067</v>
      </c>
      <c r="B1031" s="2" t="s">
        <v>4066</v>
      </c>
      <c r="C1031" s="2" t="s">
        <v>4068</v>
      </c>
      <c r="D1031" s="2">
        <v>1.0112292855685594E-4</v>
      </c>
      <c r="E1031" s="12" t="s">
        <v>4069</v>
      </c>
    </row>
    <row r="1032">
      <c r="A1032" s="2" t="s">
        <v>4071</v>
      </c>
      <c r="B1032" s="2" t="s">
        <v>4070</v>
      </c>
      <c r="C1032" s="2" t="s">
        <v>4072</v>
      </c>
      <c r="D1032" s="2">
        <v>1.0112292855685594E-4</v>
      </c>
      <c r="E1032" s="12" t="s">
        <v>4073</v>
      </c>
    </row>
    <row r="1033">
      <c r="A1033" s="2" t="s">
        <v>4075</v>
      </c>
      <c r="B1033" s="2" t="s">
        <v>4074</v>
      </c>
      <c r="C1033" s="2" t="s">
        <v>4076</v>
      </c>
      <c r="D1033" s="2">
        <v>1.0112292855685594E-4</v>
      </c>
      <c r="E1033" s="12" t="s">
        <v>4077</v>
      </c>
    </row>
    <row r="1034">
      <c r="A1034" s="2" t="s">
        <v>4079</v>
      </c>
      <c r="B1034" s="2" t="s">
        <v>4078</v>
      </c>
      <c r="C1034" s="2" t="s">
        <v>4080</v>
      </c>
      <c r="D1034" s="2">
        <v>1.0112292855685594E-4</v>
      </c>
      <c r="E1034" s="12" t="s">
        <v>4081</v>
      </c>
    </row>
    <row r="1035">
      <c r="A1035" s="2" t="s">
        <v>4083</v>
      </c>
      <c r="B1035" s="2" t="s">
        <v>4082</v>
      </c>
      <c r="C1035" s="2" t="s">
        <v>4084</v>
      </c>
      <c r="D1035" s="2">
        <v>1.0112292855685594E-4</v>
      </c>
      <c r="E1035" s="12" t="s">
        <v>4085</v>
      </c>
    </row>
    <row r="1036">
      <c r="A1036" s="2" t="s">
        <v>4087</v>
      </c>
      <c r="B1036" s="2" t="s">
        <v>4086</v>
      </c>
      <c r="C1036" s="2" t="s">
        <v>4088</v>
      </c>
      <c r="D1036" s="2">
        <v>1.0112292855685594E-4</v>
      </c>
      <c r="E1036" s="12" t="s">
        <v>4089</v>
      </c>
    </row>
    <row r="1037">
      <c r="A1037" s="2" t="s">
        <v>4091</v>
      </c>
      <c r="B1037" s="2" t="s">
        <v>4090</v>
      </c>
      <c r="C1037" s="2" t="s">
        <v>4092</v>
      </c>
      <c r="D1037" s="2">
        <v>1.0112292855685594E-4</v>
      </c>
      <c r="E1037" s="12" t="s">
        <v>4093</v>
      </c>
    </row>
    <row r="1038">
      <c r="A1038" s="2" t="s">
        <v>4095</v>
      </c>
      <c r="B1038" s="2" t="s">
        <v>4094</v>
      </c>
      <c r="C1038" s="2" t="s">
        <v>4096</v>
      </c>
      <c r="D1038" s="2">
        <v>1.0028027568273114E-4</v>
      </c>
      <c r="E1038" s="12" t="s">
        <v>4097</v>
      </c>
    </row>
    <row r="1039">
      <c r="A1039" s="2" t="s">
        <v>4099</v>
      </c>
      <c r="B1039" s="2" t="s">
        <v>4098</v>
      </c>
      <c r="C1039" s="2" t="s">
        <v>4100</v>
      </c>
      <c r="D1039" s="2">
        <v>1.0028027568273114E-4</v>
      </c>
      <c r="E1039" s="12" t="s">
        <v>4101</v>
      </c>
    </row>
    <row r="1040">
      <c r="A1040" s="2" t="s">
        <v>4103</v>
      </c>
      <c r="B1040" s="2" t="s">
        <v>4102</v>
      </c>
      <c r="C1040" s="2" t="s">
        <v>4104</v>
      </c>
      <c r="D1040" s="2">
        <v>1.0028027568273113E-4</v>
      </c>
      <c r="E1040" s="12" t="s">
        <v>4105</v>
      </c>
    </row>
    <row r="1041">
      <c r="A1041" s="2" t="s">
        <v>4107</v>
      </c>
      <c r="B1041" s="2" t="s">
        <v>4106</v>
      </c>
      <c r="C1041" s="2" t="s">
        <v>4108</v>
      </c>
      <c r="D1041" s="2">
        <v>1.0028027568273113E-4</v>
      </c>
      <c r="E1041" s="12" t="s">
        <v>4109</v>
      </c>
    </row>
    <row r="1042">
      <c r="A1042" s="2" t="s">
        <v>4111</v>
      </c>
      <c r="B1042" s="2" t="s">
        <v>4110</v>
      </c>
      <c r="C1042" s="2" t="s">
        <v>4112</v>
      </c>
      <c r="D1042" s="2">
        <v>1.0028027568273113E-4</v>
      </c>
      <c r="E1042" s="12" t="s">
        <v>4113</v>
      </c>
    </row>
    <row r="1043">
      <c r="A1043" s="2" t="s">
        <v>4115</v>
      </c>
      <c r="B1043" s="2" t="s">
        <v>4114</v>
      </c>
      <c r="C1043" s="2" t="s">
        <v>4116</v>
      </c>
      <c r="D1043" s="2">
        <v>1.0028027568273113E-4</v>
      </c>
      <c r="E1043" s="12" t="s">
        <v>4117</v>
      </c>
    </row>
    <row r="1044">
      <c r="A1044" s="2" t="s">
        <v>4119</v>
      </c>
      <c r="B1044" s="2" t="s">
        <v>4118</v>
      </c>
      <c r="C1044" s="2" t="s">
        <v>4120</v>
      </c>
      <c r="D1044" s="2">
        <v>1.0028027568273113E-4</v>
      </c>
      <c r="E1044" s="12" t="s">
        <v>4121</v>
      </c>
    </row>
    <row r="1045">
      <c r="A1045" s="2" t="s">
        <v>4123</v>
      </c>
      <c r="B1045" s="2" t="s">
        <v>4122</v>
      </c>
      <c r="C1045" s="2" t="s">
        <v>4124</v>
      </c>
      <c r="D1045" s="2">
        <v>1.0028027568273113E-4</v>
      </c>
      <c r="E1045" s="12" t="s">
        <v>4125</v>
      </c>
    </row>
    <row r="1046">
      <c r="A1046" s="2" t="s">
        <v>4127</v>
      </c>
      <c r="B1046" s="2" t="s">
        <v>4126</v>
      </c>
      <c r="C1046" s="2" t="s">
        <v>4128</v>
      </c>
      <c r="D1046" s="2">
        <v>1.0028027568273113E-4</v>
      </c>
      <c r="E1046" s="12" t="s">
        <v>4129</v>
      </c>
    </row>
    <row r="1047">
      <c r="A1047" s="2" t="s">
        <v>4131</v>
      </c>
      <c r="B1047" s="2" t="s">
        <v>4130</v>
      </c>
      <c r="C1047" s="2" t="s">
        <v>4132</v>
      </c>
      <c r="D1047" s="2">
        <v>1.0028027568273113E-4</v>
      </c>
      <c r="E1047" s="12" t="s">
        <v>4133</v>
      </c>
    </row>
    <row r="1048">
      <c r="A1048" s="2" t="s">
        <v>4135</v>
      </c>
      <c r="B1048" s="2" t="s">
        <v>4134</v>
      </c>
      <c r="D1048" s="2">
        <v>1.0028027568273113E-4</v>
      </c>
      <c r="E1048" s="12" t="s">
        <v>4136</v>
      </c>
    </row>
    <row r="1049">
      <c r="A1049" s="2" t="s">
        <v>4138</v>
      </c>
      <c r="B1049" s="2" t="s">
        <v>4137</v>
      </c>
      <c r="C1049" s="2" t="s">
        <v>4139</v>
      </c>
      <c r="D1049" s="2">
        <v>1.0028027568273113E-4</v>
      </c>
      <c r="E1049" s="12" t="s">
        <v>4140</v>
      </c>
    </row>
    <row r="1050">
      <c r="A1050" s="2" t="s">
        <v>4142</v>
      </c>
      <c r="B1050" s="2" t="s">
        <v>4141</v>
      </c>
      <c r="C1050" s="2" t="s">
        <v>4143</v>
      </c>
      <c r="D1050" s="2">
        <v>1.0028027568273113E-4</v>
      </c>
      <c r="E1050" s="12" t="s">
        <v>4144</v>
      </c>
    </row>
    <row r="1051">
      <c r="A1051" s="2" t="s">
        <v>4146</v>
      </c>
      <c r="B1051" s="2" t="s">
        <v>4145</v>
      </c>
      <c r="C1051" s="2" t="s">
        <v>4147</v>
      </c>
      <c r="D1051" s="2">
        <v>1.0028027568273113E-4</v>
      </c>
      <c r="E1051" s="12" t="s">
        <v>4148</v>
      </c>
    </row>
    <row r="1052">
      <c r="A1052" s="2" t="s">
        <v>4150</v>
      </c>
      <c r="B1052" s="2" t="s">
        <v>4149</v>
      </c>
      <c r="C1052" s="2" t="s">
        <v>4151</v>
      </c>
      <c r="D1052" s="2">
        <v>1.0028027568273113E-4</v>
      </c>
      <c r="E1052" s="12" t="s">
        <v>4152</v>
      </c>
    </row>
    <row r="1053">
      <c r="A1053" s="2" t="s">
        <v>4154</v>
      </c>
      <c r="B1053" s="2" t="s">
        <v>4153</v>
      </c>
      <c r="C1053" s="2" t="s">
        <v>4155</v>
      </c>
      <c r="D1053" s="2">
        <v>1.0028027568273113E-4</v>
      </c>
      <c r="E1053" s="12" t="s">
        <v>4156</v>
      </c>
    </row>
    <row r="1054">
      <c r="A1054" s="2" t="s">
        <v>4158</v>
      </c>
      <c r="B1054" s="2" t="s">
        <v>4157</v>
      </c>
      <c r="C1054" s="2" t="s">
        <v>4159</v>
      </c>
      <c r="D1054" s="2">
        <v>1.0028027568273113E-4</v>
      </c>
      <c r="E1054" s="12" t="s">
        <v>4160</v>
      </c>
    </row>
    <row r="1055">
      <c r="A1055" s="2" t="s">
        <v>4162</v>
      </c>
      <c r="B1055" s="2" t="s">
        <v>4161</v>
      </c>
      <c r="D1055" s="2">
        <v>1.0028027568273113E-4</v>
      </c>
      <c r="E1055" s="12" t="s">
        <v>4163</v>
      </c>
    </row>
    <row r="1056">
      <c r="A1056" s="2" t="s">
        <v>4165</v>
      </c>
      <c r="B1056" s="2" t="s">
        <v>4164</v>
      </c>
      <c r="C1056" s="2" t="s">
        <v>4166</v>
      </c>
      <c r="D1056" s="2">
        <v>1.0028027568273113E-4</v>
      </c>
      <c r="E1056" s="12" t="s">
        <v>2382</v>
      </c>
    </row>
    <row r="1057">
      <c r="A1057" s="2" t="s">
        <v>4168</v>
      </c>
      <c r="B1057" s="2" t="s">
        <v>4167</v>
      </c>
      <c r="C1057" s="2" t="s">
        <v>4169</v>
      </c>
      <c r="D1057" s="2">
        <v>1.0028027568273113E-4</v>
      </c>
      <c r="E1057" s="12" t="s">
        <v>4170</v>
      </c>
    </row>
    <row r="1058">
      <c r="A1058" s="2" t="s">
        <v>4172</v>
      </c>
      <c r="B1058" s="2" t="s">
        <v>4171</v>
      </c>
      <c r="C1058" s="2" t="s">
        <v>4173</v>
      </c>
      <c r="D1058" s="2">
        <v>1.0028027568273113E-4</v>
      </c>
      <c r="E1058" s="12" t="s">
        <v>4174</v>
      </c>
    </row>
    <row r="1059">
      <c r="A1059" s="2" t="s">
        <v>4176</v>
      </c>
      <c r="B1059" s="2" t="s">
        <v>4175</v>
      </c>
      <c r="C1059" s="2" t="s">
        <v>4177</v>
      </c>
      <c r="D1059" s="2">
        <v>1.0028027568273113E-4</v>
      </c>
      <c r="E1059" s="12" t="s">
        <v>4178</v>
      </c>
    </row>
    <row r="1060">
      <c r="A1060" s="2" t="s">
        <v>4180</v>
      </c>
      <c r="B1060" s="2" t="s">
        <v>4179</v>
      </c>
      <c r="C1060" s="2" t="s">
        <v>4181</v>
      </c>
      <c r="D1060" s="2">
        <v>1.0028027568273113E-4</v>
      </c>
      <c r="E1060" s="12" t="s">
        <v>4182</v>
      </c>
    </row>
    <row r="1061">
      <c r="A1061" s="2" t="s">
        <v>4184</v>
      </c>
      <c r="B1061" s="2" t="s">
        <v>4183</v>
      </c>
      <c r="C1061" s="2" t="s">
        <v>4185</v>
      </c>
      <c r="D1061" s="2">
        <v>1.0028027568273113E-4</v>
      </c>
      <c r="E1061" s="12" t="s">
        <v>4186</v>
      </c>
    </row>
    <row r="1062">
      <c r="A1062" s="2" t="s">
        <v>4188</v>
      </c>
      <c r="B1062" s="2" t="s">
        <v>4187</v>
      </c>
      <c r="C1062" s="2" t="s">
        <v>4189</v>
      </c>
      <c r="D1062" s="2">
        <v>1.0028027568273113E-4</v>
      </c>
      <c r="E1062" s="12" t="s">
        <v>1716</v>
      </c>
    </row>
    <row r="1063">
      <c r="A1063" s="2" t="s">
        <v>4191</v>
      </c>
      <c r="B1063" s="2" t="s">
        <v>4190</v>
      </c>
      <c r="D1063" s="2">
        <v>1.0028027568273113E-4</v>
      </c>
      <c r="E1063" s="12" t="s">
        <v>4192</v>
      </c>
    </row>
    <row r="1064">
      <c r="A1064" s="2" t="s">
        <v>4194</v>
      </c>
      <c r="B1064" s="2" t="s">
        <v>4193</v>
      </c>
      <c r="C1064" s="2" t="s">
        <v>4195</v>
      </c>
      <c r="D1064" s="2">
        <v>1.0028027568273113E-4</v>
      </c>
      <c r="E1064" s="12" t="s">
        <v>4196</v>
      </c>
    </row>
    <row r="1065">
      <c r="A1065" s="2" t="s">
        <v>4198</v>
      </c>
      <c r="B1065" s="2" t="s">
        <v>4197</v>
      </c>
      <c r="C1065" s="2" t="s">
        <v>4199</v>
      </c>
      <c r="D1065" s="2">
        <v>1.0028027568273113E-4</v>
      </c>
      <c r="E1065" s="12" t="s">
        <v>4200</v>
      </c>
    </row>
    <row r="1066">
      <c r="A1066" s="2" t="s">
        <v>4202</v>
      </c>
      <c r="B1066" s="2" t="s">
        <v>4201</v>
      </c>
      <c r="C1066" s="2" t="s">
        <v>4203</v>
      </c>
      <c r="D1066" s="2">
        <v>1.0028027568273113E-4</v>
      </c>
      <c r="E1066" s="12" t="s">
        <v>4204</v>
      </c>
    </row>
    <row r="1067">
      <c r="A1067" s="2" t="s">
        <v>4206</v>
      </c>
      <c r="B1067" s="2" t="s">
        <v>4205</v>
      </c>
      <c r="C1067" s="2" t="s">
        <v>4207</v>
      </c>
      <c r="D1067" s="2">
        <v>1.0028027568273113E-4</v>
      </c>
      <c r="E1067" s="12" t="s">
        <v>4208</v>
      </c>
    </row>
    <row r="1068">
      <c r="A1068" s="2" t="s">
        <v>4210</v>
      </c>
      <c r="B1068" s="2" t="s">
        <v>4209</v>
      </c>
      <c r="C1068" s="2" t="s">
        <v>4211</v>
      </c>
      <c r="D1068" s="2">
        <v>1.0028027568273113E-4</v>
      </c>
      <c r="E1068" s="12" t="s">
        <v>4212</v>
      </c>
    </row>
    <row r="1069">
      <c r="A1069" s="2" t="s">
        <v>4214</v>
      </c>
      <c r="B1069" s="2" t="s">
        <v>4213</v>
      </c>
      <c r="C1069" s="2" t="s">
        <v>4215</v>
      </c>
      <c r="D1069" s="2">
        <v>1.0028027568273113E-4</v>
      </c>
      <c r="E1069" s="12" t="s">
        <v>4216</v>
      </c>
    </row>
    <row r="1070">
      <c r="A1070" s="2" t="s">
        <v>4218</v>
      </c>
      <c r="B1070" s="2" t="s">
        <v>4217</v>
      </c>
      <c r="C1070" s="2" t="s">
        <v>4219</v>
      </c>
      <c r="D1070" s="2">
        <v>1.0028027568273113E-4</v>
      </c>
      <c r="E1070" s="12" t="s">
        <v>4220</v>
      </c>
    </row>
    <row r="1071">
      <c r="A1071" s="2" t="s">
        <v>4222</v>
      </c>
      <c r="B1071" s="2" t="s">
        <v>4221</v>
      </c>
      <c r="C1071" s="2" t="s">
        <v>4223</v>
      </c>
      <c r="D1071" s="2">
        <v>1.0028027568273113E-4</v>
      </c>
      <c r="E1071" s="12" t="s">
        <v>4224</v>
      </c>
    </row>
    <row r="1072">
      <c r="A1072" s="2" t="s">
        <v>4226</v>
      </c>
      <c r="B1072" s="2" t="s">
        <v>4225</v>
      </c>
      <c r="C1072" s="2" t="s">
        <v>4227</v>
      </c>
      <c r="D1072" s="2">
        <v>1.0028027568273113E-4</v>
      </c>
      <c r="E1072" s="12" t="s">
        <v>4228</v>
      </c>
    </row>
    <row r="1073">
      <c r="A1073" s="2" t="s">
        <v>4230</v>
      </c>
      <c r="B1073" s="2" t="s">
        <v>4229</v>
      </c>
      <c r="C1073" s="2" t="s">
        <v>4231</v>
      </c>
      <c r="D1073" s="2">
        <v>1.0028027568273113E-4</v>
      </c>
      <c r="E1073" s="12" t="s">
        <v>4232</v>
      </c>
    </row>
    <row r="1074">
      <c r="A1074" s="2" t="s">
        <v>4234</v>
      </c>
      <c r="B1074" s="2" t="s">
        <v>4233</v>
      </c>
      <c r="C1074" s="2" t="s">
        <v>4235</v>
      </c>
      <c r="D1074" s="2">
        <v>1.0028027568273113E-4</v>
      </c>
      <c r="E1074" s="12" t="s">
        <v>4236</v>
      </c>
    </row>
    <row r="1075">
      <c r="A1075" s="2" t="s">
        <v>4238</v>
      </c>
      <c r="B1075" s="2" t="s">
        <v>4237</v>
      </c>
      <c r="C1075" s="2" t="s">
        <v>4239</v>
      </c>
      <c r="D1075" s="2">
        <v>1.0028027568273113E-4</v>
      </c>
      <c r="E1075" s="12" t="s">
        <v>4240</v>
      </c>
    </row>
    <row r="1076">
      <c r="A1076" s="2" t="s">
        <v>4242</v>
      </c>
      <c r="B1076" s="2" t="s">
        <v>4241</v>
      </c>
      <c r="C1076" s="2" t="s">
        <v>4243</v>
      </c>
      <c r="D1076" s="2">
        <v>1.0028027568273113E-4</v>
      </c>
      <c r="E1076" s="12" t="s">
        <v>4244</v>
      </c>
    </row>
    <row r="1077">
      <c r="A1077" s="2" t="s">
        <v>4246</v>
      </c>
      <c r="B1077" s="2" t="s">
        <v>4245</v>
      </c>
      <c r="C1077" s="2" t="s">
        <v>4247</v>
      </c>
      <c r="D1077" s="2">
        <v>1.0028027568273113E-4</v>
      </c>
      <c r="E1077" s="12" t="s">
        <v>4248</v>
      </c>
    </row>
    <row r="1078">
      <c r="A1078" s="2" t="s">
        <v>4250</v>
      </c>
      <c r="B1078" s="2" t="s">
        <v>4249</v>
      </c>
      <c r="C1078" s="2" t="s">
        <v>4251</v>
      </c>
      <c r="D1078" s="2">
        <v>1.0028027568273113E-4</v>
      </c>
      <c r="E1078" s="12" t="s">
        <v>4252</v>
      </c>
    </row>
    <row r="1079">
      <c r="A1079" s="2" t="s">
        <v>4254</v>
      </c>
      <c r="B1079" s="2" t="s">
        <v>4253</v>
      </c>
      <c r="C1079" s="2" t="s">
        <v>4255</v>
      </c>
      <c r="D1079" s="2">
        <v>1.0028027568273113E-4</v>
      </c>
      <c r="E1079" s="12" t="s">
        <v>4256</v>
      </c>
    </row>
    <row r="1080">
      <c r="A1080" s="2" t="s">
        <v>4258</v>
      </c>
      <c r="B1080" s="2" t="s">
        <v>4257</v>
      </c>
      <c r="C1080" s="2" t="s">
        <v>4259</v>
      </c>
      <c r="D1080" s="2">
        <v>1.0028027568273113E-4</v>
      </c>
      <c r="E1080" s="12" t="s">
        <v>4260</v>
      </c>
    </row>
    <row r="1081">
      <c r="A1081" s="2" t="s">
        <v>4261</v>
      </c>
      <c r="B1081" s="2" t="s">
        <v>3727</v>
      </c>
      <c r="C1081" s="2" t="s">
        <v>4262</v>
      </c>
      <c r="D1081" s="2">
        <v>1.0028027568273113E-4</v>
      </c>
      <c r="E1081" s="12" t="s">
        <v>4263</v>
      </c>
    </row>
    <row r="1082">
      <c r="A1082" s="2" t="s">
        <v>4265</v>
      </c>
      <c r="B1082" s="2" t="s">
        <v>4264</v>
      </c>
      <c r="D1082" s="2">
        <v>1.0028027568273113E-4</v>
      </c>
      <c r="E1082" s="12" t="s">
        <v>1413</v>
      </c>
    </row>
    <row r="1083">
      <c r="A1083" s="2" t="s">
        <v>4267</v>
      </c>
      <c r="B1083" s="2" t="s">
        <v>4266</v>
      </c>
      <c r="C1083" s="2" t="s">
        <v>4268</v>
      </c>
      <c r="D1083" s="2">
        <v>1.0028027568273113E-4</v>
      </c>
      <c r="E1083" s="12" t="s">
        <v>4269</v>
      </c>
    </row>
    <row r="1084">
      <c r="A1084" s="2" t="s">
        <v>4271</v>
      </c>
      <c r="B1084" s="2" t="s">
        <v>4270</v>
      </c>
      <c r="C1084" s="2" t="s">
        <v>4272</v>
      </c>
      <c r="D1084" s="2">
        <v>1.0028027568273113E-4</v>
      </c>
      <c r="E1084" s="12" t="s">
        <v>4273</v>
      </c>
    </row>
    <row r="1085">
      <c r="A1085" s="2" t="s">
        <v>4275</v>
      </c>
      <c r="B1085" s="2" t="s">
        <v>4274</v>
      </c>
      <c r="C1085" s="2" t="s">
        <v>4276</v>
      </c>
      <c r="D1085" s="2">
        <v>1.0028027568273113E-4</v>
      </c>
      <c r="E1085" s="12" t="s">
        <v>4277</v>
      </c>
    </row>
    <row r="1086">
      <c r="A1086" s="2" t="s">
        <v>4279</v>
      </c>
      <c r="B1086" s="2" t="s">
        <v>4278</v>
      </c>
      <c r="C1086" s="2" t="s">
        <v>4280</v>
      </c>
      <c r="D1086" s="2">
        <v>1.0028027568273113E-4</v>
      </c>
      <c r="E1086" s="12" t="s">
        <v>4281</v>
      </c>
    </row>
    <row r="1087">
      <c r="A1087" s="2" t="s">
        <v>4283</v>
      </c>
      <c r="B1087" s="2" t="s">
        <v>4282</v>
      </c>
      <c r="C1087" s="2" t="s">
        <v>4284</v>
      </c>
      <c r="D1087" s="2">
        <v>1.0028027568273113E-4</v>
      </c>
      <c r="E1087" s="12" t="s">
        <v>4285</v>
      </c>
    </row>
    <row r="1088">
      <c r="A1088" s="2" t="s">
        <v>4287</v>
      </c>
      <c r="B1088" s="2" t="s">
        <v>4286</v>
      </c>
      <c r="C1088" s="2" t="s">
        <v>4288</v>
      </c>
      <c r="D1088" s="2">
        <v>1.0028027568273113E-4</v>
      </c>
      <c r="E1088" s="12" t="s">
        <v>4289</v>
      </c>
    </row>
    <row r="1089">
      <c r="A1089" s="2" t="s">
        <v>4291</v>
      </c>
      <c r="B1089" s="2" t="s">
        <v>4290</v>
      </c>
      <c r="C1089" s="2" t="s">
        <v>4292</v>
      </c>
      <c r="D1089" s="2">
        <v>1.0028027568273113E-4</v>
      </c>
      <c r="E1089" s="12" t="s">
        <v>4293</v>
      </c>
    </row>
    <row r="1090">
      <c r="A1090" s="2" t="s">
        <v>4295</v>
      </c>
      <c r="B1090" s="2" t="s">
        <v>4294</v>
      </c>
      <c r="C1090" s="2" t="s">
        <v>4296</v>
      </c>
      <c r="D1090" s="2">
        <v>1.0028027568273113E-4</v>
      </c>
      <c r="E1090" s="12" t="s">
        <v>4297</v>
      </c>
    </row>
    <row r="1091">
      <c r="A1091" s="2" t="s">
        <v>4299</v>
      </c>
      <c r="B1091" s="2" t="s">
        <v>4298</v>
      </c>
      <c r="C1091" s="2" t="s">
        <v>4300</v>
      </c>
      <c r="D1091" s="2">
        <v>1.0028027568273113E-4</v>
      </c>
      <c r="E1091" s="12" t="s">
        <v>4301</v>
      </c>
    </row>
    <row r="1092">
      <c r="A1092" s="2" t="s">
        <v>4303</v>
      </c>
      <c r="B1092" s="2" t="s">
        <v>4302</v>
      </c>
      <c r="D1092" s="2">
        <v>1.0028027568273113E-4</v>
      </c>
      <c r="E1092" s="12" t="s">
        <v>4304</v>
      </c>
    </row>
    <row r="1093">
      <c r="A1093" s="2" t="s">
        <v>4306</v>
      </c>
      <c r="B1093" s="2" t="s">
        <v>4305</v>
      </c>
      <c r="C1093" s="2" t="s">
        <v>4307</v>
      </c>
      <c r="D1093" s="2">
        <v>1.0028027568273113E-4</v>
      </c>
      <c r="E1093" s="12" t="s">
        <v>4308</v>
      </c>
    </row>
    <row r="1094">
      <c r="A1094" s="2" t="s">
        <v>4310</v>
      </c>
      <c r="B1094" s="2" t="s">
        <v>4309</v>
      </c>
      <c r="C1094" s="2" t="s">
        <v>4311</v>
      </c>
      <c r="D1094" s="2">
        <v>1.0028027568273113E-4</v>
      </c>
      <c r="E1094" s="12" t="s">
        <v>494</v>
      </c>
    </row>
    <row r="1095">
      <c r="A1095" s="2" t="s">
        <v>4313</v>
      </c>
      <c r="B1095" s="2" t="s">
        <v>4312</v>
      </c>
      <c r="C1095" s="2" t="s">
        <v>4314</v>
      </c>
      <c r="D1095" s="2">
        <v>1.0028027568273113E-4</v>
      </c>
      <c r="E1095" s="12" t="s">
        <v>4315</v>
      </c>
    </row>
    <row r="1096">
      <c r="A1096" s="2" t="s">
        <v>4317</v>
      </c>
      <c r="B1096" s="2" t="s">
        <v>4316</v>
      </c>
      <c r="C1096" s="2" t="s">
        <v>4318</v>
      </c>
      <c r="D1096" s="2">
        <v>1.0028027568273113E-4</v>
      </c>
      <c r="E1096" s="12" t="s">
        <v>4319</v>
      </c>
    </row>
    <row r="1097">
      <c r="A1097" s="2" t="s">
        <v>4321</v>
      </c>
      <c r="B1097" s="2" t="s">
        <v>4320</v>
      </c>
      <c r="C1097" s="2" t="s">
        <v>4322</v>
      </c>
      <c r="D1097" s="2">
        <v>1.0028027568273113E-4</v>
      </c>
      <c r="E1097" s="12" t="s">
        <v>3390</v>
      </c>
    </row>
    <row r="1098">
      <c r="A1098" s="2" t="s">
        <v>4324</v>
      </c>
      <c r="B1098" s="2" t="s">
        <v>4323</v>
      </c>
      <c r="C1098" s="2" t="s">
        <v>4325</v>
      </c>
      <c r="D1098" s="2">
        <v>1.0028027568273113E-4</v>
      </c>
      <c r="E1098" s="12" t="s">
        <v>4326</v>
      </c>
    </row>
    <row r="1099">
      <c r="A1099" s="2" t="s">
        <v>4328</v>
      </c>
      <c r="B1099" s="2" t="s">
        <v>4327</v>
      </c>
      <c r="C1099" s="2" t="s">
        <v>4329</v>
      </c>
      <c r="D1099" s="2">
        <v>1.0028027568273113E-4</v>
      </c>
      <c r="E1099" s="12" t="s">
        <v>4330</v>
      </c>
    </row>
    <row r="1100">
      <c r="A1100" s="2" t="s">
        <v>4332</v>
      </c>
      <c r="B1100" s="2" t="s">
        <v>4331</v>
      </c>
      <c r="C1100" s="2" t="s">
        <v>4333</v>
      </c>
      <c r="D1100" s="2">
        <v>1.0028027568273113E-4</v>
      </c>
      <c r="E1100" s="12" t="s">
        <v>4334</v>
      </c>
    </row>
    <row r="1101">
      <c r="A1101" s="2" t="s">
        <v>4336</v>
      </c>
      <c r="B1101" s="2" t="s">
        <v>4335</v>
      </c>
      <c r="C1101" s="2" t="s">
        <v>4337</v>
      </c>
      <c r="D1101" s="2">
        <v>1.0028027568273113E-4</v>
      </c>
      <c r="E1101" s="12" t="s">
        <v>4338</v>
      </c>
    </row>
    <row r="1102">
      <c r="A1102" s="2" t="s">
        <v>4340</v>
      </c>
      <c r="B1102" s="2" t="s">
        <v>4339</v>
      </c>
      <c r="C1102" s="2" t="s">
        <v>4341</v>
      </c>
      <c r="D1102" s="2">
        <v>1.0028027568273113E-4</v>
      </c>
      <c r="E1102" s="12" t="s">
        <v>4342</v>
      </c>
    </row>
    <row r="1103">
      <c r="A1103" s="2" t="s">
        <v>4344</v>
      </c>
      <c r="B1103" s="2" t="s">
        <v>4343</v>
      </c>
      <c r="C1103" s="2" t="s">
        <v>4345</v>
      </c>
      <c r="D1103" s="2">
        <v>1.0028027568273113E-4</v>
      </c>
      <c r="E1103" s="12" t="s">
        <v>4346</v>
      </c>
    </row>
    <row r="1104">
      <c r="A1104" s="2" t="s">
        <v>4348</v>
      </c>
      <c r="B1104" s="2" t="s">
        <v>4347</v>
      </c>
      <c r="D1104" s="2">
        <v>1.0028027568273113E-4</v>
      </c>
      <c r="E1104" s="12" t="s">
        <v>4349</v>
      </c>
    </row>
    <row r="1105">
      <c r="A1105" s="2" t="s">
        <v>4351</v>
      </c>
      <c r="B1105" s="2" t="s">
        <v>4350</v>
      </c>
      <c r="C1105" s="2" t="s">
        <v>4352</v>
      </c>
      <c r="D1105" s="2">
        <v>1.0028027568273113E-4</v>
      </c>
      <c r="E1105" s="12" t="s">
        <v>4353</v>
      </c>
    </row>
    <row r="1106">
      <c r="A1106" s="2" t="s">
        <v>4355</v>
      </c>
      <c r="B1106" s="2" t="s">
        <v>4354</v>
      </c>
      <c r="D1106" s="2">
        <v>1.0028027568273113E-4</v>
      </c>
      <c r="E1106" s="12" t="s">
        <v>4356</v>
      </c>
    </row>
    <row r="1107">
      <c r="A1107" s="2" t="s">
        <v>4358</v>
      </c>
      <c r="B1107" s="2" t="s">
        <v>4357</v>
      </c>
      <c r="C1107" s="2" t="s">
        <v>4359</v>
      </c>
      <c r="D1107" s="2">
        <v>1.0028027568273113E-4</v>
      </c>
      <c r="E1107" s="12" t="s">
        <v>4360</v>
      </c>
    </row>
    <row r="1108">
      <c r="A1108" s="2" t="s">
        <v>4362</v>
      </c>
      <c r="B1108" s="2" t="s">
        <v>4361</v>
      </c>
      <c r="C1108" s="2" t="s">
        <v>4363</v>
      </c>
      <c r="D1108" s="2">
        <v>1.0028027568273113E-4</v>
      </c>
      <c r="E1108" s="12" t="s">
        <v>4364</v>
      </c>
    </row>
    <row r="1109">
      <c r="A1109" s="2" t="s">
        <v>4366</v>
      </c>
      <c r="B1109" s="2" t="s">
        <v>4365</v>
      </c>
      <c r="C1109" s="2" t="s">
        <v>4367</v>
      </c>
      <c r="D1109" s="2">
        <v>1.0028027568273113E-4</v>
      </c>
      <c r="E1109" s="12" t="s">
        <v>4368</v>
      </c>
    </row>
    <row r="1110">
      <c r="A1110" s="2" t="s">
        <v>4370</v>
      </c>
      <c r="B1110" s="2" t="s">
        <v>4369</v>
      </c>
      <c r="D1110" s="2">
        <v>1.0028027568273113E-4</v>
      </c>
      <c r="E1110" s="12" t="s">
        <v>4371</v>
      </c>
    </row>
    <row r="1111">
      <c r="A1111" s="2" t="s">
        <v>4373</v>
      </c>
      <c r="B1111" s="2" t="s">
        <v>4372</v>
      </c>
      <c r="D1111" s="2">
        <v>1.0028027568273113E-4</v>
      </c>
      <c r="E1111" s="12" t="s">
        <v>4374</v>
      </c>
    </row>
    <row r="1112">
      <c r="A1112" s="2" t="s">
        <v>4376</v>
      </c>
      <c r="B1112" s="2" t="s">
        <v>4375</v>
      </c>
      <c r="C1112" s="2" t="s">
        <v>4377</v>
      </c>
      <c r="D1112" s="2">
        <v>1.0028027568273113E-4</v>
      </c>
      <c r="E1112" s="12" t="s">
        <v>4204</v>
      </c>
    </row>
    <row r="1113">
      <c r="A1113" s="2" t="s">
        <v>4379</v>
      </c>
      <c r="B1113" s="2" t="s">
        <v>4378</v>
      </c>
      <c r="C1113" s="2" t="s">
        <v>4380</v>
      </c>
      <c r="D1113" s="2">
        <v>1.0028027568273113E-4</v>
      </c>
      <c r="E1113" s="12" t="s">
        <v>4381</v>
      </c>
    </row>
    <row r="1114">
      <c r="A1114" s="2" t="s">
        <v>4383</v>
      </c>
      <c r="B1114" s="2" t="s">
        <v>4382</v>
      </c>
      <c r="C1114" s="2" t="s">
        <v>4384</v>
      </c>
      <c r="D1114" s="2">
        <v>1.0028027568273113E-4</v>
      </c>
      <c r="E1114" s="12" t="s">
        <v>4385</v>
      </c>
    </row>
    <row r="1115">
      <c r="A1115" s="2" t="s">
        <v>4387</v>
      </c>
      <c r="B1115" s="2" t="s">
        <v>4386</v>
      </c>
      <c r="C1115" s="2" t="s">
        <v>4388</v>
      </c>
      <c r="D1115" s="2">
        <v>1.0028027568273113E-4</v>
      </c>
      <c r="E1115" s="12" t="s">
        <v>4389</v>
      </c>
    </row>
    <row r="1116">
      <c r="A1116" s="2" t="s">
        <v>4391</v>
      </c>
      <c r="B1116" s="2" t="s">
        <v>4390</v>
      </c>
      <c r="C1116" s="2" t="s">
        <v>4392</v>
      </c>
      <c r="D1116" s="2">
        <v>1.0028027568273113E-4</v>
      </c>
      <c r="E1116" s="12" t="s">
        <v>4393</v>
      </c>
    </row>
    <row r="1117">
      <c r="A1117" s="2" t="s">
        <v>4395</v>
      </c>
      <c r="B1117" s="2" t="s">
        <v>4394</v>
      </c>
      <c r="C1117" s="2" t="s">
        <v>4396</v>
      </c>
      <c r="D1117" s="2">
        <v>1.0028027568273113E-4</v>
      </c>
      <c r="E1117" s="12" t="s">
        <v>1197</v>
      </c>
    </row>
    <row r="1118">
      <c r="A1118" s="2" t="s">
        <v>4398</v>
      </c>
      <c r="B1118" s="2" t="s">
        <v>4397</v>
      </c>
      <c r="C1118" s="2" t="s">
        <v>4399</v>
      </c>
      <c r="D1118" s="2">
        <v>1.0028027568273113E-4</v>
      </c>
      <c r="E1118" s="12" t="s">
        <v>4400</v>
      </c>
    </row>
    <row r="1119">
      <c r="A1119" s="2" t="s">
        <v>4402</v>
      </c>
      <c r="B1119" s="2" t="s">
        <v>4401</v>
      </c>
      <c r="C1119" s="2" t="s">
        <v>4403</v>
      </c>
      <c r="D1119" s="2">
        <v>1.0028027568273113E-4</v>
      </c>
      <c r="E1119" s="12" t="s">
        <v>4404</v>
      </c>
    </row>
    <row r="1120">
      <c r="A1120" s="2" t="s">
        <v>4406</v>
      </c>
      <c r="B1120" s="2" t="s">
        <v>4405</v>
      </c>
      <c r="D1120" s="2">
        <v>1.0028027568273113E-4</v>
      </c>
      <c r="E1120" s="12" t="s">
        <v>4407</v>
      </c>
    </row>
    <row r="1121">
      <c r="A1121" s="2" t="s">
        <v>4409</v>
      </c>
      <c r="B1121" s="2" t="s">
        <v>4408</v>
      </c>
      <c r="C1121" s="2" t="s">
        <v>4410</v>
      </c>
      <c r="D1121" s="2">
        <v>1.0028027568273113E-4</v>
      </c>
      <c r="E1121" s="12" t="s">
        <v>4411</v>
      </c>
    </row>
    <row r="1122">
      <c r="A1122" s="2" t="s">
        <v>4413</v>
      </c>
      <c r="B1122" s="2" t="s">
        <v>4412</v>
      </c>
      <c r="D1122" s="2">
        <v>1.0028027568273113E-4</v>
      </c>
      <c r="E1122" s="12" t="s">
        <v>4414</v>
      </c>
    </row>
    <row r="1123">
      <c r="A1123" s="2" t="s">
        <v>4416</v>
      </c>
      <c r="B1123" s="2" t="s">
        <v>4415</v>
      </c>
      <c r="C1123" s="2" t="s">
        <v>4417</v>
      </c>
      <c r="D1123" s="2">
        <v>1.0028027568273113E-4</v>
      </c>
      <c r="E1123" s="12" t="s">
        <v>4418</v>
      </c>
    </row>
    <row r="1124">
      <c r="A1124" s="2" t="s">
        <v>4420</v>
      </c>
      <c r="B1124" s="2" t="s">
        <v>4419</v>
      </c>
      <c r="C1124" s="2" t="s">
        <v>4421</v>
      </c>
      <c r="D1124" s="2">
        <v>1.0028027568273113E-4</v>
      </c>
      <c r="E1124" s="12" t="s">
        <v>4422</v>
      </c>
    </row>
    <row r="1125">
      <c r="A1125" s="2" t="s">
        <v>4424</v>
      </c>
      <c r="B1125" s="2" t="s">
        <v>4423</v>
      </c>
      <c r="D1125" s="2">
        <v>1.0028027568273113E-4</v>
      </c>
      <c r="E1125" s="12" t="s">
        <v>4425</v>
      </c>
    </row>
    <row r="1126">
      <c r="A1126" s="2" t="s">
        <v>4427</v>
      </c>
      <c r="B1126" s="2" t="s">
        <v>4426</v>
      </c>
      <c r="C1126" s="2" t="s">
        <v>4428</v>
      </c>
      <c r="D1126" s="2">
        <v>1.0028027568273113E-4</v>
      </c>
      <c r="E1126" s="12" t="s">
        <v>4429</v>
      </c>
    </row>
    <row r="1127">
      <c r="A1127" s="2" t="s">
        <v>4431</v>
      </c>
      <c r="B1127" s="2" t="s">
        <v>4430</v>
      </c>
      <c r="C1127" s="2" t="s">
        <v>4432</v>
      </c>
      <c r="D1127" s="2">
        <v>1.0028027568273113E-4</v>
      </c>
      <c r="E1127" s="12" t="s">
        <v>4433</v>
      </c>
    </row>
    <row r="1128">
      <c r="A1128" s="2" t="s">
        <v>4435</v>
      </c>
      <c r="B1128" s="2" t="s">
        <v>4434</v>
      </c>
      <c r="D1128" s="2">
        <v>1.0028027568273113E-4</v>
      </c>
      <c r="E1128" s="12" t="s">
        <v>4436</v>
      </c>
    </row>
    <row r="1129">
      <c r="A1129" s="2" t="s">
        <v>4438</v>
      </c>
      <c r="B1129" s="2" t="s">
        <v>4437</v>
      </c>
      <c r="C1129" s="2" t="s">
        <v>4439</v>
      </c>
      <c r="D1129" s="2">
        <v>1.0028027568273113E-4</v>
      </c>
      <c r="E1129" s="12" t="s">
        <v>2035</v>
      </c>
    </row>
    <row r="1130">
      <c r="A1130" s="2" t="s">
        <v>4441</v>
      </c>
      <c r="B1130" s="2" t="s">
        <v>4440</v>
      </c>
      <c r="C1130" s="2" t="s">
        <v>4442</v>
      </c>
      <c r="D1130" s="2">
        <v>1.0028027568273113E-4</v>
      </c>
      <c r="E1130" s="12" t="s">
        <v>4443</v>
      </c>
    </row>
    <row r="1131">
      <c r="A1131" s="2" t="s">
        <v>4445</v>
      </c>
      <c r="B1131" s="2" t="s">
        <v>4444</v>
      </c>
      <c r="C1131" s="2" t="s">
        <v>4446</v>
      </c>
      <c r="D1131" s="2">
        <v>1.0028027568273113E-4</v>
      </c>
      <c r="E1131" s="12" t="s">
        <v>4447</v>
      </c>
    </row>
    <row r="1132">
      <c r="A1132" s="2" t="s">
        <v>4449</v>
      </c>
      <c r="B1132" s="2" t="s">
        <v>4448</v>
      </c>
      <c r="C1132" s="2" t="s">
        <v>4450</v>
      </c>
      <c r="D1132" s="2">
        <v>1.0028027568273113E-4</v>
      </c>
      <c r="E1132" s="12" t="s">
        <v>2318</v>
      </c>
    </row>
    <row r="1133">
      <c r="A1133" s="2" t="s">
        <v>4452</v>
      </c>
      <c r="B1133" s="2" t="s">
        <v>4451</v>
      </c>
      <c r="C1133" s="2" t="s">
        <v>4453</v>
      </c>
      <c r="D1133" s="2">
        <v>1.0028027568273113E-4</v>
      </c>
      <c r="E1133" s="12" t="s">
        <v>4454</v>
      </c>
    </row>
    <row r="1134">
      <c r="A1134" s="2" t="s">
        <v>4456</v>
      </c>
      <c r="B1134" s="2" t="s">
        <v>4455</v>
      </c>
      <c r="C1134" s="2" t="s">
        <v>4457</v>
      </c>
      <c r="D1134" s="2">
        <v>1.0028027568273113E-4</v>
      </c>
      <c r="E1134" s="12" t="s">
        <v>4458</v>
      </c>
    </row>
    <row r="1135">
      <c r="A1135" s="2" t="s">
        <v>4460</v>
      </c>
      <c r="B1135" s="2" t="s">
        <v>4459</v>
      </c>
      <c r="C1135" s="2" t="s">
        <v>4461</v>
      </c>
      <c r="D1135" s="2">
        <v>1.0028027568273113E-4</v>
      </c>
      <c r="E1135" s="12" t="s">
        <v>3868</v>
      </c>
    </row>
    <row r="1136">
      <c r="A1136" s="2" t="s">
        <v>4463</v>
      </c>
      <c r="B1136" s="2" t="s">
        <v>4462</v>
      </c>
      <c r="C1136" s="2" t="s">
        <v>4464</v>
      </c>
      <c r="D1136" s="2">
        <v>1.0028027568273113E-4</v>
      </c>
      <c r="E1136" s="12" t="s">
        <v>4465</v>
      </c>
    </row>
    <row r="1137">
      <c r="A1137" s="2" t="s">
        <v>4467</v>
      </c>
      <c r="B1137" s="2" t="s">
        <v>4466</v>
      </c>
      <c r="C1137" s="2" t="s">
        <v>4468</v>
      </c>
      <c r="D1137" s="2">
        <v>1.0028027568273113E-4</v>
      </c>
      <c r="E1137" s="12" t="s">
        <v>4469</v>
      </c>
    </row>
    <row r="1138">
      <c r="A1138" s="2" t="s">
        <v>4471</v>
      </c>
      <c r="B1138" s="2" t="s">
        <v>4470</v>
      </c>
      <c r="C1138" s="2" t="s">
        <v>4472</v>
      </c>
      <c r="D1138" s="2">
        <v>1.0028027568273113E-4</v>
      </c>
      <c r="E1138" s="12" t="s">
        <v>4473</v>
      </c>
    </row>
    <row r="1139">
      <c r="A1139" s="2" t="s">
        <v>4475</v>
      </c>
      <c r="B1139" s="2" t="s">
        <v>4474</v>
      </c>
      <c r="C1139" s="2" t="s">
        <v>4476</v>
      </c>
      <c r="D1139" s="2">
        <v>1.0028027568273113E-4</v>
      </c>
      <c r="E1139" s="12" t="s">
        <v>4477</v>
      </c>
    </row>
    <row r="1140">
      <c r="A1140" s="2" t="s">
        <v>4479</v>
      </c>
      <c r="B1140" s="2" t="s">
        <v>4478</v>
      </c>
      <c r="C1140" s="2" t="s">
        <v>4480</v>
      </c>
      <c r="D1140" s="2">
        <v>1.0028027568273113E-4</v>
      </c>
      <c r="E1140" s="12" t="s">
        <v>4481</v>
      </c>
    </row>
    <row r="1141">
      <c r="A1141" s="2" t="s">
        <v>4483</v>
      </c>
      <c r="B1141" s="2" t="s">
        <v>4482</v>
      </c>
      <c r="C1141" s="2" t="s">
        <v>4484</v>
      </c>
      <c r="D1141" s="2">
        <v>1.0028027568273113E-4</v>
      </c>
      <c r="E1141" s="12" t="s">
        <v>4485</v>
      </c>
    </row>
    <row r="1142">
      <c r="A1142" s="2" t="s">
        <v>4487</v>
      </c>
      <c r="B1142" s="2" t="s">
        <v>4486</v>
      </c>
      <c r="C1142" s="2" t="s">
        <v>4488</v>
      </c>
      <c r="D1142" s="2">
        <v>1.0028027568273113E-4</v>
      </c>
      <c r="E1142" s="12" t="s">
        <v>4489</v>
      </c>
    </row>
    <row r="1143">
      <c r="A1143" s="2" t="s">
        <v>4491</v>
      </c>
      <c r="B1143" s="2" t="s">
        <v>4490</v>
      </c>
      <c r="C1143" s="2" t="s">
        <v>4492</v>
      </c>
      <c r="D1143" s="2">
        <v>1.0028027568273113E-4</v>
      </c>
      <c r="E1143" s="12" t="s">
        <v>4493</v>
      </c>
    </row>
    <row r="1144">
      <c r="A1144" s="2" t="s">
        <v>4495</v>
      </c>
      <c r="B1144" s="2" t="s">
        <v>4494</v>
      </c>
      <c r="C1144" s="2" t="s">
        <v>4496</v>
      </c>
      <c r="D1144" s="2">
        <v>1.0028027568273113E-4</v>
      </c>
      <c r="E1144" s="12" t="s">
        <v>4497</v>
      </c>
    </row>
    <row r="1145">
      <c r="A1145" s="2" t="s">
        <v>4499</v>
      </c>
      <c r="B1145" s="2" t="s">
        <v>4498</v>
      </c>
      <c r="C1145" s="2" t="s">
        <v>4500</v>
      </c>
      <c r="D1145" s="2">
        <v>1.0028027568273113E-4</v>
      </c>
      <c r="E1145" s="12" t="s">
        <v>4501</v>
      </c>
    </row>
    <row r="1146">
      <c r="A1146" s="2" t="s">
        <v>4502</v>
      </c>
      <c r="B1146" s="2" t="s">
        <v>2419</v>
      </c>
      <c r="C1146" s="2" t="s">
        <v>4503</v>
      </c>
      <c r="D1146" s="2">
        <v>1.0028027568273113E-4</v>
      </c>
      <c r="E1146" s="12" t="s">
        <v>4504</v>
      </c>
    </row>
    <row r="1147">
      <c r="A1147" s="2" t="s">
        <v>4506</v>
      </c>
      <c r="B1147" s="2" t="s">
        <v>4505</v>
      </c>
      <c r="C1147" s="2" t="s">
        <v>4507</v>
      </c>
      <c r="D1147" s="2">
        <v>1.0028027568273113E-4</v>
      </c>
      <c r="E1147" s="12" t="s">
        <v>4508</v>
      </c>
    </row>
    <row r="1148">
      <c r="A1148" s="2" t="s">
        <v>4510</v>
      </c>
      <c r="B1148" s="2" t="s">
        <v>4509</v>
      </c>
      <c r="D1148" s="2">
        <v>1.0028027568273113E-4</v>
      </c>
      <c r="E1148" s="12" t="s">
        <v>4511</v>
      </c>
    </row>
    <row r="1149">
      <c r="A1149" s="2" t="s">
        <v>4513</v>
      </c>
      <c r="B1149" s="2" t="s">
        <v>4512</v>
      </c>
      <c r="C1149" s="2" t="s">
        <v>4514</v>
      </c>
      <c r="D1149" s="2">
        <v>1.0028027568273113E-4</v>
      </c>
      <c r="E1149" s="12" t="s">
        <v>4515</v>
      </c>
    </row>
    <row r="1150">
      <c r="A1150" s="2" t="s">
        <v>4517</v>
      </c>
      <c r="B1150" s="2" t="s">
        <v>4516</v>
      </c>
      <c r="C1150" s="2" t="s">
        <v>4518</v>
      </c>
      <c r="D1150" s="2">
        <v>1.0028027568273113E-4</v>
      </c>
      <c r="E1150" s="12" t="s">
        <v>4519</v>
      </c>
    </row>
    <row r="1151">
      <c r="A1151" s="2" t="s">
        <v>4521</v>
      </c>
      <c r="B1151" s="2" t="s">
        <v>4520</v>
      </c>
      <c r="D1151" s="2">
        <v>1.0028027568273113E-4</v>
      </c>
      <c r="E1151" s="12" t="s">
        <v>4356</v>
      </c>
    </row>
    <row r="1152">
      <c r="A1152" s="2" t="s">
        <v>4523</v>
      </c>
      <c r="B1152" s="2" t="s">
        <v>4522</v>
      </c>
      <c r="C1152" s="2" t="s">
        <v>4524</v>
      </c>
      <c r="D1152" s="2">
        <v>1.0028027568273113E-4</v>
      </c>
      <c r="E1152" s="12" t="s">
        <v>4525</v>
      </c>
    </row>
    <row r="1153">
      <c r="A1153" s="2" t="s">
        <v>4527</v>
      </c>
      <c r="B1153" s="2" t="s">
        <v>4526</v>
      </c>
      <c r="D1153" s="2">
        <v>1.0028027568273113E-4</v>
      </c>
      <c r="E1153" s="12" t="s">
        <v>4528</v>
      </c>
    </row>
    <row r="1154">
      <c r="A1154" s="2" t="s">
        <v>4530</v>
      </c>
      <c r="B1154" s="2" t="s">
        <v>4529</v>
      </c>
      <c r="C1154" s="2" t="s">
        <v>4531</v>
      </c>
      <c r="D1154" s="2">
        <v>1.0028027568273113E-4</v>
      </c>
      <c r="E1154" s="12" t="s">
        <v>4532</v>
      </c>
    </row>
    <row r="1155">
      <c r="A1155" s="2" t="s">
        <v>4534</v>
      </c>
      <c r="B1155" s="2" t="s">
        <v>4533</v>
      </c>
      <c r="D1155" s="2">
        <v>1.0028027568273113E-4</v>
      </c>
      <c r="E1155" s="12" t="s">
        <v>4535</v>
      </c>
    </row>
    <row r="1156">
      <c r="A1156" s="2" t="s">
        <v>4537</v>
      </c>
      <c r="B1156" s="2" t="s">
        <v>4536</v>
      </c>
      <c r="C1156" s="2" t="s">
        <v>4538</v>
      </c>
      <c r="D1156" s="2">
        <v>1.0028027568273113E-4</v>
      </c>
      <c r="E1156" s="12" t="s">
        <v>4539</v>
      </c>
    </row>
    <row r="1157">
      <c r="A1157" s="2" t="s">
        <v>4541</v>
      </c>
      <c r="B1157" s="2" t="s">
        <v>4540</v>
      </c>
      <c r="D1157" s="2">
        <v>1.0028027568273113E-4</v>
      </c>
      <c r="E1157" s="12" t="s">
        <v>4542</v>
      </c>
    </row>
    <row r="1158">
      <c r="A1158" s="2" t="s">
        <v>4544</v>
      </c>
      <c r="B1158" s="2" t="s">
        <v>4543</v>
      </c>
      <c r="C1158" s="2" t="s">
        <v>4545</v>
      </c>
      <c r="D1158" s="2">
        <v>1.0028027568273113E-4</v>
      </c>
      <c r="E1158" s="12" t="s">
        <v>4546</v>
      </c>
    </row>
    <row r="1159">
      <c r="A1159" s="2" t="s">
        <v>4548</v>
      </c>
      <c r="B1159" s="2" t="s">
        <v>4547</v>
      </c>
      <c r="D1159" s="2">
        <v>1.0028027568273113E-4</v>
      </c>
      <c r="E1159" s="12" t="s">
        <v>4549</v>
      </c>
    </row>
    <row r="1160">
      <c r="A1160" s="2" t="s">
        <v>4551</v>
      </c>
      <c r="B1160" s="2" t="s">
        <v>4550</v>
      </c>
      <c r="C1160" s="2" t="s">
        <v>4552</v>
      </c>
      <c r="D1160" s="2">
        <v>1.0028027568273113E-4</v>
      </c>
      <c r="E1160" s="12" t="s">
        <v>4553</v>
      </c>
    </row>
    <row r="1161">
      <c r="A1161" s="2" t="s">
        <v>4555</v>
      </c>
      <c r="B1161" s="2" t="s">
        <v>4554</v>
      </c>
      <c r="C1161" s="2" t="s">
        <v>4556</v>
      </c>
      <c r="D1161" s="2">
        <v>1.0028027568273113E-4</v>
      </c>
      <c r="E1161" s="12" t="s">
        <v>4557</v>
      </c>
    </row>
    <row r="1162">
      <c r="A1162" s="2" t="s">
        <v>4559</v>
      </c>
      <c r="B1162" s="2" t="s">
        <v>4558</v>
      </c>
      <c r="C1162" s="2" t="s">
        <v>4560</v>
      </c>
      <c r="D1162" s="2">
        <v>1.0028027568273113E-4</v>
      </c>
      <c r="E1162" s="12" t="s">
        <v>1516</v>
      </c>
    </row>
    <row r="1163">
      <c r="A1163" s="2" t="s">
        <v>4562</v>
      </c>
      <c r="B1163" s="2" t="s">
        <v>4561</v>
      </c>
      <c r="C1163" s="2" t="s">
        <v>4563</v>
      </c>
      <c r="D1163" s="2">
        <v>1.0028027568273113E-4</v>
      </c>
      <c r="E1163" s="12" t="s">
        <v>4564</v>
      </c>
    </row>
    <row r="1164">
      <c r="A1164" s="2" t="s">
        <v>4566</v>
      </c>
      <c r="B1164" s="2" t="s">
        <v>4565</v>
      </c>
      <c r="C1164" s="2" t="s">
        <v>4567</v>
      </c>
      <c r="D1164" s="2">
        <v>1.0028027568273113E-4</v>
      </c>
      <c r="E1164" s="12" t="s">
        <v>4568</v>
      </c>
    </row>
    <row r="1165">
      <c r="A1165" s="2" t="s">
        <v>4570</v>
      </c>
      <c r="B1165" s="2" t="s">
        <v>4569</v>
      </c>
      <c r="C1165" s="2" t="s">
        <v>4571</v>
      </c>
      <c r="D1165" s="2">
        <v>1.0028027568273113E-4</v>
      </c>
      <c r="E1165" s="12" t="s">
        <v>4572</v>
      </c>
    </row>
    <row r="1166">
      <c r="A1166" s="2" t="s">
        <v>4574</v>
      </c>
      <c r="B1166" s="2" t="s">
        <v>4573</v>
      </c>
      <c r="C1166" s="2" t="s">
        <v>4575</v>
      </c>
      <c r="D1166" s="2">
        <v>1.0028027568273113E-4</v>
      </c>
      <c r="E1166" s="12" t="s">
        <v>1129</v>
      </c>
    </row>
    <row r="1167">
      <c r="A1167" s="2" t="s">
        <v>4577</v>
      </c>
      <c r="B1167" s="2" t="s">
        <v>4576</v>
      </c>
      <c r="C1167" s="2" t="s">
        <v>4578</v>
      </c>
      <c r="D1167" s="2">
        <v>1.0028027568273113E-4</v>
      </c>
      <c r="E1167" s="12" t="s">
        <v>4579</v>
      </c>
    </row>
    <row r="1168">
      <c r="A1168" s="2" t="s">
        <v>4581</v>
      </c>
      <c r="B1168" s="2" t="s">
        <v>4580</v>
      </c>
      <c r="C1168" s="2" t="s">
        <v>4582</v>
      </c>
      <c r="D1168" s="2">
        <v>1.0028027568273113E-4</v>
      </c>
      <c r="E1168" s="12" t="s">
        <v>4583</v>
      </c>
    </row>
    <row r="1169">
      <c r="A1169" s="2" t="s">
        <v>4585</v>
      </c>
      <c r="B1169" s="2" t="s">
        <v>4584</v>
      </c>
      <c r="C1169" s="2" t="s">
        <v>4586</v>
      </c>
      <c r="D1169" s="2">
        <v>1.0028027568273113E-4</v>
      </c>
      <c r="E1169" s="12" t="s">
        <v>4587</v>
      </c>
    </row>
    <row r="1170">
      <c r="A1170" s="2" t="s">
        <v>4589</v>
      </c>
      <c r="B1170" s="2" t="s">
        <v>4588</v>
      </c>
      <c r="C1170" s="2" t="s">
        <v>4590</v>
      </c>
      <c r="D1170" s="2">
        <v>1.0028027568273113E-4</v>
      </c>
      <c r="E1170" s="12" t="s">
        <v>4591</v>
      </c>
    </row>
    <row r="1171">
      <c r="A1171" s="2" t="s">
        <v>4593</v>
      </c>
      <c r="B1171" s="2" t="s">
        <v>4592</v>
      </c>
      <c r="C1171" s="2" t="s">
        <v>4594</v>
      </c>
      <c r="D1171" s="2">
        <v>1.0028027568273113E-4</v>
      </c>
      <c r="E1171" s="12" t="s">
        <v>4595</v>
      </c>
    </row>
    <row r="1172">
      <c r="A1172" s="2" t="s">
        <v>4597</v>
      </c>
      <c r="B1172" s="2" t="s">
        <v>4596</v>
      </c>
      <c r="C1172" s="2" t="s">
        <v>4598</v>
      </c>
      <c r="D1172" s="2">
        <v>1.0028027568273113E-4</v>
      </c>
      <c r="E1172" s="12" t="s">
        <v>4599</v>
      </c>
    </row>
    <row r="1173">
      <c r="A1173" s="2" t="s">
        <v>4601</v>
      </c>
      <c r="B1173" s="2" t="s">
        <v>4600</v>
      </c>
      <c r="C1173" s="2" t="s">
        <v>4602</v>
      </c>
      <c r="D1173" s="2">
        <v>1.0028027568273113E-4</v>
      </c>
      <c r="E1173" s="12" t="s">
        <v>4603</v>
      </c>
    </row>
    <row r="1174">
      <c r="A1174" s="2" t="s">
        <v>4605</v>
      </c>
      <c r="B1174" s="2" t="s">
        <v>4604</v>
      </c>
      <c r="C1174" s="2" t="s">
        <v>4606</v>
      </c>
      <c r="D1174" s="2">
        <v>1.0028027568273113E-4</v>
      </c>
      <c r="E1174" s="12" t="s">
        <v>4607</v>
      </c>
    </row>
    <row r="1175">
      <c r="A1175" s="2" t="s">
        <v>4609</v>
      </c>
      <c r="B1175" s="2" t="s">
        <v>4608</v>
      </c>
      <c r="C1175" s="2" t="s">
        <v>4610</v>
      </c>
      <c r="D1175" s="2">
        <v>1.0028027568273113E-4</v>
      </c>
      <c r="E1175" s="12" t="s">
        <v>4611</v>
      </c>
    </row>
    <row r="1176">
      <c r="A1176" s="2" t="s">
        <v>4613</v>
      </c>
      <c r="B1176" s="2" t="s">
        <v>4612</v>
      </c>
      <c r="C1176" s="2" t="s">
        <v>4614</v>
      </c>
      <c r="D1176" s="2">
        <v>1.0028027568273113E-4</v>
      </c>
      <c r="E1176" s="12" t="s">
        <v>4615</v>
      </c>
    </row>
    <row r="1177">
      <c r="A1177" s="2" t="s">
        <v>4617</v>
      </c>
      <c r="B1177" s="2" t="s">
        <v>4616</v>
      </c>
      <c r="C1177" s="2" t="s">
        <v>4618</v>
      </c>
      <c r="D1177" s="2">
        <v>1.0028027568273113E-4</v>
      </c>
      <c r="E1177" s="12" t="s">
        <v>4619</v>
      </c>
    </row>
    <row r="1178">
      <c r="A1178" s="2" t="s">
        <v>4621</v>
      </c>
      <c r="B1178" s="2" t="s">
        <v>4620</v>
      </c>
      <c r="C1178" s="2" t="s">
        <v>4622</v>
      </c>
      <c r="D1178" s="2">
        <v>1.0028027568273113E-4</v>
      </c>
      <c r="E1178" s="12" t="s">
        <v>4623</v>
      </c>
    </row>
    <row r="1179">
      <c r="A1179" s="2" t="s">
        <v>4625</v>
      </c>
      <c r="B1179" s="2" t="s">
        <v>4624</v>
      </c>
      <c r="D1179" s="2">
        <v>1.0028027568273113E-4</v>
      </c>
      <c r="E1179" s="12" t="s">
        <v>4626</v>
      </c>
    </row>
    <row r="1180">
      <c r="A1180" s="2" t="s">
        <v>4628</v>
      </c>
      <c r="B1180" s="2" t="s">
        <v>4627</v>
      </c>
      <c r="C1180" s="2" t="s">
        <v>4629</v>
      </c>
      <c r="D1180" s="2">
        <v>1.0028027568273113E-4</v>
      </c>
      <c r="E1180" s="12" t="s">
        <v>4630</v>
      </c>
    </row>
    <row r="1181">
      <c r="A1181" s="2" t="s">
        <v>4632</v>
      </c>
      <c r="B1181" s="2" t="s">
        <v>4631</v>
      </c>
      <c r="C1181" s="2" t="s">
        <v>4633</v>
      </c>
      <c r="D1181" s="2">
        <v>1.0028027568273113E-4</v>
      </c>
      <c r="E1181" s="12" t="s">
        <v>4634</v>
      </c>
    </row>
    <row r="1182">
      <c r="A1182" s="2" t="s">
        <v>4636</v>
      </c>
      <c r="B1182" s="2" t="s">
        <v>4635</v>
      </c>
      <c r="C1182" s="2" t="s">
        <v>4637</v>
      </c>
      <c r="D1182" s="2">
        <v>1.0028027568273113E-4</v>
      </c>
      <c r="E1182" s="12" t="s">
        <v>4572</v>
      </c>
    </row>
    <row r="1183">
      <c r="A1183" s="2" t="s">
        <v>4639</v>
      </c>
      <c r="B1183" s="2" t="s">
        <v>4638</v>
      </c>
      <c r="C1183" s="2" t="s">
        <v>4640</v>
      </c>
      <c r="D1183" s="2">
        <v>1.0028027568273113E-4</v>
      </c>
      <c r="E1183" s="12" t="s">
        <v>4641</v>
      </c>
    </row>
    <row r="1184">
      <c r="A1184" s="2" t="s">
        <v>4643</v>
      </c>
      <c r="B1184" s="2" t="s">
        <v>4642</v>
      </c>
      <c r="C1184" s="2" t="s">
        <v>4644</v>
      </c>
      <c r="D1184" s="2">
        <v>1.0028027568273113E-4</v>
      </c>
      <c r="E1184" s="12" t="s">
        <v>4349</v>
      </c>
    </row>
    <row r="1185">
      <c r="A1185" s="2" t="s">
        <v>4646</v>
      </c>
      <c r="B1185" s="2" t="s">
        <v>4645</v>
      </c>
      <c r="C1185" s="2" t="s">
        <v>4647</v>
      </c>
      <c r="D1185" s="2">
        <v>1.0028027568273113E-4</v>
      </c>
      <c r="E1185" s="12" t="s">
        <v>4648</v>
      </c>
    </row>
    <row r="1186">
      <c r="A1186" s="2" t="s">
        <v>4650</v>
      </c>
      <c r="B1186" s="2" t="s">
        <v>4649</v>
      </c>
      <c r="C1186" s="2" t="s">
        <v>4651</v>
      </c>
      <c r="D1186" s="2">
        <v>1.0028027568273113E-4</v>
      </c>
      <c r="E1186" s="12" t="s">
        <v>4652</v>
      </c>
    </row>
    <row r="1187">
      <c r="A1187" s="2" t="s">
        <v>4654</v>
      </c>
      <c r="B1187" s="2" t="s">
        <v>4653</v>
      </c>
      <c r="C1187" s="2" t="s">
        <v>4655</v>
      </c>
      <c r="D1187" s="2">
        <v>1.0028027568273113E-4</v>
      </c>
      <c r="E1187" s="12" t="s">
        <v>3017</v>
      </c>
    </row>
    <row r="1188">
      <c r="A1188" s="2" t="s">
        <v>4657</v>
      </c>
      <c r="B1188" s="2" t="s">
        <v>4656</v>
      </c>
      <c r="C1188" s="2" t="s">
        <v>4658</v>
      </c>
      <c r="D1188" s="2">
        <v>1.0028027568273113E-4</v>
      </c>
      <c r="E1188" s="12" t="s">
        <v>4659</v>
      </c>
    </row>
    <row r="1189">
      <c r="A1189" s="2" t="s">
        <v>4661</v>
      </c>
      <c r="B1189" s="2" t="s">
        <v>4660</v>
      </c>
      <c r="D1189" s="2">
        <v>1.0028027568273113E-4</v>
      </c>
      <c r="E1189" s="12" t="s">
        <v>4662</v>
      </c>
    </row>
    <row r="1190">
      <c r="A1190" s="2" t="s">
        <v>4664</v>
      </c>
      <c r="B1190" s="2" t="s">
        <v>4663</v>
      </c>
      <c r="C1190" s="2" t="s">
        <v>4665</v>
      </c>
      <c r="D1190" s="2">
        <v>1.0028027568273113E-4</v>
      </c>
      <c r="E1190" s="12" t="s">
        <v>4549</v>
      </c>
    </row>
    <row r="1191">
      <c r="A1191" s="2" t="s">
        <v>4667</v>
      </c>
      <c r="B1191" s="2" t="s">
        <v>4666</v>
      </c>
      <c r="C1191" s="2" t="s">
        <v>4668</v>
      </c>
      <c r="D1191" s="2">
        <v>1.0028027568273113E-4</v>
      </c>
      <c r="E1191" s="12" t="s">
        <v>4669</v>
      </c>
    </row>
    <row r="1192">
      <c r="A1192" s="2" t="s">
        <v>4671</v>
      </c>
      <c r="B1192" s="2" t="s">
        <v>4670</v>
      </c>
      <c r="C1192" s="2" t="s">
        <v>4672</v>
      </c>
      <c r="D1192" s="2">
        <v>1.0028027568273113E-4</v>
      </c>
      <c r="E1192" s="12" t="s">
        <v>4673</v>
      </c>
    </row>
    <row r="1193">
      <c r="A1193" s="2" t="s">
        <v>4675</v>
      </c>
      <c r="B1193" s="2" t="s">
        <v>4674</v>
      </c>
      <c r="C1193" s="2" t="s">
        <v>4676</v>
      </c>
      <c r="D1193" s="2">
        <v>1.0028027568273113E-4</v>
      </c>
      <c r="E1193" s="12" t="s">
        <v>4677</v>
      </c>
    </row>
    <row r="1194">
      <c r="A1194" s="2" t="s">
        <v>4679</v>
      </c>
      <c r="B1194" s="2" t="s">
        <v>4678</v>
      </c>
      <c r="C1194" s="2" t="s">
        <v>4680</v>
      </c>
      <c r="D1194" s="2">
        <v>1.0028027568273113E-4</v>
      </c>
      <c r="E1194" s="12" t="s">
        <v>4681</v>
      </c>
    </row>
    <row r="1195">
      <c r="A1195" s="2" t="s">
        <v>4683</v>
      </c>
      <c r="B1195" s="2" t="s">
        <v>4682</v>
      </c>
      <c r="C1195" s="2" t="s">
        <v>4684</v>
      </c>
      <c r="D1195" s="2">
        <v>1.0028027568273113E-4</v>
      </c>
      <c r="E1195" s="12" t="s">
        <v>4685</v>
      </c>
    </row>
    <row r="1196">
      <c r="A1196" s="2" t="s">
        <v>4687</v>
      </c>
      <c r="B1196" s="2" t="s">
        <v>4686</v>
      </c>
      <c r="C1196" s="2" t="s">
        <v>4688</v>
      </c>
      <c r="D1196" s="2">
        <v>1.0028027568273113E-4</v>
      </c>
      <c r="E1196" s="12" t="s">
        <v>4689</v>
      </c>
    </row>
    <row r="1197">
      <c r="A1197" s="2" t="s">
        <v>4691</v>
      </c>
      <c r="B1197" s="2" t="s">
        <v>4690</v>
      </c>
      <c r="C1197" s="2" t="s">
        <v>4692</v>
      </c>
      <c r="D1197" s="2">
        <v>1.0028027568273113E-4</v>
      </c>
      <c r="E1197" s="12" t="s">
        <v>4693</v>
      </c>
    </row>
    <row r="1198">
      <c r="A1198" s="2" t="s">
        <v>4695</v>
      </c>
      <c r="B1198" s="2" t="s">
        <v>4694</v>
      </c>
      <c r="C1198" s="2" t="s">
        <v>4696</v>
      </c>
      <c r="D1198" s="2">
        <v>1.0028027568273113E-4</v>
      </c>
      <c r="E1198" s="12" t="s">
        <v>4697</v>
      </c>
    </row>
    <row r="1199">
      <c r="A1199" s="2" t="s">
        <v>4699</v>
      </c>
      <c r="B1199" s="2" t="s">
        <v>4698</v>
      </c>
      <c r="C1199" s="2" t="s">
        <v>4700</v>
      </c>
      <c r="D1199" s="2">
        <v>1.0028027568273113E-4</v>
      </c>
      <c r="E1199" s="12" t="s">
        <v>4701</v>
      </c>
    </row>
    <row r="1200">
      <c r="A1200" s="2" t="s">
        <v>4703</v>
      </c>
      <c r="B1200" s="2" t="s">
        <v>4702</v>
      </c>
      <c r="C1200" s="2" t="s">
        <v>4704</v>
      </c>
      <c r="D1200" s="2">
        <v>1.0028027568273113E-4</v>
      </c>
      <c r="E1200" s="12" t="s">
        <v>4705</v>
      </c>
    </row>
    <row r="1201">
      <c r="A1201" s="2" t="s">
        <v>4707</v>
      </c>
      <c r="B1201" s="2" t="s">
        <v>4706</v>
      </c>
      <c r="C1201" s="2" t="s">
        <v>4708</v>
      </c>
      <c r="D1201" s="2">
        <v>1.0028027568273113E-4</v>
      </c>
      <c r="E1201" s="12" t="s">
        <v>4709</v>
      </c>
    </row>
    <row r="1202">
      <c r="A1202" s="2" t="s">
        <v>4711</v>
      </c>
      <c r="B1202" s="2" t="s">
        <v>4710</v>
      </c>
      <c r="D1202" s="2">
        <v>1.0028027568273113E-4</v>
      </c>
      <c r="E1202" s="12" t="s">
        <v>3358</v>
      </c>
    </row>
    <row r="1203">
      <c r="A1203" s="2" t="s">
        <v>4713</v>
      </c>
      <c r="B1203" s="2" t="s">
        <v>4712</v>
      </c>
      <c r="D1203" s="2">
        <v>1.0028027568273113E-4</v>
      </c>
      <c r="E1203" s="12" t="s">
        <v>4714</v>
      </c>
    </row>
    <row r="1204">
      <c r="A1204" s="2" t="s">
        <v>4716</v>
      </c>
      <c r="B1204" s="2" t="s">
        <v>4715</v>
      </c>
      <c r="C1204" s="2" t="s">
        <v>4717</v>
      </c>
      <c r="D1204" s="2">
        <v>1.0028027568273113E-4</v>
      </c>
      <c r="E1204" s="12" t="s">
        <v>4718</v>
      </c>
    </row>
    <row r="1205">
      <c r="A1205" s="2" t="s">
        <v>4720</v>
      </c>
      <c r="B1205" s="2" t="s">
        <v>4719</v>
      </c>
      <c r="C1205" s="2" t="s">
        <v>4721</v>
      </c>
      <c r="D1205" s="2">
        <v>1.0028027568273113E-4</v>
      </c>
      <c r="E1205" s="12" t="s">
        <v>4722</v>
      </c>
    </row>
    <row r="1206">
      <c r="A1206" s="2" t="s">
        <v>4724</v>
      </c>
      <c r="B1206" s="2" t="s">
        <v>4723</v>
      </c>
      <c r="C1206" s="2" t="s">
        <v>4725</v>
      </c>
      <c r="D1206" s="2">
        <v>1.0028027568273113E-4</v>
      </c>
      <c r="E1206" s="12" t="s">
        <v>4726</v>
      </c>
    </row>
    <row r="1207">
      <c r="A1207" s="2" t="s">
        <v>4728</v>
      </c>
      <c r="B1207" s="2" t="s">
        <v>4727</v>
      </c>
      <c r="C1207" s="2" t="s">
        <v>4729</v>
      </c>
      <c r="D1207" s="2">
        <v>1.0028027568273113E-4</v>
      </c>
      <c r="E1207" s="12" t="s">
        <v>4730</v>
      </c>
    </row>
    <row r="1208">
      <c r="A1208" s="2" t="s">
        <v>4732</v>
      </c>
      <c r="B1208" s="2" t="s">
        <v>4731</v>
      </c>
      <c r="C1208" s="2" t="s">
        <v>4733</v>
      </c>
      <c r="D1208" s="2">
        <v>1.0028027568273113E-4</v>
      </c>
      <c r="E1208" s="12" t="s">
        <v>4734</v>
      </c>
    </row>
    <row r="1209">
      <c r="A1209" s="2" t="s">
        <v>4736</v>
      </c>
      <c r="B1209" s="2" t="s">
        <v>4735</v>
      </c>
      <c r="D1209" s="2">
        <v>1.0028027568273113E-4</v>
      </c>
      <c r="E1209" s="12" t="s">
        <v>4737</v>
      </c>
    </row>
    <row r="1210">
      <c r="A1210" s="2" t="s">
        <v>4739</v>
      </c>
      <c r="B1210" s="2" t="s">
        <v>4738</v>
      </c>
      <c r="C1210" s="2" t="s">
        <v>4740</v>
      </c>
      <c r="D1210" s="2">
        <v>1.0028027568273113E-4</v>
      </c>
      <c r="E1210" s="12" t="s">
        <v>4741</v>
      </c>
    </row>
    <row r="1211">
      <c r="A1211" s="2" t="s">
        <v>4743</v>
      </c>
      <c r="B1211" s="2" t="s">
        <v>4742</v>
      </c>
      <c r="C1211" s="2" t="s">
        <v>4744</v>
      </c>
      <c r="D1211" s="2">
        <v>1.0028027568273113E-4</v>
      </c>
      <c r="E1211" s="12" t="s">
        <v>4528</v>
      </c>
    </row>
    <row r="1212">
      <c r="A1212" s="2" t="s">
        <v>4746</v>
      </c>
      <c r="B1212" s="2" t="s">
        <v>4745</v>
      </c>
      <c r="C1212" s="2" t="s">
        <v>4747</v>
      </c>
      <c r="D1212" s="2">
        <v>1.0028027568273113E-4</v>
      </c>
      <c r="E1212" s="12" t="s">
        <v>4748</v>
      </c>
    </row>
    <row r="1213">
      <c r="A1213" s="2" t="s">
        <v>4750</v>
      </c>
      <c r="B1213" s="2" t="s">
        <v>4749</v>
      </c>
      <c r="C1213" s="2" t="s">
        <v>4751</v>
      </c>
      <c r="D1213" s="2">
        <v>1.0028027568273113E-4</v>
      </c>
      <c r="E1213" s="12" t="s">
        <v>4752</v>
      </c>
    </row>
    <row r="1214">
      <c r="A1214" s="2" t="s">
        <v>4754</v>
      </c>
      <c r="B1214" s="2" t="s">
        <v>4753</v>
      </c>
      <c r="D1214" s="2">
        <v>1.0028027568273113E-4</v>
      </c>
      <c r="E1214" s="12" t="s">
        <v>4595</v>
      </c>
    </row>
    <row r="1215">
      <c r="A1215" s="2" t="s">
        <v>4756</v>
      </c>
      <c r="B1215" s="2" t="s">
        <v>4755</v>
      </c>
      <c r="C1215" s="2" t="s">
        <v>4757</v>
      </c>
      <c r="D1215" s="2">
        <v>1.0028027568273113E-4</v>
      </c>
      <c r="E1215" s="12" t="s">
        <v>4758</v>
      </c>
    </row>
    <row r="1216">
      <c r="A1216" s="2" t="s">
        <v>4760</v>
      </c>
      <c r="B1216" s="2" t="s">
        <v>4759</v>
      </c>
      <c r="C1216" s="2" t="s">
        <v>4761</v>
      </c>
      <c r="D1216" s="2">
        <v>1.0028027568273113E-4</v>
      </c>
      <c r="E1216" s="12" t="s">
        <v>4762</v>
      </c>
    </row>
    <row r="1217">
      <c r="A1217" s="2" t="s">
        <v>4764</v>
      </c>
      <c r="B1217" s="2" t="s">
        <v>4763</v>
      </c>
      <c r="C1217" s="2" t="s">
        <v>4765</v>
      </c>
      <c r="D1217" s="2">
        <v>1.0028027568273113E-4</v>
      </c>
      <c r="E1217" s="12" t="s">
        <v>4766</v>
      </c>
    </row>
    <row r="1218">
      <c r="A1218" s="2" t="s">
        <v>4768</v>
      </c>
      <c r="B1218" s="2" t="s">
        <v>4767</v>
      </c>
      <c r="C1218" s="2" t="s">
        <v>4769</v>
      </c>
      <c r="D1218" s="2">
        <v>1.0028027568273113E-4</v>
      </c>
      <c r="E1218" s="12" t="s">
        <v>4770</v>
      </c>
    </row>
    <row r="1219">
      <c r="A1219" s="2" t="s">
        <v>4772</v>
      </c>
      <c r="B1219" s="2" t="s">
        <v>4771</v>
      </c>
      <c r="C1219" s="2" t="s">
        <v>4773</v>
      </c>
      <c r="D1219" s="2">
        <v>1.0028027568273113E-4</v>
      </c>
      <c r="E1219" s="12" t="s">
        <v>4204</v>
      </c>
    </row>
    <row r="1220">
      <c r="A1220" s="2" t="s">
        <v>4775</v>
      </c>
      <c r="B1220" s="2" t="s">
        <v>4774</v>
      </c>
      <c r="C1220" s="2" t="s">
        <v>4776</v>
      </c>
      <c r="D1220" s="2">
        <v>1.0028027568273113E-4</v>
      </c>
      <c r="E1220" s="12" t="s">
        <v>4777</v>
      </c>
    </row>
    <row r="1221">
      <c r="A1221" s="2" t="s">
        <v>4779</v>
      </c>
      <c r="B1221" s="2" t="s">
        <v>4778</v>
      </c>
      <c r="C1221" s="2" t="s">
        <v>4780</v>
      </c>
      <c r="D1221" s="2">
        <v>1.0028027568273113E-4</v>
      </c>
      <c r="E1221" s="12" t="s">
        <v>4781</v>
      </c>
    </row>
    <row r="1222">
      <c r="A1222" s="2" t="s">
        <v>4783</v>
      </c>
      <c r="B1222" s="2" t="s">
        <v>4782</v>
      </c>
      <c r="C1222" s="2" t="s">
        <v>4784</v>
      </c>
      <c r="D1222" s="2">
        <v>1.0028027568273113E-4</v>
      </c>
      <c r="E1222" s="12" t="s">
        <v>4785</v>
      </c>
    </row>
    <row r="1223">
      <c r="A1223" s="2" t="s">
        <v>4787</v>
      </c>
      <c r="B1223" s="2" t="s">
        <v>4786</v>
      </c>
      <c r="C1223" s="2" t="s">
        <v>4788</v>
      </c>
      <c r="D1223" s="2">
        <v>1.0028027568273113E-4</v>
      </c>
      <c r="E1223" s="12" t="s">
        <v>4789</v>
      </c>
    </row>
    <row r="1224">
      <c r="A1224" s="2" t="s">
        <v>4791</v>
      </c>
      <c r="B1224" s="2" t="s">
        <v>4790</v>
      </c>
      <c r="D1224" s="2">
        <v>1.0028027568273113E-4</v>
      </c>
      <c r="E1224" s="12" t="s">
        <v>4792</v>
      </c>
    </row>
    <row r="1225">
      <c r="A1225" s="2" t="s">
        <v>4794</v>
      </c>
      <c r="B1225" s="2" t="s">
        <v>4793</v>
      </c>
      <c r="C1225" s="2" t="s">
        <v>4795</v>
      </c>
      <c r="D1225" s="2">
        <v>1.0028027568273113E-4</v>
      </c>
      <c r="E1225" s="12" t="s">
        <v>4796</v>
      </c>
    </row>
    <row r="1226">
      <c r="A1226" s="2" t="s">
        <v>4798</v>
      </c>
      <c r="B1226" s="2" t="s">
        <v>4797</v>
      </c>
      <c r="C1226" s="2" t="s">
        <v>4799</v>
      </c>
      <c r="D1226" s="2">
        <v>1.0028027568273113E-4</v>
      </c>
      <c r="E1226" s="12" t="s">
        <v>4800</v>
      </c>
    </row>
    <row r="1227">
      <c r="A1227" s="2" t="s">
        <v>4802</v>
      </c>
      <c r="B1227" s="2" t="s">
        <v>4801</v>
      </c>
      <c r="C1227" s="2" t="s">
        <v>4803</v>
      </c>
      <c r="D1227" s="2">
        <v>1.0028027568273113E-4</v>
      </c>
      <c r="E1227" s="12" t="s">
        <v>4804</v>
      </c>
    </row>
    <row r="1228">
      <c r="A1228" s="2" t="s">
        <v>4806</v>
      </c>
      <c r="B1228" s="2" t="s">
        <v>4805</v>
      </c>
      <c r="D1228" s="2">
        <v>1.0028027568273113E-4</v>
      </c>
      <c r="E1228" s="12" t="s">
        <v>4807</v>
      </c>
    </row>
    <row r="1229">
      <c r="A1229" s="2" t="s">
        <v>4809</v>
      </c>
      <c r="B1229" s="2" t="s">
        <v>4808</v>
      </c>
      <c r="D1229" s="2">
        <v>1.0028027568273113E-4</v>
      </c>
      <c r="E1229" s="12" t="s">
        <v>2843</v>
      </c>
    </row>
    <row r="1230">
      <c r="A1230" s="2" t="s">
        <v>4811</v>
      </c>
      <c r="B1230" s="2" t="s">
        <v>4810</v>
      </c>
      <c r="C1230" s="2" t="s">
        <v>4812</v>
      </c>
      <c r="D1230" s="2">
        <v>1.0028027568273113E-4</v>
      </c>
      <c r="E1230" s="12" t="s">
        <v>4813</v>
      </c>
    </row>
    <row r="1231">
      <c r="A1231" s="2" t="s">
        <v>4815</v>
      </c>
      <c r="B1231" s="2" t="s">
        <v>4814</v>
      </c>
      <c r="C1231" s="2" t="s">
        <v>4816</v>
      </c>
      <c r="D1231" s="2">
        <v>1.0028027568273113E-4</v>
      </c>
      <c r="E1231" s="12" t="s">
        <v>4817</v>
      </c>
    </row>
    <row r="1232">
      <c r="A1232" s="2" t="s">
        <v>4819</v>
      </c>
      <c r="B1232" s="2" t="s">
        <v>4818</v>
      </c>
      <c r="C1232" s="2" t="s">
        <v>4820</v>
      </c>
      <c r="D1232" s="2">
        <v>1.0028027568273113E-4</v>
      </c>
      <c r="E1232" s="12" t="s">
        <v>4821</v>
      </c>
    </row>
    <row r="1233">
      <c r="A1233" s="2" t="s">
        <v>4823</v>
      </c>
      <c r="B1233" s="2" t="s">
        <v>4822</v>
      </c>
      <c r="C1233" s="2" t="s">
        <v>4824</v>
      </c>
      <c r="D1233" s="2">
        <v>1.0028027568273113E-4</v>
      </c>
      <c r="E1233" s="12" t="s">
        <v>4825</v>
      </c>
    </row>
    <row r="1234">
      <c r="A1234" s="2" t="s">
        <v>4827</v>
      </c>
      <c r="B1234" s="2" t="s">
        <v>4826</v>
      </c>
      <c r="C1234" s="2" t="s">
        <v>4828</v>
      </c>
      <c r="D1234" s="2">
        <v>1.0028027568273113E-4</v>
      </c>
      <c r="E1234" s="12" t="s">
        <v>4829</v>
      </c>
    </row>
    <row r="1235">
      <c r="A1235" s="2" t="s">
        <v>4831</v>
      </c>
      <c r="B1235" s="2" t="s">
        <v>4830</v>
      </c>
      <c r="C1235" s="2" t="s">
        <v>4832</v>
      </c>
      <c r="D1235" s="2">
        <v>1.0028027568273113E-4</v>
      </c>
      <c r="E1235" s="12" t="s">
        <v>4833</v>
      </c>
    </row>
    <row r="1236">
      <c r="A1236" s="2" t="s">
        <v>4835</v>
      </c>
      <c r="B1236" s="2" t="s">
        <v>4834</v>
      </c>
      <c r="C1236" s="2" t="s">
        <v>4836</v>
      </c>
      <c r="D1236" s="2">
        <v>1.0028027568273113E-4</v>
      </c>
      <c r="E1236" s="12" t="s">
        <v>4837</v>
      </c>
    </row>
    <row r="1237">
      <c r="A1237" s="2" t="s">
        <v>4839</v>
      </c>
      <c r="B1237" s="2" t="s">
        <v>4838</v>
      </c>
      <c r="C1237" s="2" t="s">
        <v>4840</v>
      </c>
      <c r="D1237" s="2">
        <v>1.0028027568273113E-4</v>
      </c>
      <c r="E1237" s="12" t="s">
        <v>4841</v>
      </c>
    </row>
    <row r="1238">
      <c r="A1238" s="2" t="s">
        <v>4843</v>
      </c>
      <c r="B1238" s="2" t="s">
        <v>4842</v>
      </c>
      <c r="C1238" s="2" t="s">
        <v>4844</v>
      </c>
      <c r="D1238" s="2">
        <v>1.0028027568273113E-4</v>
      </c>
      <c r="E1238" s="12" t="s">
        <v>4845</v>
      </c>
    </row>
    <row r="1239">
      <c r="A1239" s="2" t="s">
        <v>4847</v>
      </c>
      <c r="B1239" s="2" t="s">
        <v>4846</v>
      </c>
      <c r="C1239" s="2" t="s">
        <v>4848</v>
      </c>
      <c r="D1239" s="2">
        <v>1.0028027568273113E-4</v>
      </c>
      <c r="E1239" s="12" t="s">
        <v>4849</v>
      </c>
    </row>
    <row r="1240">
      <c r="A1240" s="2" t="s">
        <v>4851</v>
      </c>
      <c r="B1240" s="2" t="s">
        <v>4850</v>
      </c>
      <c r="C1240" s="2" t="s">
        <v>4852</v>
      </c>
      <c r="D1240" s="2">
        <v>1.0028027568273113E-4</v>
      </c>
      <c r="E1240" s="12" t="s">
        <v>4853</v>
      </c>
    </row>
    <row r="1241">
      <c r="A1241" s="2" t="s">
        <v>4855</v>
      </c>
      <c r="B1241" s="2" t="s">
        <v>4854</v>
      </c>
      <c r="C1241" s="2" t="s">
        <v>4856</v>
      </c>
      <c r="D1241" s="2">
        <v>1.0028027568273113E-4</v>
      </c>
      <c r="E1241" s="12" t="s">
        <v>4857</v>
      </c>
    </row>
    <row r="1242">
      <c r="A1242" s="2" t="s">
        <v>4859</v>
      </c>
      <c r="B1242" s="2" t="s">
        <v>4858</v>
      </c>
      <c r="D1242" s="2">
        <v>1.0028027568273113E-4</v>
      </c>
      <c r="E1242" s="12" t="s">
        <v>4860</v>
      </c>
    </row>
    <row r="1243">
      <c r="A1243" s="2" t="s">
        <v>4862</v>
      </c>
      <c r="B1243" s="2" t="s">
        <v>4861</v>
      </c>
      <c r="C1243" s="2" t="s">
        <v>4863</v>
      </c>
      <c r="D1243" s="2">
        <v>1.0028027568273113E-4</v>
      </c>
      <c r="E1243" s="12" t="s">
        <v>4864</v>
      </c>
    </row>
    <row r="1244">
      <c r="A1244" s="2" t="s">
        <v>4866</v>
      </c>
      <c r="B1244" s="2" t="s">
        <v>4865</v>
      </c>
      <c r="C1244" s="2" t="s">
        <v>4867</v>
      </c>
      <c r="D1244" s="2">
        <v>1.0028027568273113E-4</v>
      </c>
      <c r="E1244" s="12" t="s">
        <v>4868</v>
      </c>
    </row>
    <row r="1245">
      <c r="A1245" s="2" t="s">
        <v>4870</v>
      </c>
      <c r="B1245" s="2" t="s">
        <v>4869</v>
      </c>
      <c r="C1245" s="2" t="s">
        <v>4871</v>
      </c>
      <c r="D1245" s="2">
        <v>1.0028027568273113E-4</v>
      </c>
      <c r="E1245" s="12" t="s">
        <v>4872</v>
      </c>
    </row>
    <row r="1246">
      <c r="A1246" s="2" t="s">
        <v>4874</v>
      </c>
      <c r="B1246" s="2" t="s">
        <v>4873</v>
      </c>
      <c r="C1246" s="2" t="s">
        <v>4875</v>
      </c>
      <c r="D1246" s="2">
        <v>1.0028027568273113E-4</v>
      </c>
      <c r="E1246" s="12" t="s">
        <v>4876</v>
      </c>
    </row>
    <row r="1247">
      <c r="A1247" s="2" t="s">
        <v>4878</v>
      </c>
      <c r="B1247" s="2" t="s">
        <v>4877</v>
      </c>
      <c r="C1247" s="2" t="s">
        <v>4879</v>
      </c>
      <c r="D1247" s="2">
        <v>1.0028027568273113E-4</v>
      </c>
      <c r="E1247" s="12" t="s">
        <v>4880</v>
      </c>
    </row>
    <row r="1248">
      <c r="A1248" s="2" t="s">
        <v>4882</v>
      </c>
      <c r="B1248" s="2" t="s">
        <v>4881</v>
      </c>
      <c r="C1248" s="2" t="s">
        <v>4883</v>
      </c>
      <c r="D1248" s="2">
        <v>1.0028027568273113E-4</v>
      </c>
      <c r="E1248" s="12" t="s">
        <v>4884</v>
      </c>
    </row>
    <row r="1249">
      <c r="A1249" s="2" t="s">
        <v>4886</v>
      </c>
      <c r="B1249" s="2" t="s">
        <v>4885</v>
      </c>
      <c r="C1249" s="2" t="s">
        <v>4887</v>
      </c>
      <c r="D1249" s="2">
        <v>1.0028027568273113E-4</v>
      </c>
      <c r="E1249" s="12" t="s">
        <v>368</v>
      </c>
    </row>
    <row r="1250">
      <c r="A1250" s="2" t="s">
        <v>4889</v>
      </c>
      <c r="B1250" s="2" t="s">
        <v>4888</v>
      </c>
      <c r="C1250" s="2" t="s">
        <v>4890</v>
      </c>
      <c r="D1250" s="2">
        <v>1.0028027568273113E-4</v>
      </c>
      <c r="E1250" s="12" t="s">
        <v>4891</v>
      </c>
    </row>
    <row r="1251">
      <c r="A1251" s="2" t="s">
        <v>4893</v>
      </c>
      <c r="B1251" s="2" t="s">
        <v>4892</v>
      </c>
      <c r="D1251" s="2">
        <v>1.0028027568273113E-4</v>
      </c>
      <c r="E1251" s="12" t="s">
        <v>4894</v>
      </c>
    </row>
    <row r="1252">
      <c r="A1252" s="2" t="s">
        <v>4896</v>
      </c>
      <c r="B1252" s="2" t="s">
        <v>4895</v>
      </c>
      <c r="C1252" s="2" t="s">
        <v>4897</v>
      </c>
      <c r="D1252" s="2">
        <v>1.0028027568273113E-4</v>
      </c>
      <c r="E1252" s="12" t="s">
        <v>4898</v>
      </c>
    </row>
    <row r="1253">
      <c r="A1253" s="2" t="s">
        <v>4900</v>
      </c>
      <c r="B1253" s="2" t="s">
        <v>4899</v>
      </c>
      <c r="C1253" s="2" t="s">
        <v>4901</v>
      </c>
      <c r="D1253" s="2">
        <v>1.0028027568273113E-4</v>
      </c>
      <c r="E1253" s="12" t="s">
        <v>4902</v>
      </c>
    </row>
    <row r="1254">
      <c r="A1254" s="2" t="s">
        <v>4904</v>
      </c>
      <c r="B1254" s="2" t="s">
        <v>4903</v>
      </c>
      <c r="C1254" s="2" t="s">
        <v>4905</v>
      </c>
      <c r="D1254" s="2">
        <v>1.0028027568273113E-4</v>
      </c>
      <c r="E1254" s="12" t="s">
        <v>4906</v>
      </c>
    </row>
    <row r="1255">
      <c r="A1255" s="2" t="s">
        <v>4908</v>
      </c>
      <c r="B1255" s="2" t="s">
        <v>4907</v>
      </c>
      <c r="C1255" s="2" t="s">
        <v>4909</v>
      </c>
      <c r="D1255" s="2">
        <v>1.0028027568273113E-4</v>
      </c>
      <c r="E1255" s="12" t="s">
        <v>214</v>
      </c>
    </row>
    <row r="1256">
      <c r="A1256" s="2" t="s">
        <v>4911</v>
      </c>
      <c r="B1256" s="2" t="s">
        <v>4910</v>
      </c>
      <c r="D1256" s="2">
        <v>1.0028027568273113E-4</v>
      </c>
      <c r="E1256" s="12" t="s">
        <v>4501</v>
      </c>
    </row>
    <row r="1257">
      <c r="A1257" s="2" t="s">
        <v>4913</v>
      </c>
      <c r="B1257" s="2" t="s">
        <v>4912</v>
      </c>
      <c r="C1257" s="2" t="s">
        <v>4914</v>
      </c>
      <c r="D1257" s="2">
        <v>1.0028027568273113E-4</v>
      </c>
      <c r="E1257" s="12" t="s">
        <v>4915</v>
      </c>
    </row>
    <row r="1258">
      <c r="A1258" s="2" t="s">
        <v>4917</v>
      </c>
      <c r="B1258" s="2" t="s">
        <v>4916</v>
      </c>
      <c r="C1258" s="2" t="s">
        <v>4918</v>
      </c>
      <c r="D1258" s="2">
        <v>1.0028027568273113E-4</v>
      </c>
      <c r="E1258" s="12" t="s">
        <v>4919</v>
      </c>
    </row>
    <row r="1259">
      <c r="A1259" s="2" t="s">
        <v>4921</v>
      </c>
      <c r="B1259" s="2" t="s">
        <v>4920</v>
      </c>
      <c r="C1259" s="2" t="s">
        <v>4922</v>
      </c>
      <c r="D1259" s="2">
        <v>1.0028027568273113E-4</v>
      </c>
      <c r="E1259" s="12" t="s">
        <v>4923</v>
      </c>
    </row>
    <row r="1260">
      <c r="A1260" s="2" t="s">
        <v>4925</v>
      </c>
      <c r="B1260" s="2" t="s">
        <v>4924</v>
      </c>
      <c r="C1260" s="2" t="s">
        <v>4926</v>
      </c>
      <c r="D1260" s="2">
        <v>1.0028027568273113E-4</v>
      </c>
      <c r="E1260" s="12" t="s">
        <v>4927</v>
      </c>
    </row>
    <row r="1261">
      <c r="A1261" s="2" t="s">
        <v>4929</v>
      </c>
      <c r="B1261" s="2" t="s">
        <v>4928</v>
      </c>
      <c r="C1261" s="2" t="s">
        <v>4930</v>
      </c>
      <c r="D1261" s="2">
        <v>1.0028027568273113E-4</v>
      </c>
      <c r="E1261" s="12" t="s">
        <v>4931</v>
      </c>
    </row>
    <row r="1262">
      <c r="A1262" s="2" t="s">
        <v>4933</v>
      </c>
      <c r="B1262" s="2" t="s">
        <v>4932</v>
      </c>
      <c r="C1262" s="2" t="s">
        <v>4934</v>
      </c>
      <c r="D1262" s="2">
        <v>1.0028027568273113E-4</v>
      </c>
      <c r="E1262" s="12" t="s">
        <v>4935</v>
      </c>
    </row>
    <row r="1263">
      <c r="A1263" s="2" t="s">
        <v>4937</v>
      </c>
      <c r="B1263" s="2" t="s">
        <v>4936</v>
      </c>
      <c r="C1263" s="2" t="s">
        <v>4938</v>
      </c>
      <c r="D1263" s="2">
        <v>1.0028027568273113E-4</v>
      </c>
      <c r="E1263" s="12" t="s">
        <v>4939</v>
      </c>
    </row>
    <row r="1264">
      <c r="A1264" s="2" t="s">
        <v>4941</v>
      </c>
      <c r="B1264" s="2" t="s">
        <v>4940</v>
      </c>
      <c r="C1264" s="2" t="s">
        <v>4942</v>
      </c>
      <c r="D1264" s="2">
        <v>1.0028027568273113E-4</v>
      </c>
      <c r="E1264" s="12" t="s">
        <v>4943</v>
      </c>
    </row>
    <row r="1265">
      <c r="A1265" s="2" t="s">
        <v>4945</v>
      </c>
      <c r="B1265" s="2" t="s">
        <v>4944</v>
      </c>
      <c r="C1265" s="2" t="s">
        <v>4946</v>
      </c>
      <c r="D1265" s="2">
        <v>1.0028027568273113E-4</v>
      </c>
      <c r="E1265" s="12" t="s">
        <v>4947</v>
      </c>
    </row>
    <row r="1266">
      <c r="A1266" s="2" t="s">
        <v>4949</v>
      </c>
      <c r="B1266" s="2" t="s">
        <v>4948</v>
      </c>
      <c r="C1266" s="2" t="s">
        <v>4950</v>
      </c>
      <c r="D1266" s="2">
        <v>1.0028027568273113E-4</v>
      </c>
      <c r="E1266" s="12" t="s">
        <v>4951</v>
      </c>
    </row>
    <row r="1267">
      <c r="A1267" s="2" t="s">
        <v>4953</v>
      </c>
      <c r="B1267" s="2" t="s">
        <v>4952</v>
      </c>
      <c r="C1267" s="2" t="s">
        <v>4954</v>
      </c>
      <c r="D1267" s="2">
        <v>1.0028027568273113E-4</v>
      </c>
      <c r="E1267" s="12" t="s">
        <v>4955</v>
      </c>
    </row>
    <row r="1268">
      <c r="A1268" s="2" t="s">
        <v>4957</v>
      </c>
      <c r="B1268" s="2" t="s">
        <v>4956</v>
      </c>
      <c r="D1268" s="2">
        <v>1.0028027568273113E-4</v>
      </c>
      <c r="E1268" s="12" t="s">
        <v>4252</v>
      </c>
    </row>
    <row r="1269">
      <c r="A1269" s="2" t="s">
        <v>4959</v>
      </c>
      <c r="B1269" s="2" t="s">
        <v>4958</v>
      </c>
      <c r="C1269" s="2" t="s">
        <v>4960</v>
      </c>
      <c r="D1269" s="2">
        <v>1.0028027568273113E-4</v>
      </c>
      <c r="E1269" s="12" t="s">
        <v>4961</v>
      </c>
    </row>
    <row r="1270">
      <c r="A1270" s="2" t="s">
        <v>4963</v>
      </c>
      <c r="B1270" s="2" t="s">
        <v>4962</v>
      </c>
      <c r="C1270" s="2" t="s">
        <v>4964</v>
      </c>
      <c r="D1270" s="2">
        <v>1.0028027568273113E-4</v>
      </c>
      <c r="E1270" s="12" t="s">
        <v>4965</v>
      </c>
    </row>
    <row r="1271">
      <c r="A1271" s="2" t="s">
        <v>4967</v>
      </c>
      <c r="B1271" s="2" t="s">
        <v>4966</v>
      </c>
      <c r="C1271" s="2" t="s">
        <v>4968</v>
      </c>
      <c r="D1271" s="2">
        <v>1.0028027568273113E-4</v>
      </c>
      <c r="E1271" s="12" t="s">
        <v>4969</v>
      </c>
    </row>
    <row r="1272">
      <c r="A1272" s="2" t="s">
        <v>4971</v>
      </c>
      <c r="B1272" s="2" t="s">
        <v>4970</v>
      </c>
      <c r="C1272" s="2" t="s">
        <v>4972</v>
      </c>
      <c r="D1272" s="2">
        <v>1.0028027568273113E-4</v>
      </c>
      <c r="E1272" s="12" t="s">
        <v>4973</v>
      </c>
    </row>
    <row r="1273">
      <c r="A1273" s="2" t="s">
        <v>4975</v>
      </c>
      <c r="B1273" s="2" t="s">
        <v>4974</v>
      </c>
      <c r="C1273" s="2" t="s">
        <v>4976</v>
      </c>
      <c r="D1273" s="2">
        <v>1.0028027568273113E-4</v>
      </c>
      <c r="E1273" s="12" t="s">
        <v>4977</v>
      </c>
    </row>
    <row r="1274">
      <c r="A1274" s="2" t="s">
        <v>4979</v>
      </c>
      <c r="B1274" s="2" t="s">
        <v>4978</v>
      </c>
      <c r="C1274" s="2" t="s">
        <v>4980</v>
      </c>
      <c r="D1274" s="2">
        <v>1.0028027568273113E-4</v>
      </c>
      <c r="E1274" s="12" t="s">
        <v>4981</v>
      </c>
    </row>
    <row r="1275">
      <c r="A1275" s="2" t="s">
        <v>4983</v>
      </c>
      <c r="B1275" s="2" t="s">
        <v>4982</v>
      </c>
      <c r="C1275" s="2" t="s">
        <v>4984</v>
      </c>
      <c r="D1275" s="2">
        <v>1.0028027568273113E-4</v>
      </c>
      <c r="E1275" s="12" t="s">
        <v>4985</v>
      </c>
    </row>
    <row r="1276">
      <c r="A1276" s="2" t="s">
        <v>4987</v>
      </c>
      <c r="B1276" s="2" t="s">
        <v>4986</v>
      </c>
      <c r="C1276" s="2" t="s">
        <v>4988</v>
      </c>
      <c r="D1276" s="2">
        <v>1.0028027568273113E-4</v>
      </c>
      <c r="E1276" s="12" t="s">
        <v>4989</v>
      </c>
    </row>
    <row r="1277">
      <c r="A1277" s="2" t="s">
        <v>4991</v>
      </c>
      <c r="B1277" s="2" t="s">
        <v>4990</v>
      </c>
      <c r="C1277" s="2" t="s">
        <v>4992</v>
      </c>
      <c r="D1277" s="2">
        <v>1.0028027568273113E-4</v>
      </c>
      <c r="E1277" s="12" t="s">
        <v>4993</v>
      </c>
    </row>
    <row r="1278">
      <c r="A1278" s="2" t="s">
        <v>4995</v>
      </c>
      <c r="B1278" s="2" t="s">
        <v>4994</v>
      </c>
      <c r="C1278" s="2" t="s">
        <v>4996</v>
      </c>
      <c r="D1278" s="2">
        <v>1.0028027568273113E-4</v>
      </c>
      <c r="E1278" s="12" t="s">
        <v>4997</v>
      </c>
    </row>
    <row r="1279">
      <c r="A1279" s="2" t="s">
        <v>4999</v>
      </c>
      <c r="B1279" s="2" t="s">
        <v>4998</v>
      </c>
      <c r="C1279" s="2" t="s">
        <v>5000</v>
      </c>
      <c r="D1279" s="2">
        <v>1.0028027568273113E-4</v>
      </c>
      <c r="E1279" s="12" t="s">
        <v>5001</v>
      </c>
    </row>
    <row r="1280">
      <c r="A1280" s="2" t="s">
        <v>5003</v>
      </c>
      <c r="B1280" s="2" t="s">
        <v>5002</v>
      </c>
      <c r="C1280" s="2" t="s">
        <v>5004</v>
      </c>
      <c r="D1280" s="2">
        <v>1.0028027568273113E-4</v>
      </c>
      <c r="E1280" s="12" t="s">
        <v>5005</v>
      </c>
    </row>
    <row r="1281">
      <c r="A1281" s="2" t="s">
        <v>5007</v>
      </c>
      <c r="B1281" s="2" t="s">
        <v>5006</v>
      </c>
      <c r="C1281" s="2" t="s">
        <v>5008</v>
      </c>
      <c r="D1281" s="2">
        <v>1.0028027568273113E-4</v>
      </c>
      <c r="E1281" s="12" t="s">
        <v>4681</v>
      </c>
    </row>
    <row r="1282">
      <c r="A1282" s="2" t="s">
        <v>5010</v>
      </c>
      <c r="B1282" s="2" t="s">
        <v>5009</v>
      </c>
      <c r="C1282" s="2" t="s">
        <v>5011</v>
      </c>
      <c r="D1282" s="2">
        <v>1.0028027568273113E-4</v>
      </c>
      <c r="E1282" s="12" t="s">
        <v>5012</v>
      </c>
    </row>
    <row r="1283">
      <c r="A1283" s="2" t="s">
        <v>5014</v>
      </c>
      <c r="B1283" s="2" t="s">
        <v>5013</v>
      </c>
      <c r="C1283" s="2" t="s">
        <v>5015</v>
      </c>
      <c r="D1283" s="2">
        <v>1.0028027568273113E-4</v>
      </c>
      <c r="E1283" s="12" t="s">
        <v>4281</v>
      </c>
    </row>
    <row r="1284">
      <c r="A1284" s="2" t="s">
        <v>5017</v>
      </c>
      <c r="B1284" s="2" t="s">
        <v>5016</v>
      </c>
      <c r="C1284" s="2" t="s">
        <v>5018</v>
      </c>
      <c r="D1284" s="2">
        <v>1.0028027568273113E-4</v>
      </c>
      <c r="E1284" s="12" t="s">
        <v>5019</v>
      </c>
    </row>
    <row r="1285">
      <c r="A1285" s="2" t="s">
        <v>5021</v>
      </c>
      <c r="B1285" s="2" t="s">
        <v>5020</v>
      </c>
      <c r="C1285" s="2" t="s">
        <v>5022</v>
      </c>
      <c r="D1285" s="2">
        <v>1.0028027568273113E-4</v>
      </c>
      <c r="E1285" s="12" t="s">
        <v>5023</v>
      </c>
    </row>
    <row r="1286">
      <c r="A1286" s="2" t="s">
        <v>5025</v>
      </c>
      <c r="B1286" s="2" t="s">
        <v>5024</v>
      </c>
      <c r="C1286" s="2" t="s">
        <v>5026</v>
      </c>
      <c r="D1286" s="2">
        <v>1.0028027568273113E-4</v>
      </c>
      <c r="E1286" s="12" t="s">
        <v>5027</v>
      </c>
    </row>
    <row r="1287">
      <c r="A1287" s="2" t="s">
        <v>5029</v>
      </c>
      <c r="B1287" s="2" t="s">
        <v>5028</v>
      </c>
      <c r="C1287" s="2" t="s">
        <v>5030</v>
      </c>
      <c r="D1287" s="2">
        <v>1.0028027568273113E-4</v>
      </c>
      <c r="E1287" s="12" t="s">
        <v>5031</v>
      </c>
    </row>
    <row r="1288">
      <c r="A1288" s="2" t="s">
        <v>5033</v>
      </c>
      <c r="B1288" s="2" t="s">
        <v>5032</v>
      </c>
      <c r="C1288" s="2" t="s">
        <v>5034</v>
      </c>
      <c r="D1288" s="2">
        <v>1.0028027568273113E-4</v>
      </c>
      <c r="E1288" s="12" t="s">
        <v>5035</v>
      </c>
    </row>
    <row r="1289">
      <c r="A1289" s="2" t="s">
        <v>5037</v>
      </c>
      <c r="B1289" s="2" t="s">
        <v>5036</v>
      </c>
      <c r="C1289" s="2" t="s">
        <v>5038</v>
      </c>
      <c r="D1289" s="2">
        <v>1.0028027568273113E-4</v>
      </c>
      <c r="E1289" s="12" t="s">
        <v>5039</v>
      </c>
    </row>
    <row r="1290">
      <c r="A1290" s="2" t="s">
        <v>5041</v>
      </c>
      <c r="B1290" s="2" t="s">
        <v>5040</v>
      </c>
      <c r="C1290" s="2" t="s">
        <v>5042</v>
      </c>
      <c r="D1290" s="2">
        <v>1.0028027568273113E-4</v>
      </c>
      <c r="E1290" s="12" t="s">
        <v>5043</v>
      </c>
    </row>
    <row r="1291">
      <c r="A1291" s="2" t="s">
        <v>5045</v>
      </c>
      <c r="B1291" s="2" t="s">
        <v>5044</v>
      </c>
      <c r="C1291" s="2" t="s">
        <v>5046</v>
      </c>
      <c r="D1291" s="2">
        <v>1.0028027568273113E-4</v>
      </c>
      <c r="E1291" s="12" t="s">
        <v>5047</v>
      </c>
    </row>
    <row r="1292">
      <c r="A1292" s="2" t="s">
        <v>5049</v>
      </c>
      <c r="B1292" s="2" t="s">
        <v>5048</v>
      </c>
      <c r="C1292" s="2" t="s">
        <v>5050</v>
      </c>
      <c r="D1292" s="2">
        <v>1.0028027568273113E-4</v>
      </c>
      <c r="E1292" s="12" t="s">
        <v>5051</v>
      </c>
    </row>
    <row r="1293">
      <c r="A1293" s="2" t="s">
        <v>5053</v>
      </c>
      <c r="B1293" s="2" t="s">
        <v>5052</v>
      </c>
      <c r="C1293" s="2" t="s">
        <v>5054</v>
      </c>
      <c r="D1293" s="2">
        <v>1.0028027568273113E-4</v>
      </c>
      <c r="E1293" s="12" t="s">
        <v>5055</v>
      </c>
    </row>
    <row r="1294">
      <c r="A1294" s="2" t="s">
        <v>5057</v>
      </c>
      <c r="B1294" s="2" t="s">
        <v>5056</v>
      </c>
      <c r="C1294" s="2" t="s">
        <v>5058</v>
      </c>
      <c r="D1294" s="2">
        <v>1.0028027568273113E-4</v>
      </c>
      <c r="E1294" s="12" t="s">
        <v>5059</v>
      </c>
    </row>
    <row r="1295">
      <c r="A1295" s="2" t="s">
        <v>5061</v>
      </c>
      <c r="B1295" s="2" t="s">
        <v>5060</v>
      </c>
      <c r="C1295" s="2" t="s">
        <v>5062</v>
      </c>
      <c r="D1295" s="2">
        <v>1.0028027568273113E-4</v>
      </c>
      <c r="E1295" s="12" t="s">
        <v>5063</v>
      </c>
    </row>
    <row r="1296">
      <c r="A1296" s="2" t="s">
        <v>5065</v>
      </c>
      <c r="B1296" s="2" t="s">
        <v>5064</v>
      </c>
      <c r="C1296" s="2" t="s">
        <v>5066</v>
      </c>
      <c r="D1296" s="2">
        <v>1.0028027568273113E-4</v>
      </c>
      <c r="E1296" s="12" t="s">
        <v>5067</v>
      </c>
    </row>
    <row r="1297">
      <c r="A1297" s="2" t="s">
        <v>5069</v>
      </c>
      <c r="B1297" s="2" t="s">
        <v>5068</v>
      </c>
      <c r="C1297" s="2" t="s">
        <v>5070</v>
      </c>
      <c r="D1297" s="2">
        <v>1.0028027568273113E-4</v>
      </c>
      <c r="E1297" s="12" t="s">
        <v>5071</v>
      </c>
    </row>
    <row r="1298">
      <c r="A1298" s="2" t="s">
        <v>5073</v>
      </c>
      <c r="B1298" s="2" t="s">
        <v>5072</v>
      </c>
      <c r="D1298" s="2">
        <v>1.0028027568273113E-4</v>
      </c>
      <c r="E1298" s="12" t="s">
        <v>5074</v>
      </c>
    </row>
    <row r="1299">
      <c r="A1299" s="2" t="s">
        <v>5076</v>
      </c>
      <c r="B1299" s="2" t="s">
        <v>5075</v>
      </c>
      <c r="C1299" s="2" t="s">
        <v>5077</v>
      </c>
      <c r="D1299" s="2">
        <v>1.0028027568273113E-4</v>
      </c>
      <c r="E1299" s="12" t="s">
        <v>4374</v>
      </c>
    </row>
    <row r="1300">
      <c r="A1300" s="2" t="s">
        <v>5079</v>
      </c>
      <c r="B1300" s="2" t="s">
        <v>5078</v>
      </c>
      <c r="C1300" s="2" t="s">
        <v>5080</v>
      </c>
      <c r="D1300" s="2">
        <v>1.0028027568273113E-4</v>
      </c>
      <c r="E1300" s="12" t="s">
        <v>5081</v>
      </c>
    </row>
    <row r="1301">
      <c r="A1301" s="2" t="s">
        <v>5083</v>
      </c>
      <c r="B1301" s="2" t="s">
        <v>5082</v>
      </c>
      <c r="C1301" s="2" t="s">
        <v>5084</v>
      </c>
      <c r="D1301" s="2">
        <v>1.0028027568273113E-4</v>
      </c>
      <c r="E1301" s="12" t="s">
        <v>5085</v>
      </c>
    </row>
    <row r="1302">
      <c r="A1302" s="2" t="s">
        <v>5087</v>
      </c>
      <c r="B1302" s="2" t="s">
        <v>5086</v>
      </c>
      <c r="C1302" s="2" t="s">
        <v>5088</v>
      </c>
      <c r="D1302" s="2">
        <v>1.0028027568273113E-4</v>
      </c>
      <c r="E1302" s="12" t="s">
        <v>5089</v>
      </c>
    </row>
    <row r="1303">
      <c r="A1303" s="2" t="s">
        <v>5091</v>
      </c>
      <c r="B1303" s="2" t="s">
        <v>5090</v>
      </c>
      <c r="C1303" s="2" t="s">
        <v>5092</v>
      </c>
      <c r="D1303" s="2">
        <v>1.0028027568273113E-4</v>
      </c>
      <c r="E1303" s="12" t="s">
        <v>5093</v>
      </c>
    </row>
    <row r="1304">
      <c r="A1304" s="2" t="s">
        <v>5095</v>
      </c>
      <c r="B1304" s="2" t="s">
        <v>5094</v>
      </c>
      <c r="C1304" s="2" t="s">
        <v>5096</v>
      </c>
      <c r="D1304" s="2">
        <v>1.0028027568273113E-4</v>
      </c>
      <c r="E1304" s="12" t="s">
        <v>5097</v>
      </c>
    </row>
    <row r="1305">
      <c r="A1305" s="2" t="s">
        <v>5099</v>
      </c>
      <c r="B1305" s="2" t="s">
        <v>5098</v>
      </c>
      <c r="D1305" s="2">
        <v>1.0028027568273113E-4</v>
      </c>
      <c r="E1305" s="12" t="s">
        <v>5100</v>
      </c>
    </row>
    <row r="1306">
      <c r="A1306" s="2" t="s">
        <v>5101</v>
      </c>
      <c r="B1306" s="2" t="s">
        <v>5072</v>
      </c>
      <c r="C1306" s="2" t="s">
        <v>5102</v>
      </c>
      <c r="D1306" s="2">
        <v>1.0028027568273113E-4</v>
      </c>
      <c r="E1306" s="12" t="s">
        <v>5103</v>
      </c>
    </row>
    <row r="1307">
      <c r="A1307" s="2" t="s">
        <v>5105</v>
      </c>
      <c r="B1307" s="2" t="s">
        <v>5104</v>
      </c>
      <c r="C1307" s="2" t="s">
        <v>5106</v>
      </c>
      <c r="D1307" s="2">
        <v>1.0028027568273113E-4</v>
      </c>
      <c r="E1307" s="12" t="s">
        <v>4174</v>
      </c>
    </row>
    <row r="1308">
      <c r="A1308" s="2" t="s">
        <v>5108</v>
      </c>
      <c r="B1308" s="2" t="s">
        <v>5107</v>
      </c>
      <c r="C1308" s="2" t="s">
        <v>5109</v>
      </c>
      <c r="D1308" s="2">
        <v>1.0028027568273113E-4</v>
      </c>
      <c r="E1308" s="12" t="s">
        <v>5110</v>
      </c>
    </row>
    <row r="1309">
      <c r="A1309" s="2" t="s">
        <v>5112</v>
      </c>
      <c r="B1309" s="2" t="s">
        <v>5111</v>
      </c>
      <c r="D1309" s="2">
        <v>1.0028027568273113E-4</v>
      </c>
      <c r="E1309" s="12" t="s">
        <v>5113</v>
      </c>
    </row>
    <row r="1310">
      <c r="A1310" s="2" t="s">
        <v>5115</v>
      </c>
      <c r="B1310" s="2" t="s">
        <v>5114</v>
      </c>
      <c r="C1310" s="2" t="s">
        <v>5116</v>
      </c>
      <c r="D1310" s="2">
        <v>1.0028027568273113E-4</v>
      </c>
      <c r="E1310" s="12" t="s">
        <v>5117</v>
      </c>
    </row>
    <row r="1311">
      <c r="A1311" s="2" t="s">
        <v>5119</v>
      </c>
      <c r="B1311" s="2" t="s">
        <v>5118</v>
      </c>
      <c r="C1311" s="2" t="s">
        <v>5120</v>
      </c>
      <c r="D1311" s="2">
        <v>1.0028027568273113E-4</v>
      </c>
      <c r="E1311" s="12" t="s">
        <v>5121</v>
      </c>
    </row>
    <row r="1312">
      <c r="A1312" s="2" t="s">
        <v>5123</v>
      </c>
      <c r="B1312" s="2" t="s">
        <v>5122</v>
      </c>
      <c r="C1312" s="2" t="s">
        <v>5124</v>
      </c>
      <c r="D1312" s="2">
        <v>1.0028027568273113E-4</v>
      </c>
      <c r="E1312" s="12" t="s">
        <v>5125</v>
      </c>
    </row>
    <row r="1313">
      <c r="A1313" s="2" t="s">
        <v>5127</v>
      </c>
      <c r="B1313" s="2" t="s">
        <v>5126</v>
      </c>
      <c r="C1313" s="2" t="s">
        <v>5128</v>
      </c>
      <c r="D1313" s="2">
        <v>1.0028027568273113E-4</v>
      </c>
      <c r="E1313" s="12" t="s">
        <v>5129</v>
      </c>
    </row>
    <row r="1314">
      <c r="A1314" s="2" t="s">
        <v>5131</v>
      </c>
      <c r="B1314" s="2" t="s">
        <v>5130</v>
      </c>
      <c r="C1314" s="2" t="s">
        <v>5132</v>
      </c>
      <c r="D1314" s="2">
        <v>1.0028027568273113E-4</v>
      </c>
      <c r="E1314" s="12" t="s">
        <v>5133</v>
      </c>
    </row>
    <row r="1315">
      <c r="A1315" s="2" t="s">
        <v>5135</v>
      </c>
      <c r="B1315" s="2" t="s">
        <v>5134</v>
      </c>
      <c r="C1315" s="2" t="s">
        <v>5136</v>
      </c>
      <c r="D1315" s="2">
        <v>1.0028027568273113E-4</v>
      </c>
      <c r="E1315" s="12" t="s">
        <v>5137</v>
      </c>
    </row>
    <row r="1316">
      <c r="A1316" s="2" t="s">
        <v>5139</v>
      </c>
      <c r="B1316" s="2" t="s">
        <v>5138</v>
      </c>
      <c r="C1316" s="2" t="s">
        <v>5140</v>
      </c>
      <c r="D1316" s="2">
        <v>1.0028027568273113E-4</v>
      </c>
      <c r="E1316" s="12" t="s">
        <v>5141</v>
      </c>
    </row>
    <row r="1317">
      <c r="A1317" s="2" t="s">
        <v>5143</v>
      </c>
      <c r="B1317" s="2" t="s">
        <v>5142</v>
      </c>
      <c r="D1317" s="2">
        <v>1.0028027568273113E-4</v>
      </c>
      <c r="E1317" s="12" t="s">
        <v>5144</v>
      </c>
    </row>
    <row r="1318">
      <c r="A1318" s="2" t="s">
        <v>5146</v>
      </c>
      <c r="B1318" s="2" t="s">
        <v>5145</v>
      </c>
      <c r="D1318" s="2">
        <v>1.0028027568273113E-4</v>
      </c>
      <c r="E1318" s="12" t="s">
        <v>5147</v>
      </c>
    </row>
    <row r="1319">
      <c r="A1319" s="2" t="s">
        <v>5149</v>
      </c>
      <c r="B1319" s="2" t="s">
        <v>5148</v>
      </c>
      <c r="C1319" s="2" t="s">
        <v>5150</v>
      </c>
      <c r="D1319" s="2">
        <v>1.0028027568273113E-4</v>
      </c>
      <c r="E1319" s="12" t="s">
        <v>5151</v>
      </c>
    </row>
    <row r="1320">
      <c r="A1320" s="2" t="s">
        <v>5153</v>
      </c>
      <c r="B1320" s="2" t="s">
        <v>5152</v>
      </c>
      <c r="C1320" s="2" t="s">
        <v>5154</v>
      </c>
      <c r="D1320" s="2">
        <v>1.0028027568273113E-4</v>
      </c>
      <c r="E1320" s="12" t="s">
        <v>5155</v>
      </c>
    </row>
    <row r="1321">
      <c r="A1321" s="2" t="s">
        <v>5157</v>
      </c>
      <c r="B1321" s="2" t="s">
        <v>5156</v>
      </c>
      <c r="D1321" s="2">
        <v>1.0028027568273113E-4</v>
      </c>
      <c r="E1321" s="12" t="s">
        <v>5158</v>
      </c>
    </row>
    <row r="1322">
      <c r="A1322" s="2" t="s">
        <v>5160</v>
      </c>
      <c r="B1322" s="2" t="s">
        <v>5159</v>
      </c>
      <c r="C1322" s="2" t="s">
        <v>5161</v>
      </c>
      <c r="D1322" s="2">
        <v>1.0028027568273113E-4</v>
      </c>
      <c r="E1322" s="12" t="s">
        <v>5162</v>
      </c>
    </row>
    <row r="1323">
      <c r="A1323" s="2" t="s">
        <v>5164</v>
      </c>
      <c r="B1323" s="2" t="s">
        <v>5163</v>
      </c>
      <c r="D1323" s="2">
        <v>1.0028027568273113E-4</v>
      </c>
      <c r="E1323" s="12" t="s">
        <v>5165</v>
      </c>
    </row>
    <row r="1324">
      <c r="A1324" s="2" t="s">
        <v>5167</v>
      </c>
      <c r="B1324" s="2" t="s">
        <v>5166</v>
      </c>
      <c r="C1324" s="2" t="s">
        <v>5168</v>
      </c>
      <c r="D1324" s="2">
        <v>1.0028027568273113E-4</v>
      </c>
      <c r="E1324" s="12" t="s">
        <v>5169</v>
      </c>
    </row>
    <row r="1325">
      <c r="A1325" s="2" t="s">
        <v>5171</v>
      </c>
      <c r="B1325" s="2" t="s">
        <v>5170</v>
      </c>
      <c r="D1325" s="2">
        <v>1.0028027568273113E-4</v>
      </c>
      <c r="E1325" s="12" t="s">
        <v>5172</v>
      </c>
    </row>
    <row r="1326">
      <c r="A1326" s="2" t="s">
        <v>5174</v>
      </c>
      <c r="B1326" s="2" t="s">
        <v>5173</v>
      </c>
      <c r="D1326" s="2">
        <v>1.0028027568273113E-4</v>
      </c>
      <c r="E1326" s="12" t="s">
        <v>5175</v>
      </c>
    </row>
    <row r="1327">
      <c r="A1327" s="2" t="s">
        <v>5177</v>
      </c>
      <c r="B1327" s="2" t="s">
        <v>5176</v>
      </c>
      <c r="C1327" s="2" t="s">
        <v>114</v>
      </c>
      <c r="D1327" s="2">
        <v>1.0028027568273113E-4</v>
      </c>
      <c r="E1327" s="12" t="s">
        <v>5178</v>
      </c>
    </row>
    <row r="1328">
      <c r="A1328" s="2" t="s">
        <v>5180</v>
      </c>
      <c r="B1328" s="2" t="s">
        <v>5179</v>
      </c>
      <c r="C1328" s="2" t="s">
        <v>5181</v>
      </c>
      <c r="D1328" s="2">
        <v>1.0028027568273113E-4</v>
      </c>
      <c r="E1328" s="12" t="s">
        <v>5182</v>
      </c>
    </row>
    <row r="1329">
      <c r="A1329" s="2" t="s">
        <v>5184</v>
      </c>
      <c r="B1329" s="2" t="s">
        <v>5183</v>
      </c>
      <c r="C1329" s="2" t="s">
        <v>5185</v>
      </c>
      <c r="D1329" s="2">
        <v>1.0028027568273113E-4</v>
      </c>
      <c r="E1329" s="12" t="s">
        <v>4144</v>
      </c>
    </row>
    <row r="1330">
      <c r="A1330" s="2" t="s">
        <v>5187</v>
      </c>
      <c r="B1330" s="2" t="s">
        <v>5186</v>
      </c>
      <c r="C1330" s="2" t="s">
        <v>5188</v>
      </c>
      <c r="D1330" s="2">
        <v>1.0028027568273113E-4</v>
      </c>
      <c r="E1330" s="12" t="s">
        <v>5189</v>
      </c>
    </row>
    <row r="1331">
      <c r="A1331" s="2" t="s">
        <v>5191</v>
      </c>
      <c r="B1331" s="2" t="s">
        <v>5190</v>
      </c>
      <c r="C1331" s="2" t="s">
        <v>5192</v>
      </c>
      <c r="D1331" s="2">
        <v>1.0028027568273113E-4</v>
      </c>
      <c r="E1331" s="12" t="s">
        <v>5193</v>
      </c>
    </row>
    <row r="1332">
      <c r="A1332" s="2" t="s">
        <v>5195</v>
      </c>
      <c r="B1332" s="2" t="s">
        <v>5194</v>
      </c>
      <c r="C1332" s="2" t="s">
        <v>5196</v>
      </c>
      <c r="D1332" s="2">
        <v>1.0028027568273113E-4</v>
      </c>
      <c r="E1332" s="12" t="s">
        <v>5197</v>
      </c>
    </row>
    <row r="1333">
      <c r="A1333" s="2" t="s">
        <v>5199</v>
      </c>
      <c r="B1333" s="2" t="s">
        <v>5198</v>
      </c>
      <c r="C1333" s="2" t="s">
        <v>5200</v>
      </c>
      <c r="D1333" s="2">
        <v>1.0028027568273113E-4</v>
      </c>
      <c r="E1333" s="12" t="s">
        <v>5201</v>
      </c>
    </row>
    <row r="1334">
      <c r="A1334" s="2" t="s">
        <v>5203</v>
      </c>
      <c r="B1334" s="2" t="s">
        <v>5202</v>
      </c>
      <c r="C1334" s="2" t="s">
        <v>5204</v>
      </c>
      <c r="D1334" s="2">
        <v>1.0028027568273113E-4</v>
      </c>
      <c r="E1334" s="12" t="s">
        <v>5205</v>
      </c>
    </row>
    <row r="1335">
      <c r="A1335" s="2" t="s">
        <v>5207</v>
      </c>
      <c r="B1335" s="2" t="s">
        <v>5206</v>
      </c>
      <c r="C1335" s="2" t="s">
        <v>5208</v>
      </c>
      <c r="D1335" s="2">
        <v>1.0028027568273113E-4</v>
      </c>
      <c r="E1335" s="12" t="s">
        <v>5209</v>
      </c>
    </row>
    <row r="1336">
      <c r="A1336" s="2" t="s">
        <v>5211</v>
      </c>
      <c r="B1336" s="2" t="s">
        <v>5210</v>
      </c>
      <c r="C1336" s="2" t="s">
        <v>5212</v>
      </c>
      <c r="D1336" s="2">
        <v>1.0028027568273113E-4</v>
      </c>
      <c r="E1336" s="12" t="s">
        <v>5213</v>
      </c>
    </row>
    <row r="1337">
      <c r="A1337" s="2" t="s">
        <v>5215</v>
      </c>
      <c r="B1337" s="2" t="s">
        <v>5214</v>
      </c>
      <c r="C1337" s="2" t="s">
        <v>5216</v>
      </c>
      <c r="D1337" s="2">
        <v>1.0028027568273113E-4</v>
      </c>
      <c r="E1337" s="12" t="s">
        <v>5217</v>
      </c>
    </row>
    <row r="1338">
      <c r="A1338" s="2" t="s">
        <v>5219</v>
      </c>
      <c r="B1338" s="2" t="s">
        <v>5218</v>
      </c>
      <c r="C1338" s="2" t="s">
        <v>5220</v>
      </c>
      <c r="D1338" s="2">
        <v>1.0028027568273113E-4</v>
      </c>
      <c r="E1338" s="12" t="s">
        <v>5221</v>
      </c>
    </row>
    <row r="1339">
      <c r="A1339" s="2" t="s">
        <v>5223</v>
      </c>
      <c r="B1339" s="2" t="s">
        <v>5222</v>
      </c>
      <c r="C1339" s="2" t="s">
        <v>5224</v>
      </c>
      <c r="D1339" s="2">
        <v>1.0028027568273113E-4</v>
      </c>
      <c r="E1339" s="12" t="s">
        <v>5225</v>
      </c>
    </row>
    <row r="1340">
      <c r="A1340" s="2" t="s">
        <v>5227</v>
      </c>
      <c r="B1340" s="2" t="s">
        <v>5226</v>
      </c>
      <c r="C1340" s="2" t="s">
        <v>5228</v>
      </c>
      <c r="D1340" s="2">
        <v>1.0028027568273113E-4</v>
      </c>
      <c r="E1340" s="12" t="s">
        <v>3108</v>
      </c>
    </row>
    <row r="1341">
      <c r="A1341" s="2" t="s">
        <v>5230</v>
      </c>
      <c r="B1341" s="2" t="s">
        <v>5229</v>
      </c>
      <c r="C1341" s="2" t="s">
        <v>5231</v>
      </c>
      <c r="D1341" s="2">
        <v>1.0028027568273113E-4</v>
      </c>
      <c r="E1341" s="12" t="s">
        <v>5232</v>
      </c>
    </row>
    <row r="1342">
      <c r="A1342" s="2" t="s">
        <v>5234</v>
      </c>
      <c r="B1342" s="2" t="s">
        <v>5233</v>
      </c>
      <c r="C1342" s="2" t="s">
        <v>5235</v>
      </c>
      <c r="D1342" s="2">
        <v>1.0028027568273113E-4</v>
      </c>
      <c r="E1342" s="12" t="s">
        <v>5236</v>
      </c>
    </row>
    <row r="1343">
      <c r="A1343" s="2" t="s">
        <v>5238</v>
      </c>
      <c r="B1343" s="2" t="s">
        <v>5237</v>
      </c>
      <c r="C1343" s="2" t="s">
        <v>5239</v>
      </c>
      <c r="D1343" s="2">
        <v>1.0028027568273113E-4</v>
      </c>
      <c r="E1343" s="12" t="s">
        <v>5240</v>
      </c>
    </row>
    <row r="1344">
      <c r="A1344" s="2" t="s">
        <v>5242</v>
      </c>
      <c r="B1344" s="2" t="s">
        <v>5241</v>
      </c>
      <c r="C1344" s="2" t="s">
        <v>5243</v>
      </c>
      <c r="D1344" s="2">
        <v>1.0028027568273113E-4</v>
      </c>
      <c r="E1344" s="12" t="s">
        <v>5244</v>
      </c>
    </row>
    <row r="1345">
      <c r="A1345" s="2" t="s">
        <v>5246</v>
      </c>
      <c r="B1345" s="2" t="s">
        <v>5245</v>
      </c>
      <c r="C1345" s="2" t="s">
        <v>5247</v>
      </c>
      <c r="D1345" s="2">
        <v>1.0028027568273113E-4</v>
      </c>
      <c r="E1345" s="12" t="s">
        <v>5248</v>
      </c>
    </row>
    <row r="1346">
      <c r="A1346" s="2" t="s">
        <v>5250</v>
      </c>
      <c r="B1346" s="2" t="s">
        <v>5249</v>
      </c>
      <c r="C1346" s="2" t="s">
        <v>5251</v>
      </c>
      <c r="D1346" s="2">
        <v>1.0028027568273113E-4</v>
      </c>
      <c r="E1346" s="12" t="s">
        <v>5252</v>
      </c>
    </row>
    <row r="1347">
      <c r="A1347" s="2" t="s">
        <v>5254</v>
      </c>
      <c r="B1347" s="2" t="s">
        <v>5253</v>
      </c>
      <c r="C1347" s="2" t="s">
        <v>5255</v>
      </c>
      <c r="D1347" s="2">
        <v>1.0028027568273113E-4</v>
      </c>
      <c r="E1347" s="12" t="s">
        <v>4752</v>
      </c>
    </row>
    <row r="1348">
      <c r="A1348" s="2" t="s">
        <v>5257</v>
      </c>
      <c r="B1348" s="2" t="s">
        <v>5256</v>
      </c>
      <c r="C1348" s="2" t="s">
        <v>5258</v>
      </c>
      <c r="D1348" s="2">
        <v>1.0028027568273113E-4</v>
      </c>
      <c r="E1348" s="12" t="s">
        <v>5259</v>
      </c>
    </row>
    <row r="1349">
      <c r="A1349" s="2" t="s">
        <v>5261</v>
      </c>
      <c r="B1349" s="2" t="s">
        <v>5260</v>
      </c>
      <c r="C1349" s="2" t="s">
        <v>5262</v>
      </c>
      <c r="D1349" s="2">
        <v>1.0028027568273113E-4</v>
      </c>
      <c r="E1349" s="12" t="s">
        <v>5263</v>
      </c>
    </row>
    <row r="1350">
      <c r="A1350" s="2" t="s">
        <v>5265</v>
      </c>
      <c r="B1350" s="2" t="s">
        <v>5264</v>
      </c>
      <c r="C1350" s="2" t="s">
        <v>5266</v>
      </c>
      <c r="D1350" s="2">
        <v>1.0028027568273113E-4</v>
      </c>
      <c r="E1350" s="12" t="s">
        <v>5267</v>
      </c>
    </row>
    <row r="1351">
      <c r="A1351" s="2" t="s">
        <v>5269</v>
      </c>
      <c r="B1351" s="2" t="s">
        <v>5268</v>
      </c>
      <c r="C1351" s="2" t="s">
        <v>5270</v>
      </c>
      <c r="D1351" s="2">
        <v>1.0028027568273113E-4</v>
      </c>
      <c r="E1351" s="12" t="s">
        <v>5271</v>
      </c>
    </row>
    <row r="1352">
      <c r="A1352" s="2" t="s">
        <v>5273</v>
      </c>
      <c r="B1352" s="2" t="s">
        <v>5272</v>
      </c>
      <c r="D1352" s="2">
        <v>1.0028027568273113E-4</v>
      </c>
      <c r="E1352" s="12" t="s">
        <v>5274</v>
      </c>
    </row>
    <row r="1353">
      <c r="A1353" s="2" t="s">
        <v>5276</v>
      </c>
      <c r="B1353" s="2" t="s">
        <v>5275</v>
      </c>
      <c r="C1353" s="2" t="s">
        <v>5277</v>
      </c>
      <c r="D1353" s="2">
        <v>1.0028027568273113E-4</v>
      </c>
      <c r="E1353" s="12" t="s">
        <v>5278</v>
      </c>
    </row>
    <row r="1354">
      <c r="A1354" s="2" t="s">
        <v>5280</v>
      </c>
      <c r="B1354" s="2" t="s">
        <v>5279</v>
      </c>
      <c r="C1354" s="2" t="s">
        <v>5281</v>
      </c>
      <c r="D1354" s="2">
        <v>1.0028027568273113E-4</v>
      </c>
      <c r="E1354" s="12" t="s">
        <v>5282</v>
      </c>
    </row>
    <row r="1355">
      <c r="A1355" s="2" t="s">
        <v>5284</v>
      </c>
      <c r="B1355" s="2" t="s">
        <v>5283</v>
      </c>
      <c r="C1355" s="2" t="s">
        <v>5285</v>
      </c>
      <c r="D1355" s="2">
        <v>1.0028027568273113E-4</v>
      </c>
      <c r="E1355" s="12" t="s">
        <v>5286</v>
      </c>
    </row>
    <row r="1356">
      <c r="A1356" s="2" t="s">
        <v>5288</v>
      </c>
      <c r="B1356" s="2" t="s">
        <v>5287</v>
      </c>
      <c r="C1356" s="2" t="s">
        <v>5289</v>
      </c>
      <c r="D1356" s="2">
        <v>1.0028027568273113E-4</v>
      </c>
      <c r="E1356" s="12" t="s">
        <v>5290</v>
      </c>
    </row>
    <row r="1357">
      <c r="A1357" s="2" t="s">
        <v>5292</v>
      </c>
      <c r="B1357" s="2" t="s">
        <v>5291</v>
      </c>
      <c r="D1357" s="2">
        <v>1.0028027568273113E-4</v>
      </c>
      <c r="E1357" s="12" t="s">
        <v>5293</v>
      </c>
    </row>
    <row r="1358">
      <c r="A1358" s="2" t="s">
        <v>5295</v>
      </c>
      <c r="B1358" s="2" t="s">
        <v>5294</v>
      </c>
      <c r="C1358" s="2" t="s">
        <v>5296</v>
      </c>
      <c r="D1358" s="2">
        <v>1.0028027568273113E-4</v>
      </c>
      <c r="E1358" s="12" t="s">
        <v>5297</v>
      </c>
    </row>
    <row r="1359">
      <c r="A1359" s="2" t="s">
        <v>5299</v>
      </c>
      <c r="B1359" s="2" t="s">
        <v>5298</v>
      </c>
      <c r="C1359" s="2" t="s">
        <v>5300</v>
      </c>
      <c r="D1359" s="2">
        <v>1.0028027568273113E-4</v>
      </c>
      <c r="E1359" s="12" t="s">
        <v>5301</v>
      </c>
    </row>
    <row r="1360">
      <c r="A1360" s="2" t="s">
        <v>5303</v>
      </c>
      <c r="B1360" s="2" t="s">
        <v>5302</v>
      </c>
      <c r="C1360" s="2" t="s">
        <v>5304</v>
      </c>
      <c r="D1360" s="2">
        <v>1.0028027568273113E-4</v>
      </c>
      <c r="E1360" s="12" t="s">
        <v>5305</v>
      </c>
    </row>
    <row r="1361">
      <c r="A1361" s="2" t="s">
        <v>5307</v>
      </c>
      <c r="B1361" s="2" t="s">
        <v>5306</v>
      </c>
      <c r="C1361" s="2" t="s">
        <v>5308</v>
      </c>
      <c r="D1361" s="2">
        <v>1.0028027568273113E-4</v>
      </c>
      <c r="E1361" s="12" t="s">
        <v>5309</v>
      </c>
    </row>
    <row r="1362">
      <c r="A1362" s="2" t="s">
        <v>5311</v>
      </c>
      <c r="B1362" s="2" t="s">
        <v>5310</v>
      </c>
      <c r="C1362" s="2" t="s">
        <v>5312</v>
      </c>
      <c r="D1362" s="2">
        <v>1.0028027568273113E-4</v>
      </c>
      <c r="E1362" s="12" t="s">
        <v>5313</v>
      </c>
    </row>
    <row r="1363">
      <c r="A1363" s="2" t="s">
        <v>5315</v>
      </c>
      <c r="B1363" s="2" t="s">
        <v>5314</v>
      </c>
      <c r="C1363" s="2" t="s">
        <v>5316</v>
      </c>
      <c r="D1363" s="2">
        <v>1.0028027568273113E-4</v>
      </c>
      <c r="E1363" s="12" t="s">
        <v>5317</v>
      </c>
    </row>
    <row r="1364">
      <c r="A1364" s="2" t="s">
        <v>5319</v>
      </c>
      <c r="B1364" s="2" t="s">
        <v>5318</v>
      </c>
      <c r="C1364" s="2" t="s">
        <v>5320</v>
      </c>
      <c r="D1364" s="2">
        <v>1.0028027568273113E-4</v>
      </c>
      <c r="E1364" s="12" t="s">
        <v>5321</v>
      </c>
    </row>
    <row r="1365">
      <c r="A1365" s="2" t="s">
        <v>5323</v>
      </c>
      <c r="B1365" s="2" t="s">
        <v>5322</v>
      </c>
      <c r="C1365" s="2" t="s">
        <v>5324</v>
      </c>
      <c r="D1365" s="2">
        <v>1.0028027568273113E-4</v>
      </c>
      <c r="E1365" s="12" t="s">
        <v>341</v>
      </c>
    </row>
    <row r="1366">
      <c r="A1366" s="2" t="s">
        <v>5326</v>
      </c>
      <c r="B1366" s="2" t="s">
        <v>5325</v>
      </c>
      <c r="D1366" s="2">
        <v>1.0028027568273113E-4</v>
      </c>
      <c r="E1366" s="12" t="s">
        <v>5327</v>
      </c>
    </row>
    <row r="1367">
      <c r="A1367" s="2" t="s">
        <v>5329</v>
      </c>
      <c r="B1367" s="2" t="s">
        <v>5328</v>
      </c>
      <c r="C1367" s="2" t="s">
        <v>5330</v>
      </c>
      <c r="D1367" s="2">
        <v>1.0028027568273113E-4</v>
      </c>
      <c r="E1367" s="12" t="s">
        <v>158</v>
      </c>
    </row>
    <row r="1368">
      <c r="A1368" s="2" t="s">
        <v>5332</v>
      </c>
      <c r="B1368" s="2" t="s">
        <v>5331</v>
      </c>
      <c r="C1368" s="2" t="s">
        <v>5333</v>
      </c>
      <c r="D1368" s="2">
        <v>1.0028027568273113E-4</v>
      </c>
      <c r="E1368" s="12" t="s">
        <v>5334</v>
      </c>
    </row>
    <row r="1369">
      <c r="A1369" s="2" t="s">
        <v>5336</v>
      </c>
      <c r="B1369" s="2" t="s">
        <v>5335</v>
      </c>
      <c r="D1369" s="2">
        <v>1.0028027568273113E-4</v>
      </c>
      <c r="E1369" s="12" t="s">
        <v>3240</v>
      </c>
    </row>
    <row r="1370">
      <c r="A1370" s="2" t="s">
        <v>5338</v>
      </c>
      <c r="B1370" s="2" t="s">
        <v>5337</v>
      </c>
      <c r="C1370" s="2" t="s">
        <v>5339</v>
      </c>
      <c r="D1370" s="2">
        <v>1.0028027568273113E-4</v>
      </c>
      <c r="E1370" s="12" t="s">
        <v>4081</v>
      </c>
    </row>
    <row r="1371">
      <c r="A1371" s="2" t="s">
        <v>5341</v>
      </c>
      <c r="B1371" s="2" t="s">
        <v>5340</v>
      </c>
      <c r="D1371" s="2">
        <v>1.0028027568273113E-4</v>
      </c>
      <c r="E1371" s="12" t="s">
        <v>5342</v>
      </c>
    </row>
    <row r="1372">
      <c r="A1372" s="2" t="s">
        <v>5344</v>
      </c>
      <c r="B1372" s="2" t="s">
        <v>5343</v>
      </c>
      <c r="C1372" s="2" t="s">
        <v>5345</v>
      </c>
      <c r="D1372" s="2">
        <v>1.0028027568273113E-4</v>
      </c>
      <c r="E1372" s="12" t="s">
        <v>5346</v>
      </c>
    </row>
    <row r="1373">
      <c r="A1373" s="2" t="s">
        <v>5348</v>
      </c>
      <c r="B1373" s="2" t="s">
        <v>5347</v>
      </c>
      <c r="C1373" s="2" t="s">
        <v>5349</v>
      </c>
      <c r="D1373" s="2">
        <v>1.0028027568273113E-4</v>
      </c>
      <c r="E1373" s="12" t="s">
        <v>5350</v>
      </c>
    </row>
    <row r="1374">
      <c r="A1374" s="2" t="s">
        <v>5352</v>
      </c>
      <c r="B1374" s="2" t="s">
        <v>5351</v>
      </c>
      <c r="C1374" s="2" t="s">
        <v>5353</v>
      </c>
      <c r="D1374" s="2">
        <v>1.0028027568273113E-4</v>
      </c>
      <c r="E1374" s="12" t="s">
        <v>5354</v>
      </c>
    </row>
    <row r="1375">
      <c r="A1375" s="2" t="s">
        <v>5356</v>
      </c>
      <c r="B1375" s="2" t="s">
        <v>5355</v>
      </c>
      <c r="C1375" s="2" t="s">
        <v>5357</v>
      </c>
      <c r="D1375" s="2">
        <v>1.0028027568273113E-4</v>
      </c>
      <c r="E1375" s="12" t="s">
        <v>5358</v>
      </c>
    </row>
    <row r="1376">
      <c r="A1376" s="2" t="s">
        <v>5360</v>
      </c>
      <c r="B1376" s="2" t="s">
        <v>5359</v>
      </c>
      <c r="C1376" s="2" t="s">
        <v>5361</v>
      </c>
      <c r="D1376" s="2">
        <v>1.0028027568273113E-4</v>
      </c>
      <c r="E1376" s="12" t="s">
        <v>5362</v>
      </c>
    </row>
    <row r="1377">
      <c r="A1377" s="2" t="s">
        <v>5364</v>
      </c>
      <c r="B1377" s="2" t="s">
        <v>5363</v>
      </c>
      <c r="C1377" s="2" t="s">
        <v>5365</v>
      </c>
      <c r="D1377" s="2">
        <v>1.0028027568273113E-4</v>
      </c>
      <c r="E1377" s="12" t="s">
        <v>5366</v>
      </c>
    </row>
    <row r="1378">
      <c r="A1378" s="2" t="s">
        <v>5368</v>
      </c>
      <c r="B1378" s="2" t="s">
        <v>5367</v>
      </c>
      <c r="C1378" s="2" t="s">
        <v>5369</v>
      </c>
      <c r="D1378" s="2">
        <v>1.0028027568273113E-4</v>
      </c>
      <c r="E1378" s="12" t="s">
        <v>5370</v>
      </c>
    </row>
    <row r="1379">
      <c r="A1379" s="2" t="s">
        <v>5372</v>
      </c>
      <c r="B1379" s="2" t="s">
        <v>5371</v>
      </c>
      <c r="C1379" s="2" t="s">
        <v>5373</v>
      </c>
      <c r="D1379" s="2">
        <v>1.0028027568273113E-4</v>
      </c>
      <c r="E1379" s="12" t="s">
        <v>5374</v>
      </c>
    </row>
    <row r="1380">
      <c r="A1380" s="2" t="s">
        <v>5376</v>
      </c>
      <c r="B1380" s="2" t="s">
        <v>5375</v>
      </c>
      <c r="C1380" s="2" t="s">
        <v>5377</v>
      </c>
      <c r="D1380" s="2">
        <v>1.0028027568273113E-4</v>
      </c>
      <c r="E1380" s="12" t="s">
        <v>5378</v>
      </c>
    </row>
    <row r="1381">
      <c r="A1381" s="2" t="s">
        <v>5380</v>
      </c>
      <c r="B1381" s="2" t="s">
        <v>5379</v>
      </c>
      <c r="C1381" s="2" t="s">
        <v>5381</v>
      </c>
      <c r="D1381" s="2">
        <v>1.0028027568273113E-4</v>
      </c>
      <c r="E1381" s="12" t="s">
        <v>5382</v>
      </c>
    </row>
    <row r="1382">
      <c r="A1382" s="2" t="s">
        <v>5384</v>
      </c>
      <c r="B1382" s="2" t="s">
        <v>5383</v>
      </c>
      <c r="C1382" s="2" t="s">
        <v>5385</v>
      </c>
      <c r="D1382" s="2">
        <v>1.0028027568273113E-4</v>
      </c>
      <c r="E1382" s="12" t="s">
        <v>5386</v>
      </c>
    </row>
    <row r="1383">
      <c r="A1383" s="2" t="s">
        <v>5388</v>
      </c>
      <c r="B1383" s="2" t="s">
        <v>5387</v>
      </c>
      <c r="D1383" s="2">
        <v>1.0028027568273113E-4</v>
      </c>
      <c r="E1383" s="12" t="s">
        <v>5389</v>
      </c>
    </row>
    <row r="1384">
      <c r="A1384" s="2" t="s">
        <v>5391</v>
      </c>
      <c r="B1384" s="2" t="s">
        <v>5390</v>
      </c>
      <c r="C1384" s="2" t="s">
        <v>5392</v>
      </c>
      <c r="D1384" s="2">
        <v>1.0028027568273113E-4</v>
      </c>
      <c r="E1384" s="12" t="s">
        <v>5393</v>
      </c>
    </row>
    <row r="1385">
      <c r="A1385" s="2" t="s">
        <v>5395</v>
      </c>
      <c r="B1385" s="2" t="s">
        <v>5394</v>
      </c>
      <c r="C1385" s="2" t="s">
        <v>5396</v>
      </c>
      <c r="D1385" s="2">
        <v>1.0028027568273113E-4</v>
      </c>
      <c r="E1385" s="12" t="s">
        <v>5397</v>
      </c>
    </row>
    <row r="1386">
      <c r="A1386" s="2" t="s">
        <v>5399</v>
      </c>
      <c r="B1386" s="2" t="s">
        <v>5398</v>
      </c>
      <c r="C1386" s="2" t="s">
        <v>5400</v>
      </c>
      <c r="D1386" s="2">
        <v>1.0028027568273113E-4</v>
      </c>
      <c r="E1386" s="12" t="s">
        <v>4204</v>
      </c>
    </row>
    <row r="1387">
      <c r="A1387" s="2" t="s">
        <v>5402</v>
      </c>
      <c r="B1387" s="2" t="s">
        <v>5401</v>
      </c>
      <c r="C1387" s="2" t="s">
        <v>5403</v>
      </c>
      <c r="D1387" s="2">
        <v>1.0028027568273113E-4</v>
      </c>
      <c r="E1387" s="12" t="s">
        <v>5404</v>
      </c>
    </row>
    <row r="1388">
      <c r="A1388" s="2" t="s">
        <v>5406</v>
      </c>
      <c r="B1388" s="2" t="s">
        <v>5405</v>
      </c>
      <c r="C1388" s="2" t="s">
        <v>5407</v>
      </c>
      <c r="D1388" s="2">
        <v>1.0028027568273113E-4</v>
      </c>
      <c r="E1388" s="12" t="s">
        <v>5408</v>
      </c>
    </row>
    <row r="1389">
      <c r="A1389" s="2" t="s">
        <v>5410</v>
      </c>
      <c r="B1389" s="2" t="s">
        <v>5409</v>
      </c>
      <c r="C1389" s="2" t="s">
        <v>5411</v>
      </c>
      <c r="D1389" s="2">
        <v>1.0028027568273113E-4</v>
      </c>
      <c r="E1389" s="12" t="s">
        <v>5412</v>
      </c>
    </row>
    <row r="1390">
      <c r="A1390" s="2" t="s">
        <v>5414</v>
      </c>
      <c r="B1390" s="2" t="s">
        <v>5413</v>
      </c>
      <c r="C1390" s="2" t="s">
        <v>5415</v>
      </c>
      <c r="D1390" s="2">
        <v>1.0028027568273113E-4</v>
      </c>
      <c r="E1390" s="12" t="s">
        <v>5416</v>
      </c>
    </row>
    <row r="1391">
      <c r="A1391" s="2" t="s">
        <v>5418</v>
      </c>
      <c r="B1391" s="2" t="s">
        <v>5417</v>
      </c>
      <c r="C1391" s="2" t="s">
        <v>5419</v>
      </c>
      <c r="D1391" s="2">
        <v>1.0028027568273113E-4</v>
      </c>
      <c r="E1391" s="12" t="s">
        <v>5420</v>
      </c>
    </row>
    <row r="1392">
      <c r="A1392" s="2" t="s">
        <v>5422</v>
      </c>
      <c r="B1392" s="2" t="s">
        <v>5421</v>
      </c>
      <c r="C1392" s="2" t="s">
        <v>5423</v>
      </c>
      <c r="D1392" s="2">
        <v>1.0028027568273113E-4</v>
      </c>
      <c r="E1392" s="12" t="s">
        <v>5424</v>
      </c>
    </row>
    <row r="1393">
      <c r="A1393" s="2" t="s">
        <v>5426</v>
      </c>
      <c r="B1393" s="2" t="s">
        <v>5425</v>
      </c>
      <c r="C1393" s="2" t="s">
        <v>5427</v>
      </c>
      <c r="D1393" s="2">
        <v>1.0028027568273113E-4</v>
      </c>
      <c r="E1393" s="12" t="s">
        <v>5428</v>
      </c>
    </row>
    <row r="1394">
      <c r="A1394" s="2" t="s">
        <v>5430</v>
      </c>
      <c r="B1394" s="2" t="s">
        <v>5429</v>
      </c>
      <c r="C1394" s="2" t="s">
        <v>5431</v>
      </c>
      <c r="D1394" s="2">
        <v>1.0028027568273113E-4</v>
      </c>
      <c r="E1394" s="12" t="s">
        <v>5432</v>
      </c>
    </row>
    <row r="1395">
      <c r="A1395" s="2" t="s">
        <v>5434</v>
      </c>
      <c r="B1395" s="2" t="s">
        <v>5433</v>
      </c>
      <c r="D1395" s="2">
        <v>1.0028027568273113E-4</v>
      </c>
      <c r="E1395" s="12" t="s">
        <v>5435</v>
      </c>
    </row>
    <row r="1396">
      <c r="A1396" s="2" t="s">
        <v>5437</v>
      </c>
      <c r="B1396" s="2" t="s">
        <v>5436</v>
      </c>
      <c r="D1396" s="2">
        <v>1.0028027568273113E-4</v>
      </c>
      <c r="E1396" s="12" t="s">
        <v>5438</v>
      </c>
    </row>
    <row r="1397">
      <c r="A1397" s="2" t="s">
        <v>5440</v>
      </c>
      <c r="B1397" s="2" t="s">
        <v>5439</v>
      </c>
      <c r="C1397" s="2" t="s">
        <v>5441</v>
      </c>
      <c r="D1397" s="2">
        <v>1.0028027568273113E-4</v>
      </c>
      <c r="E1397" s="12" t="s">
        <v>5442</v>
      </c>
    </row>
    <row r="1398">
      <c r="A1398" s="2" t="s">
        <v>5444</v>
      </c>
      <c r="B1398" s="2" t="s">
        <v>5443</v>
      </c>
      <c r="C1398" s="2" t="s">
        <v>5445</v>
      </c>
      <c r="D1398" s="2">
        <v>1.0028027568273113E-4</v>
      </c>
      <c r="E1398" s="12" t="s">
        <v>5446</v>
      </c>
    </row>
    <row r="1399">
      <c r="A1399" s="2" t="s">
        <v>5448</v>
      </c>
      <c r="B1399" s="2" t="s">
        <v>5447</v>
      </c>
      <c r="C1399" s="2" t="s">
        <v>5449</v>
      </c>
      <c r="D1399" s="2">
        <v>1.0028027568273113E-4</v>
      </c>
      <c r="E1399" s="12" t="s">
        <v>5450</v>
      </c>
    </row>
    <row r="1400">
      <c r="A1400" s="2" t="s">
        <v>5452</v>
      </c>
      <c r="B1400" s="2" t="s">
        <v>5451</v>
      </c>
      <c r="C1400" s="2" t="s">
        <v>5453</v>
      </c>
      <c r="D1400" s="2">
        <v>1.0028027568273113E-4</v>
      </c>
      <c r="E1400" s="12" t="s">
        <v>5454</v>
      </c>
    </row>
    <row r="1401">
      <c r="A1401" s="2" t="s">
        <v>5456</v>
      </c>
      <c r="B1401" s="2" t="s">
        <v>5455</v>
      </c>
      <c r="C1401" s="2" t="s">
        <v>5457</v>
      </c>
      <c r="D1401" s="2">
        <v>1.0028027568273113E-4</v>
      </c>
      <c r="E1401" s="12" t="s">
        <v>5458</v>
      </c>
    </row>
    <row r="1402">
      <c r="A1402" s="2" t="s">
        <v>5460</v>
      </c>
      <c r="B1402" s="2" t="s">
        <v>5459</v>
      </c>
      <c r="C1402" s="2" t="s">
        <v>5461</v>
      </c>
      <c r="D1402" s="2">
        <v>1.0028027568273113E-4</v>
      </c>
      <c r="E1402" s="12" t="s">
        <v>5462</v>
      </c>
    </row>
    <row r="1403">
      <c r="A1403" s="2" t="s">
        <v>5464</v>
      </c>
      <c r="B1403" s="2" t="s">
        <v>5463</v>
      </c>
      <c r="C1403" s="2" t="s">
        <v>5465</v>
      </c>
      <c r="D1403" s="2">
        <v>1.0028027568273113E-4</v>
      </c>
      <c r="E1403" s="12" t="s">
        <v>5466</v>
      </c>
    </row>
    <row r="1404">
      <c r="A1404" s="2" t="s">
        <v>5468</v>
      </c>
      <c r="B1404" s="2" t="s">
        <v>5467</v>
      </c>
      <c r="C1404" s="2" t="s">
        <v>5469</v>
      </c>
      <c r="D1404" s="2">
        <v>1.0028027568273113E-4</v>
      </c>
      <c r="E1404" s="12" t="s">
        <v>5470</v>
      </c>
    </row>
    <row r="1405">
      <c r="A1405" s="2" t="s">
        <v>5472</v>
      </c>
      <c r="B1405" s="2" t="s">
        <v>5471</v>
      </c>
      <c r="C1405" s="2" t="s">
        <v>5473</v>
      </c>
      <c r="D1405" s="2">
        <v>1.0028027568273113E-4</v>
      </c>
      <c r="E1405" s="12" t="s">
        <v>1968</v>
      </c>
    </row>
    <row r="1406">
      <c r="A1406" s="2" t="s">
        <v>5474</v>
      </c>
      <c r="B1406" s="2" t="s">
        <v>1092</v>
      </c>
      <c r="C1406" s="2" t="s">
        <v>5475</v>
      </c>
      <c r="D1406" s="2">
        <v>1.0028027568273113E-4</v>
      </c>
      <c r="E1406" s="12" t="s">
        <v>4346</v>
      </c>
    </row>
    <row r="1407">
      <c r="A1407" s="2" t="s">
        <v>5477</v>
      </c>
      <c r="B1407" s="2" t="s">
        <v>5476</v>
      </c>
      <c r="C1407" s="2" t="s">
        <v>5478</v>
      </c>
      <c r="D1407" s="2">
        <v>1.0028027568273113E-4</v>
      </c>
      <c r="E1407" s="12" t="s">
        <v>5479</v>
      </c>
    </row>
    <row r="1408">
      <c r="A1408" s="2" t="s">
        <v>5481</v>
      </c>
      <c r="B1408" s="2" t="s">
        <v>5480</v>
      </c>
      <c r="D1408" s="2">
        <v>1.0028027568273113E-4</v>
      </c>
      <c r="E1408" s="12" t="s">
        <v>5442</v>
      </c>
    </row>
    <row r="1409">
      <c r="A1409" s="2" t="s">
        <v>5483</v>
      </c>
      <c r="B1409" s="2" t="s">
        <v>5482</v>
      </c>
      <c r="C1409" s="2" t="s">
        <v>5484</v>
      </c>
      <c r="D1409" s="2">
        <v>1.0028027568273113E-4</v>
      </c>
      <c r="E1409" s="12" t="s">
        <v>5485</v>
      </c>
    </row>
    <row r="1410">
      <c r="A1410" s="2" t="s">
        <v>5487</v>
      </c>
      <c r="B1410" s="2" t="s">
        <v>5486</v>
      </c>
      <c r="C1410" s="2" t="s">
        <v>5488</v>
      </c>
      <c r="D1410" s="2">
        <v>1.0028027568273113E-4</v>
      </c>
      <c r="E1410" s="12" t="s">
        <v>5489</v>
      </c>
    </row>
    <row r="1411">
      <c r="A1411" s="2" t="s">
        <v>5491</v>
      </c>
      <c r="B1411" s="2" t="s">
        <v>5490</v>
      </c>
      <c r="D1411" s="2">
        <v>1.0028027568273113E-4</v>
      </c>
      <c r="E1411" s="12" t="s">
        <v>5492</v>
      </c>
    </row>
    <row r="1412">
      <c r="A1412" s="2" t="s">
        <v>5494</v>
      </c>
      <c r="B1412" s="2" t="s">
        <v>5493</v>
      </c>
      <c r="C1412" s="2" t="s">
        <v>5495</v>
      </c>
      <c r="D1412" s="2">
        <v>1.0028027568273113E-4</v>
      </c>
      <c r="E1412" s="12" t="s">
        <v>5496</v>
      </c>
    </row>
    <row r="1413">
      <c r="A1413" s="2" t="s">
        <v>5498</v>
      </c>
      <c r="B1413" s="2" t="s">
        <v>5497</v>
      </c>
      <c r="C1413" s="2" t="s">
        <v>5499</v>
      </c>
      <c r="D1413" s="2">
        <v>1.0028027568273113E-4</v>
      </c>
      <c r="E1413" s="12" t="s">
        <v>5500</v>
      </c>
    </row>
    <row r="1414">
      <c r="A1414" s="2" t="s">
        <v>5502</v>
      </c>
      <c r="B1414" s="2" t="s">
        <v>5501</v>
      </c>
      <c r="C1414" s="2" t="s">
        <v>5503</v>
      </c>
      <c r="D1414" s="2">
        <v>1.0028027568273113E-4</v>
      </c>
      <c r="E1414" s="12" t="s">
        <v>5504</v>
      </c>
    </row>
    <row r="1415">
      <c r="A1415" s="2" t="s">
        <v>5506</v>
      </c>
      <c r="B1415" s="2" t="s">
        <v>5505</v>
      </c>
      <c r="D1415" s="2">
        <v>1.0028027568273113E-4</v>
      </c>
      <c r="E1415" s="12" t="s">
        <v>5507</v>
      </c>
    </row>
    <row r="1416">
      <c r="A1416" s="2" t="s">
        <v>5509</v>
      </c>
      <c r="B1416" s="2" t="s">
        <v>5508</v>
      </c>
      <c r="C1416" s="2" t="s">
        <v>5510</v>
      </c>
      <c r="D1416" s="2">
        <v>1.0028027568273113E-4</v>
      </c>
      <c r="E1416" s="12" t="s">
        <v>5511</v>
      </c>
    </row>
    <row r="1417">
      <c r="A1417" s="2" t="s">
        <v>5513</v>
      </c>
      <c r="B1417" s="2" t="s">
        <v>5512</v>
      </c>
      <c r="D1417" s="2">
        <v>1.0028027568273113E-4</v>
      </c>
      <c r="E1417" s="12" t="s">
        <v>5514</v>
      </c>
    </row>
    <row r="1418">
      <c r="A1418" s="2" t="s">
        <v>5516</v>
      </c>
      <c r="B1418" s="2" t="s">
        <v>5515</v>
      </c>
      <c r="C1418" s="2" t="s">
        <v>5517</v>
      </c>
      <c r="D1418" s="2">
        <v>1.0028027568273113E-4</v>
      </c>
      <c r="E1418" s="12" t="s">
        <v>5518</v>
      </c>
    </row>
    <row r="1419">
      <c r="A1419" s="2" t="s">
        <v>5520</v>
      </c>
      <c r="B1419" s="2" t="s">
        <v>5519</v>
      </c>
      <c r="C1419" s="2" t="s">
        <v>5521</v>
      </c>
      <c r="D1419" s="2">
        <v>1.0028027568273113E-4</v>
      </c>
      <c r="E1419" s="12" t="s">
        <v>5522</v>
      </c>
    </row>
    <row r="1420">
      <c r="A1420" s="2" t="s">
        <v>5524</v>
      </c>
      <c r="B1420" s="2" t="s">
        <v>5523</v>
      </c>
      <c r="C1420" s="2" t="s">
        <v>5525</v>
      </c>
      <c r="D1420" s="2">
        <v>1.0028027568273113E-4</v>
      </c>
      <c r="E1420" s="12" t="s">
        <v>5526</v>
      </c>
    </row>
    <row r="1421">
      <c r="A1421" s="2" t="s">
        <v>5528</v>
      </c>
      <c r="B1421" s="2" t="s">
        <v>5527</v>
      </c>
      <c r="C1421" s="2" t="s">
        <v>5529</v>
      </c>
      <c r="D1421" s="2">
        <v>1.0028027568273113E-4</v>
      </c>
      <c r="E1421" s="12" t="s">
        <v>5530</v>
      </c>
    </row>
    <row r="1422">
      <c r="A1422" s="2" t="s">
        <v>5532</v>
      </c>
      <c r="B1422" s="2" t="s">
        <v>5531</v>
      </c>
      <c r="C1422" s="2" t="s">
        <v>5533</v>
      </c>
      <c r="D1422" s="2">
        <v>1.0028027568273113E-4</v>
      </c>
      <c r="E1422" s="12" t="s">
        <v>1972</v>
      </c>
    </row>
    <row r="1423">
      <c r="A1423" s="2" t="s">
        <v>5535</v>
      </c>
      <c r="B1423" s="2" t="s">
        <v>5534</v>
      </c>
      <c r="D1423" s="2">
        <v>1.0028027568273113E-4</v>
      </c>
      <c r="E1423" s="12" t="s">
        <v>5536</v>
      </c>
    </row>
    <row r="1424">
      <c r="A1424" s="2" t="s">
        <v>5538</v>
      </c>
      <c r="B1424" s="2" t="s">
        <v>5537</v>
      </c>
      <c r="C1424" s="2" t="s">
        <v>5539</v>
      </c>
      <c r="D1424" s="2">
        <v>1.0028027568273113E-4</v>
      </c>
      <c r="E1424" s="12" t="s">
        <v>5540</v>
      </c>
    </row>
    <row r="1425">
      <c r="A1425" s="2" t="s">
        <v>5542</v>
      </c>
      <c r="B1425" s="2" t="s">
        <v>5541</v>
      </c>
      <c r="C1425" s="2" t="s">
        <v>5543</v>
      </c>
      <c r="D1425" s="2">
        <v>1.0028027568273113E-4</v>
      </c>
      <c r="E1425" s="12" t="s">
        <v>5544</v>
      </c>
    </row>
    <row r="1426">
      <c r="A1426" s="2" t="s">
        <v>5546</v>
      </c>
      <c r="B1426" s="2" t="s">
        <v>5545</v>
      </c>
      <c r="C1426" s="2" t="s">
        <v>5547</v>
      </c>
      <c r="D1426" s="2">
        <v>1.0028027568273113E-4</v>
      </c>
      <c r="E1426" s="12" t="s">
        <v>5548</v>
      </c>
    </row>
    <row r="1427">
      <c r="A1427" s="2" t="s">
        <v>5550</v>
      </c>
      <c r="B1427" s="2" t="s">
        <v>5549</v>
      </c>
      <c r="C1427" s="2" t="s">
        <v>5551</v>
      </c>
      <c r="D1427" s="2">
        <v>1.0028027568273113E-4</v>
      </c>
      <c r="E1427" s="12" t="s">
        <v>5552</v>
      </c>
    </row>
    <row r="1428">
      <c r="A1428" s="2" t="s">
        <v>5554</v>
      </c>
      <c r="B1428" s="2" t="s">
        <v>5553</v>
      </c>
      <c r="C1428" s="2" t="s">
        <v>5555</v>
      </c>
      <c r="D1428" s="2">
        <v>1.0028027568273113E-4</v>
      </c>
      <c r="E1428" s="12" t="s">
        <v>5556</v>
      </c>
    </row>
    <row r="1429">
      <c r="A1429" s="2" t="s">
        <v>5558</v>
      </c>
      <c r="B1429" s="2" t="s">
        <v>5557</v>
      </c>
      <c r="C1429" s="2" t="s">
        <v>5559</v>
      </c>
      <c r="D1429" s="2">
        <v>1.0028027568273113E-4</v>
      </c>
      <c r="E1429" s="12" t="s">
        <v>5560</v>
      </c>
    </row>
    <row r="1430">
      <c r="A1430" s="2" t="s">
        <v>5562</v>
      </c>
      <c r="B1430" s="2" t="s">
        <v>5561</v>
      </c>
      <c r="C1430" s="2" t="s">
        <v>5563</v>
      </c>
      <c r="D1430" s="2">
        <v>1.0028027568273113E-4</v>
      </c>
      <c r="E1430" s="12" t="s">
        <v>5564</v>
      </c>
    </row>
    <row r="1431">
      <c r="A1431" s="2" t="s">
        <v>5566</v>
      </c>
      <c r="B1431" s="2" t="s">
        <v>5565</v>
      </c>
      <c r="C1431" s="2" t="s">
        <v>5567</v>
      </c>
      <c r="D1431" s="2">
        <v>1.0028027568273113E-4</v>
      </c>
      <c r="E1431" s="12" t="s">
        <v>5568</v>
      </c>
    </row>
    <row r="1432">
      <c r="A1432" s="2" t="s">
        <v>5570</v>
      </c>
      <c r="B1432" s="2" t="s">
        <v>5569</v>
      </c>
      <c r="C1432" s="2" t="s">
        <v>5571</v>
      </c>
      <c r="D1432" s="2">
        <v>1.0028027568273113E-4</v>
      </c>
      <c r="E1432" s="12" t="s">
        <v>5572</v>
      </c>
    </row>
    <row r="1433">
      <c r="A1433" s="2" t="s">
        <v>5574</v>
      </c>
      <c r="B1433" s="2" t="s">
        <v>5573</v>
      </c>
      <c r="C1433" s="2" t="s">
        <v>5575</v>
      </c>
      <c r="D1433" s="2">
        <v>1.0028027568273113E-4</v>
      </c>
      <c r="E1433" s="12" t="s">
        <v>5576</v>
      </c>
    </row>
    <row r="1434">
      <c r="A1434" s="2" t="s">
        <v>5578</v>
      </c>
      <c r="B1434" s="2" t="s">
        <v>5577</v>
      </c>
      <c r="C1434" s="2" t="s">
        <v>5579</v>
      </c>
      <c r="D1434" s="2">
        <v>1.0028027568273113E-4</v>
      </c>
      <c r="E1434" s="12" t="s">
        <v>5580</v>
      </c>
    </row>
    <row r="1435">
      <c r="A1435" s="2" t="s">
        <v>5582</v>
      </c>
      <c r="B1435" s="2" t="s">
        <v>5581</v>
      </c>
      <c r="C1435" s="2" t="s">
        <v>5583</v>
      </c>
      <c r="D1435" s="2">
        <v>1.0028027568273113E-4</v>
      </c>
      <c r="E1435" s="12" t="s">
        <v>5584</v>
      </c>
    </row>
    <row r="1436">
      <c r="A1436" s="2" t="s">
        <v>5586</v>
      </c>
      <c r="B1436" s="2" t="s">
        <v>5585</v>
      </c>
      <c r="C1436" s="2" t="s">
        <v>5587</v>
      </c>
      <c r="D1436" s="2">
        <v>1.0028027568273113E-4</v>
      </c>
      <c r="E1436" s="12" t="s">
        <v>5588</v>
      </c>
    </row>
    <row r="1437">
      <c r="A1437" s="2" t="s">
        <v>5590</v>
      </c>
      <c r="B1437" s="2" t="s">
        <v>5589</v>
      </c>
      <c r="C1437" s="2" t="s">
        <v>5591</v>
      </c>
      <c r="D1437" s="2">
        <v>1.0028027568273113E-4</v>
      </c>
      <c r="E1437" s="12" t="s">
        <v>5592</v>
      </c>
    </row>
    <row r="1438">
      <c r="A1438" s="2" t="s">
        <v>5594</v>
      </c>
      <c r="B1438" s="2" t="s">
        <v>5593</v>
      </c>
      <c r="C1438" s="2" t="s">
        <v>5595</v>
      </c>
      <c r="D1438" s="2">
        <v>1.0028027568273113E-4</v>
      </c>
      <c r="E1438" s="12" t="s">
        <v>5596</v>
      </c>
    </row>
    <row r="1439">
      <c r="A1439" s="2" t="s">
        <v>5598</v>
      </c>
      <c r="B1439" s="2" t="s">
        <v>5597</v>
      </c>
      <c r="C1439" s="2" t="s">
        <v>5599</v>
      </c>
      <c r="D1439" s="2">
        <v>1.0028027568273113E-4</v>
      </c>
      <c r="E1439" s="12" t="s">
        <v>5600</v>
      </c>
    </row>
    <row r="1440">
      <c r="A1440" s="2" t="s">
        <v>5602</v>
      </c>
      <c r="B1440" s="2" t="s">
        <v>5601</v>
      </c>
      <c r="C1440" s="2" t="s">
        <v>5603</v>
      </c>
      <c r="D1440" s="2">
        <v>1.0028027568273113E-4</v>
      </c>
      <c r="E1440" s="12" t="s">
        <v>5604</v>
      </c>
    </row>
    <row r="1441">
      <c r="A1441" s="2" t="s">
        <v>5606</v>
      </c>
      <c r="B1441" s="2" t="s">
        <v>5605</v>
      </c>
      <c r="D1441" s="2">
        <v>1.0028027568273113E-4</v>
      </c>
      <c r="E1441" s="12" t="s">
        <v>5607</v>
      </c>
    </row>
    <row r="1442">
      <c r="A1442" s="2" t="s">
        <v>5609</v>
      </c>
      <c r="B1442" s="2" t="s">
        <v>5608</v>
      </c>
      <c r="C1442" s="2" t="s">
        <v>5610</v>
      </c>
      <c r="D1442" s="2">
        <v>1.0028027568273113E-4</v>
      </c>
      <c r="E1442" s="12" t="s">
        <v>5611</v>
      </c>
    </row>
    <row r="1443">
      <c r="A1443" s="2" t="s">
        <v>5613</v>
      </c>
      <c r="B1443" s="2" t="s">
        <v>5612</v>
      </c>
      <c r="C1443" s="2" t="s">
        <v>5614</v>
      </c>
      <c r="D1443" s="2">
        <v>1.0028027568273113E-4</v>
      </c>
      <c r="E1443" s="12" t="s">
        <v>5615</v>
      </c>
    </row>
    <row r="1444">
      <c r="A1444" s="2" t="s">
        <v>5617</v>
      </c>
      <c r="B1444" s="2" t="s">
        <v>5616</v>
      </c>
      <c r="C1444" s="2" t="s">
        <v>5618</v>
      </c>
      <c r="D1444" s="2">
        <v>1.0028027568273113E-4</v>
      </c>
      <c r="E1444" s="12" t="s">
        <v>5619</v>
      </c>
    </row>
    <row r="1445">
      <c r="A1445" s="2" t="s">
        <v>5621</v>
      </c>
      <c r="B1445" s="2" t="s">
        <v>5620</v>
      </c>
      <c r="C1445" s="2" t="s">
        <v>5622</v>
      </c>
      <c r="D1445" s="2">
        <v>1.0028027568273113E-4</v>
      </c>
      <c r="E1445" s="12" t="s">
        <v>210</v>
      </c>
    </row>
    <row r="1446">
      <c r="A1446" s="2" t="s">
        <v>5624</v>
      </c>
      <c r="B1446" s="2" t="s">
        <v>5623</v>
      </c>
      <c r="C1446" s="2" t="s">
        <v>5625</v>
      </c>
      <c r="D1446" s="2">
        <v>1.0028027568273113E-4</v>
      </c>
      <c r="E1446" s="12" t="s">
        <v>5374</v>
      </c>
    </row>
    <row r="1447">
      <c r="A1447" s="2" t="s">
        <v>5627</v>
      </c>
      <c r="B1447" s="2" t="s">
        <v>5626</v>
      </c>
      <c r="C1447" s="2" t="s">
        <v>5628</v>
      </c>
      <c r="D1447" s="2">
        <v>1.0028027568273113E-4</v>
      </c>
      <c r="E1447" s="12" t="s">
        <v>1008</v>
      </c>
    </row>
    <row r="1448">
      <c r="A1448" s="2" t="s">
        <v>5630</v>
      </c>
      <c r="B1448" s="2" t="s">
        <v>5629</v>
      </c>
      <c r="D1448" s="2">
        <v>1.0028027568273113E-4</v>
      </c>
      <c r="E1448" s="12" t="s">
        <v>5631</v>
      </c>
    </row>
    <row r="1449">
      <c r="A1449" s="2" t="s">
        <v>5633</v>
      </c>
      <c r="B1449" s="2" t="s">
        <v>5632</v>
      </c>
      <c r="C1449" s="2" t="s">
        <v>5634</v>
      </c>
      <c r="D1449" s="2">
        <v>1.0028027568273113E-4</v>
      </c>
      <c r="E1449" s="12" t="s">
        <v>818</v>
      </c>
    </row>
    <row r="1450">
      <c r="A1450" s="2" t="s">
        <v>5636</v>
      </c>
      <c r="B1450" s="2" t="s">
        <v>5635</v>
      </c>
      <c r="C1450" s="2" t="s">
        <v>5637</v>
      </c>
      <c r="D1450" s="2">
        <v>1.0028027568273113E-4</v>
      </c>
      <c r="E1450" s="12" t="s">
        <v>5638</v>
      </c>
    </row>
    <row r="1451">
      <c r="A1451" s="2" t="s">
        <v>5640</v>
      </c>
      <c r="B1451" s="2" t="s">
        <v>5639</v>
      </c>
      <c r="C1451" s="2" t="s">
        <v>5641</v>
      </c>
      <c r="D1451" s="2">
        <v>1.0028027568273113E-4</v>
      </c>
      <c r="E1451" s="12" t="s">
        <v>5511</v>
      </c>
    </row>
    <row r="1452">
      <c r="A1452" s="2" t="s">
        <v>5643</v>
      </c>
      <c r="B1452" s="2" t="s">
        <v>5642</v>
      </c>
      <c r="C1452" s="2" t="s">
        <v>5644</v>
      </c>
      <c r="D1452" s="2">
        <v>1.0028027568273113E-4</v>
      </c>
      <c r="E1452" s="12" t="s">
        <v>5645</v>
      </c>
    </row>
    <row r="1453">
      <c r="A1453" s="2" t="s">
        <v>5647</v>
      </c>
      <c r="B1453" s="2" t="s">
        <v>5646</v>
      </c>
      <c r="C1453" s="2" t="s">
        <v>5648</v>
      </c>
      <c r="D1453" s="2">
        <v>1.0028027568273113E-4</v>
      </c>
      <c r="E1453" s="12" t="s">
        <v>5649</v>
      </c>
    </row>
    <row r="1454">
      <c r="A1454" s="2" t="s">
        <v>5651</v>
      </c>
      <c r="B1454" s="2" t="s">
        <v>5650</v>
      </c>
      <c r="C1454" s="2" t="s">
        <v>5652</v>
      </c>
      <c r="D1454" s="2">
        <v>1.0028027568273113E-4</v>
      </c>
      <c r="E1454" s="12" t="s">
        <v>5653</v>
      </c>
    </row>
    <row r="1455">
      <c r="A1455" s="2" t="s">
        <v>5655</v>
      </c>
      <c r="B1455" s="2" t="s">
        <v>5654</v>
      </c>
      <c r="C1455" s="2" t="s">
        <v>5656</v>
      </c>
      <c r="D1455" s="2">
        <v>1.0028027568273113E-4</v>
      </c>
      <c r="E1455" s="12" t="s">
        <v>5657</v>
      </c>
    </row>
    <row r="1456">
      <c r="A1456" s="2" t="s">
        <v>5659</v>
      </c>
      <c r="B1456" s="2" t="s">
        <v>5658</v>
      </c>
      <c r="C1456" s="2" t="s">
        <v>5660</v>
      </c>
      <c r="D1456" s="2">
        <v>1.0028027568273113E-4</v>
      </c>
      <c r="E1456" s="12" t="s">
        <v>5661</v>
      </c>
    </row>
    <row r="1457">
      <c r="A1457" s="2" t="s">
        <v>5663</v>
      </c>
      <c r="B1457" s="2" t="s">
        <v>5662</v>
      </c>
      <c r="C1457" s="2" t="s">
        <v>5664</v>
      </c>
      <c r="D1457" s="2">
        <v>1.0028027568273113E-4</v>
      </c>
      <c r="E1457" s="12" t="s">
        <v>5665</v>
      </c>
    </row>
    <row r="1458">
      <c r="A1458" s="2" t="s">
        <v>5667</v>
      </c>
      <c r="B1458" s="2" t="s">
        <v>5666</v>
      </c>
      <c r="C1458" s="2" t="s">
        <v>5668</v>
      </c>
      <c r="D1458" s="2">
        <v>1.0028027568273113E-4</v>
      </c>
      <c r="E1458" s="12" t="s">
        <v>5669</v>
      </c>
    </row>
    <row r="1459">
      <c r="A1459" s="2" t="s">
        <v>5671</v>
      </c>
      <c r="B1459" s="2" t="s">
        <v>5670</v>
      </c>
      <c r="D1459" s="2">
        <v>1.0028027568273113E-4</v>
      </c>
      <c r="E1459" s="12" t="s">
        <v>5556</v>
      </c>
    </row>
    <row r="1460">
      <c r="A1460" s="2" t="s">
        <v>5673</v>
      </c>
      <c r="B1460" s="2" t="s">
        <v>5672</v>
      </c>
      <c r="C1460" s="2" t="s">
        <v>5674</v>
      </c>
      <c r="D1460" s="2">
        <v>1.0028027568273113E-4</v>
      </c>
      <c r="E1460" s="12" t="s">
        <v>5675</v>
      </c>
    </row>
    <row r="1461">
      <c r="A1461" s="2" t="s">
        <v>5677</v>
      </c>
      <c r="B1461" s="2" t="s">
        <v>5676</v>
      </c>
      <c r="C1461" s="2" t="s">
        <v>5678</v>
      </c>
      <c r="D1461" s="2">
        <v>1.0028027568273113E-4</v>
      </c>
      <c r="E1461" s="12" t="s">
        <v>5679</v>
      </c>
    </row>
    <row r="1462">
      <c r="A1462" s="2" t="s">
        <v>5681</v>
      </c>
      <c r="B1462" s="2" t="s">
        <v>5680</v>
      </c>
      <c r="C1462" s="2" t="s">
        <v>5682</v>
      </c>
      <c r="D1462" s="2">
        <v>1.0028027568273113E-4</v>
      </c>
      <c r="E1462" s="12" t="s">
        <v>5683</v>
      </c>
    </row>
    <row r="1463">
      <c r="A1463" s="2" t="s">
        <v>5685</v>
      </c>
      <c r="B1463" s="2" t="s">
        <v>5684</v>
      </c>
      <c r="C1463" s="2" t="s">
        <v>5686</v>
      </c>
      <c r="D1463" s="2">
        <v>1.0028027568273113E-4</v>
      </c>
      <c r="E1463" s="12" t="s">
        <v>5687</v>
      </c>
    </row>
    <row r="1464">
      <c r="A1464" s="2" t="s">
        <v>5689</v>
      </c>
      <c r="B1464" s="2" t="s">
        <v>5688</v>
      </c>
      <c r="C1464" s="2" t="s">
        <v>5690</v>
      </c>
      <c r="D1464" s="2">
        <v>1.0028027568273113E-4</v>
      </c>
      <c r="E1464" s="12" t="s">
        <v>5691</v>
      </c>
    </row>
    <row r="1465">
      <c r="A1465" s="2" t="s">
        <v>5693</v>
      </c>
      <c r="B1465" s="2" t="s">
        <v>5692</v>
      </c>
      <c r="C1465" s="2" t="s">
        <v>5694</v>
      </c>
      <c r="D1465" s="2">
        <v>1.0028027568273113E-4</v>
      </c>
      <c r="E1465" s="12" t="s">
        <v>5695</v>
      </c>
    </row>
    <row r="1466">
      <c r="A1466" s="2" t="s">
        <v>5697</v>
      </c>
      <c r="B1466" s="2" t="s">
        <v>5696</v>
      </c>
      <c r="C1466" s="2" t="s">
        <v>5698</v>
      </c>
      <c r="D1466" s="2">
        <v>1.0028027568273113E-4</v>
      </c>
      <c r="E1466" s="12" t="s">
        <v>5699</v>
      </c>
    </row>
    <row r="1467">
      <c r="A1467" s="2" t="s">
        <v>5701</v>
      </c>
      <c r="B1467" s="2" t="s">
        <v>5700</v>
      </c>
      <c r="C1467" s="2" t="s">
        <v>5702</v>
      </c>
      <c r="D1467" s="2">
        <v>1.0028027568273113E-4</v>
      </c>
      <c r="E1467" s="12" t="s">
        <v>5703</v>
      </c>
    </row>
    <row r="1468">
      <c r="A1468" s="2" t="s">
        <v>5705</v>
      </c>
      <c r="B1468" s="2" t="s">
        <v>5704</v>
      </c>
      <c r="C1468" s="2" t="s">
        <v>5706</v>
      </c>
      <c r="D1468" s="2">
        <v>1.0028027568273113E-4</v>
      </c>
      <c r="E1468" s="12" t="s">
        <v>1016</v>
      </c>
    </row>
    <row r="1469">
      <c r="A1469" s="2" t="s">
        <v>5708</v>
      </c>
      <c r="B1469" s="2" t="s">
        <v>5707</v>
      </c>
      <c r="C1469" s="2" t="s">
        <v>5709</v>
      </c>
      <c r="D1469" s="2">
        <v>1.0028027568273113E-4</v>
      </c>
      <c r="E1469" s="12" t="s">
        <v>5710</v>
      </c>
    </row>
    <row r="1470">
      <c r="A1470" s="2" t="s">
        <v>5712</v>
      </c>
      <c r="B1470" s="2" t="s">
        <v>5711</v>
      </c>
      <c r="C1470" s="2" t="s">
        <v>5713</v>
      </c>
      <c r="D1470" s="2">
        <v>1.0028027568273113E-4</v>
      </c>
      <c r="E1470" s="12" t="s">
        <v>5714</v>
      </c>
    </row>
    <row r="1471">
      <c r="A1471" s="2" t="s">
        <v>5716</v>
      </c>
      <c r="B1471" s="2" t="s">
        <v>5715</v>
      </c>
      <c r="C1471" s="2" t="s">
        <v>5717</v>
      </c>
      <c r="D1471" s="2">
        <v>1.0028027568273113E-4</v>
      </c>
      <c r="E1471" s="12" t="s">
        <v>5718</v>
      </c>
    </row>
    <row r="1472">
      <c r="A1472" s="2" t="s">
        <v>5720</v>
      </c>
      <c r="B1472" s="2" t="s">
        <v>5719</v>
      </c>
      <c r="D1472" s="2">
        <v>1.0028027568273113E-4</v>
      </c>
      <c r="E1472" s="12" t="s">
        <v>5721</v>
      </c>
    </row>
    <row r="1473">
      <c r="A1473" s="2" t="s">
        <v>5723</v>
      </c>
      <c r="B1473" s="2" t="s">
        <v>5722</v>
      </c>
      <c r="C1473" s="2" t="s">
        <v>5724</v>
      </c>
      <c r="D1473" s="2">
        <v>1.0028027568273113E-4</v>
      </c>
      <c r="E1473" s="12" t="s">
        <v>5725</v>
      </c>
    </row>
    <row r="1474">
      <c r="A1474" s="2" t="s">
        <v>5727</v>
      </c>
      <c r="B1474" s="2" t="s">
        <v>5726</v>
      </c>
      <c r="C1474" s="2" t="s">
        <v>5728</v>
      </c>
      <c r="D1474" s="2">
        <v>1.0028027568273113E-4</v>
      </c>
      <c r="E1474" s="12" t="s">
        <v>5729</v>
      </c>
    </row>
    <row r="1475">
      <c r="A1475" s="2" t="s">
        <v>5731</v>
      </c>
      <c r="B1475" s="2" t="s">
        <v>5730</v>
      </c>
      <c r="D1475" s="2">
        <v>1.0028027568273113E-4</v>
      </c>
      <c r="E1475" s="12" t="s">
        <v>5327</v>
      </c>
    </row>
    <row r="1476">
      <c r="A1476" s="2" t="s">
        <v>5733</v>
      </c>
      <c r="B1476" s="2" t="s">
        <v>5732</v>
      </c>
      <c r="D1476" s="2">
        <v>1.0028027568273113E-4</v>
      </c>
      <c r="E1476" s="12" t="s">
        <v>5734</v>
      </c>
    </row>
    <row r="1477">
      <c r="A1477" s="2" t="s">
        <v>5736</v>
      </c>
      <c r="B1477" s="2" t="s">
        <v>5735</v>
      </c>
      <c r="C1477" s="2" t="s">
        <v>5737</v>
      </c>
      <c r="D1477" s="2">
        <v>1.0028027568273113E-4</v>
      </c>
      <c r="E1477" s="12" t="s">
        <v>4212</v>
      </c>
    </row>
    <row r="1478">
      <c r="A1478" s="2" t="s">
        <v>5739</v>
      </c>
      <c r="B1478" s="2" t="s">
        <v>5738</v>
      </c>
      <c r="C1478" s="2" t="s">
        <v>5740</v>
      </c>
      <c r="D1478" s="2">
        <v>1.0028027568273113E-4</v>
      </c>
      <c r="E1478" s="12" t="s">
        <v>5741</v>
      </c>
    </row>
    <row r="1479">
      <c r="A1479" s="2" t="s">
        <v>5743</v>
      </c>
      <c r="B1479" s="2" t="s">
        <v>5742</v>
      </c>
      <c r="C1479" s="2" t="s">
        <v>5744</v>
      </c>
      <c r="D1479" s="2">
        <v>1.0028027568273113E-4</v>
      </c>
      <c r="E1479" s="12" t="s">
        <v>5745</v>
      </c>
    </row>
    <row r="1480">
      <c r="A1480" s="2" t="s">
        <v>5747</v>
      </c>
      <c r="B1480" s="2" t="s">
        <v>5746</v>
      </c>
      <c r="C1480" s="2" t="s">
        <v>5748</v>
      </c>
      <c r="D1480" s="2">
        <v>1.0028027568273113E-4</v>
      </c>
      <c r="E1480" s="12" t="s">
        <v>5749</v>
      </c>
    </row>
    <row r="1481">
      <c r="A1481" s="2" t="s">
        <v>5751</v>
      </c>
      <c r="B1481" s="2" t="s">
        <v>5750</v>
      </c>
      <c r="D1481" s="2">
        <v>1.0028027568273113E-4</v>
      </c>
      <c r="E1481" s="12" t="s">
        <v>5752</v>
      </c>
    </row>
    <row r="1482">
      <c r="A1482" s="2" t="s">
        <v>5754</v>
      </c>
      <c r="B1482" s="2" t="s">
        <v>5753</v>
      </c>
      <c r="C1482" s="2" t="s">
        <v>5755</v>
      </c>
      <c r="D1482" s="2">
        <v>1.0028027568273113E-4</v>
      </c>
      <c r="E1482" s="12" t="s">
        <v>5756</v>
      </c>
    </row>
    <row r="1483">
      <c r="A1483" s="2" t="s">
        <v>5758</v>
      </c>
      <c r="B1483" s="2" t="s">
        <v>5757</v>
      </c>
      <c r="C1483" s="2" t="s">
        <v>5759</v>
      </c>
      <c r="D1483" s="2">
        <v>1.0028027568273113E-4</v>
      </c>
      <c r="E1483" s="12" t="s">
        <v>5760</v>
      </c>
    </row>
    <row r="1484">
      <c r="A1484" s="2" t="s">
        <v>5762</v>
      </c>
      <c r="B1484" s="2" t="s">
        <v>5761</v>
      </c>
      <c r="C1484" s="2" t="s">
        <v>5763</v>
      </c>
      <c r="D1484" s="2">
        <v>1.0028027568273113E-4</v>
      </c>
      <c r="E1484" s="12" t="s">
        <v>5764</v>
      </c>
    </row>
    <row r="1485">
      <c r="A1485" s="2" t="s">
        <v>5766</v>
      </c>
      <c r="B1485" s="2" t="s">
        <v>5765</v>
      </c>
      <c r="C1485" s="2" t="s">
        <v>5767</v>
      </c>
      <c r="D1485" s="2">
        <v>1.0028027568273113E-4</v>
      </c>
      <c r="E1485" s="12" t="s">
        <v>5768</v>
      </c>
    </row>
    <row r="1486">
      <c r="A1486" s="2" t="s">
        <v>5770</v>
      </c>
      <c r="B1486" s="2" t="s">
        <v>5769</v>
      </c>
      <c r="C1486" s="12" t="s">
        <v>5771</v>
      </c>
      <c r="D1486" s="2">
        <v>1.0028027568273113E-4</v>
      </c>
      <c r="E1486" s="12" t="s">
        <v>5772</v>
      </c>
    </row>
    <row r="1487">
      <c r="A1487" s="2" t="s">
        <v>5774</v>
      </c>
      <c r="B1487" s="2" t="s">
        <v>5773</v>
      </c>
      <c r="D1487" s="2">
        <v>1.0028027568273113E-4</v>
      </c>
      <c r="E1487" s="12" t="s">
        <v>1945</v>
      </c>
    </row>
    <row r="1488">
      <c r="A1488" s="2" t="s">
        <v>5776</v>
      </c>
      <c r="B1488" s="2" t="s">
        <v>5775</v>
      </c>
      <c r="C1488" s="2" t="s">
        <v>5777</v>
      </c>
      <c r="D1488" s="2">
        <v>1.0028027568273113E-4</v>
      </c>
      <c r="E1488" s="12" t="s">
        <v>5778</v>
      </c>
    </row>
    <row r="1489">
      <c r="A1489" s="2" t="s">
        <v>5780</v>
      </c>
      <c r="B1489" s="2" t="s">
        <v>5779</v>
      </c>
      <c r="C1489" s="2" t="s">
        <v>5781</v>
      </c>
      <c r="D1489" s="2">
        <v>1.0028027568273113E-4</v>
      </c>
      <c r="E1489" s="12" t="s">
        <v>5782</v>
      </c>
    </row>
    <row r="1490">
      <c r="A1490" s="2" t="s">
        <v>5784</v>
      </c>
      <c r="B1490" s="2" t="s">
        <v>5783</v>
      </c>
      <c r="C1490" s="2" t="s">
        <v>5785</v>
      </c>
      <c r="D1490" s="2">
        <v>1.0028027568273113E-4</v>
      </c>
      <c r="E1490" s="12" t="s">
        <v>5786</v>
      </c>
    </row>
    <row r="1491">
      <c r="A1491" s="2" t="s">
        <v>5788</v>
      </c>
      <c r="B1491" s="2" t="s">
        <v>5787</v>
      </c>
      <c r="C1491" s="2" t="s">
        <v>5789</v>
      </c>
      <c r="D1491" s="2">
        <v>1.0028027568273113E-4</v>
      </c>
      <c r="E1491" s="12" t="s">
        <v>5790</v>
      </c>
    </row>
    <row r="1492">
      <c r="A1492" s="2" t="s">
        <v>5792</v>
      </c>
      <c r="B1492" s="2" t="s">
        <v>5791</v>
      </c>
      <c r="C1492" s="2" t="s">
        <v>5793</v>
      </c>
      <c r="D1492" s="2">
        <v>1.0028027568273113E-4</v>
      </c>
      <c r="E1492" s="12" t="s">
        <v>5794</v>
      </c>
    </row>
    <row r="1493">
      <c r="A1493" s="2" t="s">
        <v>5796</v>
      </c>
      <c r="B1493" s="2" t="s">
        <v>5795</v>
      </c>
      <c r="C1493" s="2" t="s">
        <v>5797</v>
      </c>
      <c r="D1493" s="2">
        <v>1.0028027568273113E-4</v>
      </c>
      <c r="E1493" s="12" t="s">
        <v>5798</v>
      </c>
    </row>
    <row r="1494">
      <c r="A1494" s="2" t="s">
        <v>5800</v>
      </c>
      <c r="B1494" s="2" t="s">
        <v>5799</v>
      </c>
      <c r="C1494" s="2" t="s">
        <v>5801</v>
      </c>
      <c r="D1494" s="2">
        <v>1.0028027568273113E-4</v>
      </c>
      <c r="E1494" s="12" t="s">
        <v>5802</v>
      </c>
    </row>
    <row r="1495">
      <c r="A1495" s="2" t="s">
        <v>5804</v>
      </c>
      <c r="B1495" s="2" t="s">
        <v>5803</v>
      </c>
      <c r="C1495" s="2" t="s">
        <v>5805</v>
      </c>
      <c r="D1495" s="2">
        <v>1.0028027568273113E-4</v>
      </c>
      <c r="E1495" s="12" t="s">
        <v>5806</v>
      </c>
    </row>
    <row r="1496">
      <c r="A1496" s="2" t="s">
        <v>5808</v>
      </c>
      <c r="B1496" s="2" t="s">
        <v>5807</v>
      </c>
      <c r="C1496" s="2" t="s">
        <v>5809</v>
      </c>
      <c r="D1496" s="2">
        <v>1.0028027568273113E-4</v>
      </c>
      <c r="E1496" s="12" t="s">
        <v>5810</v>
      </c>
    </row>
    <row r="1497">
      <c r="A1497" s="2" t="s">
        <v>5812</v>
      </c>
      <c r="B1497" s="2" t="s">
        <v>5811</v>
      </c>
      <c r="C1497" s="2" t="s">
        <v>5813</v>
      </c>
      <c r="D1497" s="2">
        <v>1.0028027568273113E-4</v>
      </c>
      <c r="E1497" s="12" t="s">
        <v>5814</v>
      </c>
    </row>
    <row r="1498">
      <c r="A1498" s="2" t="s">
        <v>5816</v>
      </c>
      <c r="B1498" s="2" t="s">
        <v>5815</v>
      </c>
      <c r="D1498" s="2">
        <v>1.0028027568273113E-4</v>
      </c>
      <c r="E1498" s="12" t="s">
        <v>5817</v>
      </c>
    </row>
    <row r="1499">
      <c r="A1499" s="2" t="s">
        <v>5819</v>
      </c>
      <c r="B1499" s="2" t="s">
        <v>5818</v>
      </c>
      <c r="C1499" s="2" t="s">
        <v>5820</v>
      </c>
      <c r="D1499" s="2">
        <v>1.0028027568273113E-4</v>
      </c>
      <c r="E1499" s="12" t="s">
        <v>5821</v>
      </c>
    </row>
    <row r="1500">
      <c r="A1500" s="2" t="s">
        <v>5823</v>
      </c>
      <c r="B1500" s="2" t="s">
        <v>5822</v>
      </c>
      <c r="C1500" s="2" t="s">
        <v>5824</v>
      </c>
      <c r="D1500" s="2">
        <v>1.0028027568273113E-4</v>
      </c>
      <c r="E1500" s="12" t="s">
        <v>5825</v>
      </c>
    </row>
    <row r="1501">
      <c r="A1501" s="2" t="s">
        <v>5827</v>
      </c>
      <c r="B1501" s="2" t="s">
        <v>5826</v>
      </c>
      <c r="C1501" s="2" t="s">
        <v>5828</v>
      </c>
      <c r="D1501" s="2">
        <v>1.0028027568273113E-4</v>
      </c>
      <c r="E1501" s="12" t="s">
        <v>5829</v>
      </c>
    </row>
    <row r="1502">
      <c r="A1502" s="2" t="s">
        <v>5831</v>
      </c>
      <c r="B1502" s="2" t="s">
        <v>5830</v>
      </c>
      <c r="C1502" s="2" t="s">
        <v>5832</v>
      </c>
      <c r="D1502" s="2">
        <v>1.0028027568273113E-4</v>
      </c>
      <c r="E1502" s="12" t="s">
        <v>5833</v>
      </c>
    </row>
    <row r="1503">
      <c r="A1503" s="2" t="s">
        <v>5835</v>
      </c>
      <c r="B1503" s="2" t="s">
        <v>5834</v>
      </c>
      <c r="C1503" s="2" t="s">
        <v>5836</v>
      </c>
      <c r="D1503" s="2">
        <v>1.0028027568273113E-4</v>
      </c>
      <c r="E1503" s="12" t="s">
        <v>5837</v>
      </c>
    </row>
    <row r="1504">
      <c r="A1504" s="2" t="s">
        <v>5839</v>
      </c>
      <c r="B1504" s="2" t="s">
        <v>5838</v>
      </c>
      <c r="C1504" s="2" t="s">
        <v>5840</v>
      </c>
      <c r="D1504" s="2">
        <v>1.0028027568273113E-4</v>
      </c>
      <c r="E1504" s="12" t="s">
        <v>5841</v>
      </c>
    </row>
    <row r="1505">
      <c r="A1505" s="2" t="s">
        <v>5843</v>
      </c>
      <c r="B1505" s="2" t="s">
        <v>5842</v>
      </c>
      <c r="C1505" s="2" t="s">
        <v>5844</v>
      </c>
      <c r="D1505" s="2">
        <v>1.0028027568273113E-4</v>
      </c>
      <c r="E1505" s="12" t="s">
        <v>5845</v>
      </c>
    </row>
    <row r="1506">
      <c r="A1506" s="2" t="s">
        <v>5847</v>
      </c>
      <c r="B1506" s="2" t="s">
        <v>5846</v>
      </c>
      <c r="D1506" s="2">
        <v>1.0028027568273113E-4</v>
      </c>
      <c r="E1506" s="12" t="s">
        <v>5019</v>
      </c>
    </row>
    <row r="1507">
      <c r="A1507" s="2" t="s">
        <v>5849</v>
      </c>
      <c r="B1507" s="2" t="s">
        <v>5848</v>
      </c>
      <c r="D1507" s="2">
        <v>1.0028027568273113E-4</v>
      </c>
      <c r="E1507" s="12" t="s">
        <v>5850</v>
      </c>
    </row>
    <row r="1508">
      <c r="A1508" s="2" t="s">
        <v>5852</v>
      </c>
      <c r="B1508" s="2" t="s">
        <v>5851</v>
      </c>
      <c r="C1508" s="2" t="s">
        <v>5853</v>
      </c>
      <c r="D1508" s="2">
        <v>1.0028027568273113E-4</v>
      </c>
      <c r="E1508" s="12" t="s">
        <v>5854</v>
      </c>
    </row>
    <row r="1509">
      <c r="A1509" s="2" t="s">
        <v>5856</v>
      </c>
      <c r="B1509" s="2" t="s">
        <v>5855</v>
      </c>
      <c r="C1509" s="2" t="s">
        <v>5857</v>
      </c>
      <c r="D1509" s="2">
        <v>1.0028027568273113E-4</v>
      </c>
      <c r="E1509" s="12" t="s">
        <v>5858</v>
      </c>
    </row>
    <row r="1510">
      <c r="A1510" s="2" t="s">
        <v>5860</v>
      </c>
      <c r="B1510" s="2" t="s">
        <v>5859</v>
      </c>
      <c r="C1510" s="2" t="s">
        <v>5861</v>
      </c>
      <c r="D1510" s="2">
        <v>1.0028027568273113E-4</v>
      </c>
      <c r="E1510" s="12" t="s">
        <v>5862</v>
      </c>
    </row>
    <row r="1511">
      <c r="A1511" s="2" t="s">
        <v>5864</v>
      </c>
      <c r="B1511" s="2" t="s">
        <v>5863</v>
      </c>
      <c r="C1511" s="2" t="s">
        <v>5865</v>
      </c>
      <c r="D1511" s="2">
        <v>1.0028027568273113E-4</v>
      </c>
      <c r="E1511" s="12" t="s">
        <v>1929</v>
      </c>
    </row>
    <row r="1512">
      <c r="A1512" s="2" t="s">
        <v>5867</v>
      </c>
      <c r="B1512" s="2" t="s">
        <v>5866</v>
      </c>
      <c r="C1512" s="2" t="s">
        <v>5868</v>
      </c>
      <c r="D1512" s="2">
        <v>1.0028027568273113E-4</v>
      </c>
      <c r="E1512" s="12" t="s">
        <v>5869</v>
      </c>
    </row>
    <row r="1513">
      <c r="A1513" s="2" t="s">
        <v>5871</v>
      </c>
      <c r="B1513" s="2" t="s">
        <v>5870</v>
      </c>
      <c r="C1513" s="2" t="s">
        <v>5872</v>
      </c>
      <c r="D1513" s="2">
        <v>1.0028027568273113E-4</v>
      </c>
      <c r="E1513" s="12" t="s">
        <v>5873</v>
      </c>
    </row>
    <row r="1514">
      <c r="A1514" s="2" t="s">
        <v>5875</v>
      </c>
      <c r="B1514" s="2" t="s">
        <v>5874</v>
      </c>
      <c r="D1514" s="2">
        <v>1.0028027568273113E-4</v>
      </c>
      <c r="E1514" s="12" t="s">
        <v>5876</v>
      </c>
    </row>
    <row r="1515">
      <c r="A1515" s="2" t="s">
        <v>5878</v>
      </c>
      <c r="B1515" s="2" t="s">
        <v>5877</v>
      </c>
      <c r="C1515" s="2" t="s">
        <v>5879</v>
      </c>
      <c r="D1515" s="2">
        <v>1.0028027568273113E-4</v>
      </c>
      <c r="E1515" s="12" t="s">
        <v>5880</v>
      </c>
    </row>
    <row r="1516">
      <c r="A1516" s="2" t="s">
        <v>5882</v>
      </c>
      <c r="B1516" s="2" t="s">
        <v>5881</v>
      </c>
      <c r="C1516" s="2" t="s">
        <v>5883</v>
      </c>
      <c r="D1516" s="2">
        <v>1.0028027568273113E-4</v>
      </c>
      <c r="E1516" s="12" t="s">
        <v>3406</v>
      </c>
    </row>
    <row r="1517">
      <c r="A1517" s="2" t="s">
        <v>5885</v>
      </c>
      <c r="B1517" s="2" t="s">
        <v>5884</v>
      </c>
      <c r="C1517" s="2" t="s">
        <v>5886</v>
      </c>
      <c r="D1517" s="2">
        <v>1.0028027568273113E-4</v>
      </c>
      <c r="E1517" s="12" t="s">
        <v>4319</v>
      </c>
    </row>
    <row r="1518">
      <c r="A1518" s="2" t="s">
        <v>5888</v>
      </c>
      <c r="B1518" s="2" t="s">
        <v>5887</v>
      </c>
      <c r="C1518" s="2" t="s">
        <v>5889</v>
      </c>
      <c r="D1518" s="2">
        <v>1.0028027568273113E-4</v>
      </c>
      <c r="E1518" s="12" t="s">
        <v>5890</v>
      </c>
    </row>
    <row r="1519">
      <c r="A1519" s="2" t="s">
        <v>5892</v>
      </c>
      <c r="B1519" s="2" t="s">
        <v>5891</v>
      </c>
      <c r="C1519" s="2" t="s">
        <v>5893</v>
      </c>
      <c r="D1519" s="2">
        <v>1.0028027568273113E-4</v>
      </c>
      <c r="E1519" s="12" t="s">
        <v>1129</v>
      </c>
    </row>
    <row r="1520">
      <c r="A1520" s="2" t="s">
        <v>5895</v>
      </c>
      <c r="B1520" s="2" t="s">
        <v>5894</v>
      </c>
      <c r="C1520" s="2" t="s">
        <v>5896</v>
      </c>
      <c r="D1520" s="2">
        <v>1.0028027568273113E-4</v>
      </c>
      <c r="E1520" s="12" t="s">
        <v>5725</v>
      </c>
    </row>
    <row r="1521">
      <c r="A1521" s="2" t="s">
        <v>5898</v>
      </c>
      <c r="B1521" s="2" t="s">
        <v>5897</v>
      </c>
      <c r="C1521" s="2" t="s">
        <v>5899</v>
      </c>
      <c r="D1521" s="2">
        <v>1.0028027568273113E-4</v>
      </c>
      <c r="E1521" s="12" t="s">
        <v>5900</v>
      </c>
    </row>
    <row r="1522">
      <c r="A1522" s="2" t="s">
        <v>5902</v>
      </c>
      <c r="B1522" s="2" t="s">
        <v>5901</v>
      </c>
      <c r="C1522" s="2" t="s">
        <v>5903</v>
      </c>
      <c r="D1522" s="2">
        <v>1.0028027568273113E-4</v>
      </c>
      <c r="E1522" s="12" t="s">
        <v>5904</v>
      </c>
    </row>
    <row r="1523">
      <c r="A1523" s="2" t="s">
        <v>5906</v>
      </c>
      <c r="B1523" s="2" t="s">
        <v>5905</v>
      </c>
      <c r="C1523" s="2" t="s">
        <v>5907</v>
      </c>
      <c r="D1523" s="2">
        <v>1.0028027568273113E-4</v>
      </c>
      <c r="E1523" s="12" t="s">
        <v>5908</v>
      </c>
    </row>
    <row r="1524">
      <c r="A1524" s="2" t="s">
        <v>5910</v>
      </c>
      <c r="B1524" s="2" t="s">
        <v>5909</v>
      </c>
      <c r="C1524" s="2" t="s">
        <v>5911</v>
      </c>
      <c r="D1524" s="2">
        <v>1.0028027568273113E-4</v>
      </c>
      <c r="E1524" s="12" t="s">
        <v>5912</v>
      </c>
    </row>
    <row r="1525">
      <c r="A1525" s="2" t="s">
        <v>5914</v>
      </c>
      <c r="B1525" s="2" t="s">
        <v>5913</v>
      </c>
      <c r="C1525" s="2" t="s">
        <v>5915</v>
      </c>
      <c r="D1525" s="2">
        <v>1.0028027568273113E-4</v>
      </c>
      <c r="E1525" s="12" t="s">
        <v>1106</v>
      </c>
    </row>
    <row r="1526">
      <c r="A1526" s="2" t="s">
        <v>5917</v>
      </c>
      <c r="B1526" s="2" t="s">
        <v>5916</v>
      </c>
      <c r="C1526" s="2" t="s">
        <v>5918</v>
      </c>
      <c r="D1526" s="2">
        <v>1.0028027568273113E-4</v>
      </c>
      <c r="E1526" s="12" t="s">
        <v>3930</v>
      </c>
    </row>
    <row r="1527">
      <c r="A1527" s="2" t="s">
        <v>5920</v>
      </c>
      <c r="B1527" s="2" t="s">
        <v>5919</v>
      </c>
      <c r="C1527" s="2" t="s">
        <v>5921</v>
      </c>
      <c r="D1527" s="2">
        <v>1.0028027568273113E-4</v>
      </c>
      <c r="E1527" s="12" t="s">
        <v>5922</v>
      </c>
    </row>
    <row r="1528">
      <c r="A1528" s="2" t="s">
        <v>5924</v>
      </c>
      <c r="B1528" s="2" t="s">
        <v>5923</v>
      </c>
      <c r="C1528" s="2" t="s">
        <v>5925</v>
      </c>
      <c r="D1528" s="2">
        <v>1.0028027568273113E-4</v>
      </c>
      <c r="E1528" s="12" t="s">
        <v>5926</v>
      </c>
    </row>
    <row r="1529">
      <c r="A1529" s="2" t="s">
        <v>5928</v>
      </c>
      <c r="B1529" s="2" t="s">
        <v>5927</v>
      </c>
      <c r="C1529" s="2" t="s">
        <v>5929</v>
      </c>
      <c r="D1529" s="2">
        <v>1.0028027568273113E-4</v>
      </c>
      <c r="E1529" s="12" t="s">
        <v>5930</v>
      </c>
    </row>
    <row r="1530">
      <c r="A1530" s="2" t="s">
        <v>5932</v>
      </c>
      <c r="B1530" s="2" t="s">
        <v>5931</v>
      </c>
      <c r="C1530" s="2" t="s">
        <v>5933</v>
      </c>
      <c r="D1530" s="2">
        <v>1.0028027568273113E-4</v>
      </c>
      <c r="E1530" s="12" t="s">
        <v>5934</v>
      </c>
    </row>
    <row r="1531">
      <c r="A1531" s="2" t="s">
        <v>5936</v>
      </c>
      <c r="B1531" s="2" t="s">
        <v>5935</v>
      </c>
      <c r="D1531" s="2">
        <v>1.0028027568273113E-4</v>
      </c>
      <c r="E1531" s="12" t="s">
        <v>5937</v>
      </c>
    </row>
    <row r="1532">
      <c r="A1532" s="2" t="s">
        <v>5939</v>
      </c>
      <c r="B1532" s="2" t="s">
        <v>5938</v>
      </c>
      <c r="C1532" s="2" t="s">
        <v>5940</v>
      </c>
      <c r="D1532" s="2">
        <v>1.0028027568273113E-4</v>
      </c>
      <c r="E1532" s="12" t="s">
        <v>5941</v>
      </c>
    </row>
    <row r="1533">
      <c r="A1533" s="2" t="s">
        <v>5943</v>
      </c>
      <c r="B1533" s="2" t="s">
        <v>5942</v>
      </c>
      <c r="C1533" s="2" t="s">
        <v>5944</v>
      </c>
      <c r="D1533" s="2">
        <v>1.0028027568273113E-4</v>
      </c>
      <c r="E1533" s="12" t="s">
        <v>5945</v>
      </c>
    </row>
    <row r="1534">
      <c r="A1534" s="2" t="s">
        <v>5947</v>
      </c>
      <c r="B1534" s="2" t="s">
        <v>5946</v>
      </c>
      <c r="C1534" s="2" t="s">
        <v>5948</v>
      </c>
      <c r="D1534" s="2">
        <v>1.0028027568273113E-4</v>
      </c>
      <c r="E1534" s="12" t="s">
        <v>5949</v>
      </c>
    </row>
    <row r="1535">
      <c r="A1535" s="2" t="s">
        <v>5951</v>
      </c>
      <c r="B1535" s="2" t="s">
        <v>5950</v>
      </c>
      <c r="C1535" s="2" t="s">
        <v>5952</v>
      </c>
      <c r="D1535" s="2">
        <v>1.0028027568273113E-4</v>
      </c>
      <c r="E1535" s="12" t="s">
        <v>5953</v>
      </c>
    </row>
    <row r="1536">
      <c r="A1536" s="2" t="s">
        <v>5955</v>
      </c>
      <c r="B1536" s="2" t="s">
        <v>5954</v>
      </c>
      <c r="D1536" s="2">
        <v>1.0028027568273113E-4</v>
      </c>
      <c r="E1536" s="12" t="s">
        <v>5956</v>
      </c>
    </row>
    <row r="1537">
      <c r="A1537" s="2" t="s">
        <v>5958</v>
      </c>
      <c r="B1537" s="2" t="s">
        <v>5957</v>
      </c>
      <c r="C1537" s="2" t="s">
        <v>5959</v>
      </c>
      <c r="D1537" s="2">
        <v>1.0028027568273113E-4</v>
      </c>
      <c r="E1537" s="12" t="s">
        <v>5960</v>
      </c>
    </row>
    <row r="1538">
      <c r="A1538" s="2" t="s">
        <v>5962</v>
      </c>
      <c r="B1538" s="2" t="s">
        <v>5961</v>
      </c>
      <c r="C1538" s="2" t="s">
        <v>5963</v>
      </c>
      <c r="D1538" s="2">
        <v>1.0028027568273113E-4</v>
      </c>
      <c r="E1538" s="12" t="s">
        <v>5964</v>
      </c>
    </row>
    <row r="1539">
      <c r="A1539" s="2" t="s">
        <v>5966</v>
      </c>
      <c r="B1539" s="2" t="s">
        <v>5965</v>
      </c>
      <c r="D1539" s="2">
        <v>1.0028027568273113E-4</v>
      </c>
      <c r="E1539" s="12" t="s">
        <v>4989</v>
      </c>
    </row>
    <row r="1540">
      <c r="A1540" s="2" t="s">
        <v>5968</v>
      </c>
      <c r="B1540" s="2" t="s">
        <v>5967</v>
      </c>
      <c r="C1540" s="2" t="s">
        <v>5969</v>
      </c>
      <c r="D1540" s="2">
        <v>1.0028027568273113E-4</v>
      </c>
      <c r="E1540" s="12" t="s">
        <v>5970</v>
      </c>
    </row>
    <row r="1541">
      <c r="A1541" s="2" t="s">
        <v>5972</v>
      </c>
      <c r="B1541" s="2" t="s">
        <v>5971</v>
      </c>
      <c r="C1541" s="2" t="s">
        <v>5973</v>
      </c>
      <c r="D1541" s="2">
        <v>1.0028027568273113E-4</v>
      </c>
      <c r="E1541" s="12" t="s">
        <v>5974</v>
      </c>
    </row>
    <row r="1542">
      <c r="A1542" s="2" t="s">
        <v>5976</v>
      </c>
      <c r="B1542" s="2" t="s">
        <v>5975</v>
      </c>
      <c r="C1542" s="2" t="s">
        <v>5977</v>
      </c>
      <c r="D1542" s="2">
        <v>1.0028027568273113E-4</v>
      </c>
      <c r="E1542" s="12" t="s">
        <v>5978</v>
      </c>
    </row>
    <row r="1543">
      <c r="A1543" s="2" t="s">
        <v>5980</v>
      </c>
      <c r="B1543" s="2" t="s">
        <v>5979</v>
      </c>
      <c r="C1543" s="2" t="s">
        <v>5981</v>
      </c>
      <c r="D1543" s="2">
        <v>1.0028027568273113E-4</v>
      </c>
      <c r="E1543" s="12" t="s">
        <v>5982</v>
      </c>
    </row>
    <row r="1544">
      <c r="A1544" s="2" t="s">
        <v>5984</v>
      </c>
      <c r="B1544" s="2" t="s">
        <v>5983</v>
      </c>
      <c r="D1544" s="2">
        <v>1.0028027568273113E-4</v>
      </c>
      <c r="E1544" s="12" t="s">
        <v>5985</v>
      </c>
    </row>
    <row r="1545">
      <c r="A1545" s="2" t="s">
        <v>5987</v>
      </c>
      <c r="B1545" s="2" t="s">
        <v>5986</v>
      </c>
      <c r="C1545" s="2" t="s">
        <v>5988</v>
      </c>
      <c r="D1545" s="2">
        <v>1.0028027568273113E-4</v>
      </c>
      <c r="E1545" s="12" t="s">
        <v>5989</v>
      </c>
    </row>
    <row r="1546">
      <c r="A1546" s="2" t="s">
        <v>5991</v>
      </c>
      <c r="B1546" s="2" t="s">
        <v>5990</v>
      </c>
      <c r="C1546" s="2" t="s">
        <v>5992</v>
      </c>
      <c r="D1546" s="2">
        <v>1.0028027568273113E-4</v>
      </c>
      <c r="E1546" s="12" t="s">
        <v>5993</v>
      </c>
    </row>
    <row r="1547">
      <c r="A1547" s="2" t="s">
        <v>5995</v>
      </c>
      <c r="B1547" s="2" t="s">
        <v>5994</v>
      </c>
      <c r="C1547" s="2" t="s">
        <v>5996</v>
      </c>
      <c r="D1547" s="2">
        <v>1.0028027568273113E-4</v>
      </c>
      <c r="E1547" s="12" t="s">
        <v>4961</v>
      </c>
    </row>
    <row r="1548">
      <c r="A1548" s="2" t="s">
        <v>5998</v>
      </c>
      <c r="B1548" s="2" t="s">
        <v>5997</v>
      </c>
      <c r="C1548" s="2" t="s">
        <v>5999</v>
      </c>
      <c r="D1548" s="2">
        <v>1.0028027568273113E-4</v>
      </c>
      <c r="E1548" s="12" t="s">
        <v>5850</v>
      </c>
    </row>
    <row r="1549">
      <c r="A1549" s="2" t="s">
        <v>6001</v>
      </c>
      <c r="B1549" s="2" t="s">
        <v>6000</v>
      </c>
      <c r="C1549" s="2" t="s">
        <v>6002</v>
      </c>
      <c r="D1549" s="2">
        <v>1.0028027568273113E-4</v>
      </c>
      <c r="E1549" s="12" t="s">
        <v>6003</v>
      </c>
    </row>
    <row r="1550">
      <c r="A1550" s="2" t="s">
        <v>6005</v>
      </c>
      <c r="B1550" s="2" t="s">
        <v>6004</v>
      </c>
      <c r="C1550" s="2" t="s">
        <v>6006</v>
      </c>
      <c r="D1550" s="2">
        <v>1.0028027568273113E-4</v>
      </c>
      <c r="E1550" s="12" t="s">
        <v>6007</v>
      </c>
    </row>
    <row r="1551">
      <c r="A1551" s="2" t="s">
        <v>6009</v>
      </c>
      <c r="B1551" s="2" t="s">
        <v>6008</v>
      </c>
      <c r="C1551" s="2" t="s">
        <v>6010</v>
      </c>
      <c r="D1551" s="2">
        <v>1.0028027568273113E-4</v>
      </c>
      <c r="E1551" s="12" t="s">
        <v>6011</v>
      </c>
    </row>
    <row r="1552">
      <c r="A1552" s="2" t="s">
        <v>6013</v>
      </c>
      <c r="B1552" s="2" t="s">
        <v>6012</v>
      </c>
      <c r="C1552" s="2" t="s">
        <v>6014</v>
      </c>
      <c r="D1552" s="2">
        <v>1.0028027568273113E-4</v>
      </c>
      <c r="E1552" s="12" t="s">
        <v>6015</v>
      </c>
    </row>
    <row r="1553">
      <c r="A1553" s="2" t="s">
        <v>6017</v>
      </c>
      <c r="B1553" s="2" t="s">
        <v>6016</v>
      </c>
      <c r="C1553" s="2" t="s">
        <v>6018</v>
      </c>
      <c r="D1553" s="2">
        <v>1.0028027568273113E-4</v>
      </c>
      <c r="E1553" s="12" t="s">
        <v>4117</v>
      </c>
    </row>
    <row r="1554">
      <c r="A1554" s="2" t="s">
        <v>6020</v>
      </c>
      <c r="B1554" s="2" t="s">
        <v>6019</v>
      </c>
      <c r="C1554" s="2" t="s">
        <v>6021</v>
      </c>
      <c r="D1554" s="2">
        <v>1.0028027568273113E-4</v>
      </c>
      <c r="E1554" s="12" t="s">
        <v>6022</v>
      </c>
    </row>
    <row r="1555">
      <c r="A1555" s="2" t="s">
        <v>6024</v>
      </c>
      <c r="B1555" s="2" t="s">
        <v>6023</v>
      </c>
      <c r="C1555" s="2" t="s">
        <v>6025</v>
      </c>
      <c r="D1555" s="2">
        <v>1.0028027568273113E-4</v>
      </c>
      <c r="E1555" s="12" t="s">
        <v>6026</v>
      </c>
    </row>
    <row r="1556">
      <c r="A1556" s="2" t="s">
        <v>6028</v>
      </c>
      <c r="B1556" s="2" t="s">
        <v>6027</v>
      </c>
      <c r="C1556" s="2" t="s">
        <v>6029</v>
      </c>
      <c r="D1556" s="2">
        <v>1.0028027568273113E-4</v>
      </c>
      <c r="E1556" s="12" t="s">
        <v>6030</v>
      </c>
    </row>
    <row r="1557">
      <c r="A1557" s="2" t="s">
        <v>6032</v>
      </c>
      <c r="B1557" s="2" t="s">
        <v>6031</v>
      </c>
      <c r="C1557" s="2" t="s">
        <v>6033</v>
      </c>
      <c r="D1557" s="2">
        <v>1.0028027568273113E-4</v>
      </c>
      <c r="E1557" s="12" t="s">
        <v>6034</v>
      </c>
    </row>
    <row r="1558">
      <c r="A1558" s="2" t="s">
        <v>6036</v>
      </c>
      <c r="B1558" s="2" t="s">
        <v>6035</v>
      </c>
      <c r="C1558" s="2" t="s">
        <v>6037</v>
      </c>
      <c r="D1558" s="2">
        <v>1.0028027568273113E-4</v>
      </c>
      <c r="E1558" s="12" t="s">
        <v>6038</v>
      </c>
    </row>
    <row r="1559">
      <c r="A1559" s="2" t="s">
        <v>6040</v>
      </c>
      <c r="B1559" s="2" t="s">
        <v>6039</v>
      </c>
      <c r="C1559" s="2" t="s">
        <v>6041</v>
      </c>
      <c r="D1559" s="2">
        <v>1.0028027568273113E-4</v>
      </c>
      <c r="E1559" s="12" t="s">
        <v>4549</v>
      </c>
    </row>
    <row r="1560">
      <c r="A1560" s="2" t="s">
        <v>6043</v>
      </c>
      <c r="B1560" s="2" t="s">
        <v>6042</v>
      </c>
      <c r="C1560" s="2" t="s">
        <v>6044</v>
      </c>
      <c r="D1560" s="2">
        <v>1.0028027568273113E-4</v>
      </c>
      <c r="E1560" s="12" t="s">
        <v>6045</v>
      </c>
    </row>
    <row r="1561">
      <c r="A1561" s="2" t="s">
        <v>6047</v>
      </c>
      <c r="B1561" s="2" t="s">
        <v>6046</v>
      </c>
      <c r="C1561" s="2" t="s">
        <v>6048</v>
      </c>
      <c r="D1561" s="2">
        <v>1.0028027568273113E-4</v>
      </c>
      <c r="E1561" s="12" t="s">
        <v>4718</v>
      </c>
    </row>
    <row r="1562">
      <c r="A1562" s="2" t="s">
        <v>6050</v>
      </c>
      <c r="B1562" s="2" t="s">
        <v>6049</v>
      </c>
      <c r="D1562" s="2">
        <v>1.0028027568273113E-4</v>
      </c>
      <c r="E1562" s="12" t="s">
        <v>6051</v>
      </c>
    </row>
    <row r="1563">
      <c r="A1563" s="2" t="s">
        <v>6053</v>
      </c>
      <c r="B1563" s="2" t="s">
        <v>6052</v>
      </c>
      <c r="C1563" s="2" t="s">
        <v>6054</v>
      </c>
      <c r="D1563" s="2">
        <v>1.0028027568273113E-4</v>
      </c>
      <c r="E1563" s="12" t="s">
        <v>6055</v>
      </c>
    </row>
    <row r="1564">
      <c r="A1564" s="2" t="s">
        <v>6057</v>
      </c>
      <c r="B1564" s="2" t="s">
        <v>6056</v>
      </c>
      <c r="C1564" s="2" t="s">
        <v>6058</v>
      </c>
      <c r="D1564" s="2">
        <v>1.0028027568273113E-4</v>
      </c>
      <c r="E1564" s="12" t="s">
        <v>6059</v>
      </c>
    </row>
    <row r="1565">
      <c r="A1565" s="2" t="s">
        <v>6061</v>
      </c>
      <c r="B1565" s="2" t="s">
        <v>6060</v>
      </c>
      <c r="C1565" s="2" t="s">
        <v>6062</v>
      </c>
      <c r="D1565" s="2">
        <v>1.0028027568273113E-4</v>
      </c>
      <c r="E1565" s="12" t="s">
        <v>6063</v>
      </c>
    </row>
    <row r="1566">
      <c r="A1566" s="2" t="s">
        <v>6065</v>
      </c>
      <c r="B1566" s="2" t="s">
        <v>6064</v>
      </c>
      <c r="C1566" s="2" t="s">
        <v>6066</v>
      </c>
      <c r="D1566" s="2">
        <v>1.0028027568273113E-4</v>
      </c>
      <c r="E1566" s="12" t="s">
        <v>6067</v>
      </c>
    </row>
    <row r="1567">
      <c r="A1567" s="2" t="s">
        <v>6069</v>
      </c>
      <c r="B1567" s="2" t="s">
        <v>6068</v>
      </c>
      <c r="C1567" s="2" t="s">
        <v>6070</v>
      </c>
      <c r="D1567" s="2">
        <v>1.0028027568273113E-4</v>
      </c>
      <c r="E1567" s="12" t="s">
        <v>6071</v>
      </c>
    </row>
    <row r="1568">
      <c r="A1568" s="2" t="s">
        <v>6073</v>
      </c>
      <c r="B1568" s="2" t="s">
        <v>6072</v>
      </c>
      <c r="C1568" s="2" t="s">
        <v>6074</v>
      </c>
      <c r="D1568" s="2">
        <v>1.0028027568273113E-4</v>
      </c>
      <c r="E1568" s="12" t="s">
        <v>6075</v>
      </c>
    </row>
    <row r="1569">
      <c r="A1569" s="2" t="s">
        <v>6077</v>
      </c>
      <c r="B1569" s="2" t="s">
        <v>6076</v>
      </c>
      <c r="C1569" s="2" t="s">
        <v>6078</v>
      </c>
      <c r="D1569" s="2">
        <v>1.0028027568273113E-4</v>
      </c>
      <c r="E1569" s="12" t="s">
        <v>6079</v>
      </c>
    </row>
    <row r="1570">
      <c r="A1570" s="2" t="s">
        <v>6081</v>
      </c>
      <c r="B1570" s="2" t="s">
        <v>6080</v>
      </c>
      <c r="C1570" s="2" t="s">
        <v>6082</v>
      </c>
      <c r="D1570" s="2">
        <v>1.0028027568273113E-4</v>
      </c>
      <c r="E1570" s="12" t="s">
        <v>6083</v>
      </c>
    </row>
    <row r="1571">
      <c r="A1571" s="2" t="s">
        <v>6085</v>
      </c>
      <c r="B1571" s="2" t="s">
        <v>6084</v>
      </c>
      <c r="C1571" s="2" t="s">
        <v>6086</v>
      </c>
      <c r="D1571" s="2">
        <v>1.0028027568273113E-4</v>
      </c>
      <c r="E1571" s="12" t="s">
        <v>6087</v>
      </c>
    </row>
    <row r="1572">
      <c r="A1572" s="2" t="s">
        <v>6089</v>
      </c>
      <c r="B1572" s="2" t="s">
        <v>6088</v>
      </c>
      <c r="C1572" s="2" t="s">
        <v>6090</v>
      </c>
      <c r="D1572" s="2">
        <v>1.0028027568273113E-4</v>
      </c>
      <c r="E1572" s="12" t="s">
        <v>6091</v>
      </c>
    </row>
    <row r="1573">
      <c r="A1573" s="2" t="s">
        <v>6093</v>
      </c>
      <c r="B1573" s="2" t="s">
        <v>6092</v>
      </c>
      <c r="C1573" s="2" t="s">
        <v>6094</v>
      </c>
      <c r="D1573" s="2">
        <v>1.0028027568273113E-4</v>
      </c>
      <c r="E1573" s="12" t="s">
        <v>6095</v>
      </c>
    </row>
    <row r="1574">
      <c r="A1574" s="2" t="s">
        <v>6097</v>
      </c>
      <c r="B1574" s="2" t="s">
        <v>6096</v>
      </c>
      <c r="C1574" s="2" t="s">
        <v>6098</v>
      </c>
      <c r="D1574" s="2">
        <v>1.0028027568273113E-4</v>
      </c>
      <c r="E1574" s="12" t="s">
        <v>6099</v>
      </c>
    </row>
    <row r="1575">
      <c r="A1575" s="2" t="s">
        <v>6101</v>
      </c>
      <c r="B1575" s="2" t="s">
        <v>6100</v>
      </c>
      <c r="C1575" s="2" t="s">
        <v>6102</v>
      </c>
      <c r="D1575" s="2">
        <v>1.0028027568273113E-4</v>
      </c>
      <c r="E1575" s="12" t="s">
        <v>6103</v>
      </c>
    </row>
    <row r="1576">
      <c r="A1576" s="2" t="s">
        <v>6105</v>
      </c>
      <c r="B1576" s="2" t="s">
        <v>6104</v>
      </c>
      <c r="C1576" s="2" t="s">
        <v>6106</v>
      </c>
      <c r="D1576" s="2">
        <v>1.0028027568273113E-4</v>
      </c>
      <c r="E1576" s="12" t="s">
        <v>6107</v>
      </c>
    </row>
    <row r="1577">
      <c r="A1577" s="2" t="s">
        <v>6109</v>
      </c>
      <c r="B1577" s="2" t="s">
        <v>6108</v>
      </c>
      <c r="C1577" s="2" t="s">
        <v>6110</v>
      </c>
      <c r="D1577" s="2">
        <v>1.0028027568273113E-4</v>
      </c>
      <c r="E1577" s="12" t="s">
        <v>6111</v>
      </c>
    </row>
    <row r="1578">
      <c r="A1578" s="2" t="s">
        <v>6113</v>
      </c>
      <c r="B1578" s="2" t="s">
        <v>6112</v>
      </c>
      <c r="C1578" s="2" t="s">
        <v>6114</v>
      </c>
      <c r="D1578" s="2">
        <v>1.0028027568273113E-4</v>
      </c>
      <c r="E1578" s="12" t="s">
        <v>6115</v>
      </c>
    </row>
    <row r="1579">
      <c r="A1579" s="2" t="s">
        <v>6117</v>
      </c>
      <c r="B1579" s="2" t="s">
        <v>6116</v>
      </c>
      <c r="C1579" s="2" t="s">
        <v>6118</v>
      </c>
      <c r="D1579" s="2">
        <v>1.0028027568273113E-4</v>
      </c>
      <c r="E1579" s="12" t="s">
        <v>6119</v>
      </c>
    </row>
    <row r="1580">
      <c r="A1580" s="2" t="s">
        <v>6121</v>
      </c>
      <c r="B1580" s="2" t="s">
        <v>6120</v>
      </c>
      <c r="C1580" s="2" t="s">
        <v>6122</v>
      </c>
      <c r="D1580" s="2">
        <v>1.0028027568273113E-4</v>
      </c>
      <c r="E1580" s="12" t="s">
        <v>6123</v>
      </c>
    </row>
    <row r="1581">
      <c r="A1581" s="2" t="s">
        <v>6125</v>
      </c>
      <c r="B1581" s="2" t="s">
        <v>6124</v>
      </c>
      <c r="C1581" s="2" t="s">
        <v>6126</v>
      </c>
      <c r="D1581" s="2">
        <v>1.0028027568273113E-4</v>
      </c>
      <c r="E1581" s="12" t="s">
        <v>6127</v>
      </c>
    </row>
    <row r="1582">
      <c r="A1582" s="2" t="s">
        <v>6129</v>
      </c>
      <c r="B1582" s="2" t="s">
        <v>6128</v>
      </c>
      <c r="C1582" s="2" t="s">
        <v>6130</v>
      </c>
      <c r="D1582" s="2">
        <v>1.0028027568273113E-4</v>
      </c>
      <c r="E1582" s="12" t="s">
        <v>6131</v>
      </c>
    </row>
    <row r="1583">
      <c r="A1583" s="2" t="s">
        <v>6133</v>
      </c>
      <c r="B1583" s="2" t="s">
        <v>6132</v>
      </c>
      <c r="C1583" s="2" t="s">
        <v>6134</v>
      </c>
      <c r="D1583" s="2">
        <v>1.0028027568273113E-4</v>
      </c>
      <c r="E1583" s="12" t="s">
        <v>1378</v>
      </c>
    </row>
    <row r="1584">
      <c r="A1584" s="2" t="s">
        <v>6136</v>
      </c>
      <c r="B1584" s="2" t="s">
        <v>6135</v>
      </c>
      <c r="C1584" s="2" t="s">
        <v>6137</v>
      </c>
      <c r="D1584" s="2">
        <v>1.0028027568273113E-4</v>
      </c>
      <c r="E1584" s="12" t="s">
        <v>6138</v>
      </c>
    </row>
    <row r="1585">
      <c r="A1585" s="2" t="s">
        <v>6140</v>
      </c>
      <c r="B1585" s="2" t="s">
        <v>6139</v>
      </c>
      <c r="C1585" s="2" t="s">
        <v>6141</v>
      </c>
      <c r="D1585" s="2">
        <v>1.0028027568273113E-4</v>
      </c>
      <c r="E1585" s="12" t="s">
        <v>4969</v>
      </c>
    </row>
    <row r="1586">
      <c r="A1586" s="2" t="s">
        <v>6143</v>
      </c>
      <c r="B1586" s="2" t="s">
        <v>6142</v>
      </c>
      <c r="C1586" s="2" t="s">
        <v>6144</v>
      </c>
      <c r="D1586" s="2">
        <v>1.0028027568273113E-4</v>
      </c>
      <c r="E1586" s="12" t="s">
        <v>6145</v>
      </c>
    </row>
    <row r="1587">
      <c r="A1587" s="2" t="s">
        <v>6147</v>
      </c>
      <c r="B1587" s="2" t="s">
        <v>6146</v>
      </c>
      <c r="C1587" s="2" t="s">
        <v>6148</v>
      </c>
      <c r="D1587" s="2">
        <v>1.0028027568273113E-4</v>
      </c>
      <c r="E1587" s="12" t="s">
        <v>6149</v>
      </c>
    </row>
    <row r="1588">
      <c r="A1588" s="2" t="s">
        <v>6151</v>
      </c>
      <c r="B1588" s="2" t="s">
        <v>6150</v>
      </c>
      <c r="C1588" s="2" t="s">
        <v>6152</v>
      </c>
      <c r="D1588" s="2">
        <v>1.0028027568273113E-4</v>
      </c>
      <c r="E1588" s="12" t="s">
        <v>6153</v>
      </c>
    </row>
    <row r="1589">
      <c r="A1589" s="2" t="s">
        <v>6155</v>
      </c>
      <c r="B1589" s="2" t="s">
        <v>6154</v>
      </c>
      <c r="C1589" s="2" t="s">
        <v>6156</v>
      </c>
      <c r="D1589" s="2">
        <v>1.0028027568273113E-4</v>
      </c>
      <c r="E1589" s="12" t="s">
        <v>6157</v>
      </c>
    </row>
    <row r="1590">
      <c r="A1590" s="2" t="s">
        <v>6159</v>
      </c>
      <c r="B1590" s="2" t="s">
        <v>6158</v>
      </c>
      <c r="D1590" s="2">
        <v>1.0028027568273113E-4</v>
      </c>
      <c r="E1590" s="12" t="s">
        <v>6160</v>
      </c>
    </row>
    <row r="1591">
      <c r="A1591" s="2" t="s">
        <v>6162</v>
      </c>
      <c r="B1591" s="2" t="s">
        <v>6161</v>
      </c>
      <c r="C1591" s="2" t="s">
        <v>6163</v>
      </c>
      <c r="D1591" s="2">
        <v>1.0028027568273113E-4</v>
      </c>
      <c r="E1591" s="12" t="s">
        <v>1197</v>
      </c>
    </row>
    <row r="1592">
      <c r="A1592" s="2" t="s">
        <v>6165</v>
      </c>
      <c r="B1592" s="2" t="s">
        <v>6164</v>
      </c>
      <c r="C1592" s="2" t="s">
        <v>6166</v>
      </c>
      <c r="D1592" s="2">
        <v>1.0028027568273113E-4</v>
      </c>
      <c r="E1592" s="12" t="s">
        <v>6167</v>
      </c>
    </row>
    <row r="1593">
      <c r="A1593" s="2" t="s">
        <v>6169</v>
      </c>
      <c r="B1593" s="2" t="s">
        <v>6168</v>
      </c>
      <c r="C1593" s="2" t="s">
        <v>6170</v>
      </c>
      <c r="D1593" s="2">
        <v>1.0028027568273113E-4</v>
      </c>
      <c r="E1593" s="12" t="s">
        <v>6171</v>
      </c>
    </row>
    <row r="1594">
      <c r="A1594" s="2" t="s">
        <v>6173</v>
      </c>
      <c r="B1594" s="2" t="s">
        <v>6172</v>
      </c>
      <c r="C1594" s="2" t="s">
        <v>6174</v>
      </c>
      <c r="D1594" s="2">
        <v>1.0028027568273113E-4</v>
      </c>
      <c r="E1594" s="12" t="s">
        <v>6175</v>
      </c>
    </row>
    <row r="1595">
      <c r="A1595" s="2" t="s">
        <v>6177</v>
      </c>
      <c r="B1595" s="2" t="s">
        <v>6176</v>
      </c>
      <c r="C1595" s="2" t="s">
        <v>6178</v>
      </c>
      <c r="D1595" s="2">
        <v>1.0028027568273113E-4</v>
      </c>
      <c r="E1595" s="12" t="s">
        <v>6179</v>
      </c>
    </row>
    <row r="1596">
      <c r="A1596" s="2" t="s">
        <v>6181</v>
      </c>
      <c r="B1596" s="2" t="s">
        <v>6180</v>
      </c>
      <c r="C1596" s="2" t="s">
        <v>6182</v>
      </c>
      <c r="D1596" s="2">
        <v>1.0028027568273113E-4</v>
      </c>
      <c r="E1596" s="12" t="s">
        <v>6183</v>
      </c>
    </row>
    <row r="1597">
      <c r="A1597" s="2" t="s">
        <v>6185</v>
      </c>
      <c r="B1597" s="2" t="s">
        <v>6184</v>
      </c>
      <c r="C1597" s="2" t="s">
        <v>6186</v>
      </c>
      <c r="D1597" s="2">
        <v>1.0028027568273113E-4</v>
      </c>
      <c r="E1597" s="12" t="s">
        <v>6187</v>
      </c>
    </row>
    <row r="1598">
      <c r="A1598" s="2" t="s">
        <v>6189</v>
      </c>
      <c r="B1598" s="2" t="s">
        <v>6188</v>
      </c>
      <c r="C1598" s="2" t="s">
        <v>6190</v>
      </c>
      <c r="D1598" s="2">
        <v>1.0028027568273113E-4</v>
      </c>
      <c r="E1598" s="12" t="s">
        <v>6191</v>
      </c>
    </row>
    <row r="1599">
      <c r="A1599" s="2" t="s">
        <v>6193</v>
      </c>
      <c r="B1599" s="2" t="s">
        <v>6192</v>
      </c>
      <c r="D1599" s="2">
        <v>1.0028027568273113E-4</v>
      </c>
      <c r="E1599" s="12" t="s">
        <v>6194</v>
      </c>
    </row>
    <row r="1600">
      <c r="A1600" s="2" t="s">
        <v>6196</v>
      </c>
      <c r="B1600" s="2" t="s">
        <v>6195</v>
      </c>
      <c r="C1600" s="2" t="s">
        <v>6197</v>
      </c>
      <c r="D1600" s="2">
        <v>1.0028027568273113E-4</v>
      </c>
      <c r="E1600" s="12" t="s">
        <v>6198</v>
      </c>
    </row>
    <row r="1601">
      <c r="A1601" s="2" t="s">
        <v>6200</v>
      </c>
      <c r="B1601" s="2" t="s">
        <v>6199</v>
      </c>
      <c r="C1601" s="2" t="s">
        <v>6201</v>
      </c>
      <c r="D1601" s="2">
        <v>1.0028027568273113E-4</v>
      </c>
      <c r="E1601" s="12" t="s">
        <v>6202</v>
      </c>
    </row>
    <row r="1602">
      <c r="A1602" s="2" t="s">
        <v>6203</v>
      </c>
      <c r="B1602" s="2" t="s">
        <v>3879</v>
      </c>
      <c r="C1602" s="2" t="s">
        <v>6204</v>
      </c>
      <c r="D1602" s="2">
        <v>1.0028027568273113E-4</v>
      </c>
      <c r="E1602" s="12" t="s">
        <v>6205</v>
      </c>
    </row>
    <row r="1603">
      <c r="A1603" s="2" t="s">
        <v>6207</v>
      </c>
      <c r="B1603" s="2" t="s">
        <v>6206</v>
      </c>
      <c r="C1603" s="2" t="s">
        <v>6208</v>
      </c>
      <c r="D1603" s="2">
        <v>1.0028027568273113E-4</v>
      </c>
      <c r="E1603" s="12" t="s">
        <v>6209</v>
      </c>
    </row>
    <row r="1604">
      <c r="A1604" s="2" t="s">
        <v>6211</v>
      </c>
      <c r="B1604" s="2" t="s">
        <v>6210</v>
      </c>
      <c r="C1604" s="2" t="s">
        <v>6212</v>
      </c>
      <c r="D1604" s="2">
        <v>1.0028027568273113E-4</v>
      </c>
      <c r="E1604" s="12" t="s">
        <v>6213</v>
      </c>
    </row>
    <row r="1605">
      <c r="A1605" s="2" t="s">
        <v>6215</v>
      </c>
      <c r="B1605" s="2" t="s">
        <v>6214</v>
      </c>
      <c r="C1605" s="2" t="s">
        <v>6216</v>
      </c>
      <c r="D1605" s="2">
        <v>1.0028027568273113E-4</v>
      </c>
      <c r="E1605" s="12" t="s">
        <v>3108</v>
      </c>
    </row>
    <row r="1606">
      <c r="A1606" s="2" t="s">
        <v>6218</v>
      </c>
      <c r="B1606" s="2" t="s">
        <v>6217</v>
      </c>
      <c r="C1606" s="2" t="s">
        <v>6219</v>
      </c>
      <c r="D1606" s="2">
        <v>1.0028027568273113E-4</v>
      </c>
      <c r="E1606" s="12" t="s">
        <v>5837</v>
      </c>
    </row>
    <row r="1607">
      <c r="A1607" s="2" t="s">
        <v>6221</v>
      </c>
      <c r="B1607" s="2" t="s">
        <v>6220</v>
      </c>
      <c r="C1607" s="2" t="s">
        <v>6222</v>
      </c>
      <c r="D1607" s="2">
        <v>1.0028027568273113E-4</v>
      </c>
      <c r="E1607" s="12" t="s">
        <v>6223</v>
      </c>
    </row>
    <row r="1608">
      <c r="A1608" s="2" t="s">
        <v>6225</v>
      </c>
      <c r="B1608" s="2" t="s">
        <v>6224</v>
      </c>
      <c r="C1608" s="2" t="s">
        <v>6226</v>
      </c>
      <c r="D1608" s="2">
        <v>1.0028027568273113E-4</v>
      </c>
      <c r="E1608" s="12" t="s">
        <v>6227</v>
      </c>
    </row>
    <row r="1609">
      <c r="A1609" s="2" t="s">
        <v>6229</v>
      </c>
      <c r="B1609" s="2" t="s">
        <v>6228</v>
      </c>
      <c r="C1609" s="2" t="s">
        <v>6230</v>
      </c>
      <c r="D1609" s="2">
        <v>1.0028027568273113E-4</v>
      </c>
      <c r="E1609" s="12" t="s">
        <v>6231</v>
      </c>
    </row>
    <row r="1610">
      <c r="A1610" s="2" t="s">
        <v>6233</v>
      </c>
      <c r="B1610" s="2" t="s">
        <v>6232</v>
      </c>
      <c r="C1610" s="2" t="s">
        <v>6234</v>
      </c>
      <c r="D1610" s="2">
        <v>1.0028027568273113E-4</v>
      </c>
      <c r="E1610" s="12" t="s">
        <v>6235</v>
      </c>
    </row>
    <row r="1611">
      <c r="A1611" s="2" t="s">
        <v>6237</v>
      </c>
      <c r="B1611" s="2" t="s">
        <v>6236</v>
      </c>
      <c r="C1611" s="2" t="s">
        <v>6238</v>
      </c>
      <c r="D1611" s="2">
        <v>1.0028027568273113E-4</v>
      </c>
      <c r="E1611" s="12" t="s">
        <v>6239</v>
      </c>
    </row>
    <row r="1612">
      <c r="A1612" s="2" t="s">
        <v>6241</v>
      </c>
      <c r="B1612" s="2" t="s">
        <v>6240</v>
      </c>
      <c r="C1612" s="2" t="s">
        <v>6242</v>
      </c>
      <c r="D1612" s="2">
        <v>1.0028027568273113E-4</v>
      </c>
      <c r="E1612" s="12" t="s">
        <v>6243</v>
      </c>
    </row>
    <row r="1613">
      <c r="A1613" s="2" t="s">
        <v>6245</v>
      </c>
      <c r="B1613" s="2" t="s">
        <v>6244</v>
      </c>
      <c r="C1613" s="2" t="s">
        <v>6246</v>
      </c>
      <c r="D1613" s="2">
        <v>1.0028027568273113E-4</v>
      </c>
      <c r="E1613" s="12" t="s">
        <v>6247</v>
      </c>
    </row>
    <row r="1614">
      <c r="A1614" s="2" t="s">
        <v>6249</v>
      </c>
      <c r="B1614" s="2" t="s">
        <v>6248</v>
      </c>
      <c r="D1614" s="2">
        <v>1.0028027568273113E-4</v>
      </c>
      <c r="E1614" s="12" t="s">
        <v>4469</v>
      </c>
    </row>
    <row r="1615">
      <c r="A1615" s="2" t="s">
        <v>6251</v>
      </c>
      <c r="B1615" s="2" t="s">
        <v>6250</v>
      </c>
      <c r="C1615" s="2" t="s">
        <v>6252</v>
      </c>
      <c r="D1615" s="2">
        <v>1.0028027568273113E-4</v>
      </c>
      <c r="E1615" s="12" t="s">
        <v>6253</v>
      </c>
    </row>
    <row r="1616">
      <c r="A1616" s="2" t="s">
        <v>6255</v>
      </c>
      <c r="B1616" s="2" t="s">
        <v>6254</v>
      </c>
      <c r="C1616" s="2" t="s">
        <v>6256</v>
      </c>
      <c r="D1616" s="2">
        <v>1.0028027568273113E-4</v>
      </c>
      <c r="E1616" s="12" t="s">
        <v>5169</v>
      </c>
    </row>
    <row r="1617">
      <c r="A1617" s="2" t="s">
        <v>6258</v>
      </c>
      <c r="B1617" s="2" t="s">
        <v>6257</v>
      </c>
      <c r="C1617" s="2" t="s">
        <v>6259</v>
      </c>
      <c r="D1617" s="2">
        <v>1.0028027568273113E-4</v>
      </c>
      <c r="E1617" s="12" t="s">
        <v>6260</v>
      </c>
    </row>
    <row r="1618">
      <c r="A1618" s="2" t="s">
        <v>6262</v>
      </c>
      <c r="B1618" s="2" t="s">
        <v>6261</v>
      </c>
      <c r="C1618" s="2" t="s">
        <v>6263</v>
      </c>
      <c r="D1618" s="2">
        <v>1.0028027568273113E-4</v>
      </c>
      <c r="E1618" s="12" t="s">
        <v>4860</v>
      </c>
    </row>
    <row r="1619">
      <c r="A1619" s="2" t="s">
        <v>6265</v>
      </c>
      <c r="B1619" s="2" t="s">
        <v>6264</v>
      </c>
      <c r="C1619" s="2" t="s">
        <v>6266</v>
      </c>
      <c r="D1619" s="2">
        <v>1.0028027568273113E-4</v>
      </c>
      <c r="E1619" s="12" t="s">
        <v>6267</v>
      </c>
    </row>
    <row r="1620">
      <c r="A1620" s="2" t="s">
        <v>6269</v>
      </c>
      <c r="B1620" s="2" t="s">
        <v>6268</v>
      </c>
      <c r="C1620" s="2" t="s">
        <v>6270</v>
      </c>
      <c r="D1620" s="2">
        <v>1.0028027568273113E-4</v>
      </c>
      <c r="E1620" s="12" t="s">
        <v>6271</v>
      </c>
    </row>
    <row r="1621">
      <c r="A1621" s="2" t="s">
        <v>6273</v>
      </c>
      <c r="B1621" s="2" t="s">
        <v>6272</v>
      </c>
      <c r="C1621" s="2" t="s">
        <v>6274</v>
      </c>
      <c r="D1621" s="2">
        <v>1.0028027568273113E-4</v>
      </c>
      <c r="E1621" s="12" t="s">
        <v>6275</v>
      </c>
    </row>
    <row r="1622">
      <c r="A1622" s="2" t="s">
        <v>6277</v>
      </c>
      <c r="B1622" s="2" t="s">
        <v>6276</v>
      </c>
      <c r="C1622" s="2" t="s">
        <v>6278</v>
      </c>
      <c r="D1622" s="2">
        <v>1.0028027568273113E-4</v>
      </c>
      <c r="E1622" s="12" t="s">
        <v>4726</v>
      </c>
    </row>
    <row r="1623">
      <c r="A1623" s="2" t="s">
        <v>6280</v>
      </c>
      <c r="B1623" s="2" t="s">
        <v>6279</v>
      </c>
      <c r="C1623" s="2" t="s">
        <v>6281</v>
      </c>
      <c r="D1623" s="2">
        <v>1.0028027568273113E-4</v>
      </c>
      <c r="E1623" s="12" t="s">
        <v>6282</v>
      </c>
    </row>
    <row r="1624">
      <c r="A1624" s="2" t="s">
        <v>6284</v>
      </c>
      <c r="B1624" s="2" t="s">
        <v>6283</v>
      </c>
      <c r="C1624" s="2" t="s">
        <v>6285</v>
      </c>
      <c r="D1624" s="2">
        <v>1.0028027568273113E-4</v>
      </c>
      <c r="E1624" s="12" t="s">
        <v>1628</v>
      </c>
    </row>
    <row r="1625">
      <c r="A1625" s="2" t="s">
        <v>6287</v>
      </c>
      <c r="B1625" s="2" t="s">
        <v>6286</v>
      </c>
      <c r="C1625" s="2" t="s">
        <v>6288</v>
      </c>
      <c r="D1625" s="2">
        <v>1.0028027568273113E-4</v>
      </c>
      <c r="E1625" s="12" t="s">
        <v>6289</v>
      </c>
    </row>
    <row r="1626">
      <c r="A1626" s="2" t="s">
        <v>6291</v>
      </c>
      <c r="B1626" s="2" t="s">
        <v>6290</v>
      </c>
      <c r="C1626" s="2" t="s">
        <v>6292</v>
      </c>
      <c r="D1626" s="2">
        <v>1.0028027568273113E-4</v>
      </c>
      <c r="E1626" s="12" t="s">
        <v>5382</v>
      </c>
    </row>
    <row r="1627">
      <c r="A1627" s="2" t="s">
        <v>6294</v>
      </c>
      <c r="B1627" s="2" t="s">
        <v>6293</v>
      </c>
      <c r="C1627" s="2" t="s">
        <v>6295</v>
      </c>
      <c r="D1627" s="2">
        <v>1.0028027568273113E-4</v>
      </c>
      <c r="E1627" s="12" t="s">
        <v>6296</v>
      </c>
    </row>
    <row r="1628">
      <c r="A1628" s="2" t="s">
        <v>6298</v>
      </c>
      <c r="B1628" s="2" t="s">
        <v>6297</v>
      </c>
      <c r="C1628" s="2" t="s">
        <v>6299</v>
      </c>
      <c r="D1628" s="2">
        <v>1.0028027568273113E-4</v>
      </c>
      <c r="E1628" s="12" t="s">
        <v>6300</v>
      </c>
    </row>
    <row r="1629">
      <c r="A1629" s="2" t="s">
        <v>6302</v>
      </c>
      <c r="B1629" s="2" t="s">
        <v>6301</v>
      </c>
      <c r="C1629" s="2" t="s">
        <v>6303</v>
      </c>
      <c r="D1629" s="2">
        <v>1.0028027568273113E-4</v>
      </c>
      <c r="E1629" s="12" t="s">
        <v>6304</v>
      </c>
    </row>
    <row r="1630">
      <c r="A1630" s="2" t="s">
        <v>6306</v>
      </c>
      <c r="B1630" s="2" t="s">
        <v>6305</v>
      </c>
      <c r="C1630" s="2" t="s">
        <v>6307</v>
      </c>
      <c r="D1630" s="2">
        <v>1.0028027568273113E-4</v>
      </c>
      <c r="E1630" s="12" t="s">
        <v>6308</v>
      </c>
    </row>
    <row r="1631">
      <c r="A1631" s="2" t="s">
        <v>6310</v>
      </c>
      <c r="B1631" s="2" t="s">
        <v>6309</v>
      </c>
      <c r="C1631" s="2" t="s">
        <v>6311</v>
      </c>
      <c r="D1631" s="2">
        <v>1.0028027568273113E-4</v>
      </c>
      <c r="E1631" s="12" t="s">
        <v>6312</v>
      </c>
    </row>
    <row r="1632">
      <c r="A1632" s="2" t="s">
        <v>6314</v>
      </c>
      <c r="B1632" s="2" t="s">
        <v>6313</v>
      </c>
      <c r="D1632" s="2">
        <v>1.0028027568273113E-4</v>
      </c>
      <c r="E1632" s="12" t="s">
        <v>6315</v>
      </c>
    </row>
    <row r="1633">
      <c r="A1633" s="2" t="s">
        <v>6317</v>
      </c>
      <c r="B1633" s="2" t="s">
        <v>6316</v>
      </c>
      <c r="C1633" s="2" t="s">
        <v>6318</v>
      </c>
      <c r="D1633" s="2">
        <v>1.0028027568273113E-4</v>
      </c>
      <c r="E1633" s="12" t="s">
        <v>6319</v>
      </c>
    </row>
    <row r="1634">
      <c r="A1634" s="2" t="s">
        <v>6321</v>
      </c>
      <c r="B1634" s="2" t="s">
        <v>6320</v>
      </c>
      <c r="C1634" s="2" t="s">
        <v>6322</v>
      </c>
      <c r="D1634" s="2">
        <v>1.0028027568273113E-4</v>
      </c>
      <c r="E1634" s="12" t="s">
        <v>6323</v>
      </c>
    </row>
    <row r="1635">
      <c r="A1635" s="2" t="s">
        <v>6325</v>
      </c>
      <c r="B1635" s="2" t="s">
        <v>6324</v>
      </c>
      <c r="C1635" s="2" t="s">
        <v>6326</v>
      </c>
      <c r="D1635" s="2">
        <v>1.0028027568273113E-4</v>
      </c>
      <c r="E1635" s="12" t="s">
        <v>6327</v>
      </c>
    </row>
    <row r="1636">
      <c r="A1636" s="2" t="s">
        <v>6329</v>
      </c>
      <c r="B1636" s="2" t="s">
        <v>6328</v>
      </c>
      <c r="D1636" s="2">
        <v>1.0028027568273113E-4</v>
      </c>
      <c r="E1636" s="12" t="s">
        <v>6330</v>
      </c>
    </row>
    <row r="1637">
      <c r="A1637" s="2" t="s">
        <v>6332</v>
      </c>
      <c r="B1637" s="2" t="s">
        <v>6331</v>
      </c>
      <c r="C1637" s="2" t="s">
        <v>6333</v>
      </c>
      <c r="D1637" s="2">
        <v>1.0028027568273113E-4</v>
      </c>
      <c r="E1637" s="12" t="s">
        <v>6334</v>
      </c>
    </row>
    <row r="1638">
      <c r="A1638" s="2" t="s">
        <v>6336</v>
      </c>
      <c r="B1638" s="2" t="s">
        <v>6335</v>
      </c>
      <c r="C1638" s="2" t="s">
        <v>6337</v>
      </c>
      <c r="D1638" s="2">
        <v>1.0028027568273113E-4</v>
      </c>
      <c r="E1638" s="12" t="s">
        <v>6338</v>
      </c>
    </row>
    <row r="1639">
      <c r="A1639" s="2" t="s">
        <v>6340</v>
      </c>
      <c r="B1639" s="2" t="s">
        <v>6339</v>
      </c>
      <c r="C1639" s="2" t="s">
        <v>6341</v>
      </c>
      <c r="D1639" s="2">
        <v>1.0028027568273113E-4</v>
      </c>
      <c r="E1639" s="12" t="s">
        <v>6342</v>
      </c>
    </row>
    <row r="1640">
      <c r="A1640" s="2" t="s">
        <v>6344</v>
      </c>
      <c r="B1640" s="2" t="s">
        <v>6343</v>
      </c>
      <c r="D1640" s="2">
        <v>1.0028027568273113E-4</v>
      </c>
      <c r="E1640" s="12" t="s">
        <v>6345</v>
      </c>
    </row>
    <row r="1641">
      <c r="A1641" s="2" t="s">
        <v>6347</v>
      </c>
      <c r="B1641" s="2" t="s">
        <v>6346</v>
      </c>
      <c r="C1641" s="2" t="s">
        <v>6348</v>
      </c>
      <c r="D1641" s="2">
        <v>1.0028027568273113E-4</v>
      </c>
      <c r="E1641" s="12" t="s">
        <v>6349</v>
      </c>
    </row>
    <row r="1642">
      <c r="A1642" s="2" t="s">
        <v>6351</v>
      </c>
      <c r="B1642" s="2" t="s">
        <v>6350</v>
      </c>
      <c r="C1642" s="2" t="s">
        <v>6352</v>
      </c>
      <c r="D1642" s="2">
        <v>1.0028027568273113E-4</v>
      </c>
      <c r="E1642" s="12" t="s">
        <v>6353</v>
      </c>
    </row>
    <row r="1643">
      <c r="A1643" s="2" t="s">
        <v>6355</v>
      </c>
      <c r="B1643" s="2" t="s">
        <v>6354</v>
      </c>
      <c r="C1643" s="2" t="s">
        <v>6356</v>
      </c>
      <c r="D1643" s="2">
        <v>1.0028027568273113E-4</v>
      </c>
      <c r="E1643" s="12" t="s">
        <v>6357</v>
      </c>
    </row>
    <row r="1644">
      <c r="A1644" s="2" t="s">
        <v>6359</v>
      </c>
      <c r="B1644" s="2" t="s">
        <v>6358</v>
      </c>
      <c r="C1644" s="2" t="s">
        <v>6360</v>
      </c>
      <c r="D1644" s="2">
        <v>1.0028027568273113E-4</v>
      </c>
      <c r="E1644" s="12" t="s">
        <v>6361</v>
      </c>
    </row>
    <row r="1645">
      <c r="A1645" s="2" t="s">
        <v>6362</v>
      </c>
      <c r="B1645" s="2" t="s">
        <v>6362</v>
      </c>
      <c r="D1645" s="2">
        <v>1.0028027568273113E-4</v>
      </c>
      <c r="E1645" s="12" t="s">
        <v>6363</v>
      </c>
    </row>
    <row r="1646">
      <c r="A1646" s="2" t="s">
        <v>6365</v>
      </c>
      <c r="B1646" s="2" t="s">
        <v>6364</v>
      </c>
      <c r="C1646" s="2" t="s">
        <v>6366</v>
      </c>
      <c r="D1646" s="2">
        <v>1.0028027568273113E-4</v>
      </c>
      <c r="E1646" s="12" t="s">
        <v>6367</v>
      </c>
    </row>
    <row r="1647">
      <c r="A1647" s="2" t="s">
        <v>6369</v>
      </c>
      <c r="B1647" s="2" t="s">
        <v>6368</v>
      </c>
      <c r="C1647" s="2" t="s">
        <v>6370</v>
      </c>
      <c r="D1647" s="2">
        <v>1.0028027568273113E-4</v>
      </c>
      <c r="E1647" s="12" t="s">
        <v>6223</v>
      </c>
    </row>
    <row r="1648">
      <c r="A1648" s="2" t="s">
        <v>6372</v>
      </c>
      <c r="B1648" s="2" t="s">
        <v>6371</v>
      </c>
      <c r="C1648" s="2" t="s">
        <v>6373</v>
      </c>
      <c r="D1648" s="2">
        <v>1.0028027568273113E-4</v>
      </c>
      <c r="E1648" s="12" t="s">
        <v>6374</v>
      </c>
    </row>
    <row r="1649">
      <c r="A1649" s="2" t="s">
        <v>6376</v>
      </c>
      <c r="B1649" s="2" t="s">
        <v>6375</v>
      </c>
      <c r="C1649" s="2" t="s">
        <v>6377</v>
      </c>
      <c r="D1649" s="2">
        <v>1.0028027568273113E-4</v>
      </c>
      <c r="E1649" s="12" t="s">
        <v>6378</v>
      </c>
    </row>
    <row r="1650">
      <c r="A1650" s="2" t="s">
        <v>6380</v>
      </c>
      <c r="B1650" s="2" t="s">
        <v>6379</v>
      </c>
      <c r="C1650" s="2" t="s">
        <v>6381</v>
      </c>
      <c r="D1650" s="2">
        <v>1.0028027568273113E-4</v>
      </c>
      <c r="E1650" s="12" t="s">
        <v>6382</v>
      </c>
    </row>
    <row r="1651">
      <c r="A1651" s="2" t="s">
        <v>6384</v>
      </c>
      <c r="B1651" s="2" t="s">
        <v>6383</v>
      </c>
      <c r="C1651" s="2" t="s">
        <v>6385</v>
      </c>
      <c r="D1651" s="2">
        <v>1.0028027568273113E-4</v>
      </c>
      <c r="E1651" s="12" t="s">
        <v>6386</v>
      </c>
    </row>
    <row r="1652">
      <c r="A1652" s="2" t="s">
        <v>6388</v>
      </c>
      <c r="B1652" s="2" t="s">
        <v>6387</v>
      </c>
      <c r="C1652" s="2" t="s">
        <v>6389</v>
      </c>
      <c r="D1652" s="2">
        <v>1.0028027568273113E-4</v>
      </c>
      <c r="E1652" s="12" t="s">
        <v>6390</v>
      </c>
    </row>
    <row r="1653">
      <c r="A1653" s="2" t="s">
        <v>6392</v>
      </c>
      <c r="B1653" s="2" t="s">
        <v>6391</v>
      </c>
      <c r="C1653" s="2" t="s">
        <v>6393</v>
      </c>
      <c r="D1653" s="2">
        <v>1.0028027568273113E-4</v>
      </c>
      <c r="E1653" s="12" t="s">
        <v>6394</v>
      </c>
    </row>
    <row r="1654">
      <c r="A1654" s="2" t="s">
        <v>6396</v>
      </c>
      <c r="B1654" s="2" t="s">
        <v>6395</v>
      </c>
      <c r="C1654" s="2" t="s">
        <v>6397</v>
      </c>
      <c r="D1654" s="2">
        <v>1.0028027568273113E-4</v>
      </c>
      <c r="E1654" s="12" t="s">
        <v>6398</v>
      </c>
    </row>
    <row r="1655">
      <c r="A1655" s="2" t="s">
        <v>6400</v>
      </c>
      <c r="B1655" s="2" t="s">
        <v>6399</v>
      </c>
      <c r="C1655" s="2" t="s">
        <v>6401</v>
      </c>
      <c r="D1655" s="2">
        <v>1.0028027568273113E-4</v>
      </c>
      <c r="E1655" s="12" t="s">
        <v>6402</v>
      </c>
    </row>
    <row r="1656">
      <c r="A1656" s="2" t="s">
        <v>6404</v>
      </c>
      <c r="B1656" s="2" t="s">
        <v>6403</v>
      </c>
      <c r="C1656" s="2" t="s">
        <v>6405</v>
      </c>
      <c r="D1656" s="2">
        <v>1.0028027568273113E-4</v>
      </c>
      <c r="E1656" s="12" t="s">
        <v>3248</v>
      </c>
    </row>
    <row r="1657">
      <c r="A1657" s="2" t="s">
        <v>6407</v>
      </c>
      <c r="B1657" s="2" t="s">
        <v>6406</v>
      </c>
      <c r="C1657" s="2" t="s">
        <v>6408</v>
      </c>
      <c r="D1657" s="2">
        <v>1.0028027568273113E-4</v>
      </c>
      <c r="E1657" s="12" t="s">
        <v>6409</v>
      </c>
    </row>
    <row r="1658">
      <c r="A1658" s="2" t="s">
        <v>6411</v>
      </c>
      <c r="B1658" s="2" t="s">
        <v>6410</v>
      </c>
      <c r="C1658" s="2" t="s">
        <v>6412</v>
      </c>
      <c r="D1658" s="2">
        <v>1.0028027568273113E-4</v>
      </c>
      <c r="E1658" s="12" t="s">
        <v>6413</v>
      </c>
    </row>
    <row r="1659">
      <c r="A1659" s="2" t="s">
        <v>6415</v>
      </c>
      <c r="B1659" s="2" t="s">
        <v>6414</v>
      </c>
      <c r="C1659" s="2" t="s">
        <v>6416</v>
      </c>
      <c r="D1659" s="2">
        <v>1.0028027568273113E-4</v>
      </c>
      <c r="E1659" s="12" t="s">
        <v>6417</v>
      </c>
    </row>
    <row r="1660">
      <c r="A1660" s="2" t="s">
        <v>6419</v>
      </c>
      <c r="B1660" s="2" t="s">
        <v>6418</v>
      </c>
      <c r="C1660" s="2" t="s">
        <v>6420</v>
      </c>
      <c r="D1660" s="2">
        <v>1.0028027568273113E-4</v>
      </c>
      <c r="E1660" s="12" t="s">
        <v>6421</v>
      </c>
    </row>
    <row r="1661">
      <c r="A1661" s="2" t="s">
        <v>6423</v>
      </c>
      <c r="B1661" s="2" t="s">
        <v>6422</v>
      </c>
      <c r="D1661" s="2">
        <v>1.0028027568273113E-4</v>
      </c>
      <c r="E1661" s="12" t="s">
        <v>4758</v>
      </c>
    </row>
    <row r="1662">
      <c r="A1662" s="2" t="s">
        <v>6425</v>
      </c>
      <c r="B1662" s="2" t="s">
        <v>6424</v>
      </c>
      <c r="C1662" s="2" t="s">
        <v>6426</v>
      </c>
      <c r="D1662" s="2">
        <v>1.0028027568273113E-4</v>
      </c>
      <c r="E1662" s="12" t="s">
        <v>6427</v>
      </c>
    </row>
    <row r="1663">
      <c r="A1663" s="2" t="s">
        <v>6429</v>
      </c>
      <c r="B1663" s="2" t="s">
        <v>6428</v>
      </c>
      <c r="C1663" s="2" t="s">
        <v>6430</v>
      </c>
      <c r="D1663" s="2">
        <v>1.0028027568273113E-4</v>
      </c>
      <c r="E1663" s="12" t="s">
        <v>5710</v>
      </c>
    </row>
    <row r="1664">
      <c r="A1664" s="2" t="s">
        <v>6432</v>
      </c>
      <c r="B1664" s="2" t="s">
        <v>6431</v>
      </c>
      <c r="D1664" s="2">
        <v>1.0028027568273113E-4</v>
      </c>
      <c r="E1664" s="12" t="s">
        <v>6433</v>
      </c>
    </row>
    <row r="1665">
      <c r="A1665" s="2" t="s">
        <v>6435</v>
      </c>
      <c r="B1665" s="2" t="s">
        <v>6434</v>
      </c>
      <c r="C1665" s="2" t="s">
        <v>6436</v>
      </c>
      <c r="D1665" s="2">
        <v>1.0028027568273113E-4</v>
      </c>
      <c r="E1665" s="12" t="s">
        <v>6437</v>
      </c>
    </row>
    <row r="1666">
      <c r="A1666" s="2" t="s">
        <v>6439</v>
      </c>
      <c r="B1666" s="2" t="s">
        <v>6438</v>
      </c>
      <c r="C1666" s="2" t="s">
        <v>6440</v>
      </c>
      <c r="D1666" s="2">
        <v>1.0028027568273113E-4</v>
      </c>
      <c r="E1666" s="12" t="s">
        <v>6441</v>
      </c>
    </row>
    <row r="1667">
      <c r="A1667" s="2" t="s">
        <v>6443</v>
      </c>
      <c r="B1667" s="2" t="s">
        <v>6442</v>
      </c>
      <c r="D1667" s="2">
        <v>1.0028027568273113E-4</v>
      </c>
      <c r="E1667" s="12" t="s">
        <v>6444</v>
      </c>
    </row>
    <row r="1668">
      <c r="A1668" s="2" t="s">
        <v>6446</v>
      </c>
      <c r="B1668" s="2" t="s">
        <v>6445</v>
      </c>
      <c r="C1668" s="2" t="s">
        <v>6447</v>
      </c>
      <c r="D1668" s="2">
        <v>1.0028027568273113E-4</v>
      </c>
      <c r="E1668" s="12" t="s">
        <v>6448</v>
      </c>
    </row>
    <row r="1669">
      <c r="A1669" s="2" t="s">
        <v>6450</v>
      </c>
      <c r="B1669" s="2" t="s">
        <v>6449</v>
      </c>
      <c r="C1669" s="2" t="s">
        <v>6451</v>
      </c>
      <c r="D1669" s="2">
        <v>1.0028027568273113E-4</v>
      </c>
      <c r="E1669" s="12" t="s">
        <v>6452</v>
      </c>
    </row>
    <row r="1670">
      <c r="A1670" s="2" t="s">
        <v>6454</v>
      </c>
      <c r="B1670" s="2" t="s">
        <v>6453</v>
      </c>
      <c r="C1670" s="2" t="s">
        <v>6455</v>
      </c>
      <c r="D1670" s="2">
        <v>1.0028027568273113E-4</v>
      </c>
      <c r="E1670" s="12" t="s">
        <v>6456</v>
      </c>
    </row>
    <row r="1671">
      <c r="A1671" s="2" t="s">
        <v>6458</v>
      </c>
      <c r="B1671" s="2" t="s">
        <v>6457</v>
      </c>
      <c r="C1671" s="2" t="s">
        <v>6459</v>
      </c>
      <c r="D1671" s="2">
        <v>1.0028027568273113E-4</v>
      </c>
      <c r="E1671" s="12" t="s">
        <v>4804</v>
      </c>
    </row>
    <row r="1672">
      <c r="A1672" s="2" t="s">
        <v>6461</v>
      </c>
      <c r="B1672" s="2" t="s">
        <v>6460</v>
      </c>
      <c r="D1672" s="2">
        <v>1.0028027568273113E-4</v>
      </c>
      <c r="E1672" s="12" t="s">
        <v>6462</v>
      </c>
    </row>
    <row r="1673">
      <c r="A1673" s="2" t="s">
        <v>6464</v>
      </c>
      <c r="B1673" s="2" t="s">
        <v>6463</v>
      </c>
      <c r="C1673" s="2" t="s">
        <v>6465</v>
      </c>
      <c r="D1673" s="2">
        <v>1.0028027568273113E-4</v>
      </c>
      <c r="E1673" s="12" t="s">
        <v>4315</v>
      </c>
    </row>
    <row r="1674">
      <c r="A1674" s="2" t="s">
        <v>6467</v>
      </c>
      <c r="B1674" s="2" t="s">
        <v>6466</v>
      </c>
      <c r="C1674" s="2" t="s">
        <v>6468</v>
      </c>
      <c r="D1674" s="2">
        <v>1.0028027568273113E-4</v>
      </c>
      <c r="E1674" s="12" t="s">
        <v>6469</v>
      </c>
    </row>
    <row r="1675">
      <c r="A1675" s="2" t="s">
        <v>6471</v>
      </c>
      <c r="B1675" s="2" t="s">
        <v>6470</v>
      </c>
      <c r="C1675" s="2" t="s">
        <v>6472</v>
      </c>
      <c r="D1675" s="2">
        <v>1.0028027568273113E-4</v>
      </c>
      <c r="E1675" s="12" t="s">
        <v>6473</v>
      </c>
    </row>
    <row r="1676">
      <c r="A1676" s="2" t="s">
        <v>6475</v>
      </c>
      <c r="B1676" s="2" t="s">
        <v>6474</v>
      </c>
      <c r="D1676" s="2">
        <v>1.0028027568273113E-4</v>
      </c>
      <c r="E1676" s="12" t="s">
        <v>6476</v>
      </c>
    </row>
    <row r="1677">
      <c r="A1677" s="2" t="s">
        <v>6478</v>
      </c>
      <c r="B1677" s="2" t="s">
        <v>6477</v>
      </c>
      <c r="C1677" s="2" t="s">
        <v>6479</v>
      </c>
      <c r="D1677" s="2">
        <v>1.0028027568273113E-4</v>
      </c>
      <c r="E1677" s="12" t="s">
        <v>6480</v>
      </c>
    </row>
    <row r="1678">
      <c r="A1678" s="2" t="s">
        <v>6482</v>
      </c>
      <c r="B1678" s="2" t="s">
        <v>6481</v>
      </c>
      <c r="C1678" s="2" t="s">
        <v>6483</v>
      </c>
      <c r="D1678" s="2">
        <v>1.0028027568273113E-4</v>
      </c>
      <c r="E1678" s="12" t="s">
        <v>6484</v>
      </c>
    </row>
    <row r="1679">
      <c r="A1679" s="2" t="s">
        <v>6485</v>
      </c>
      <c r="B1679" s="2" t="s">
        <v>6485</v>
      </c>
      <c r="C1679" s="2" t="s">
        <v>6486</v>
      </c>
      <c r="D1679" s="2">
        <v>1.0028027568273113E-4</v>
      </c>
      <c r="E1679" s="12" t="s">
        <v>6487</v>
      </c>
    </row>
    <row r="1680">
      <c r="A1680" s="2" t="s">
        <v>6489</v>
      </c>
      <c r="B1680" s="2" t="s">
        <v>6488</v>
      </c>
      <c r="C1680" s="2" t="s">
        <v>6490</v>
      </c>
      <c r="D1680" s="2">
        <v>1.0028027568273113E-4</v>
      </c>
      <c r="E1680" s="12" t="s">
        <v>6437</v>
      </c>
    </row>
    <row r="1681">
      <c r="A1681" s="2" t="s">
        <v>6492</v>
      </c>
      <c r="B1681" s="2" t="s">
        <v>6491</v>
      </c>
      <c r="C1681" s="2" t="s">
        <v>6493</v>
      </c>
      <c r="D1681" s="2">
        <v>1.0028027568273113E-4</v>
      </c>
      <c r="E1681" s="12" t="s">
        <v>6494</v>
      </c>
    </row>
    <row r="1682">
      <c r="A1682" s="2" t="s">
        <v>6496</v>
      </c>
      <c r="B1682" s="2" t="s">
        <v>6495</v>
      </c>
      <c r="C1682" s="2" t="s">
        <v>6497</v>
      </c>
      <c r="D1682" s="2">
        <v>1.0028027568273113E-4</v>
      </c>
      <c r="E1682" s="12" t="s">
        <v>6498</v>
      </c>
    </row>
    <row r="1683">
      <c r="A1683" s="2" t="s">
        <v>6500</v>
      </c>
      <c r="B1683" s="2" t="s">
        <v>6499</v>
      </c>
      <c r="D1683" s="2">
        <v>1.0028027568273113E-4</v>
      </c>
      <c r="E1683" s="12" t="s">
        <v>6501</v>
      </c>
    </row>
    <row r="1684">
      <c r="A1684" s="2" t="s">
        <v>6503</v>
      </c>
      <c r="B1684" s="2" t="s">
        <v>6502</v>
      </c>
      <c r="C1684" s="2" t="s">
        <v>6504</v>
      </c>
      <c r="D1684" s="2">
        <v>1.0028027568273113E-4</v>
      </c>
      <c r="E1684" s="12" t="s">
        <v>6505</v>
      </c>
    </row>
    <row r="1685">
      <c r="A1685" s="2" t="s">
        <v>6507</v>
      </c>
      <c r="B1685" s="2" t="s">
        <v>6506</v>
      </c>
      <c r="C1685" s="2" t="s">
        <v>6508</v>
      </c>
      <c r="D1685" s="2">
        <v>1.0028027568273113E-4</v>
      </c>
      <c r="E1685" s="12" t="s">
        <v>4837</v>
      </c>
    </row>
    <row r="1686">
      <c r="A1686" s="2" t="s">
        <v>6510</v>
      </c>
      <c r="B1686" s="2" t="s">
        <v>6509</v>
      </c>
      <c r="C1686" s="2" t="s">
        <v>6511</v>
      </c>
      <c r="D1686" s="2">
        <v>1.0028027568273113E-4</v>
      </c>
      <c r="E1686" s="12" t="s">
        <v>6512</v>
      </c>
    </row>
    <row r="1687">
      <c r="A1687" s="2" t="s">
        <v>6514</v>
      </c>
      <c r="B1687" s="2" t="s">
        <v>6513</v>
      </c>
      <c r="D1687" s="2">
        <v>1.0028027568273113E-4</v>
      </c>
      <c r="E1687" s="12" t="s">
        <v>6515</v>
      </c>
    </row>
    <row r="1688">
      <c r="A1688" s="2" t="s">
        <v>6517</v>
      </c>
      <c r="B1688" s="2" t="s">
        <v>6516</v>
      </c>
      <c r="C1688" s="2" t="s">
        <v>6518</v>
      </c>
      <c r="D1688" s="2">
        <v>1.0028027568273113E-4</v>
      </c>
      <c r="E1688" s="12" t="s">
        <v>6519</v>
      </c>
    </row>
    <row r="1689">
      <c r="A1689" s="2" t="s">
        <v>6521</v>
      </c>
      <c r="B1689" s="2" t="s">
        <v>6520</v>
      </c>
      <c r="C1689" s="2" t="s">
        <v>6522</v>
      </c>
      <c r="D1689" s="2">
        <v>1.0028027568273113E-4</v>
      </c>
      <c r="E1689" s="12" t="s">
        <v>1516</v>
      </c>
    </row>
    <row r="1690">
      <c r="A1690" s="2" t="s">
        <v>6524</v>
      </c>
      <c r="B1690" s="2" t="s">
        <v>6523</v>
      </c>
      <c r="D1690" s="2">
        <v>1.0028027568273113E-4</v>
      </c>
      <c r="E1690" s="12" t="s">
        <v>6525</v>
      </c>
    </row>
    <row r="1691">
      <c r="A1691" s="2" t="s">
        <v>6527</v>
      </c>
      <c r="B1691" s="2" t="s">
        <v>6526</v>
      </c>
      <c r="C1691" s="2" t="s">
        <v>6528</v>
      </c>
      <c r="D1691" s="2">
        <v>1.0028027568273113E-4</v>
      </c>
      <c r="E1691" s="12" t="s">
        <v>6529</v>
      </c>
    </row>
    <row r="1692">
      <c r="A1692" s="2" t="s">
        <v>6531</v>
      </c>
      <c r="B1692" s="2" t="s">
        <v>6530</v>
      </c>
      <c r="D1692" s="2">
        <v>1.0028027568273113E-4</v>
      </c>
      <c r="E1692" s="12" t="s">
        <v>6532</v>
      </c>
    </row>
    <row r="1693">
      <c r="A1693" s="2" t="s">
        <v>6534</v>
      </c>
      <c r="B1693" s="2" t="s">
        <v>6533</v>
      </c>
      <c r="C1693" s="2" t="s">
        <v>6535</v>
      </c>
      <c r="D1693" s="2">
        <v>1.0028027568273113E-4</v>
      </c>
      <c r="E1693" s="12" t="s">
        <v>6536</v>
      </c>
    </row>
    <row r="1694">
      <c r="A1694" s="2" t="s">
        <v>6538</v>
      </c>
      <c r="B1694" s="2" t="s">
        <v>6537</v>
      </c>
      <c r="C1694" s="2" t="s">
        <v>6539</v>
      </c>
      <c r="D1694" s="2">
        <v>1.0028027568273113E-4</v>
      </c>
      <c r="E1694" s="12" t="s">
        <v>1925</v>
      </c>
    </row>
    <row r="1695">
      <c r="A1695" s="2" t="s">
        <v>6541</v>
      </c>
      <c r="B1695" s="2" t="s">
        <v>6540</v>
      </c>
      <c r="D1695" s="2">
        <v>1.0028027568273113E-4</v>
      </c>
      <c r="E1695" s="12" t="s">
        <v>5297</v>
      </c>
    </row>
    <row r="1696">
      <c r="A1696" s="2" t="s">
        <v>6543</v>
      </c>
      <c r="B1696" s="2" t="s">
        <v>6542</v>
      </c>
      <c r="C1696" s="2" t="s">
        <v>6544</v>
      </c>
      <c r="D1696" s="2">
        <v>1.0028027568273113E-4</v>
      </c>
      <c r="E1696" s="12" t="s">
        <v>6545</v>
      </c>
    </row>
    <row r="1697">
      <c r="A1697" s="2" t="s">
        <v>6547</v>
      </c>
      <c r="B1697" s="2" t="s">
        <v>6546</v>
      </c>
      <c r="C1697" s="2" t="s">
        <v>6548</v>
      </c>
      <c r="D1697" s="2">
        <v>1.0028027568273113E-4</v>
      </c>
      <c r="E1697" s="12" t="s">
        <v>6549</v>
      </c>
    </row>
    <row r="1698">
      <c r="A1698" s="2" t="s">
        <v>6551</v>
      </c>
      <c r="B1698" s="2" t="s">
        <v>6550</v>
      </c>
      <c r="C1698" s="2" t="s">
        <v>6552</v>
      </c>
      <c r="D1698" s="2">
        <v>1.0028027568273113E-4</v>
      </c>
      <c r="E1698" s="12" t="s">
        <v>6553</v>
      </c>
    </row>
    <row r="1699">
      <c r="A1699" s="2" t="s">
        <v>6555</v>
      </c>
      <c r="B1699" s="2" t="s">
        <v>6554</v>
      </c>
      <c r="D1699" s="2">
        <v>1.0028027568273113E-4</v>
      </c>
      <c r="E1699" s="12" t="s">
        <v>6556</v>
      </c>
    </row>
    <row r="1700">
      <c r="A1700" s="2" t="s">
        <v>6558</v>
      </c>
      <c r="B1700" s="2" t="s">
        <v>6557</v>
      </c>
      <c r="C1700" s="2" t="s">
        <v>6559</v>
      </c>
      <c r="D1700" s="2">
        <v>1.0028027568273113E-4</v>
      </c>
      <c r="E1700" s="12" t="s">
        <v>6560</v>
      </c>
    </row>
    <row r="1701">
      <c r="A1701" s="2" t="s">
        <v>6562</v>
      </c>
      <c r="B1701" s="2" t="s">
        <v>6561</v>
      </c>
      <c r="C1701" s="2" t="s">
        <v>6563</v>
      </c>
      <c r="D1701" s="2">
        <v>1.0028027568273113E-4</v>
      </c>
      <c r="E1701" s="12" t="s">
        <v>5342</v>
      </c>
    </row>
    <row r="1702">
      <c r="A1702" s="2" t="s">
        <v>6565</v>
      </c>
      <c r="B1702" s="2" t="s">
        <v>6564</v>
      </c>
      <c r="D1702" s="2">
        <v>1.0028027568273113E-4</v>
      </c>
      <c r="E1702" s="12" t="s">
        <v>2935</v>
      </c>
    </row>
    <row r="1703">
      <c r="A1703" s="2" t="s">
        <v>6567</v>
      </c>
      <c r="B1703" s="2" t="s">
        <v>6566</v>
      </c>
      <c r="C1703" s="2" t="s">
        <v>6568</v>
      </c>
      <c r="D1703" s="2">
        <v>1.0028027568273113E-4</v>
      </c>
      <c r="E1703" s="12" t="s">
        <v>6569</v>
      </c>
    </row>
    <row r="1704">
      <c r="A1704" s="2" t="s">
        <v>6571</v>
      </c>
      <c r="B1704" s="2" t="s">
        <v>6570</v>
      </c>
      <c r="C1704" s="2" t="s">
        <v>6572</v>
      </c>
      <c r="D1704" s="2">
        <v>1.0028027568273113E-4</v>
      </c>
      <c r="E1704" s="12" t="s">
        <v>6573</v>
      </c>
    </row>
    <row r="1705">
      <c r="A1705" s="2" t="s">
        <v>6575</v>
      </c>
      <c r="B1705" s="2" t="s">
        <v>6574</v>
      </c>
      <c r="C1705" s="2" t="s">
        <v>6576</v>
      </c>
      <c r="D1705" s="2">
        <v>1.0028027568273113E-4</v>
      </c>
      <c r="E1705" s="12" t="s">
        <v>6577</v>
      </c>
    </row>
    <row r="1706">
      <c r="A1706" s="2" t="s">
        <v>6579</v>
      </c>
      <c r="B1706" s="2" t="s">
        <v>6578</v>
      </c>
      <c r="C1706" s="2" t="s">
        <v>6580</v>
      </c>
      <c r="D1706" s="2">
        <v>1.0028027568273113E-4</v>
      </c>
      <c r="E1706" s="12" t="s">
        <v>6581</v>
      </c>
    </row>
    <row r="1707">
      <c r="A1707" s="2" t="s">
        <v>6583</v>
      </c>
      <c r="B1707" s="2" t="s">
        <v>6582</v>
      </c>
      <c r="D1707" s="2">
        <v>1.0028027568273113E-4</v>
      </c>
      <c r="E1707" s="12" t="s">
        <v>6107</v>
      </c>
    </row>
    <row r="1708">
      <c r="A1708" s="2" t="s">
        <v>6585</v>
      </c>
      <c r="B1708" s="2" t="s">
        <v>6584</v>
      </c>
      <c r="C1708" s="2" t="s">
        <v>6586</v>
      </c>
      <c r="D1708" s="2">
        <v>1.0028027568273113E-4</v>
      </c>
      <c r="E1708" s="12" t="s">
        <v>5442</v>
      </c>
    </row>
    <row r="1709">
      <c r="A1709" s="2" t="s">
        <v>6588</v>
      </c>
      <c r="B1709" s="2" t="s">
        <v>6587</v>
      </c>
      <c r="C1709" s="2" t="s">
        <v>6589</v>
      </c>
      <c r="D1709" s="2">
        <v>1.0028027568273113E-4</v>
      </c>
      <c r="E1709" s="12" t="s">
        <v>6590</v>
      </c>
    </row>
    <row r="1710">
      <c r="A1710" s="2" t="s">
        <v>6592</v>
      </c>
      <c r="B1710" s="2" t="s">
        <v>6591</v>
      </c>
      <c r="C1710" s="2" t="s">
        <v>6593</v>
      </c>
      <c r="D1710" s="2">
        <v>1.0028027568273113E-4</v>
      </c>
      <c r="E1710" s="12" t="s">
        <v>6594</v>
      </c>
    </row>
    <row r="1711">
      <c r="A1711" s="2" t="s">
        <v>6595</v>
      </c>
      <c r="B1711" s="2" t="s">
        <v>338</v>
      </c>
      <c r="C1711" s="2" t="s">
        <v>6596</v>
      </c>
      <c r="D1711" s="2">
        <v>1.0028027568273113E-4</v>
      </c>
      <c r="E1711" s="12" t="s">
        <v>6597</v>
      </c>
    </row>
    <row r="1712">
      <c r="A1712" s="2" t="s">
        <v>6599</v>
      </c>
      <c r="B1712" s="2" t="s">
        <v>6598</v>
      </c>
      <c r="C1712" s="2" t="s">
        <v>6600</v>
      </c>
      <c r="D1712" s="2">
        <v>1.0028027568273113E-4</v>
      </c>
      <c r="E1712" s="12" t="s">
        <v>6601</v>
      </c>
    </row>
    <row r="1713">
      <c r="A1713" s="2" t="s">
        <v>6603</v>
      </c>
      <c r="B1713" s="2" t="s">
        <v>6602</v>
      </c>
      <c r="C1713" s="2" t="s">
        <v>6604</v>
      </c>
      <c r="D1713" s="2">
        <v>1.0028027568273113E-4</v>
      </c>
      <c r="E1713" s="12" t="s">
        <v>6605</v>
      </c>
    </row>
    <row r="1714">
      <c r="A1714" s="2" t="s">
        <v>6607</v>
      </c>
      <c r="B1714" s="2" t="s">
        <v>6606</v>
      </c>
      <c r="C1714" s="2" t="s">
        <v>6608</v>
      </c>
      <c r="D1714" s="2">
        <v>1.0028027568273113E-4</v>
      </c>
      <c r="E1714" s="12" t="s">
        <v>6609</v>
      </c>
    </row>
    <row r="1715">
      <c r="A1715" s="2" t="s">
        <v>6611</v>
      </c>
      <c r="B1715" s="2" t="s">
        <v>6610</v>
      </c>
      <c r="C1715" s="2" t="s">
        <v>6612</v>
      </c>
      <c r="D1715" s="2">
        <v>1.0028027568273113E-4</v>
      </c>
      <c r="E1715" s="12" t="s">
        <v>6613</v>
      </c>
    </row>
    <row r="1716">
      <c r="A1716" s="2" t="s">
        <v>6615</v>
      </c>
      <c r="B1716" s="2" t="s">
        <v>6614</v>
      </c>
      <c r="C1716" s="2" t="s">
        <v>6616</v>
      </c>
      <c r="D1716" s="2">
        <v>1.0028027568273113E-4</v>
      </c>
      <c r="E1716" s="12" t="s">
        <v>6617</v>
      </c>
    </row>
    <row r="1717">
      <c r="A1717" s="2" t="s">
        <v>6619</v>
      </c>
      <c r="B1717" s="2" t="s">
        <v>6618</v>
      </c>
      <c r="C1717" s="2" t="s">
        <v>6620</v>
      </c>
      <c r="D1717" s="2">
        <v>1.0028027568273113E-4</v>
      </c>
      <c r="E1717" s="12" t="s">
        <v>3910</v>
      </c>
    </row>
    <row r="1718">
      <c r="A1718" s="2" t="s">
        <v>6622</v>
      </c>
      <c r="B1718" s="2" t="s">
        <v>6621</v>
      </c>
      <c r="C1718" s="2" t="s">
        <v>6623</v>
      </c>
      <c r="D1718" s="2">
        <v>1.0028027568273113E-4</v>
      </c>
      <c r="E1718" s="12" t="s">
        <v>6624</v>
      </c>
    </row>
    <row r="1719">
      <c r="A1719" s="2" t="s">
        <v>6626</v>
      </c>
      <c r="B1719" s="2" t="s">
        <v>6625</v>
      </c>
      <c r="D1719" s="2">
        <v>1.0028027568273113E-4</v>
      </c>
      <c r="E1719" s="12" t="s">
        <v>4186</v>
      </c>
    </row>
    <row r="1720">
      <c r="A1720" s="2" t="s">
        <v>6628</v>
      </c>
      <c r="B1720" s="2" t="s">
        <v>6627</v>
      </c>
      <c r="C1720" s="2" t="s">
        <v>6629</v>
      </c>
      <c r="D1720" s="2">
        <v>1.0028027568273113E-4</v>
      </c>
      <c r="E1720" s="12" t="s">
        <v>6630</v>
      </c>
    </row>
    <row r="1721">
      <c r="A1721" s="2" t="s">
        <v>6632</v>
      </c>
      <c r="B1721" s="2" t="s">
        <v>6631</v>
      </c>
      <c r="D1721" s="2">
        <v>1.0028027568273113E-4</v>
      </c>
      <c r="E1721" s="12" t="s">
        <v>6633</v>
      </c>
    </row>
    <row r="1722">
      <c r="A1722" s="2" t="s">
        <v>6635</v>
      </c>
      <c r="B1722" s="2" t="s">
        <v>6634</v>
      </c>
      <c r="C1722" s="2" t="s">
        <v>6636</v>
      </c>
      <c r="D1722" s="2">
        <v>1.0028027568273113E-4</v>
      </c>
      <c r="E1722" s="12" t="s">
        <v>6637</v>
      </c>
    </row>
    <row r="1723">
      <c r="A1723" s="2" t="s">
        <v>6639</v>
      </c>
      <c r="B1723" s="2" t="s">
        <v>6638</v>
      </c>
      <c r="C1723" s="2" t="s">
        <v>6640</v>
      </c>
      <c r="D1723" s="2">
        <v>1.0028027568273113E-4</v>
      </c>
      <c r="E1723" s="12" t="s">
        <v>6641</v>
      </c>
    </row>
    <row r="1724">
      <c r="A1724" s="2" t="s">
        <v>6643</v>
      </c>
      <c r="B1724" s="2" t="s">
        <v>6642</v>
      </c>
      <c r="D1724" s="2">
        <v>1.0028027568273113E-4</v>
      </c>
      <c r="E1724" s="12" t="s">
        <v>6644</v>
      </c>
    </row>
    <row r="1725">
      <c r="A1725" s="2" t="s">
        <v>6646</v>
      </c>
      <c r="B1725" s="2" t="s">
        <v>6645</v>
      </c>
      <c r="C1725" s="2" t="s">
        <v>6647</v>
      </c>
      <c r="D1725" s="2">
        <v>1.0028027568273113E-4</v>
      </c>
      <c r="E1725" s="12" t="s">
        <v>3714</v>
      </c>
    </row>
    <row r="1726">
      <c r="A1726" s="2" t="s">
        <v>6649</v>
      </c>
      <c r="B1726" s="2" t="s">
        <v>6648</v>
      </c>
      <c r="C1726" s="2" t="s">
        <v>6650</v>
      </c>
      <c r="D1726" s="2">
        <v>1.0028027568273113E-4</v>
      </c>
      <c r="E1726" s="12" t="s">
        <v>6095</v>
      </c>
    </row>
    <row r="1727">
      <c r="A1727" s="2" t="s">
        <v>6652</v>
      </c>
      <c r="B1727" s="2" t="s">
        <v>6651</v>
      </c>
      <c r="D1727" s="2">
        <v>1.0028027568273113E-4</v>
      </c>
      <c r="E1727" s="12" t="s">
        <v>5317</v>
      </c>
    </row>
    <row r="1728">
      <c r="A1728" s="2" t="s">
        <v>6654</v>
      </c>
      <c r="B1728" s="2" t="s">
        <v>6653</v>
      </c>
      <c r="C1728" s="2" t="s">
        <v>6655</v>
      </c>
      <c r="D1728" s="2">
        <v>1.0028027568273113E-4</v>
      </c>
      <c r="E1728" s="12" t="s">
        <v>6656</v>
      </c>
    </row>
    <row r="1729">
      <c r="A1729" s="2" t="s">
        <v>6658</v>
      </c>
      <c r="B1729" s="2" t="s">
        <v>6657</v>
      </c>
      <c r="C1729" s="2" t="s">
        <v>6659</v>
      </c>
      <c r="D1729" s="2">
        <v>1.0028027568273113E-4</v>
      </c>
      <c r="E1729" s="12" t="s">
        <v>6660</v>
      </c>
    </row>
    <row r="1730">
      <c r="A1730" s="2" t="s">
        <v>6662</v>
      </c>
      <c r="B1730" s="2" t="s">
        <v>6661</v>
      </c>
      <c r="C1730" s="2" t="s">
        <v>6663</v>
      </c>
      <c r="D1730" s="2">
        <v>1.0028027568273113E-4</v>
      </c>
      <c r="E1730" s="12" t="s">
        <v>6664</v>
      </c>
    </row>
    <row r="1731">
      <c r="A1731" s="2" t="s">
        <v>6666</v>
      </c>
      <c r="B1731" s="2" t="s">
        <v>6665</v>
      </c>
      <c r="C1731" s="2" t="s">
        <v>6667</v>
      </c>
      <c r="D1731" s="2">
        <v>1.0028027568273113E-4</v>
      </c>
      <c r="E1731" s="12" t="s">
        <v>6668</v>
      </c>
    </row>
    <row r="1732">
      <c r="A1732" s="2" t="s">
        <v>6670</v>
      </c>
      <c r="B1732" s="2" t="s">
        <v>6669</v>
      </c>
      <c r="C1732" s="2" t="s">
        <v>6671</v>
      </c>
      <c r="D1732" s="2">
        <v>1.0028027568273113E-4</v>
      </c>
      <c r="E1732" s="12" t="s">
        <v>6672</v>
      </c>
    </row>
    <row r="1733">
      <c r="A1733" s="2" t="s">
        <v>6674</v>
      </c>
      <c r="B1733" s="2" t="s">
        <v>6673</v>
      </c>
      <c r="C1733" s="2" t="s">
        <v>6675</v>
      </c>
      <c r="D1733" s="2">
        <v>1.0028027568273113E-4</v>
      </c>
      <c r="E1733" s="12" t="s">
        <v>6676</v>
      </c>
    </row>
    <row r="1734">
      <c r="A1734" s="2" t="s">
        <v>6678</v>
      </c>
      <c r="B1734" s="2" t="s">
        <v>6677</v>
      </c>
      <c r="C1734" s="2" t="s">
        <v>6679</v>
      </c>
      <c r="D1734" s="2">
        <v>1.0028027568273113E-4</v>
      </c>
      <c r="E1734" s="12" t="s">
        <v>4326</v>
      </c>
    </row>
    <row r="1735">
      <c r="A1735" s="2" t="s">
        <v>6681</v>
      </c>
      <c r="B1735" s="2" t="s">
        <v>6680</v>
      </c>
      <c r="C1735" s="2" t="s">
        <v>6682</v>
      </c>
      <c r="D1735" s="2">
        <v>1.0028027568273113E-4</v>
      </c>
      <c r="E1735" s="12" t="s">
        <v>6683</v>
      </c>
    </row>
    <row r="1736">
      <c r="A1736" s="2" t="s">
        <v>6685</v>
      </c>
      <c r="B1736" s="2" t="s">
        <v>6684</v>
      </c>
      <c r="D1736" s="2">
        <v>1.0028027568273113E-4</v>
      </c>
      <c r="E1736" s="12" t="s">
        <v>6686</v>
      </c>
    </row>
    <row r="1737">
      <c r="A1737" s="2" t="s">
        <v>6688</v>
      </c>
      <c r="B1737" s="2" t="s">
        <v>6687</v>
      </c>
      <c r="C1737" s="2" t="s">
        <v>6689</v>
      </c>
      <c r="D1737" s="2">
        <v>1.0028027568273113E-4</v>
      </c>
      <c r="E1737" s="12" t="s">
        <v>6690</v>
      </c>
    </row>
    <row r="1738">
      <c r="A1738" s="2" t="s">
        <v>6692</v>
      </c>
      <c r="B1738" s="2" t="s">
        <v>6691</v>
      </c>
      <c r="C1738" s="2" t="s">
        <v>6693</v>
      </c>
      <c r="D1738" s="2">
        <v>1.0028027568273113E-4</v>
      </c>
      <c r="E1738" s="12" t="s">
        <v>4371</v>
      </c>
    </row>
    <row r="1739">
      <c r="A1739" s="2" t="s">
        <v>6695</v>
      </c>
      <c r="B1739" s="2" t="s">
        <v>6694</v>
      </c>
      <c r="D1739" s="2">
        <v>1.0028027568273113E-4</v>
      </c>
      <c r="E1739" s="12" t="s">
        <v>2310</v>
      </c>
    </row>
    <row r="1740">
      <c r="A1740" s="2" t="s">
        <v>6697</v>
      </c>
      <c r="B1740" s="2" t="s">
        <v>6696</v>
      </c>
      <c r="C1740" s="2" t="s">
        <v>6698</v>
      </c>
      <c r="D1740" s="2">
        <v>1.0028027568273113E-4</v>
      </c>
      <c r="E1740" s="12" t="s">
        <v>6699</v>
      </c>
    </row>
    <row r="1741">
      <c r="A1741" s="2" t="s">
        <v>6701</v>
      </c>
      <c r="B1741" s="2" t="s">
        <v>6700</v>
      </c>
      <c r="C1741" s="2" t="s">
        <v>6702</v>
      </c>
      <c r="D1741" s="2">
        <v>1.0028027568273113E-4</v>
      </c>
      <c r="E1741" s="12" t="s">
        <v>6703</v>
      </c>
    </row>
    <row r="1742">
      <c r="A1742" s="2" t="s">
        <v>6705</v>
      </c>
      <c r="B1742" s="2" t="s">
        <v>6704</v>
      </c>
      <c r="C1742" s="2" t="s">
        <v>6706</v>
      </c>
      <c r="D1742" s="2">
        <v>1.0028027568273113E-4</v>
      </c>
      <c r="E1742" s="12" t="s">
        <v>6707</v>
      </c>
    </row>
    <row r="1743">
      <c r="A1743" s="2" t="s">
        <v>6709</v>
      </c>
      <c r="B1743" s="2" t="s">
        <v>6708</v>
      </c>
      <c r="C1743" s="2" t="s">
        <v>6710</v>
      </c>
      <c r="D1743" s="2">
        <v>1.0028027568273113E-4</v>
      </c>
      <c r="E1743" s="12" t="s">
        <v>6711</v>
      </c>
    </row>
    <row r="1744">
      <c r="A1744" s="2" t="s">
        <v>6713</v>
      </c>
      <c r="B1744" s="2" t="s">
        <v>6712</v>
      </c>
      <c r="C1744" s="2" t="s">
        <v>6714</v>
      </c>
      <c r="D1744" s="2">
        <v>1.0028027568273113E-4</v>
      </c>
      <c r="E1744" s="12" t="s">
        <v>6715</v>
      </c>
    </row>
    <row r="1745">
      <c r="A1745" s="2" t="s">
        <v>6717</v>
      </c>
      <c r="B1745" s="2" t="s">
        <v>6716</v>
      </c>
      <c r="C1745" s="2" t="s">
        <v>6718</v>
      </c>
      <c r="D1745" s="2">
        <v>1.0028027568273113E-4</v>
      </c>
      <c r="E1745" s="12" t="s">
        <v>6719</v>
      </c>
    </row>
    <row r="1746">
      <c r="A1746" s="2" t="s">
        <v>6721</v>
      </c>
      <c r="B1746" s="2" t="s">
        <v>6720</v>
      </c>
      <c r="C1746" s="2" t="s">
        <v>6722</v>
      </c>
      <c r="D1746" s="2">
        <v>1.0028027568273113E-4</v>
      </c>
      <c r="E1746" s="12" t="s">
        <v>3382</v>
      </c>
    </row>
    <row r="1747">
      <c r="A1747" s="2" t="s">
        <v>6723</v>
      </c>
      <c r="B1747" s="2" t="s">
        <v>5433</v>
      </c>
      <c r="C1747" s="2" t="s">
        <v>6724</v>
      </c>
      <c r="D1747" s="2">
        <v>1.0028027568273113E-4</v>
      </c>
      <c r="E1747" s="12" t="s">
        <v>2559</v>
      </c>
    </row>
    <row r="1748">
      <c r="A1748" s="2" t="s">
        <v>6726</v>
      </c>
      <c r="B1748" s="2" t="s">
        <v>6725</v>
      </c>
      <c r="C1748" s="2" t="s">
        <v>6727</v>
      </c>
      <c r="D1748" s="2">
        <v>1.0028027568273113E-4</v>
      </c>
      <c r="E1748" s="12" t="s">
        <v>2831</v>
      </c>
    </row>
    <row r="1749">
      <c r="A1749" s="2" t="s">
        <v>6729</v>
      </c>
      <c r="B1749" s="2" t="s">
        <v>6728</v>
      </c>
      <c r="C1749" s="2" t="s">
        <v>6730</v>
      </c>
      <c r="D1749" s="2">
        <v>1.0028027568273113E-4</v>
      </c>
      <c r="E1749" s="12" t="s">
        <v>6731</v>
      </c>
    </row>
    <row r="1750">
      <c r="A1750" s="2" t="s">
        <v>6733</v>
      </c>
      <c r="B1750" s="2" t="s">
        <v>6732</v>
      </c>
      <c r="C1750" s="2" t="s">
        <v>6734</v>
      </c>
      <c r="D1750" s="2">
        <v>1.0028027568273113E-4</v>
      </c>
      <c r="E1750" s="12" t="s">
        <v>6735</v>
      </c>
    </row>
    <row r="1751">
      <c r="A1751" s="2" t="s">
        <v>6737</v>
      </c>
      <c r="B1751" s="2" t="s">
        <v>6736</v>
      </c>
      <c r="C1751" s="2" t="s">
        <v>6738</v>
      </c>
      <c r="D1751" s="2">
        <v>1.0028027568273113E-4</v>
      </c>
      <c r="E1751" s="12" t="s">
        <v>6739</v>
      </c>
    </row>
    <row r="1752">
      <c r="A1752" s="2" t="s">
        <v>6741</v>
      </c>
      <c r="B1752" s="2" t="s">
        <v>6740</v>
      </c>
      <c r="C1752" s="2" t="s">
        <v>6742</v>
      </c>
      <c r="D1752" s="2">
        <v>1.0028027568273113E-4</v>
      </c>
      <c r="E1752" s="12" t="s">
        <v>6743</v>
      </c>
    </row>
    <row r="1753">
      <c r="A1753" s="2" t="s">
        <v>6744</v>
      </c>
      <c r="B1753" s="2" t="s">
        <v>6744</v>
      </c>
      <c r="C1753" s="2" t="s">
        <v>6745</v>
      </c>
      <c r="D1753" s="2">
        <v>1.0028027568273113E-4</v>
      </c>
      <c r="E1753" s="12" t="s">
        <v>6007</v>
      </c>
    </row>
    <row r="1754">
      <c r="A1754" s="2" t="s">
        <v>6747</v>
      </c>
      <c r="B1754" s="2" t="s">
        <v>6746</v>
      </c>
      <c r="C1754" s="2" t="s">
        <v>6748</v>
      </c>
      <c r="D1754" s="2">
        <v>1.0028027568273113E-4</v>
      </c>
      <c r="E1754" s="12" t="s">
        <v>6749</v>
      </c>
    </row>
    <row r="1755">
      <c r="A1755" s="2" t="s">
        <v>6751</v>
      </c>
      <c r="B1755" s="2" t="s">
        <v>6750</v>
      </c>
      <c r="C1755" s="2" t="s">
        <v>6752</v>
      </c>
      <c r="D1755" s="2">
        <v>1.0028027568273113E-4</v>
      </c>
      <c r="E1755" s="12" t="s">
        <v>6753</v>
      </c>
    </row>
    <row r="1756">
      <c r="A1756" s="2" t="s">
        <v>6755</v>
      </c>
      <c r="B1756" s="2" t="s">
        <v>6754</v>
      </c>
      <c r="C1756" s="2" t="s">
        <v>6756</v>
      </c>
      <c r="D1756" s="2">
        <v>1.0028027568273113E-4</v>
      </c>
      <c r="E1756" s="12" t="s">
        <v>6757</v>
      </c>
    </row>
    <row r="1757">
      <c r="A1757" s="2" t="s">
        <v>6759</v>
      </c>
      <c r="B1757" s="2" t="s">
        <v>6758</v>
      </c>
      <c r="C1757" s="2" t="s">
        <v>6760</v>
      </c>
      <c r="D1757" s="2">
        <v>1.0028027568273113E-4</v>
      </c>
      <c r="E1757" s="12" t="s">
        <v>6761</v>
      </c>
    </row>
    <row r="1758">
      <c r="A1758" s="2" t="s">
        <v>6763</v>
      </c>
      <c r="B1758" s="2" t="s">
        <v>6762</v>
      </c>
      <c r="C1758" s="2" t="s">
        <v>6764</v>
      </c>
      <c r="D1758" s="2">
        <v>1.0028027568273113E-4</v>
      </c>
      <c r="E1758" s="12" t="s">
        <v>6765</v>
      </c>
    </row>
    <row r="1759">
      <c r="A1759" s="2" t="s">
        <v>6767</v>
      </c>
      <c r="B1759" s="2" t="s">
        <v>6766</v>
      </c>
      <c r="D1759" s="2">
        <v>1.0028027568273113E-4</v>
      </c>
      <c r="E1759" s="12" t="s">
        <v>6768</v>
      </c>
    </row>
    <row r="1760">
      <c r="A1760" s="2" t="s">
        <v>6770</v>
      </c>
      <c r="B1760" s="2" t="s">
        <v>6769</v>
      </c>
      <c r="D1760" s="2">
        <v>1.0028027568273113E-4</v>
      </c>
      <c r="E1760" s="12" t="s">
        <v>6771</v>
      </c>
    </row>
    <row r="1761">
      <c r="A1761" s="2" t="s">
        <v>6773</v>
      </c>
      <c r="B1761" s="2" t="s">
        <v>6772</v>
      </c>
      <c r="C1761" s="2" t="s">
        <v>6774</v>
      </c>
      <c r="D1761" s="2">
        <v>1.0028027568273113E-4</v>
      </c>
      <c r="E1761" s="12" t="s">
        <v>6775</v>
      </c>
    </row>
    <row r="1762">
      <c r="A1762" s="2" t="s">
        <v>6777</v>
      </c>
      <c r="B1762" s="2" t="s">
        <v>6776</v>
      </c>
      <c r="C1762" s="2" t="s">
        <v>6778</v>
      </c>
      <c r="D1762" s="2">
        <v>1.0028027568273113E-4</v>
      </c>
      <c r="E1762" s="12" t="s">
        <v>4915</v>
      </c>
    </row>
    <row r="1763">
      <c r="A1763" s="2" t="s">
        <v>6780</v>
      </c>
      <c r="B1763" s="2" t="s">
        <v>6779</v>
      </c>
      <c r="C1763" s="2" t="s">
        <v>5918</v>
      </c>
      <c r="D1763" s="2">
        <v>1.0028027568273113E-4</v>
      </c>
      <c r="E1763" s="12" t="s">
        <v>6781</v>
      </c>
    </row>
    <row r="1764">
      <c r="A1764" s="2" t="s">
        <v>6783</v>
      </c>
      <c r="B1764" s="2" t="s">
        <v>6782</v>
      </c>
      <c r="C1764" s="2" t="s">
        <v>6784</v>
      </c>
      <c r="D1764" s="2">
        <v>1.0028027568273113E-4</v>
      </c>
      <c r="E1764" s="12" t="s">
        <v>6785</v>
      </c>
    </row>
    <row r="1765">
      <c r="A1765" s="2" t="s">
        <v>6787</v>
      </c>
      <c r="B1765" s="2" t="s">
        <v>6786</v>
      </c>
      <c r="C1765" s="2" t="s">
        <v>6788</v>
      </c>
      <c r="D1765" s="2">
        <v>1.0028027568273113E-4</v>
      </c>
      <c r="E1765" s="12" t="s">
        <v>6789</v>
      </c>
    </row>
    <row r="1766">
      <c r="A1766" s="2" t="s">
        <v>6791</v>
      </c>
      <c r="B1766" s="2" t="s">
        <v>6790</v>
      </c>
      <c r="C1766" s="2" t="s">
        <v>6792</v>
      </c>
      <c r="D1766" s="2">
        <v>1.0028027568273113E-4</v>
      </c>
      <c r="E1766" s="12" t="s">
        <v>5880</v>
      </c>
    </row>
    <row r="1767">
      <c r="A1767" s="2" t="s">
        <v>6794</v>
      </c>
      <c r="B1767" s="2" t="s">
        <v>6793</v>
      </c>
      <c r="C1767" s="2" t="s">
        <v>6795</v>
      </c>
      <c r="D1767" s="2">
        <v>1.0028027568273113E-4</v>
      </c>
      <c r="E1767" s="12" t="s">
        <v>372</v>
      </c>
    </row>
    <row r="1768">
      <c r="A1768" s="2" t="s">
        <v>6797</v>
      </c>
      <c r="B1768" s="2" t="s">
        <v>6796</v>
      </c>
      <c r="C1768" s="2" t="s">
        <v>6798</v>
      </c>
      <c r="D1768" s="2">
        <v>1.0028027568273113E-4</v>
      </c>
      <c r="E1768" s="12" t="s">
        <v>6087</v>
      </c>
    </row>
    <row r="1769">
      <c r="A1769" s="2" t="s">
        <v>6800</v>
      </c>
      <c r="B1769" s="2" t="s">
        <v>6799</v>
      </c>
      <c r="C1769" s="2" t="s">
        <v>6801</v>
      </c>
      <c r="D1769" s="2">
        <v>1.0028027568273113E-4</v>
      </c>
      <c r="E1769" s="12" t="s">
        <v>6802</v>
      </c>
    </row>
    <row r="1770">
      <c r="A1770" s="2" t="s">
        <v>6804</v>
      </c>
      <c r="B1770" s="2" t="s">
        <v>6803</v>
      </c>
      <c r="C1770" s="2" t="s">
        <v>6805</v>
      </c>
      <c r="D1770" s="2">
        <v>1.0028027568273113E-4</v>
      </c>
      <c r="E1770" s="12" t="s">
        <v>6806</v>
      </c>
    </row>
    <row r="1771">
      <c r="A1771" s="2" t="s">
        <v>6808</v>
      </c>
      <c r="B1771" s="2" t="s">
        <v>6807</v>
      </c>
      <c r="C1771" s="2" t="s">
        <v>6809</v>
      </c>
      <c r="D1771" s="2">
        <v>1.0028027568273113E-4</v>
      </c>
      <c r="E1771" s="12" t="s">
        <v>6810</v>
      </c>
    </row>
    <row r="1772">
      <c r="A1772" s="2" t="s">
        <v>6812</v>
      </c>
      <c r="B1772" s="2" t="s">
        <v>6811</v>
      </c>
      <c r="C1772" s="2" t="s">
        <v>6813</v>
      </c>
      <c r="D1772" s="2">
        <v>1.0028027568273113E-4</v>
      </c>
      <c r="E1772" s="12" t="s">
        <v>6814</v>
      </c>
    </row>
    <row r="1773">
      <c r="A1773" s="2" t="s">
        <v>6816</v>
      </c>
      <c r="B1773" s="2" t="s">
        <v>6815</v>
      </c>
      <c r="C1773" s="2" t="s">
        <v>6817</v>
      </c>
      <c r="D1773" s="2">
        <v>1.0028027568273113E-4</v>
      </c>
      <c r="E1773" s="12" t="s">
        <v>6818</v>
      </c>
    </row>
    <row r="1774">
      <c r="A1774" s="2" t="s">
        <v>6820</v>
      </c>
      <c r="B1774" s="2" t="s">
        <v>6819</v>
      </c>
      <c r="D1774" s="2">
        <v>1.0028027568273113E-4</v>
      </c>
      <c r="E1774" s="12" t="s">
        <v>6683</v>
      </c>
    </row>
    <row r="1775">
      <c r="A1775" s="2" t="s">
        <v>6822</v>
      </c>
      <c r="B1775" s="2" t="s">
        <v>6821</v>
      </c>
      <c r="D1775" s="2">
        <v>1.0028027568273113E-4</v>
      </c>
      <c r="E1775" s="12" t="s">
        <v>5404</v>
      </c>
    </row>
    <row r="1776">
      <c r="A1776" s="2" t="s">
        <v>6824</v>
      </c>
      <c r="B1776" s="2" t="s">
        <v>6823</v>
      </c>
      <c r="C1776" s="2" t="s">
        <v>6825</v>
      </c>
      <c r="D1776" s="2">
        <v>1.0028027568273113E-4</v>
      </c>
      <c r="E1776" s="12" t="s">
        <v>3275</v>
      </c>
    </row>
    <row r="1777">
      <c r="A1777" s="2" t="s">
        <v>6827</v>
      </c>
      <c r="B1777" s="2" t="s">
        <v>6826</v>
      </c>
      <c r="C1777" s="2" t="s">
        <v>6828</v>
      </c>
      <c r="D1777" s="2">
        <v>1.0028027568273113E-4</v>
      </c>
      <c r="E1777" s="12" t="s">
        <v>6829</v>
      </c>
    </row>
    <row r="1778">
      <c r="A1778" s="2" t="s">
        <v>6831</v>
      </c>
      <c r="B1778" s="2" t="s">
        <v>6830</v>
      </c>
      <c r="C1778" s="2" t="s">
        <v>6832</v>
      </c>
      <c r="D1778" s="2">
        <v>1.0028027568273113E-4</v>
      </c>
      <c r="E1778" s="12" t="s">
        <v>4414</v>
      </c>
    </row>
    <row r="1779">
      <c r="A1779" s="2" t="s">
        <v>6834</v>
      </c>
      <c r="B1779" s="2" t="s">
        <v>6833</v>
      </c>
      <c r="D1779" s="2">
        <v>1.0028027568273113E-4</v>
      </c>
      <c r="E1779" s="12" t="s">
        <v>6835</v>
      </c>
    </row>
    <row r="1780">
      <c r="A1780" s="2" t="s">
        <v>6837</v>
      </c>
      <c r="B1780" s="2" t="s">
        <v>6836</v>
      </c>
      <c r="C1780" s="2" t="s">
        <v>6838</v>
      </c>
      <c r="D1780" s="2">
        <v>1.0028027568273113E-4</v>
      </c>
      <c r="E1780" s="12" t="s">
        <v>3430</v>
      </c>
    </row>
    <row r="1781">
      <c r="A1781" s="2" t="s">
        <v>6840</v>
      </c>
      <c r="B1781" s="2" t="s">
        <v>6839</v>
      </c>
      <c r="C1781" s="2" t="s">
        <v>6841</v>
      </c>
      <c r="D1781" s="2">
        <v>1.0028027568273113E-4</v>
      </c>
      <c r="E1781" s="12" t="s">
        <v>6842</v>
      </c>
    </row>
    <row r="1782">
      <c r="A1782" s="2" t="s">
        <v>6844</v>
      </c>
      <c r="B1782" s="2" t="s">
        <v>6843</v>
      </c>
      <c r="C1782" s="2" t="s">
        <v>6845</v>
      </c>
      <c r="D1782" s="2">
        <v>1.0028027568273113E-4</v>
      </c>
      <c r="E1782" s="12" t="s">
        <v>6846</v>
      </c>
    </row>
    <row r="1783">
      <c r="A1783" s="2" t="s">
        <v>6848</v>
      </c>
      <c r="B1783" s="2" t="s">
        <v>6847</v>
      </c>
      <c r="C1783" s="2" t="s">
        <v>6849</v>
      </c>
      <c r="D1783" s="2">
        <v>1.0028027568273113E-4</v>
      </c>
      <c r="E1783" s="12" t="s">
        <v>6850</v>
      </c>
    </row>
    <row r="1784">
      <c r="A1784" s="2" t="s">
        <v>6852</v>
      </c>
      <c r="B1784" s="2" t="s">
        <v>6851</v>
      </c>
      <c r="C1784" s="2" t="s">
        <v>6853</v>
      </c>
      <c r="D1784" s="2">
        <v>1.0028027568273113E-4</v>
      </c>
      <c r="E1784" s="12" t="s">
        <v>6854</v>
      </c>
    </row>
    <row r="1785">
      <c r="A1785" s="2" t="s">
        <v>6856</v>
      </c>
      <c r="B1785" s="2" t="s">
        <v>6855</v>
      </c>
      <c r="C1785" s="2" t="s">
        <v>6857</v>
      </c>
      <c r="D1785" s="2">
        <v>1.0028027568273113E-4</v>
      </c>
      <c r="E1785" s="12" t="s">
        <v>6858</v>
      </c>
    </row>
    <row r="1786">
      <c r="A1786" s="2" t="s">
        <v>6860</v>
      </c>
      <c r="B1786" s="2" t="s">
        <v>6859</v>
      </c>
      <c r="D1786" s="2">
        <v>1.0028027568273113E-4</v>
      </c>
      <c r="E1786" s="12" t="s">
        <v>6861</v>
      </c>
    </row>
    <row r="1787">
      <c r="A1787" s="2" t="s">
        <v>6863</v>
      </c>
      <c r="B1787" s="2" t="s">
        <v>6862</v>
      </c>
      <c r="C1787" s="2" t="s">
        <v>6864</v>
      </c>
      <c r="D1787" s="2">
        <v>1.0028027568273113E-4</v>
      </c>
      <c r="E1787" s="12" t="s">
        <v>6865</v>
      </c>
    </row>
    <row r="1788">
      <c r="A1788" s="2" t="s">
        <v>6867</v>
      </c>
      <c r="B1788" s="2" t="s">
        <v>6866</v>
      </c>
      <c r="C1788" s="2" t="s">
        <v>6868</v>
      </c>
      <c r="D1788" s="2">
        <v>1.0028027568273113E-4</v>
      </c>
      <c r="E1788" s="12" t="s">
        <v>6869</v>
      </c>
    </row>
    <row r="1789">
      <c r="A1789" s="2" t="s">
        <v>6871</v>
      </c>
      <c r="B1789" s="2" t="s">
        <v>6870</v>
      </c>
      <c r="C1789" s="2" t="s">
        <v>6872</v>
      </c>
      <c r="D1789" s="2">
        <v>1.0028027568273113E-4</v>
      </c>
      <c r="E1789" s="12" t="s">
        <v>6873</v>
      </c>
    </row>
    <row r="1790">
      <c r="A1790" s="2" t="s">
        <v>6875</v>
      </c>
      <c r="B1790" s="2" t="s">
        <v>6874</v>
      </c>
      <c r="D1790" s="2">
        <v>1.0028027568273113E-4</v>
      </c>
      <c r="E1790" s="12" t="s">
        <v>1716</v>
      </c>
    </row>
    <row r="1791">
      <c r="A1791" s="2" t="s">
        <v>6877</v>
      </c>
      <c r="B1791" s="2" t="s">
        <v>6876</v>
      </c>
      <c r="C1791" s="2" t="s">
        <v>6878</v>
      </c>
      <c r="D1791" s="2">
        <v>1.0028027568273113E-4</v>
      </c>
      <c r="E1791" s="12" t="s">
        <v>364</v>
      </c>
    </row>
    <row r="1792">
      <c r="A1792" s="2" t="s">
        <v>6880</v>
      </c>
      <c r="B1792" s="2" t="s">
        <v>6879</v>
      </c>
      <c r="C1792" s="2" t="s">
        <v>6881</v>
      </c>
      <c r="D1792" s="2">
        <v>1.0028027568273113E-4</v>
      </c>
      <c r="E1792" s="12" t="s">
        <v>6882</v>
      </c>
    </row>
    <row r="1793">
      <c r="A1793" s="2" t="s">
        <v>6884</v>
      </c>
      <c r="B1793" s="2" t="s">
        <v>6883</v>
      </c>
      <c r="C1793" s="2" t="s">
        <v>6885</v>
      </c>
      <c r="D1793" s="2">
        <v>1.0028027568273113E-4</v>
      </c>
      <c r="E1793" s="12" t="s">
        <v>1804</v>
      </c>
    </row>
    <row r="1794">
      <c r="A1794" s="2" t="s">
        <v>6887</v>
      </c>
      <c r="B1794" s="2" t="s">
        <v>6886</v>
      </c>
      <c r="C1794" s="2" t="s">
        <v>6888</v>
      </c>
      <c r="D1794" s="2">
        <v>1.0028027568273113E-4</v>
      </c>
      <c r="E1794" s="12" t="s">
        <v>6889</v>
      </c>
    </row>
    <row r="1795">
      <c r="A1795" s="2" t="s">
        <v>6891</v>
      </c>
      <c r="B1795" s="2" t="s">
        <v>6890</v>
      </c>
      <c r="C1795" s="2" t="s">
        <v>6892</v>
      </c>
      <c r="D1795" s="2">
        <v>1.0028027568273113E-4</v>
      </c>
      <c r="E1795" s="12" t="s">
        <v>6893</v>
      </c>
    </row>
    <row r="1796">
      <c r="A1796" s="2" t="s">
        <v>6895</v>
      </c>
      <c r="B1796" s="2" t="s">
        <v>6894</v>
      </c>
      <c r="C1796" s="2" t="s">
        <v>6896</v>
      </c>
      <c r="D1796" s="2">
        <v>1.0028027568273113E-4</v>
      </c>
      <c r="E1796" s="12" t="s">
        <v>6897</v>
      </c>
    </row>
    <row r="1797">
      <c r="A1797" s="2" t="s">
        <v>6899</v>
      </c>
      <c r="B1797" s="2" t="s">
        <v>6898</v>
      </c>
      <c r="C1797" s="2" t="s">
        <v>6900</v>
      </c>
      <c r="D1797" s="2">
        <v>1.0028027568273113E-4</v>
      </c>
      <c r="E1797" s="12" t="s">
        <v>6901</v>
      </c>
    </row>
    <row r="1798">
      <c r="A1798" s="2" t="s">
        <v>6903</v>
      </c>
      <c r="B1798" s="2" t="s">
        <v>6902</v>
      </c>
      <c r="C1798" s="2" t="s">
        <v>6904</v>
      </c>
      <c r="D1798" s="2">
        <v>1.0028027568273113E-4</v>
      </c>
      <c r="E1798" s="12" t="s">
        <v>6905</v>
      </c>
    </row>
    <row r="1799">
      <c r="A1799" s="2" t="s">
        <v>6907</v>
      </c>
      <c r="B1799" s="2" t="s">
        <v>6906</v>
      </c>
      <c r="C1799" s="2" t="s">
        <v>6908</v>
      </c>
      <c r="D1799" s="2">
        <v>1.0028027568273113E-4</v>
      </c>
      <c r="E1799" s="12" t="s">
        <v>6909</v>
      </c>
    </row>
    <row r="1800">
      <c r="A1800" s="2" t="s">
        <v>6911</v>
      </c>
      <c r="B1800" s="2" t="s">
        <v>6910</v>
      </c>
      <c r="D1800" s="2">
        <v>1.0028027568273113E-4</v>
      </c>
      <c r="E1800" s="12" t="s">
        <v>6912</v>
      </c>
    </row>
    <row r="1801">
      <c r="A1801" s="2" t="s">
        <v>6914</v>
      </c>
      <c r="B1801" s="2" t="s">
        <v>6913</v>
      </c>
      <c r="C1801" s="2" t="s">
        <v>6915</v>
      </c>
      <c r="D1801" s="2">
        <v>1.0028027568273113E-4</v>
      </c>
      <c r="E1801" s="12" t="s">
        <v>6916</v>
      </c>
    </row>
    <row r="1802">
      <c r="A1802" s="2" t="s">
        <v>6918</v>
      </c>
      <c r="B1802" s="2" t="s">
        <v>6917</v>
      </c>
      <c r="C1802" s="2" t="s">
        <v>6919</v>
      </c>
      <c r="D1802" s="2">
        <v>1.0028027568273113E-4</v>
      </c>
      <c r="E1802" s="12" t="s">
        <v>6920</v>
      </c>
    </row>
    <row r="1803">
      <c r="A1803" s="2" t="s">
        <v>6922</v>
      </c>
      <c r="B1803" s="2" t="s">
        <v>6921</v>
      </c>
      <c r="C1803" s="2" t="s">
        <v>6923</v>
      </c>
      <c r="D1803" s="2">
        <v>1.0028027568273113E-4</v>
      </c>
      <c r="E1803" s="12" t="s">
        <v>6924</v>
      </c>
    </row>
    <row r="1804">
      <c r="A1804" s="2" t="s">
        <v>6926</v>
      </c>
      <c r="B1804" s="2" t="s">
        <v>6925</v>
      </c>
      <c r="C1804" s="2" t="s">
        <v>6927</v>
      </c>
      <c r="D1804" s="2">
        <v>1.0028027568273113E-4</v>
      </c>
      <c r="E1804" s="12" t="s">
        <v>6928</v>
      </c>
    </row>
    <row r="1805">
      <c r="A1805" s="2" t="s">
        <v>6930</v>
      </c>
      <c r="B1805" s="2" t="s">
        <v>6929</v>
      </c>
      <c r="C1805" s="2" t="s">
        <v>6931</v>
      </c>
      <c r="D1805" s="2">
        <v>1.0028027568273113E-4</v>
      </c>
      <c r="E1805" s="12" t="s">
        <v>6932</v>
      </c>
    </row>
    <row r="1806">
      <c r="A1806" s="2" t="s">
        <v>6934</v>
      </c>
      <c r="B1806" s="2" t="s">
        <v>6933</v>
      </c>
      <c r="C1806" s="2" t="s">
        <v>6935</v>
      </c>
      <c r="D1806" s="2">
        <v>1.0028027568273113E-4</v>
      </c>
      <c r="E1806" s="12" t="s">
        <v>6936</v>
      </c>
    </row>
    <row r="1807">
      <c r="A1807" s="2" t="s">
        <v>6938</v>
      </c>
      <c r="B1807" s="2" t="s">
        <v>6937</v>
      </c>
      <c r="C1807" s="2" t="s">
        <v>6939</v>
      </c>
      <c r="D1807" s="2">
        <v>1.0028027568273113E-4</v>
      </c>
      <c r="E1807" s="12" t="s">
        <v>6940</v>
      </c>
    </row>
    <row r="1808">
      <c r="A1808" s="2" t="s">
        <v>6942</v>
      </c>
      <c r="B1808" s="2" t="s">
        <v>6941</v>
      </c>
      <c r="C1808" s="2" t="s">
        <v>6943</v>
      </c>
      <c r="D1808" s="2">
        <v>1.0028027568273113E-4</v>
      </c>
      <c r="E1808" s="12" t="s">
        <v>6944</v>
      </c>
    </row>
    <row r="1809">
      <c r="A1809" s="2" t="s">
        <v>6946</v>
      </c>
      <c r="B1809" s="2" t="s">
        <v>6945</v>
      </c>
      <c r="D1809" s="2">
        <v>1.0028027568273113E-4</v>
      </c>
      <c r="E1809" s="12" t="s">
        <v>6947</v>
      </c>
    </row>
    <row r="1810">
      <c r="A1810" s="2" t="s">
        <v>6949</v>
      </c>
      <c r="B1810" s="2" t="s">
        <v>6948</v>
      </c>
      <c r="C1810" s="2" t="s">
        <v>6950</v>
      </c>
      <c r="D1810" s="2">
        <v>1.0028027568273113E-4</v>
      </c>
      <c r="E1810" s="12" t="s">
        <v>6951</v>
      </c>
    </row>
    <row r="1811">
      <c r="A1811" s="2" t="s">
        <v>6953</v>
      </c>
      <c r="B1811" s="2" t="s">
        <v>6952</v>
      </c>
      <c r="C1811" s="2" t="s">
        <v>6954</v>
      </c>
      <c r="D1811" s="2">
        <v>1.0028027568273113E-4</v>
      </c>
      <c r="E1811" s="12" t="s">
        <v>6955</v>
      </c>
    </row>
    <row r="1812">
      <c r="A1812" s="2" t="s">
        <v>6957</v>
      </c>
      <c r="B1812" s="2" t="s">
        <v>6956</v>
      </c>
      <c r="C1812" s="2" t="s">
        <v>6958</v>
      </c>
      <c r="D1812" s="2">
        <v>1.0028027568273113E-4</v>
      </c>
      <c r="E1812" s="12" t="s">
        <v>6959</v>
      </c>
    </row>
    <row r="1813">
      <c r="A1813" s="2" t="s">
        <v>6961</v>
      </c>
      <c r="B1813" s="2" t="s">
        <v>6960</v>
      </c>
      <c r="D1813" s="2">
        <v>1.0028027568273113E-4</v>
      </c>
      <c r="E1813" s="12" t="s">
        <v>6962</v>
      </c>
    </row>
    <row r="1814">
      <c r="A1814" s="2" t="s">
        <v>6964</v>
      </c>
      <c r="B1814" s="2" t="s">
        <v>6963</v>
      </c>
      <c r="C1814" s="2" t="s">
        <v>6965</v>
      </c>
      <c r="D1814" s="2">
        <v>1.0028027568273113E-4</v>
      </c>
      <c r="E1814" s="12" t="s">
        <v>6966</v>
      </c>
    </row>
    <row r="1815">
      <c r="A1815" s="2" t="s">
        <v>6968</v>
      </c>
      <c r="B1815" s="2" t="s">
        <v>6967</v>
      </c>
      <c r="C1815" s="2" t="s">
        <v>6969</v>
      </c>
      <c r="D1815" s="2">
        <v>1.0028027568273113E-4</v>
      </c>
      <c r="E1815" s="12" t="s">
        <v>6970</v>
      </c>
    </row>
    <row r="1816">
      <c r="A1816" s="2" t="s">
        <v>6972</v>
      </c>
      <c r="B1816" s="2" t="s">
        <v>6971</v>
      </c>
      <c r="C1816" s="2" t="s">
        <v>6973</v>
      </c>
      <c r="D1816" s="2">
        <v>1.0028027568273113E-4</v>
      </c>
      <c r="E1816" s="12" t="s">
        <v>6974</v>
      </c>
    </row>
    <row r="1817">
      <c r="A1817" s="2" t="s">
        <v>6976</v>
      </c>
      <c r="B1817" s="2" t="s">
        <v>6975</v>
      </c>
      <c r="C1817" s="2" t="s">
        <v>6977</v>
      </c>
      <c r="D1817" s="2">
        <v>1.0028027568273113E-4</v>
      </c>
      <c r="E1817" s="12" t="s">
        <v>6978</v>
      </c>
    </row>
    <row r="1818">
      <c r="A1818" s="2" t="s">
        <v>6980</v>
      </c>
      <c r="B1818" s="2" t="s">
        <v>6979</v>
      </c>
      <c r="C1818" s="2" t="s">
        <v>6981</v>
      </c>
      <c r="D1818" s="2">
        <v>1.0028027568273113E-4</v>
      </c>
      <c r="E1818" s="12" t="s">
        <v>6982</v>
      </c>
    </row>
    <row r="1819">
      <c r="A1819" s="2" t="s">
        <v>6984</v>
      </c>
      <c r="B1819" s="2" t="s">
        <v>6983</v>
      </c>
      <c r="C1819" s="2" t="s">
        <v>6985</v>
      </c>
      <c r="D1819" s="2">
        <v>1.0028027568273113E-4</v>
      </c>
      <c r="E1819" s="12" t="s">
        <v>6986</v>
      </c>
    </row>
    <row r="1820">
      <c r="A1820" s="2" t="s">
        <v>6988</v>
      </c>
      <c r="B1820" s="2" t="s">
        <v>6987</v>
      </c>
      <c r="C1820" s="2" t="s">
        <v>6989</v>
      </c>
      <c r="D1820" s="2">
        <v>1.0028027568273113E-4</v>
      </c>
      <c r="E1820" s="12" t="s">
        <v>6990</v>
      </c>
    </row>
    <row r="1821">
      <c r="A1821" s="2" t="s">
        <v>6992</v>
      </c>
      <c r="B1821" s="2" t="s">
        <v>6991</v>
      </c>
      <c r="C1821" s="2" t="s">
        <v>6993</v>
      </c>
      <c r="D1821" s="2">
        <v>1.0028027568273113E-4</v>
      </c>
      <c r="E1821" s="12" t="s">
        <v>4504</v>
      </c>
    </row>
    <row r="1822">
      <c r="A1822" s="2" t="s">
        <v>6995</v>
      </c>
      <c r="B1822" s="2" t="s">
        <v>6994</v>
      </c>
      <c r="C1822" s="2" t="s">
        <v>6996</v>
      </c>
      <c r="D1822" s="2">
        <v>1.0028027568273113E-4</v>
      </c>
      <c r="E1822" s="12" t="s">
        <v>6986</v>
      </c>
    </row>
    <row r="1823">
      <c r="A1823" s="2" t="s">
        <v>6998</v>
      </c>
      <c r="B1823" s="2" t="s">
        <v>6997</v>
      </c>
      <c r="C1823" s="2" t="s">
        <v>6999</v>
      </c>
      <c r="D1823" s="2">
        <v>1.0028027568273113E-4</v>
      </c>
      <c r="E1823" s="12" t="s">
        <v>7000</v>
      </c>
    </row>
    <row r="1824">
      <c r="A1824" s="2" t="s">
        <v>7002</v>
      </c>
      <c r="B1824" s="2" t="s">
        <v>7001</v>
      </c>
      <c r="C1824" s="2" t="s">
        <v>7003</v>
      </c>
      <c r="D1824" s="2">
        <v>1.0028027568273113E-4</v>
      </c>
      <c r="E1824" s="12" t="s">
        <v>7004</v>
      </c>
    </row>
    <row r="1825">
      <c r="A1825" s="2" t="s">
        <v>7006</v>
      </c>
      <c r="B1825" s="2" t="s">
        <v>7005</v>
      </c>
      <c r="C1825" s="2" t="s">
        <v>7007</v>
      </c>
      <c r="D1825" s="2">
        <v>1.0028027568273113E-4</v>
      </c>
      <c r="E1825" s="12" t="s">
        <v>7008</v>
      </c>
    </row>
    <row r="1826">
      <c r="A1826" s="2" t="s">
        <v>7010</v>
      </c>
      <c r="B1826" s="2" t="s">
        <v>7009</v>
      </c>
      <c r="C1826" s="2" t="s">
        <v>7011</v>
      </c>
      <c r="D1826" s="2">
        <v>1.0028027568273113E-4</v>
      </c>
      <c r="E1826" s="12" t="s">
        <v>7012</v>
      </c>
    </row>
    <row r="1827">
      <c r="A1827" s="2" t="s">
        <v>7014</v>
      </c>
      <c r="B1827" s="2" t="s">
        <v>7013</v>
      </c>
      <c r="C1827" s="2" t="s">
        <v>7015</v>
      </c>
      <c r="D1827" s="2">
        <v>1.0028027568273113E-4</v>
      </c>
      <c r="E1827" s="12" t="s">
        <v>7016</v>
      </c>
    </row>
    <row r="1828">
      <c r="A1828" s="2" t="s">
        <v>7018</v>
      </c>
      <c r="B1828" s="2" t="s">
        <v>7017</v>
      </c>
      <c r="C1828" s="2" t="s">
        <v>7019</v>
      </c>
      <c r="D1828" s="2">
        <v>1.0028027568273113E-4</v>
      </c>
      <c r="E1828" s="12" t="s">
        <v>7020</v>
      </c>
    </row>
    <row r="1829">
      <c r="A1829" s="2" t="s">
        <v>7022</v>
      </c>
      <c r="B1829" s="2" t="s">
        <v>7021</v>
      </c>
      <c r="C1829" s="2" t="s">
        <v>7023</v>
      </c>
      <c r="D1829" s="2">
        <v>1.0028027568273113E-4</v>
      </c>
      <c r="E1829" s="12" t="s">
        <v>7024</v>
      </c>
    </row>
    <row r="1830">
      <c r="A1830" s="2" t="s">
        <v>7026</v>
      </c>
      <c r="B1830" s="2" t="s">
        <v>7025</v>
      </c>
      <c r="C1830" s="2" t="s">
        <v>7027</v>
      </c>
      <c r="D1830" s="2">
        <v>1.0028027568273113E-4</v>
      </c>
      <c r="E1830" s="12" t="s">
        <v>4821</v>
      </c>
    </row>
    <row r="1831">
      <c r="A1831" s="2" t="s">
        <v>7029</v>
      </c>
      <c r="B1831" s="2" t="s">
        <v>7028</v>
      </c>
      <c r="C1831" s="2" t="s">
        <v>7030</v>
      </c>
      <c r="D1831" s="2">
        <v>1.0028027568273113E-4</v>
      </c>
      <c r="E1831" s="12" t="s">
        <v>2023</v>
      </c>
    </row>
    <row r="1832">
      <c r="A1832" s="2" t="s">
        <v>7032</v>
      </c>
      <c r="B1832" s="2" t="s">
        <v>7031</v>
      </c>
      <c r="D1832" s="2">
        <v>1.0028027568273113E-4</v>
      </c>
      <c r="E1832" s="12" t="s">
        <v>3240</v>
      </c>
    </row>
    <row r="1833">
      <c r="A1833" s="2" t="s">
        <v>7034</v>
      </c>
      <c r="B1833" s="2" t="s">
        <v>7033</v>
      </c>
      <c r="C1833" s="2" t="s">
        <v>7035</v>
      </c>
      <c r="D1833" s="2">
        <v>1.0028027568273113E-4</v>
      </c>
      <c r="E1833" s="12" t="s">
        <v>2955</v>
      </c>
    </row>
    <row r="1834">
      <c r="A1834" s="2" t="s">
        <v>7037</v>
      </c>
      <c r="B1834" s="2" t="s">
        <v>7036</v>
      </c>
      <c r="C1834" s="2" t="s">
        <v>7038</v>
      </c>
      <c r="D1834" s="2">
        <v>1.0028027568273113E-4</v>
      </c>
      <c r="E1834" s="12" t="s">
        <v>7039</v>
      </c>
    </row>
    <row r="1835">
      <c r="A1835" s="2" t="s">
        <v>7041</v>
      </c>
      <c r="B1835" s="2" t="s">
        <v>7040</v>
      </c>
      <c r="C1835" s="2" t="s">
        <v>7042</v>
      </c>
      <c r="D1835" s="2">
        <v>1.0028027568273113E-4</v>
      </c>
      <c r="E1835" s="12" t="s">
        <v>7043</v>
      </c>
    </row>
    <row r="1836">
      <c r="A1836" s="2" t="s">
        <v>7045</v>
      </c>
      <c r="B1836" s="2" t="s">
        <v>7044</v>
      </c>
      <c r="C1836" s="2" t="s">
        <v>7046</v>
      </c>
      <c r="D1836" s="2">
        <v>1.0028027568273113E-4</v>
      </c>
      <c r="E1836" s="12" t="s">
        <v>7047</v>
      </c>
    </row>
    <row r="1837">
      <c r="A1837" s="2" t="s">
        <v>7049</v>
      </c>
      <c r="B1837" s="2" t="s">
        <v>7048</v>
      </c>
      <c r="C1837" s="2" t="s">
        <v>7050</v>
      </c>
      <c r="D1837" s="2">
        <v>1.0028027568273113E-4</v>
      </c>
      <c r="E1837" s="12" t="s">
        <v>2450</v>
      </c>
    </row>
    <row r="1838">
      <c r="A1838" s="2" t="s">
        <v>7052</v>
      </c>
      <c r="B1838" s="2" t="s">
        <v>7051</v>
      </c>
      <c r="C1838" s="2" t="s">
        <v>7053</v>
      </c>
      <c r="D1838" s="2">
        <v>1.0028027568273113E-4</v>
      </c>
      <c r="E1838" s="12" t="s">
        <v>317</v>
      </c>
    </row>
    <row r="1839">
      <c r="A1839" s="2" t="s">
        <v>7054</v>
      </c>
      <c r="B1839" s="2" t="s">
        <v>4264</v>
      </c>
      <c r="C1839" s="2" t="s">
        <v>7055</v>
      </c>
      <c r="D1839" s="2">
        <v>1.0028027568273113E-4</v>
      </c>
      <c r="E1839" s="12" t="s">
        <v>7056</v>
      </c>
    </row>
    <row r="1840">
      <c r="A1840" s="2" t="s">
        <v>7058</v>
      </c>
      <c r="B1840" s="2" t="s">
        <v>7057</v>
      </c>
      <c r="C1840" s="2" t="s">
        <v>7059</v>
      </c>
      <c r="D1840" s="2">
        <v>1.0028027568273113E-4</v>
      </c>
      <c r="E1840" s="12" t="s">
        <v>7060</v>
      </c>
    </row>
    <row r="1841">
      <c r="A1841" s="2" t="s">
        <v>7062</v>
      </c>
      <c r="B1841" s="2" t="s">
        <v>7061</v>
      </c>
      <c r="C1841" s="2" t="s">
        <v>7063</v>
      </c>
      <c r="D1841" s="2">
        <v>1.0028027568273113E-4</v>
      </c>
      <c r="E1841" s="12" t="s">
        <v>7064</v>
      </c>
    </row>
    <row r="1842">
      <c r="A1842" s="2" t="s">
        <v>7066</v>
      </c>
      <c r="B1842" s="2" t="s">
        <v>7065</v>
      </c>
      <c r="C1842" s="2" t="s">
        <v>7067</v>
      </c>
      <c r="D1842" s="2">
        <v>1.0028027568273113E-4</v>
      </c>
      <c r="E1842" s="12" t="s">
        <v>7068</v>
      </c>
    </row>
    <row r="1843">
      <c r="A1843" s="2" t="s">
        <v>7070</v>
      </c>
      <c r="B1843" s="2" t="s">
        <v>7069</v>
      </c>
      <c r="D1843" s="2">
        <v>1.0028027568273113E-4</v>
      </c>
      <c r="E1843" s="12" t="s">
        <v>7071</v>
      </c>
    </row>
    <row r="1844">
      <c r="A1844" s="2" t="s">
        <v>7073</v>
      </c>
      <c r="B1844" s="2" t="s">
        <v>7072</v>
      </c>
      <c r="D1844" s="2">
        <v>1.0028027568273113E-4</v>
      </c>
      <c r="E1844" s="12" t="s">
        <v>7074</v>
      </c>
    </row>
    <row r="1845">
      <c r="A1845" s="2" t="s">
        <v>7076</v>
      </c>
      <c r="B1845" s="2" t="s">
        <v>7075</v>
      </c>
      <c r="C1845" s="2" t="s">
        <v>7077</v>
      </c>
      <c r="D1845" s="2">
        <v>1.0028027568273113E-4</v>
      </c>
      <c r="E1845" s="12" t="s">
        <v>7078</v>
      </c>
    </row>
    <row r="1846">
      <c r="A1846" s="2" t="s">
        <v>7080</v>
      </c>
      <c r="B1846" s="2" t="s">
        <v>7079</v>
      </c>
      <c r="C1846" s="2" t="s">
        <v>7081</v>
      </c>
      <c r="D1846" s="2">
        <v>1.0028027568273113E-4</v>
      </c>
      <c r="E1846" s="12" t="s">
        <v>4013</v>
      </c>
    </row>
    <row r="1847">
      <c r="A1847" s="2" t="s">
        <v>7083</v>
      </c>
      <c r="B1847" s="2" t="s">
        <v>7082</v>
      </c>
      <c r="C1847" s="2" t="s">
        <v>7084</v>
      </c>
      <c r="D1847" s="2">
        <v>1.0028027568273113E-4</v>
      </c>
      <c r="E1847" s="12" t="s">
        <v>7085</v>
      </c>
    </row>
    <row r="1848">
      <c r="A1848" s="2" t="s">
        <v>7087</v>
      </c>
      <c r="B1848" s="2" t="s">
        <v>7086</v>
      </c>
      <c r="C1848" s="2" t="s">
        <v>7088</v>
      </c>
      <c r="D1848" s="2">
        <v>1.0028027568273113E-4</v>
      </c>
      <c r="E1848" s="12" t="s">
        <v>4374</v>
      </c>
    </row>
    <row r="1849">
      <c r="A1849" s="2" t="s">
        <v>7090</v>
      </c>
      <c r="B1849" s="2" t="s">
        <v>7089</v>
      </c>
      <c r="C1849" s="2" t="s">
        <v>7091</v>
      </c>
      <c r="D1849" s="2">
        <v>1.0028027568273113E-4</v>
      </c>
      <c r="E1849" s="12" t="s">
        <v>7092</v>
      </c>
    </row>
    <row r="1850">
      <c r="A1850" s="2" t="s">
        <v>7094</v>
      </c>
      <c r="B1850" s="2" t="s">
        <v>7093</v>
      </c>
      <c r="C1850" s="2" t="s">
        <v>7095</v>
      </c>
      <c r="D1850" s="2">
        <v>1.0028027568273113E-4</v>
      </c>
      <c r="E1850" s="12" t="s">
        <v>7096</v>
      </c>
    </row>
    <row r="1851">
      <c r="A1851" s="2" t="s">
        <v>7098</v>
      </c>
      <c r="B1851" s="2" t="s">
        <v>7097</v>
      </c>
      <c r="C1851" s="2" t="s">
        <v>7099</v>
      </c>
      <c r="D1851" s="2">
        <v>1.0028027568273113E-4</v>
      </c>
      <c r="E1851" s="12" t="s">
        <v>822</v>
      </c>
    </row>
    <row r="1852">
      <c r="A1852" s="2" t="s">
        <v>7101</v>
      </c>
      <c r="B1852" s="2" t="s">
        <v>7100</v>
      </c>
      <c r="C1852" s="2" t="s">
        <v>7102</v>
      </c>
      <c r="D1852" s="2">
        <v>1.0028027568273113E-4</v>
      </c>
      <c r="E1852" s="12" t="s">
        <v>4669</v>
      </c>
    </row>
    <row r="1853">
      <c r="A1853" s="2" t="s">
        <v>7104</v>
      </c>
      <c r="B1853" s="2" t="s">
        <v>7103</v>
      </c>
      <c r="C1853" s="2" t="s">
        <v>7105</v>
      </c>
      <c r="D1853" s="2">
        <v>1.0028027568273113E-4</v>
      </c>
      <c r="E1853" s="12" t="s">
        <v>7106</v>
      </c>
    </row>
    <row r="1854">
      <c r="A1854" s="2" t="s">
        <v>7108</v>
      </c>
      <c r="B1854" s="2" t="s">
        <v>7107</v>
      </c>
      <c r="C1854" s="2" t="s">
        <v>7109</v>
      </c>
      <c r="D1854" s="2">
        <v>1.0028027568273113E-4</v>
      </c>
      <c r="E1854" s="12" t="s">
        <v>7110</v>
      </c>
    </row>
    <row r="1855">
      <c r="A1855" s="2" t="s">
        <v>7112</v>
      </c>
      <c r="B1855" s="2" t="s">
        <v>7111</v>
      </c>
      <c r="D1855" s="2">
        <v>1.0028027568273113E-4</v>
      </c>
      <c r="E1855" s="12" t="s">
        <v>7113</v>
      </c>
    </row>
    <row r="1856">
      <c r="A1856" s="2" t="s">
        <v>7115</v>
      </c>
      <c r="B1856" s="2" t="s">
        <v>7114</v>
      </c>
      <c r="C1856" s="2" t="s">
        <v>7116</v>
      </c>
      <c r="D1856" s="2">
        <v>1.0028027568273113E-4</v>
      </c>
      <c r="E1856" s="12" t="s">
        <v>3275</v>
      </c>
    </row>
    <row r="1857">
      <c r="A1857" s="2" t="s">
        <v>7118</v>
      </c>
      <c r="B1857" s="2" t="s">
        <v>7117</v>
      </c>
      <c r="C1857" s="2" t="s">
        <v>7119</v>
      </c>
      <c r="D1857" s="2">
        <v>1.0028027568273113E-4</v>
      </c>
      <c r="E1857" s="12" t="s">
        <v>7120</v>
      </c>
    </row>
    <row r="1858">
      <c r="A1858" s="2" t="s">
        <v>7122</v>
      </c>
      <c r="B1858" s="2" t="s">
        <v>7121</v>
      </c>
      <c r="C1858" s="2" t="s">
        <v>7123</v>
      </c>
      <c r="D1858" s="2">
        <v>1.0028027568273113E-4</v>
      </c>
      <c r="E1858" s="12" t="s">
        <v>7124</v>
      </c>
    </row>
    <row r="1859">
      <c r="A1859" s="2" t="s">
        <v>7126</v>
      </c>
      <c r="B1859" s="2" t="s">
        <v>7125</v>
      </c>
      <c r="C1859" s="2" t="s">
        <v>7127</v>
      </c>
      <c r="D1859" s="2">
        <v>1.0028027568273113E-4</v>
      </c>
      <c r="E1859" s="12" t="s">
        <v>7128</v>
      </c>
    </row>
    <row r="1860">
      <c r="A1860" s="2" t="s">
        <v>7130</v>
      </c>
      <c r="B1860" s="2" t="s">
        <v>7129</v>
      </c>
      <c r="C1860" s="2" t="s">
        <v>7131</v>
      </c>
      <c r="D1860" s="2">
        <v>1.0028027568273113E-4</v>
      </c>
      <c r="E1860" s="12" t="s">
        <v>7132</v>
      </c>
    </row>
    <row r="1861">
      <c r="A1861" s="2" t="s">
        <v>7134</v>
      </c>
      <c r="B1861" s="2" t="s">
        <v>7133</v>
      </c>
      <c r="C1861" s="2" t="s">
        <v>7135</v>
      </c>
      <c r="D1861" s="2">
        <v>1.0028027568273113E-4</v>
      </c>
      <c r="E1861" s="12" t="s">
        <v>6149</v>
      </c>
    </row>
    <row r="1862">
      <c r="A1862" s="2" t="s">
        <v>7137</v>
      </c>
      <c r="B1862" s="2" t="s">
        <v>7136</v>
      </c>
      <c r="C1862" s="2" t="s">
        <v>7138</v>
      </c>
      <c r="D1862" s="2">
        <v>1.0028027568273113E-4</v>
      </c>
      <c r="E1862" s="12" t="s">
        <v>3350</v>
      </c>
    </row>
    <row r="1863">
      <c r="A1863" s="2" t="s">
        <v>7140</v>
      </c>
      <c r="B1863" s="2" t="s">
        <v>7139</v>
      </c>
      <c r="C1863" s="2" t="s">
        <v>7141</v>
      </c>
      <c r="D1863" s="2">
        <v>1.0028027568273113E-4</v>
      </c>
      <c r="E1863" s="12" t="s">
        <v>7142</v>
      </c>
    </row>
    <row r="1864">
      <c r="A1864" s="2" t="s">
        <v>7144</v>
      </c>
      <c r="B1864" s="2" t="s">
        <v>7143</v>
      </c>
      <c r="C1864" s="2" t="s">
        <v>7145</v>
      </c>
      <c r="D1864" s="2">
        <v>1.0028027568273113E-4</v>
      </c>
      <c r="E1864" s="12" t="s">
        <v>7146</v>
      </c>
    </row>
    <row r="1865">
      <c r="A1865" s="2" t="s">
        <v>7148</v>
      </c>
      <c r="B1865" s="2" t="s">
        <v>7147</v>
      </c>
      <c r="C1865" s="2" t="s">
        <v>7149</v>
      </c>
      <c r="D1865" s="2">
        <v>1.0028027568273113E-4</v>
      </c>
      <c r="E1865" s="12" t="s">
        <v>7150</v>
      </c>
    </row>
    <row r="1866">
      <c r="A1866" s="2" t="s">
        <v>7152</v>
      </c>
      <c r="B1866" s="2" t="s">
        <v>7151</v>
      </c>
      <c r="C1866" s="2" t="s">
        <v>7153</v>
      </c>
      <c r="D1866" s="2">
        <v>1.0028027568273113E-4</v>
      </c>
      <c r="E1866" s="12" t="s">
        <v>7154</v>
      </c>
    </row>
    <row r="1867">
      <c r="A1867" s="2" t="s">
        <v>7156</v>
      </c>
      <c r="B1867" s="2" t="s">
        <v>7155</v>
      </c>
      <c r="C1867" s="2" t="s">
        <v>7157</v>
      </c>
      <c r="D1867" s="2">
        <v>1.0028027568273113E-4</v>
      </c>
      <c r="E1867" s="12" t="s">
        <v>7158</v>
      </c>
    </row>
    <row r="1868">
      <c r="A1868" s="2" t="s">
        <v>7160</v>
      </c>
      <c r="B1868" s="2" t="s">
        <v>7159</v>
      </c>
      <c r="C1868" s="2" t="s">
        <v>7161</v>
      </c>
      <c r="D1868" s="2">
        <v>1.0028027568273113E-4</v>
      </c>
      <c r="E1868" s="12" t="s">
        <v>7162</v>
      </c>
    </row>
    <row r="1869">
      <c r="A1869" s="2" t="s">
        <v>7164</v>
      </c>
      <c r="B1869" s="2" t="s">
        <v>7163</v>
      </c>
      <c r="C1869" s="2" t="s">
        <v>7165</v>
      </c>
      <c r="D1869" s="2">
        <v>1.0028027568273113E-4</v>
      </c>
      <c r="E1869" s="12" t="s">
        <v>7166</v>
      </c>
    </row>
    <row r="1870">
      <c r="A1870" s="2" t="s">
        <v>7168</v>
      </c>
      <c r="B1870" s="2" t="s">
        <v>7167</v>
      </c>
      <c r="C1870" s="2" t="s">
        <v>7169</v>
      </c>
      <c r="D1870" s="2">
        <v>1.0028027568273113E-4</v>
      </c>
      <c r="E1870" s="12" t="s">
        <v>7170</v>
      </c>
    </row>
    <row r="1871">
      <c r="A1871" s="2" t="s">
        <v>7172</v>
      </c>
      <c r="B1871" s="2" t="s">
        <v>7171</v>
      </c>
      <c r="C1871" s="2" t="s">
        <v>7173</v>
      </c>
      <c r="D1871" s="2">
        <v>1.0028027568273113E-4</v>
      </c>
      <c r="E1871" s="12" t="s">
        <v>7174</v>
      </c>
    </row>
    <row r="1872">
      <c r="A1872" s="2" t="s">
        <v>7176</v>
      </c>
      <c r="B1872" s="2" t="s">
        <v>7175</v>
      </c>
      <c r="C1872" s="2" t="s">
        <v>7177</v>
      </c>
      <c r="D1872" s="2">
        <v>1.0028027568273113E-4</v>
      </c>
      <c r="E1872" s="12" t="s">
        <v>7178</v>
      </c>
    </row>
    <row r="1873">
      <c r="A1873" s="2" t="s">
        <v>7180</v>
      </c>
      <c r="B1873" s="2" t="s">
        <v>7179</v>
      </c>
      <c r="C1873" s="2" t="s">
        <v>7181</v>
      </c>
      <c r="D1873" s="2">
        <v>1.0028027568273113E-4</v>
      </c>
      <c r="E1873" s="12" t="s">
        <v>7182</v>
      </c>
    </row>
    <row r="1874">
      <c r="A1874" s="2" t="s">
        <v>7184</v>
      </c>
      <c r="B1874" s="2" t="s">
        <v>7183</v>
      </c>
      <c r="C1874" s="2" t="s">
        <v>7185</v>
      </c>
      <c r="D1874" s="2">
        <v>1.0028027568273113E-4</v>
      </c>
      <c r="E1874" s="12" t="s">
        <v>7186</v>
      </c>
    </row>
    <row r="1875">
      <c r="A1875" s="2" t="s">
        <v>7188</v>
      </c>
      <c r="B1875" s="2" t="s">
        <v>7187</v>
      </c>
      <c r="C1875" s="2" t="s">
        <v>7189</v>
      </c>
      <c r="D1875" s="2">
        <v>1.0028027568273113E-4</v>
      </c>
      <c r="E1875" s="12" t="s">
        <v>7190</v>
      </c>
    </row>
    <row r="1876">
      <c r="A1876" s="2" t="s">
        <v>7192</v>
      </c>
      <c r="B1876" s="2" t="s">
        <v>7191</v>
      </c>
      <c r="C1876" s="2" t="s">
        <v>7193</v>
      </c>
      <c r="D1876" s="2">
        <v>1.0028027568273113E-4</v>
      </c>
      <c r="E1876" s="12" t="s">
        <v>7194</v>
      </c>
    </row>
    <row r="1877">
      <c r="A1877" s="2" t="s">
        <v>7196</v>
      </c>
      <c r="B1877" s="2" t="s">
        <v>7195</v>
      </c>
      <c r="C1877" s="2" t="s">
        <v>7197</v>
      </c>
      <c r="D1877" s="2">
        <v>1.0028027568273113E-4</v>
      </c>
      <c r="E1877" s="12" t="s">
        <v>7198</v>
      </c>
    </row>
    <row r="1878">
      <c r="A1878" s="2" t="s">
        <v>7200</v>
      </c>
      <c r="B1878" s="2" t="s">
        <v>7199</v>
      </c>
      <c r="C1878" s="2" t="s">
        <v>7201</v>
      </c>
      <c r="D1878" s="2">
        <v>1.0028027568273113E-4</v>
      </c>
      <c r="E1878" s="12" t="s">
        <v>7202</v>
      </c>
    </row>
    <row r="1879">
      <c r="A1879" s="2" t="s">
        <v>7204</v>
      </c>
      <c r="B1879" s="2" t="s">
        <v>7203</v>
      </c>
      <c r="C1879" s="2" t="s">
        <v>7205</v>
      </c>
      <c r="D1879" s="2">
        <v>1.0028027568273113E-4</v>
      </c>
      <c r="E1879" s="12" t="s">
        <v>4623</v>
      </c>
    </row>
    <row r="1880">
      <c r="A1880" s="2" t="s">
        <v>7207</v>
      </c>
      <c r="B1880" s="2" t="s">
        <v>7206</v>
      </c>
      <c r="C1880" s="2" t="s">
        <v>7208</v>
      </c>
      <c r="D1880" s="2">
        <v>1.0028027568273113E-4</v>
      </c>
      <c r="E1880" s="12" t="s">
        <v>7209</v>
      </c>
    </row>
    <row r="1881">
      <c r="A1881" s="2" t="s">
        <v>7211</v>
      </c>
      <c r="B1881" s="2" t="s">
        <v>7210</v>
      </c>
      <c r="C1881" s="2" t="s">
        <v>7212</v>
      </c>
      <c r="D1881" s="2">
        <v>1.0028027568273111E-4</v>
      </c>
      <c r="E1881" s="12" t="s">
        <v>7213</v>
      </c>
    </row>
    <row r="1882">
      <c r="A1882" s="2" t="s">
        <v>7215</v>
      </c>
      <c r="B1882" s="2" t="s">
        <v>7214</v>
      </c>
      <c r="C1882" s="2" t="s">
        <v>7216</v>
      </c>
      <c r="D1882" s="2">
        <v>1.0028027568273111E-4</v>
      </c>
      <c r="E1882" s="12" t="s">
        <v>7217</v>
      </c>
    </row>
    <row r="1883">
      <c r="A1883" s="2" t="s">
        <v>7219</v>
      </c>
      <c r="B1883" s="2" t="s">
        <v>7218</v>
      </c>
      <c r="C1883" s="2" t="s">
        <v>7220</v>
      </c>
      <c r="D1883" s="2">
        <v>1.0028027568273111E-4</v>
      </c>
      <c r="E1883" s="12" t="s">
        <v>7162</v>
      </c>
    </row>
    <row r="1884">
      <c r="A1884" s="2" t="s">
        <v>7222</v>
      </c>
      <c r="B1884" s="2" t="s">
        <v>7221</v>
      </c>
      <c r="C1884" s="2" t="s">
        <v>7223</v>
      </c>
      <c r="D1884" s="2">
        <v>1.0028027568273111E-4</v>
      </c>
      <c r="E1884" s="12" t="s">
        <v>7224</v>
      </c>
    </row>
    <row r="1885">
      <c r="A1885" s="2" t="s">
        <v>7226</v>
      </c>
      <c r="B1885" s="2" t="s">
        <v>7225</v>
      </c>
      <c r="D1885" s="2">
        <v>1.0028027568273111E-4</v>
      </c>
      <c r="E1885" s="12" t="s">
        <v>7227</v>
      </c>
    </row>
    <row r="1886">
      <c r="A1886" s="2" t="s">
        <v>7229</v>
      </c>
      <c r="B1886" s="2" t="s">
        <v>7228</v>
      </c>
      <c r="C1886" s="2" t="s">
        <v>7230</v>
      </c>
      <c r="D1886" s="2">
        <v>1.0028027568273111E-4</v>
      </c>
      <c r="E1886" s="12" t="s">
        <v>7231</v>
      </c>
    </row>
    <row r="1887">
      <c r="A1887" s="2" t="s">
        <v>7233</v>
      </c>
      <c r="B1887" s="2" t="s">
        <v>7232</v>
      </c>
      <c r="C1887" s="2" t="s">
        <v>7234</v>
      </c>
      <c r="D1887" s="2">
        <v>1.0028027568273111E-4</v>
      </c>
      <c r="E1887" s="12" t="s">
        <v>7235</v>
      </c>
    </row>
    <row r="1888">
      <c r="A1888" s="2" t="s">
        <v>7237</v>
      </c>
      <c r="B1888" s="2" t="s">
        <v>7236</v>
      </c>
      <c r="C1888" s="2" t="s">
        <v>7238</v>
      </c>
      <c r="D1888" s="2">
        <v>1.0028027568273111E-4</v>
      </c>
      <c r="E1888" s="12" t="s">
        <v>4186</v>
      </c>
    </row>
    <row r="1889">
      <c r="A1889" s="2" t="s">
        <v>7240</v>
      </c>
      <c r="B1889" s="2" t="s">
        <v>7239</v>
      </c>
      <c r="C1889" s="2" t="s">
        <v>7241</v>
      </c>
      <c r="D1889" s="2">
        <v>1.0028027568273111E-4</v>
      </c>
      <c r="E1889" s="12" t="s">
        <v>7242</v>
      </c>
    </row>
    <row r="1890">
      <c r="A1890" s="2" t="s">
        <v>7244</v>
      </c>
      <c r="B1890" s="2" t="s">
        <v>7243</v>
      </c>
      <c r="C1890" s="2" t="s">
        <v>7245</v>
      </c>
      <c r="D1890" s="2">
        <v>1.0028027568273111E-4</v>
      </c>
      <c r="E1890" s="12" t="s">
        <v>7246</v>
      </c>
    </row>
    <row r="1891">
      <c r="A1891" s="2" t="s">
        <v>7248</v>
      </c>
      <c r="B1891" s="2" t="s">
        <v>7247</v>
      </c>
      <c r="D1891" s="2">
        <v>1.0028027568273111E-4</v>
      </c>
      <c r="E1891" s="12" t="s">
        <v>7249</v>
      </c>
    </row>
    <row r="1892">
      <c r="A1892" s="2" t="s">
        <v>7251</v>
      </c>
      <c r="B1892" s="2" t="s">
        <v>7250</v>
      </c>
      <c r="C1892" s="2" t="s">
        <v>7252</v>
      </c>
      <c r="D1892" s="2">
        <v>1.0028027568273111E-4</v>
      </c>
      <c r="E1892" s="12" t="s">
        <v>7253</v>
      </c>
    </row>
    <row r="1893">
      <c r="A1893" s="2" t="s">
        <v>7255</v>
      </c>
      <c r="B1893" s="2" t="s">
        <v>7254</v>
      </c>
      <c r="C1893" s="2" t="s">
        <v>7256</v>
      </c>
      <c r="D1893" s="2">
        <v>1.0028027568273111E-4</v>
      </c>
      <c r="E1893" s="12" t="s">
        <v>7257</v>
      </c>
    </row>
    <row r="1894">
      <c r="A1894" s="2" t="s">
        <v>7259</v>
      </c>
      <c r="B1894" s="2" t="s">
        <v>7258</v>
      </c>
      <c r="C1894" s="2" t="s">
        <v>7260</v>
      </c>
      <c r="D1894" s="2">
        <v>1.0028027568273111E-4</v>
      </c>
      <c r="E1894" s="12" t="s">
        <v>5829</v>
      </c>
    </row>
    <row r="1895">
      <c r="A1895" s="2" t="s">
        <v>7262</v>
      </c>
      <c r="B1895" s="2" t="s">
        <v>7261</v>
      </c>
      <c r="C1895" s="2" t="s">
        <v>7263</v>
      </c>
      <c r="D1895" s="2">
        <v>1.0028027568273111E-4</v>
      </c>
      <c r="E1895" s="12" t="s">
        <v>7264</v>
      </c>
    </row>
    <row r="1896">
      <c r="A1896" s="2" t="s">
        <v>7266</v>
      </c>
      <c r="B1896" s="2" t="s">
        <v>7265</v>
      </c>
      <c r="C1896" s="2" t="s">
        <v>7267</v>
      </c>
      <c r="D1896" s="2">
        <v>1.0028027568273111E-4</v>
      </c>
      <c r="E1896" s="12" t="s">
        <v>7268</v>
      </c>
    </row>
    <row r="1897">
      <c r="A1897" s="2" t="s">
        <v>7270</v>
      </c>
      <c r="B1897" s="2" t="s">
        <v>7269</v>
      </c>
      <c r="C1897" s="2" t="s">
        <v>7271</v>
      </c>
      <c r="D1897" s="2">
        <v>1.0028027568273111E-4</v>
      </c>
      <c r="E1897" s="12" t="s">
        <v>341</v>
      </c>
    </row>
    <row r="1898">
      <c r="A1898" s="2" t="s">
        <v>7273</v>
      </c>
      <c r="B1898" s="2" t="s">
        <v>7272</v>
      </c>
      <c r="C1898" s="2" t="s">
        <v>7274</v>
      </c>
      <c r="D1898" s="2">
        <v>1.0028027568273111E-4</v>
      </c>
      <c r="E1898" s="12" t="s">
        <v>7275</v>
      </c>
    </row>
    <row r="1899">
      <c r="A1899" s="2" t="s">
        <v>7277</v>
      </c>
      <c r="B1899" s="2" t="s">
        <v>7276</v>
      </c>
      <c r="D1899" s="2">
        <v>1.0028027568273111E-4</v>
      </c>
      <c r="E1899" s="12" t="s">
        <v>7278</v>
      </c>
    </row>
    <row r="1900">
      <c r="A1900" s="2" t="s">
        <v>7280</v>
      </c>
      <c r="B1900" s="2" t="s">
        <v>7279</v>
      </c>
      <c r="C1900" s="2" t="s">
        <v>7281</v>
      </c>
      <c r="D1900" s="2">
        <v>1.0028027568273111E-4</v>
      </c>
      <c r="E1900" s="12" t="s">
        <v>849</v>
      </c>
    </row>
    <row r="1901">
      <c r="A1901" s="2" t="s">
        <v>7283</v>
      </c>
      <c r="B1901" s="2" t="s">
        <v>7282</v>
      </c>
      <c r="C1901" s="2" t="s">
        <v>7284</v>
      </c>
      <c r="D1901" s="2">
        <v>1.0028027568273111E-4</v>
      </c>
      <c r="E1901" s="12" t="s">
        <v>7285</v>
      </c>
    </row>
    <row r="1902">
      <c r="A1902" s="2" t="s">
        <v>7287</v>
      </c>
      <c r="B1902" s="2" t="s">
        <v>7286</v>
      </c>
      <c r="C1902" s="2" t="s">
        <v>7288</v>
      </c>
      <c r="D1902" s="2">
        <v>1.0028027568273111E-4</v>
      </c>
      <c r="E1902" s="12" t="s">
        <v>7289</v>
      </c>
    </row>
    <row r="1903">
      <c r="A1903" s="2" t="s">
        <v>7291</v>
      </c>
      <c r="B1903" s="2" t="s">
        <v>7290</v>
      </c>
      <c r="C1903" s="2" t="s">
        <v>7292</v>
      </c>
      <c r="D1903" s="2">
        <v>1.0028027568273111E-4</v>
      </c>
      <c r="E1903" s="12" t="s">
        <v>7293</v>
      </c>
    </row>
    <row r="1904">
      <c r="A1904" s="2" t="s">
        <v>7295</v>
      </c>
      <c r="B1904" s="2" t="s">
        <v>7294</v>
      </c>
      <c r="C1904" s="2" t="s">
        <v>7296</v>
      </c>
      <c r="D1904" s="2">
        <v>1.0028027568273111E-4</v>
      </c>
      <c r="E1904" s="12" t="s">
        <v>1516</v>
      </c>
    </row>
    <row r="1905">
      <c r="A1905" s="2" t="s">
        <v>7298</v>
      </c>
      <c r="B1905" s="2" t="s">
        <v>7297</v>
      </c>
      <c r="C1905" s="2" t="s">
        <v>7299</v>
      </c>
      <c r="D1905" s="2">
        <v>1.0028027568273111E-4</v>
      </c>
      <c r="E1905" s="12" t="s">
        <v>7300</v>
      </c>
    </row>
    <row r="1906">
      <c r="A1906" s="2" t="s">
        <v>7302</v>
      </c>
      <c r="B1906" s="2" t="s">
        <v>7301</v>
      </c>
      <c r="D1906" s="2">
        <v>1.0028027568273111E-4</v>
      </c>
      <c r="E1906" s="12" t="s">
        <v>7217</v>
      </c>
    </row>
    <row r="1907">
      <c r="A1907" s="2" t="s">
        <v>7304</v>
      </c>
      <c r="B1907" s="2" t="s">
        <v>7303</v>
      </c>
      <c r="C1907" s="2" t="s">
        <v>7305</v>
      </c>
      <c r="D1907" s="2">
        <v>1.0028027568273111E-4</v>
      </c>
      <c r="E1907" s="12" t="s">
        <v>5027</v>
      </c>
    </row>
    <row r="1908">
      <c r="A1908" s="2" t="s">
        <v>7307</v>
      </c>
      <c r="B1908" s="2" t="s">
        <v>7306</v>
      </c>
      <c r="C1908" s="2" t="s">
        <v>7308</v>
      </c>
      <c r="D1908" s="2">
        <v>1.0028027568273111E-4</v>
      </c>
      <c r="E1908" s="12" t="s">
        <v>7309</v>
      </c>
    </row>
    <row r="1909">
      <c r="A1909" s="2" t="s">
        <v>7311</v>
      </c>
      <c r="B1909" s="2" t="s">
        <v>7310</v>
      </c>
      <c r="C1909" s="2" t="s">
        <v>7312</v>
      </c>
      <c r="D1909" s="2">
        <v>1.0028027568273111E-4</v>
      </c>
      <c r="E1909" s="12" t="s">
        <v>7313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IFERROR(__xludf.DUMMYFUNCTION("QUERY(BDTrat!A:E,""select B,A,C,D,E"")"),"Usuário")</f>
        <v>Usuário</v>
      </c>
      <c r="B1" s="2" t="str">
        <f>IFERROR(__xludf.DUMMYFUNCTION("""COMPUTED_VALUE"""),"User_Name")</f>
        <v>User_Name</v>
      </c>
      <c r="C1" s="2" t="str">
        <f>IFERROR(__xludf.DUMMYFUNCTION("""COMPUTED_VALUE"""),"Descrição")</f>
        <v>Descrição</v>
      </c>
      <c r="D1" s="2" t="str">
        <f>IFERROR(__xludf.DUMMYFUNCTION("""COMPUTED_VALUE"""),"PageRank")</f>
        <v>PageRank</v>
      </c>
      <c r="E1" s="2" t="str">
        <f>IFERROR(__xludf.DUMMYFUNCTION("""COMPUTED_VALUE"""),"N. Seguidores")</f>
        <v>N. Seguidores</v>
      </c>
    </row>
    <row r="2">
      <c r="A2" s="2" t="str">
        <f>IFERROR(__xludf.DUMMYFUNCTION("""COMPUTED_VALUE"""),"Alexandre Silveira")</f>
        <v>Alexandre Silveira</v>
      </c>
      <c r="B2" s="2" t="str">
        <f>IFERROR(__xludf.DUMMYFUNCTION("""COMPUTED_VALUE"""),"asilveiramg")</f>
        <v>asilveiramg</v>
      </c>
      <c r="C2" s="2" t="str">
        <f>IFERROR(__xludf.DUMMYFUNCTION("""COMPUTED_VALUE"""),"🇧🇷 Ministro de Minas e Energia 🔺Ex-senador por Minas Gerais ⚖️ Advogado 🧔🏻‍♂️Ex-deputado Federal")</f>
        <v>🇧🇷 Ministro de Minas e Energia 🔺Ex-senador por Minas Gerais ⚖️ Advogado 🧔🏻‍♂️Ex-deputado Federal</v>
      </c>
      <c r="D2" s="2">
        <f>IFERROR(__xludf.DUMMYFUNCTION("""COMPUTED_VALUE"""),0.16663296917627152)</f>
        <v>0.1666329692</v>
      </c>
      <c r="E2" s="2" t="str">
        <f>IFERROR(__xludf.DUMMYFUNCTION("""COMPUTED_VALUE"""),"      9.673")</f>
        <v>      9.673</v>
      </c>
    </row>
    <row r="3">
      <c r="A3" s="2" t="str">
        <f>IFERROR(__xludf.DUMMYFUNCTION("""COMPUTED_VALUE"""),"Lula")</f>
        <v>Lula</v>
      </c>
      <c r="B3" s="2" t="str">
        <f>IFERROR(__xludf.DUMMYFUNCTION("""COMPUTED_VALUE"""),"lulaoficial")</f>
        <v>lulaoficial</v>
      </c>
      <c r="C3" s="2" t="str">
        <f>IFERROR(__xludf.DUMMYFUNCTION("""COMPUTED_VALUE"""),"Filho da Dona Lindu, marido da @JanjaLula, presidente da República. Trabalhando para reconstruir o Brasil.")</f>
        <v>Filho da Dona Lindu, marido da @JanjaLula, presidente da República. Trabalhando para reconstruir o Brasil.</v>
      </c>
      <c r="D3" s="2">
        <f>IFERROR(__xludf.DUMMYFUNCTION("""COMPUTED_VALUE"""),0.05800742769448336)</f>
        <v>0.05800742769</v>
      </c>
      <c r="E3" s="2" t="str">
        <f>IFERROR(__xludf.DUMMYFUNCTION("""COMPUTED_VALUE"""),"  8.214.483")</f>
        <v>  8.214.483</v>
      </c>
    </row>
    <row r="4">
      <c r="A4" s="2" t="str">
        <f>IFERROR(__xludf.DUMMYFUNCTION("""COMPUTED_VALUE"""),"Geraldo Alckmin 🇧🇷")</f>
        <v>Geraldo Alckmin 🇧🇷</v>
      </c>
      <c r="B4" s="2" t="str">
        <f>IFERROR(__xludf.DUMMYFUNCTION("""COMPUTED_VALUE"""),"geraldoalckmin")</f>
        <v>geraldoalckmin</v>
      </c>
      <c r="C4" s="2" t="str">
        <f>IFERROR(__xludf.DUMMYFUNCTION("""COMPUTED_VALUE"""),"Pai e avô orgulhoso, marido apaixonado, médico e homem público. Quatro vezes governador de SP. Vice-presidente do Brasil e ministro do Desenvolvimento.")</f>
        <v>Pai e avô orgulhoso, marido apaixonado, médico e homem público. Quatro vezes governador de SP. Vice-presidente do Brasil e ministro do Desenvolvimento.</v>
      </c>
      <c r="D4" s="2">
        <f>IFERROR(__xludf.DUMMYFUNCTION("""COMPUTED_VALUE"""),0.02576279980403305)</f>
        <v>0.0257627998</v>
      </c>
      <c r="E4" s="2" t="str">
        <f>IFERROR(__xludf.DUMMYFUNCTION("""COMPUTED_VALUE"""),"  1.441.182")</f>
        <v>  1.441.182</v>
      </c>
    </row>
    <row r="5">
      <c r="A5" s="2" t="str">
        <f>IFERROR(__xludf.DUMMYFUNCTION("""COMPUTED_VALUE"""),"Amazoni@zul🇧🇷")</f>
        <v>Amazoni@zul🇧🇷</v>
      </c>
      <c r="B5" s="2" t="str">
        <f>IFERROR(__xludf.DUMMYFUNCTION("""COMPUTED_VALUE"""),"amazoniaazulbr")</f>
        <v>amazoniaazulbr</v>
      </c>
      <c r="C5" s="2" t="str">
        <f>IFERROR(__xludf.DUMMYFUNCTION("""COMPUTED_VALUE"""),"Informação, análise e estatística sobre Infraestrutura, Logística, Supply Chain, mobilidade, Transportes e Tecnologia. Amazônia Verde e Azul")</f>
        <v>Informação, análise e estatística sobre Infraestrutura, Logística, Supply Chain, mobilidade, Transportes e Tecnologia. Amazônia Verde e Azul</v>
      </c>
      <c r="D5" s="2">
        <f>IFERROR(__xludf.DUMMYFUNCTION("""COMPUTED_VALUE"""),0.02361800326210992)</f>
        <v>0.02361800326</v>
      </c>
      <c r="E5" s="2" t="str">
        <f>IFERROR(__xludf.DUMMYFUNCTION("""COMPUTED_VALUE"""),"     64.720")</f>
        <v>     64.720</v>
      </c>
    </row>
    <row r="6">
      <c r="A6" s="2" t="str">
        <f>IFERROR(__xludf.DUMMYFUNCTION("""COMPUTED_VALUE"""),"Paulo Gala")</f>
        <v>Paulo Gala</v>
      </c>
      <c r="B6" s="2" t="str">
        <f>IFERROR(__xludf.DUMMYFUNCTION("""COMPUTED_VALUE"""),"paulogala")</f>
        <v>paulogala</v>
      </c>
      <c r="C6" s="2" t="str">
        <f>IFERROR(__xludf.DUMMYFUNCTION("""COMPUTED_VALUE"""),"Ajudo as pessoas a Desmistificar a Economia | Posts sobre Economia e Finanças | Autor, Investidor, Professor na FGV/SP,  Economista-Chefe do Banco Master")</f>
        <v>Ajudo as pessoas a Desmistificar a Economia | Posts sobre Economia e Finanças | Autor, Investidor, Professor na FGV/SP,  Economista-Chefe do Banco Master</v>
      </c>
      <c r="D6" s="2">
        <f>IFERROR(__xludf.DUMMYFUNCTION("""COMPUTED_VALUE"""),0.00882307207313345)</f>
        <v>0.008823072073</v>
      </c>
      <c r="E6" s="2" t="str">
        <f>IFERROR(__xludf.DUMMYFUNCTION("""COMPUTED_VALUE"""),"     46.892")</f>
        <v>     46.892</v>
      </c>
    </row>
    <row r="7">
      <c r="A7" s="2" t="str">
        <f>IFERROR(__xludf.DUMMYFUNCTION("""COMPUTED_VALUE"""),"Sâmia Bomfim")</f>
        <v>Sâmia Bomfim</v>
      </c>
      <c r="B7" s="2" t="str">
        <f>IFERROR(__xludf.DUMMYFUNCTION("""COMPUTED_VALUE"""),"samiabomfim")</f>
        <v>samiabomfim</v>
      </c>
      <c r="C7" s="2" t="str">
        <f>IFERROR(__xludf.DUMMYFUNCTION("""COMPUTED_VALUE"""),"♀️ Mãe do Hugo, feminista, deputada federal reeleita pelo PSOL SP")</f>
        <v>♀️ Mãe do Hugo, feminista, deputada federal reeleita pelo PSOL SP</v>
      </c>
      <c r="D7" s="2">
        <f>IFERROR(__xludf.DUMMYFUNCTION("""COMPUTED_VALUE"""),0.006729920723596621)</f>
        <v>0.006729920724</v>
      </c>
      <c r="E7" s="2" t="str">
        <f>IFERROR(__xludf.DUMMYFUNCTION("""COMPUTED_VALUE"""),"    668.849")</f>
        <v>    668.849</v>
      </c>
    </row>
    <row r="8">
      <c r="A8" s="2" t="str">
        <f>IFERROR(__xludf.DUMMYFUNCTION("""COMPUTED_VALUE"""),"Luiz-Eduardo Del-Bem")</f>
        <v>Luiz-Eduardo Del-Bem</v>
      </c>
      <c r="B8" s="2" t="str">
        <f>IFERROR(__xludf.DUMMYFUNCTION("""COMPUTED_VALUE"""),"dudelbem")</f>
        <v>dudelbem</v>
      </c>
      <c r="C8" s="2" t="str">
        <f>IFERROR(__xludf.DUMMYFUNCTION("""COMPUTED_VALUE"""),"Geneticist &amp; Evolutionary Biologist | Prof @UFMG | PI @delbemlab | Member @eseb_org @iaptglobal | Alum @unicampoficial @harvard")</f>
        <v>Geneticist &amp; Evolutionary Biologist | Prof @UFMG | PI @delbemlab | Member @eseb_org @iaptglobal | Alum @unicampoficial @harvard</v>
      </c>
      <c r="D8" s="2">
        <f>IFERROR(__xludf.DUMMYFUNCTION("""COMPUTED_VALUE"""),0.00635108412657297)</f>
        <v>0.006351084127</v>
      </c>
      <c r="E8" s="2" t="str">
        <f>IFERROR(__xludf.DUMMYFUNCTION("""COMPUTED_VALUE"""),"      5.043")</f>
        <v>      5.043</v>
      </c>
    </row>
    <row r="9">
      <c r="A9" s="2" t="str">
        <f>IFERROR(__xludf.DUMMYFUNCTION("""COMPUTED_VALUE"""),"Matheus Gomes")</f>
        <v>Matheus Gomes</v>
      </c>
      <c r="B9" s="2" t="str">
        <f>IFERROR(__xludf.DUMMYFUNCTION("""COMPUTED_VALUE"""),"matheuspggomes")</f>
        <v>matheuspggomes</v>
      </c>
      <c r="C9" s="2" t="str">
        <f>IFERROR(__xludf.DUMMYFUNCTION("""COMPUTED_VALUE"""),"🙅🏾 Deputado Estadual do @psol50 | Membro da Bancada Negra ✊🏾 | Deputado + votado em PoA, 5º + votado do RS | Mestre em História (UFRGS) Ecossocialista 🌎")</f>
        <v>🙅🏾 Deputado Estadual do @psol50 | Membro da Bancada Negra ✊🏾 | Deputado + votado em PoA, 5º + votado do RS | Mestre em História (UFRGS) Ecossocialista 🌎</v>
      </c>
      <c r="D9" s="2">
        <f>IFERROR(__xludf.DUMMYFUNCTION("""COMPUTED_VALUE"""),0.0057059283217657415)</f>
        <v>0.005705928322</v>
      </c>
      <c r="E9" s="2" t="str">
        <f>IFERROR(__xludf.DUMMYFUNCTION("""COMPUTED_VALUE"""),"     49.479")</f>
        <v>     49.479</v>
      </c>
    </row>
    <row r="10">
      <c r="A10" s="2" t="str">
        <f>IFERROR(__xludf.DUMMYFUNCTION("""COMPUTED_VALUE"""),"Rodrigo Luis Veloso")</f>
        <v>Rodrigo Luis Veloso</v>
      </c>
      <c r="B10" s="2" t="str">
        <f>IFERROR(__xludf.DUMMYFUNCTION("""COMPUTED_VALUE"""),"rodrigoluisvelo")</f>
        <v>rodrigoluisvelo</v>
      </c>
      <c r="C10" s="2" t="str">
        <f>IFERROR(__xludf.DUMMYFUNCTION("""COMPUTED_VALUE"""),"Siga p/ mais informações. Sociólogo e Comunicador, ambientalista do Instituto Urca, da Frente LGBTIA+ RJ, da Articulação Judaica de Esquerda e do PSOL")</f>
        <v>Siga p/ mais informações. Sociólogo e Comunicador, ambientalista do Instituto Urca, da Frente LGBTIA+ RJ, da Articulação Judaica de Esquerda e do PSOL</v>
      </c>
      <c r="D10" s="2">
        <f>IFERROR(__xludf.DUMMYFUNCTION("""COMPUTED_VALUE"""),0.004866084255272739)</f>
        <v>0.004866084255</v>
      </c>
      <c r="E10" s="2" t="str">
        <f>IFERROR(__xludf.DUMMYFUNCTION("""COMPUTED_VALUE"""),"     12.295")</f>
        <v>     12.295</v>
      </c>
    </row>
    <row r="11">
      <c r="A11" s="2" t="str">
        <f>IFERROR(__xludf.DUMMYFUNCTION("""COMPUTED_VALUE"""),"Carlos A. Sardenberg")</f>
        <v>Carlos A. Sardenberg</v>
      </c>
      <c r="B11" s="2" t="str">
        <f>IFERROR(__xludf.DUMMYFUNCTION("""COMPUTED_VALUE"""),"realsardenberg")</f>
        <v>realsardenberg</v>
      </c>
      <c r="C11" s="2" t="str">
        <f>IFERROR(__xludf.DUMMYFUNCTION("""COMPUTED_VALUE"""),"Jornalista, âncora do programa CBN Brasil,  comentarista na CBN, colunista em O Globo, palestrante")</f>
        <v>Jornalista, âncora do programa CBN Brasil,  comentarista na CBN, colunista em O Globo, palestrante</v>
      </c>
      <c r="D11" s="2">
        <f>IFERROR(__xludf.DUMMYFUNCTION("""COMPUTED_VALUE"""),0.004450262365074863)</f>
        <v>0.004450262365</v>
      </c>
      <c r="E11" s="2" t="str">
        <f>IFERROR(__xludf.DUMMYFUNCTION("""COMPUTED_VALUE"""),"    496.724")</f>
        <v>    496.724</v>
      </c>
    </row>
    <row r="12">
      <c r="A12" s="2" t="str">
        <f>IFERROR(__xludf.DUMMYFUNCTION("""COMPUTED_VALUE"""),"Rafael Zattar")</f>
        <v>Rafael Zattar</v>
      </c>
      <c r="B12" s="2" t="str">
        <f>IFERROR(__xludf.DUMMYFUNCTION("""COMPUTED_VALUE"""),"zattarrafael")</f>
        <v>zattarrafael</v>
      </c>
      <c r="C12" s="2" t="str">
        <f>IFERROR(__xludf.DUMMYFUNCTION("""COMPUTED_VALUE"""),"🥇TOP 01 Analista Financeiro do Brasil/ANBIMA 🤝| Sócio Dica de Hoje Research | 🥇 Referência em Fundos de Investimentos🇧🇷 https://t.co/cgEjt6R3aQ")</f>
        <v>🥇TOP 01 Analista Financeiro do Brasil/ANBIMA 🤝| Sócio Dica de Hoje Research | 🥇 Referência em Fundos de Investimentos🇧🇷 https://t.co/cgEjt6R3aQ</v>
      </c>
      <c r="D12" s="2">
        <f>IFERROR(__xludf.DUMMYFUNCTION("""COMPUTED_VALUE"""),0.003907588075770422)</f>
        <v>0.003907588076</v>
      </c>
      <c r="E12" s="2" t="str">
        <f>IFERROR(__xludf.DUMMYFUNCTION("""COMPUTED_VALUE"""),"    117.787")</f>
        <v>    117.787</v>
      </c>
    </row>
    <row r="13">
      <c r="A13" s="2" t="str">
        <f>IFERROR(__xludf.DUMMYFUNCTION("""COMPUTED_VALUE"""),"Fonte Anitta")</f>
        <v>Fonte Anitta</v>
      </c>
      <c r="B13" s="2" t="str">
        <f>IFERROR(__xludf.DUMMYFUNCTION("""COMPUTED_VALUE"""),"fonteanittabr")</f>
        <v>fonteanittabr</v>
      </c>
      <c r="C13" s="2" t="str">
        <f>IFERROR(__xludf.DUMMYFUNCTION("""COMPUTED_VALUE"""),"Há 5 anos sendo sua melhor e mais atualizada fonte de informações sobre a cantora @Anitta. | Fan account")</f>
        <v>Há 5 anos sendo sua melhor e mais atualizada fonte de informações sobre a cantora @Anitta. | Fan account</v>
      </c>
      <c r="D13" s="2">
        <f>IFERROR(__xludf.DUMMYFUNCTION("""COMPUTED_VALUE"""),0.003367745925011724)</f>
        <v>0.003367745925</v>
      </c>
      <c r="E13" s="2" t="str">
        <f>IFERROR(__xludf.DUMMYFUNCTION("""COMPUTED_VALUE"""),"     33.212")</f>
        <v>     33.212</v>
      </c>
    </row>
    <row r="14">
      <c r="A14" s="2" t="str">
        <f>IFERROR(__xludf.DUMMYFUNCTION("""COMPUTED_VALUE"""),"Jair M. Bolsonaro")</f>
        <v>Jair M. Bolsonaro</v>
      </c>
      <c r="B14" s="2" t="str">
        <f>IFERROR(__xludf.DUMMYFUNCTION("""COMPUTED_VALUE"""),"jairbolsonaro")</f>
        <v>jairbolsonaro</v>
      </c>
      <c r="C14" s="2" t="str">
        <f>IFERROR(__xludf.DUMMYFUNCTION("""COMPUTED_VALUE"""),"38• Presidente da República Federativa do Brasil 🇧🇷")</f>
        <v>38• Presidente da República Federativa do Brasil 🇧🇷</v>
      </c>
      <c r="D14" s="2">
        <f>IFERROR(__xludf.DUMMYFUNCTION("""COMPUTED_VALUE"""),0.002651812406029347)</f>
        <v>0.002651812406</v>
      </c>
      <c r="E14" s="2" t="str">
        <f>IFERROR(__xludf.DUMMYFUNCTION("""COMPUTED_VALUE""")," 11.581.476")</f>
        <v> 11.581.476</v>
      </c>
    </row>
    <row r="15">
      <c r="A15" s="2" t="str">
        <f>IFERROR(__xludf.DUMMYFUNCTION("""COMPUTED_VALUE"""),"Nath Finanças 💰")</f>
        <v>Nath Finanças 💰</v>
      </c>
      <c r="B15" s="2" t="str">
        <f>IFERROR(__xludf.DUMMYFUNCTION("""COMPUTED_VALUE"""),"nathfinancas")</f>
        <v>nathfinancas</v>
      </c>
      <c r="C15" s="2" t="str">
        <f>IFERROR(__xludf.DUMMYFUNCTION("""COMPUTED_VALUE"""),"Administradora| Finanças| Investimentos| Empresária| Vascaína 💢🌈| Amo Rap e memes💙| Contato :comercial@nathfinancas.com")</f>
        <v>Administradora| Finanças| Investimentos| Empresária| Vascaína 💢🌈| Amo Rap e memes💙| Contato :comercial@nathfinancas.com</v>
      </c>
      <c r="D15" s="2">
        <f>IFERROR(__xludf.DUMMYFUNCTION("""COMPUTED_VALUE"""),0.0024592543470979655)</f>
        <v>0.002459254347</v>
      </c>
      <c r="E15" s="2" t="str">
        <f>IFERROR(__xludf.DUMMYFUNCTION("""COMPUTED_VALUE"""),"    598.379")</f>
        <v>    598.379</v>
      </c>
    </row>
    <row r="16">
      <c r="A16" s="2" t="str">
        <f>IFERROR(__xludf.DUMMYFUNCTION("""COMPUTED_VALUE"""),"Pop Base")</f>
        <v>Pop Base</v>
      </c>
      <c r="B16" s="2" t="str">
        <f>IFERROR(__xludf.DUMMYFUNCTION("""COMPUTED_VALUE"""),"popbase")</f>
        <v>popbase</v>
      </c>
      <c r="C16" s="2" t="str">
        <f>IFERROR(__xludf.DUMMYFUNCTION("""COMPUTED_VALUE"""),"Pop Base is your best source for all pop culture related entertainment, news, award show coverage, chart updates, statistics and more. | email@popbase.tv")</f>
        <v>Pop Base is your best source for all pop culture related entertainment, news, award show coverage, chart updates, statistics and more. | email@popbase.tv</v>
      </c>
      <c r="D16" s="2">
        <f>IFERROR(__xludf.DUMMYFUNCTION("""COMPUTED_VALUE"""),0.0024408505955583106)</f>
        <v>0.002440850596</v>
      </c>
      <c r="E16" s="2" t="str">
        <f>IFERROR(__xludf.DUMMYFUNCTION("""COMPUTED_VALUE"""),"  1.140.070")</f>
        <v>  1.140.070</v>
      </c>
    </row>
    <row r="17">
      <c r="A17" s="2" t="str">
        <f>IFERROR(__xludf.DUMMYFUNCTION("""COMPUTED_VALUE"""),"José Guimarães")</f>
        <v>José Guimarães</v>
      </c>
      <c r="B17" s="2" t="str">
        <f>IFERROR(__xludf.DUMMYFUNCTION("""COMPUTED_VALUE"""),"guimaraes13pt")</f>
        <v>guimaraes13pt</v>
      </c>
      <c r="C17" s="2" t="str">
        <f>IFERROR(__xludf.DUMMYFUNCTION("""COMPUTED_VALUE"""),"Líder do governo Lula na Câmara, deputado federal (PT/CE), advogado e vice-presidente nacional do PT.")</f>
        <v>Líder do governo Lula na Câmara, deputado federal (PT/CE), advogado e vice-presidente nacional do PT.</v>
      </c>
      <c r="D17" s="2">
        <f>IFERROR(__xludf.DUMMYFUNCTION("""COMPUTED_VALUE"""),0.0022768385893074906)</f>
        <v>0.002276838589</v>
      </c>
      <c r="E17" s="2" t="str">
        <f>IFERROR(__xludf.DUMMYFUNCTION("""COMPUTED_VALUE"""),"    156.358")</f>
        <v>    156.358</v>
      </c>
    </row>
    <row r="18">
      <c r="A18" s="2" t="str">
        <f>IFERROR(__xludf.DUMMYFUNCTION("""COMPUTED_VALUE"""),"ike")</f>
        <v>ike</v>
      </c>
      <c r="B18" s="2" t="str">
        <f>IFERROR(__xludf.DUMMYFUNCTION("""COMPUTED_VALUE"""),"henriquemerda")</f>
        <v>henriquemerda</v>
      </c>
      <c r="C18" s="2" t="str">
        <f>IFERROR(__xludf.DUMMYFUNCTION("""COMPUTED_VALUE"""),"ufsm ⚕️")</f>
        <v>ufsm ⚕️</v>
      </c>
      <c r="D18" s="2">
        <f>IFERROR(__xludf.DUMMYFUNCTION("""COMPUTED_VALUE"""),0.0020944997997025447)</f>
        <v>0.0020944998</v>
      </c>
      <c r="E18" s="2" t="str">
        <f>IFERROR(__xludf.DUMMYFUNCTION("""COMPUTED_VALUE"""),"      1.546")</f>
        <v>      1.546</v>
      </c>
    </row>
    <row r="19">
      <c r="A19" s="2" t="str">
        <f>IFERROR(__xludf.DUMMYFUNCTION("""COMPUTED_VALUE"""),"𝘑𝘢𝘳𝘣𝘪𝘵𝘵𝘦𝘳 || 𝔾𝕣𝕚𝕡 🖤")</f>
        <v>𝘑𝘢𝘳𝘣𝘪𝘵𝘵𝘦𝘳 || 𝔾𝕣𝕚𝕡 🖤</v>
      </c>
      <c r="B19" s="2" t="str">
        <f>IFERROR(__xludf.DUMMYFUNCTION("""COMPUTED_VALUE"""),"bossbitter_")</f>
        <v>bossbitter_</v>
      </c>
      <c r="C19" s="2"/>
      <c r="D19" s="2">
        <f>IFERROR(__xludf.DUMMYFUNCTION("""COMPUTED_VALUE"""),0.0018444676456669342)</f>
        <v>0.001844467646</v>
      </c>
      <c r="E19" s="2" t="str">
        <f>IFERROR(__xludf.DUMMYFUNCTION("""COMPUTED_VALUE"""),"      1.104")</f>
        <v>      1.104</v>
      </c>
    </row>
    <row r="20">
      <c r="A20" s="2" t="str">
        <f>IFERROR(__xludf.DUMMYFUNCTION("""COMPUTED_VALUE"""),"Pablo Spyer")</f>
        <v>Pablo Spyer</v>
      </c>
      <c r="B20" s="2" t="str">
        <f>IFERROR(__xludf.DUMMYFUNCTION("""COMPUTED_VALUE"""),"pablospyer")</f>
        <v>pablospyer</v>
      </c>
      <c r="C20" s="2" t="str">
        <f>IFERROR(__xludf.DUMMYFUNCTION("""COMPUTED_VALUE"""),"Economista, Sócio XP, CEO VaiTourinho, Apresentador Jovem Pan , Conselheiro ANCORD - Toda opinião é livre, só bloqueio quem fala palavrões (crianças me seguem)")</f>
        <v>Economista, Sócio XP, CEO VaiTourinho, Apresentador Jovem Pan , Conselheiro ANCORD - Toda opinião é livre, só bloqueio quem fala palavrões (crianças me seguem)</v>
      </c>
      <c r="D20" s="2">
        <f>IFERROR(__xludf.DUMMYFUNCTION("""COMPUTED_VALUE"""),0.00180504496228916)</f>
        <v>0.001805044962</v>
      </c>
      <c r="E20" s="2" t="str">
        <f>IFERROR(__xludf.DUMMYFUNCTION("""COMPUTED_VALUE"""),"    289.187")</f>
        <v>    289.187</v>
      </c>
    </row>
    <row r="21">
      <c r="A21" s="2" t="str">
        <f>IFERROR(__xludf.DUMMYFUNCTION("""COMPUTED_VALUE"""),"Maycon Chagas")</f>
        <v>Maycon Chagas</v>
      </c>
      <c r="B21" s="2" t="str">
        <f>IFERROR(__xludf.DUMMYFUNCTION("""COMPUTED_VALUE"""),"maiyconc")</f>
        <v>maiyconc</v>
      </c>
      <c r="C21" s="2" t="str">
        <f>IFERROR(__xludf.DUMMYFUNCTION("""COMPUTED_VALUE"""),"Jornalista, militante petista, lulista, antifascista, não uso pix e butequeiro. Tik Teko e Instadesgrama é MayconChagasJF . Segue lá.")</f>
        <v>Jornalista, militante petista, lulista, antifascista, não uso pix e butequeiro. Tik Teko e Instadesgrama é MayconChagasJF . Segue lá.</v>
      </c>
      <c r="D21" s="2">
        <f>IFERROR(__xludf.DUMMYFUNCTION("""COMPUTED_VALUE"""),0.00180504496228916)</f>
        <v>0.001805044962</v>
      </c>
      <c r="E21" s="2" t="str">
        <f>IFERROR(__xludf.DUMMYFUNCTION("""COMPUTED_VALUE"""),"     25.080")</f>
        <v>     25.080</v>
      </c>
    </row>
    <row r="22">
      <c r="A22" s="2" t="str">
        <f>IFERROR(__xludf.DUMMYFUNCTION("""COMPUTED_VALUE"""),"Leonardo Bianchi")</f>
        <v>Leonardo Bianchi</v>
      </c>
      <c r="B22" s="2" t="str">
        <f>IFERROR(__xludf.DUMMYFUNCTION("""COMPUTED_VALUE"""),"captblicero")</f>
        <v>captblicero</v>
      </c>
      <c r="C22" s="2" t="str">
        <f>IFERROR(__xludf.DUMMYFUNCTION("""COMPUTED_VALUE"""),"Giornalista. Autore di ""La Gente"" e ""Complotti!""(@minimumfax). Curo anche una newsletter sulle teorie del complotto (https://t.co/oPQHaOyt0T).")</f>
        <v>Giornalista. Autore di "La Gente" e "Complotti!"(@minimumfax). Curo anche una newsletter sulle teorie del complotto (https://t.co/oPQHaOyt0T).</v>
      </c>
      <c r="D22" s="2">
        <f>IFERROR(__xludf.DUMMYFUNCTION("""COMPUTED_VALUE"""),0.00180504496228916)</f>
        <v>0.001805044962</v>
      </c>
      <c r="E22" s="2" t="str">
        <f>IFERROR(__xludf.DUMMYFUNCTION("""COMPUTED_VALUE"""),"     44.083")</f>
        <v>     44.083</v>
      </c>
    </row>
    <row r="23">
      <c r="A23" s="2" t="str">
        <f>IFERROR(__xludf.DUMMYFUNCTION("""COMPUTED_VALUE"""),"jun atfer era")</f>
        <v>jun atfer era</v>
      </c>
      <c r="B23" s="2" t="str">
        <f>IFERROR(__xludf.DUMMYFUNCTION("""COMPUTED_VALUE"""),"juncoments")</f>
        <v>juncoments</v>
      </c>
      <c r="C23" s="2" t="str">
        <f>IFERROR(__xludf.DUMMYFUNCTION("""COMPUTED_VALUE"""),"favs, séries, novelas e mais um bocado")</f>
        <v>favs, séries, novelas e mais um bocado</v>
      </c>
      <c r="D23" s="2">
        <f>IFERROR(__xludf.DUMMYFUNCTION("""COMPUTED_VALUE"""),0.0017447807290181616)</f>
        <v>0.001744780729</v>
      </c>
      <c r="E23" s="2" t="str">
        <f>IFERROR(__xludf.DUMMYFUNCTION("""COMPUTED_VALUE"""),"      5.605")</f>
        <v>      5.605</v>
      </c>
    </row>
    <row r="24">
      <c r="A24" s="2" t="str">
        <f>IFERROR(__xludf.DUMMYFUNCTION("""COMPUTED_VALUE"""),"Rosario Valastro")</f>
        <v>Rosario Valastro</v>
      </c>
      <c r="B24" s="2" t="str">
        <f>IFERROR(__xludf.DUMMYFUNCTION("""COMPUTED_VALUE"""),"rosariovalastro")</f>
        <v>rosariovalastro</v>
      </c>
      <c r="C24" s="2" t="str">
        <f>IFERROR(__xludf.DUMMYFUNCTION("""COMPUTED_VALUE"""),"Presidente Nazionale della @crocerossa. Analista di processo, Dottorando di ricerca, già Avvocato Cassazionista. Tweets are my own. RTs are not endorsement")</f>
        <v>Presidente Nazionale della @crocerossa. Analista di processo, Dottorando di ricerca, già Avvocato Cassazionista. Tweets are my own. RTs are not endorsement</v>
      </c>
      <c r="D24" s="2">
        <f>IFERROR(__xludf.DUMMYFUNCTION("""COMPUTED_VALUE"""),0.0017198067279588383)</f>
        <v>0.001719806728</v>
      </c>
      <c r="E24" s="2" t="str">
        <f>IFERROR(__xludf.DUMMYFUNCTION("""COMPUTED_VALUE"""),"      1.956")</f>
        <v>      1.956</v>
      </c>
    </row>
    <row r="25">
      <c r="A25" s="2" t="str">
        <f>IFERROR(__xludf.DUMMYFUNCTION("""COMPUTED_VALUE"""),"Iago Ivanovitch")</f>
        <v>Iago Ivanovitch</v>
      </c>
      <c r="B25" s="2" t="str">
        <f>IFERROR(__xludf.DUMMYFUNCTION("""COMPUTED_VALUE"""),"iagoivanovitch")</f>
        <v>iagoivanovitch</v>
      </c>
      <c r="C25" s="2" t="str">
        <f>IFERROR(__xludf.DUMMYFUNCTION("""COMPUTED_VALUE"""),":)")</f>
        <v>:)</v>
      </c>
      <c r="D25" s="2">
        <f>IFERROR(__xludf.DUMMYFUNCTION("""COMPUTED_VALUE"""),0.0016345684936285175)</f>
        <v>0.001634568494</v>
      </c>
      <c r="E25" s="2" t="str">
        <f>IFERROR(__xludf.DUMMYFUNCTION("""COMPUTED_VALUE"""),"     12.380")</f>
        <v>     12.380</v>
      </c>
    </row>
    <row r="26">
      <c r="A26" s="2" t="str">
        <f>IFERROR(__xludf.DUMMYFUNCTION("""COMPUTED_VALUE"""),"Flávio Medrado")</f>
        <v>Flávio Medrado</v>
      </c>
      <c r="B26" s="2" t="str">
        <f>IFERROR(__xludf.DUMMYFUNCTION("""COMPUTED_VALUE"""),"flaviomedrado")</f>
        <v>flaviomedrado</v>
      </c>
      <c r="C26" s="2" t="str">
        <f>IFERROR(__xludf.DUMMYFUNCTION("""COMPUTED_VALUE"""),"🔸Advogado especialista em Direito Tributário, nacional-desenvolvimentista e torcedor do Esporte Clube Vitória.")</f>
        <v>🔸Advogado especialista em Direito Tributário, nacional-desenvolvimentista e torcedor do Esporte Clube Vitória.</v>
      </c>
      <c r="D26" s="2">
        <f>IFERROR(__xludf.DUMMYFUNCTION("""COMPUTED_VALUE"""),0.001591949376463357)</f>
        <v>0.001591949376</v>
      </c>
      <c r="E26" s="2" t="str">
        <f>IFERROR(__xludf.DUMMYFUNCTION("""COMPUTED_VALUE"""),"      1.387")</f>
        <v>      1.387</v>
      </c>
    </row>
    <row r="27">
      <c r="A27" s="2" t="str">
        <f>IFERROR(__xludf.DUMMYFUNCTION("""COMPUTED_VALUE"""),"Coringa Opressor® The Legendary (ZV)🃏")</f>
        <v>Coringa Opressor® The Legendary (ZV)🃏</v>
      </c>
      <c r="B27" s="2" t="str">
        <f>IFERROR(__xludf.DUMMYFUNCTION("""COMPUTED_VALUE"""),"coringopressor")</f>
        <v>coringopressor</v>
      </c>
      <c r="C27" s="2" t="str">
        <f>IFERROR(__xludf.DUMMYFUNCTION("""COMPUTED_VALUE"""),"Eu vos castigarei segundo o fruto das vossas ações, diz o Senhor e acenderei o fogo no seu bosque, que consumirá a tudo o que está em redor dela. Jeremias 21:14")</f>
        <v>Eu vos castigarei segundo o fruto das vossas ações, diz o Senhor e acenderei o fogo no seu bosque, que consumirá a tudo o que está em redor dela. Jeremias 21:14</v>
      </c>
      <c r="D27" s="2">
        <f>IFERROR(__xludf.DUMMYFUNCTION("""COMPUTED_VALUE"""),0.0015493302592981962)</f>
        <v>0.001549330259</v>
      </c>
      <c r="E27" s="2" t="str">
        <f>IFERROR(__xludf.DUMMYFUNCTION("""COMPUTED_VALUE"""),"     11.947")</f>
        <v>     11.947</v>
      </c>
    </row>
    <row r="28">
      <c r="A28" s="2" t="str">
        <f>IFERROR(__xludf.DUMMYFUNCTION("""COMPUTED_VALUE"""),"luscas ™️")</f>
        <v>luscas ™️</v>
      </c>
      <c r="B28" s="2" t="str">
        <f>IFERROR(__xludf.DUMMYFUNCTION("""COMPUTED_VALUE"""),"luscas")</f>
        <v>luscas</v>
      </c>
      <c r="C28" s="2" t="str">
        <f>IFERROR(__xludf.DUMMYFUNCTION("""COMPUTED_VALUE"""),"amigo da angelina jolie nas horas vagas. contato luscasconsoli@outlook.com ✉️")</f>
        <v>amigo da angelina jolie nas horas vagas. contato luscasconsoli@outlook.com ✉️</v>
      </c>
      <c r="D28" s="2">
        <f>IFERROR(__xludf.DUMMYFUNCTION("""COMPUTED_VALUE"""),0.0015493302592981958)</f>
        <v>0.001549330259</v>
      </c>
      <c r="E28" s="2" t="str">
        <f>IFERROR(__xludf.DUMMYFUNCTION("""COMPUTED_VALUE"""),"  7.393.590")</f>
        <v>  7.393.590</v>
      </c>
    </row>
    <row r="29">
      <c r="A29" s="2" t="str">
        <f>IFERROR(__xludf.DUMMYFUNCTION("""COMPUTED_VALUE"""),"Ministério da Saúde 🩵")</f>
        <v>Ministério da Saúde 🩵</v>
      </c>
      <c r="B29" s="2" t="str">
        <f>IFERROR(__xludf.DUMMYFUNCTION("""COMPUTED_VALUE"""),"minsaude")</f>
        <v>minsaude</v>
      </c>
      <c r="C29" s="2" t="str">
        <f>IFERROR(__xludf.DUMMYFUNCTION("""COMPUTED_VALUE"""),"Perfil oficial para informações, divulgação de serviços e esclarecimentos. Aqui, você acompanha o nosso dia a dia! https://t.co/UEqhy9nsz3")</f>
        <v>Perfil oficial para informações, divulgação de serviços e esclarecimentos. Aqui, você acompanha o nosso dia a dia! https://t.co/UEqhy9nsz3</v>
      </c>
      <c r="D29" s="2">
        <f>IFERROR(__xludf.DUMMYFUNCTION("""COMPUTED_VALUE"""),0.001492504769744648)</f>
        <v>0.00149250477</v>
      </c>
      <c r="E29" s="2" t="str">
        <f>IFERROR(__xludf.DUMMYFUNCTION("""COMPUTED_VALUE"""),"  1.362.441")</f>
        <v>  1.362.441</v>
      </c>
    </row>
    <row r="30">
      <c r="A30" s="2" t="str">
        <f>IFERROR(__xludf.DUMMYFUNCTION("""COMPUTED_VALUE"""),"Elmano de Freitas")</f>
        <v>Elmano de Freitas</v>
      </c>
      <c r="B30" s="2" t="str">
        <f>IFERROR(__xludf.DUMMYFUNCTION("""COMPUTED_VALUE"""),"elmanooficial")</f>
        <v>elmanooficial</v>
      </c>
      <c r="C30" s="2" t="str">
        <f>IFERROR(__xludf.DUMMYFUNCTION("""COMPUTED_VALUE"""),"Governador do Ceará")</f>
        <v>Governador do Ceará</v>
      </c>
      <c r="D30" s="2">
        <f>IFERROR(__xludf.DUMMYFUNCTION("""COMPUTED_VALUE"""),0.001492504769744648)</f>
        <v>0.00149250477</v>
      </c>
      <c r="E30" s="2" t="str">
        <f>IFERROR(__xludf.DUMMYFUNCTION("""COMPUTED_VALUE"""),"     24.838")</f>
        <v>     24.838</v>
      </c>
    </row>
    <row r="31">
      <c r="A31" s="2" t="str">
        <f>IFERROR(__xludf.DUMMYFUNCTION("""COMPUTED_VALUE"""),"Flávio Dino 🇧🇷")</f>
        <v>Flávio Dino 🇧🇷</v>
      </c>
      <c r="B31" s="2" t="str">
        <f>IFERROR(__xludf.DUMMYFUNCTION("""COMPUTED_VALUE"""),"flaviodino")</f>
        <v>flaviodino</v>
      </c>
      <c r="C31" s="2" t="str">
        <f>IFERROR(__xludf.DUMMYFUNCTION("""COMPUTED_VALUE"""),"Ministro da Justiça e Segurança Pública. Senador (2023/2031), advogado, professor, mestre em Direito (UFPE). Foi juiz federal, deputado federal e governador MA")</f>
        <v>Ministro da Justiça e Segurança Pública. Senador (2023/2031), advogado, professor, mestre em Direito (UFPE). Foi juiz federal, deputado federal e governador MA</v>
      </c>
      <c r="D31" s="2">
        <f>IFERROR(__xludf.DUMMYFUNCTION("""COMPUTED_VALUE"""),0.001426833693922011)</f>
        <v>0.001426833694</v>
      </c>
      <c r="E31" s="2" t="str">
        <f>IFERROR(__xludf.DUMMYFUNCTION("""COMPUTED_VALUE"""),"  1.168.641")</f>
        <v>  1.168.641</v>
      </c>
    </row>
    <row r="32">
      <c r="A32" s="2" t="str">
        <f>IFERROR(__xludf.DUMMYFUNCTION("""COMPUTED_VALUE"""),"Miguel Rossetto")</f>
        <v>Miguel Rossetto</v>
      </c>
      <c r="B32" s="2" t="str">
        <f>IFERROR(__xludf.DUMMYFUNCTION("""COMPUTED_VALUE"""),"miguelsrossetto")</f>
        <v>miguelsrossetto</v>
      </c>
      <c r="C32" s="2" t="str">
        <f>IFERROR(__xludf.DUMMYFUNCTION("""COMPUTED_VALUE"""),"Deputado Estadual pelo PT-RS. Sociólogo e Mestre em Políticas Públicas. Dep. Federal, Vice-Governador do RS com Olívio Dutra, e Ministro de Lula e Dilma.")</f>
        <v>Deputado Estadual pelo PT-RS. Sociólogo e Mestre em Políticas Públicas. Dep. Federal, Vice-Governador do RS com Olívio Dutra, e Ministro de Lula e Dilma.</v>
      </c>
      <c r="D32" s="2">
        <f>IFERROR(__xludf.DUMMYFUNCTION("""COMPUTED_VALUE"""),0.0014127625859952104)</f>
        <v>0.001412762586</v>
      </c>
      <c r="E32" s="2" t="str">
        <f>IFERROR(__xludf.DUMMYFUNCTION("""COMPUTED_VALUE"""),"      8.386")</f>
        <v>      8.386</v>
      </c>
    </row>
    <row r="33">
      <c r="A33" s="2" t="str">
        <f>IFERROR(__xludf.DUMMYFUNCTION("""COMPUTED_VALUE"""),"Planeta do Flamengo 🌎")</f>
        <v>Planeta do Flamengo 🌎</v>
      </c>
      <c r="B33" s="2" t="str">
        <f>IFERROR(__xludf.DUMMYFUNCTION("""COMPUTED_VALUE"""),"fla_infos")</f>
        <v>fla_infos</v>
      </c>
      <c r="C33" s="2" t="str">
        <f>IFERROR(__xludf.DUMMYFUNCTION("""COMPUTED_VALUE"""),"Perfil totalmente dedicado ao Clube de Regatas do Flamengo ⚽️ 
🏀
Contato // planetadoflamengo1@gmail.com 📩
 https://t.co/W9iNAHqeBQ")</f>
        <v>Perfil totalmente dedicado ao Clube de Regatas do Flamengo ⚽️ 
🏀
Contato // planetadoflamengo1@gmail.com 📩
 https://t.co/W9iNAHqeBQ</v>
      </c>
      <c r="D33" s="2">
        <f>IFERROR(__xludf.DUMMYFUNCTION("""COMPUTED_VALUE"""),0.0013362346734723922)</f>
        <v>0.001336234673</v>
      </c>
      <c r="E33" s="2" t="str">
        <f>IFERROR(__xludf.DUMMYFUNCTION("""COMPUTED_VALUE"""),"     82.681")</f>
        <v>     82.681</v>
      </c>
    </row>
    <row r="34">
      <c r="A34" s="2" t="str">
        <f>IFERROR(__xludf.DUMMYFUNCTION("""COMPUTED_VALUE"""),"vinícius")</f>
        <v>vinícius</v>
      </c>
      <c r="B34" s="2" t="str">
        <f>IFERROR(__xludf.DUMMYFUNCTION("""COMPUTED_VALUE"""),"selenamarxista")</f>
        <v>selenamarxista</v>
      </c>
      <c r="C34" s="2" t="str">
        <f>IFERROR(__xludf.DUMMYFUNCTION("""COMPUTED_VALUE"""),"protect selena gomez no matter what")</f>
        <v>protect selena gomez no matter what</v>
      </c>
      <c r="D34" s="2">
        <f>IFERROR(__xludf.DUMMYFUNCTION("""COMPUTED_VALUE"""),0.001298925570252295)</f>
        <v>0.00129892557</v>
      </c>
      <c r="E34" s="2" t="str">
        <f>IFERROR(__xludf.DUMMYFUNCTION("""COMPUTED_VALUE"""),"      1.595")</f>
        <v>      1.595</v>
      </c>
    </row>
    <row r="35">
      <c r="A35" s="2" t="str">
        <f>IFERROR(__xludf.DUMMYFUNCTION("""COMPUTED_VALUE"""),"Carlos Bolsonaro")</f>
        <v>Carlos Bolsonaro</v>
      </c>
      <c r="B35" s="2" t="str">
        <f>IFERROR(__xludf.DUMMYFUNCTION("""COMPUTED_VALUE"""),"carlosbolsonaro")</f>
        <v>carlosbolsonaro</v>
      </c>
      <c r="C35" s="2" t="str">
        <f>IFERROR(__xludf.DUMMYFUNCTION("""COMPUTED_VALUE"""),"Vereador da cidade do Rio de Janeiro. Filho do 38• Presidente do Brasil 🇧🇷")</f>
        <v>Vereador da cidade do Rio de Janeiro. Filho do 38• Presidente do Brasil 🇧🇷</v>
      </c>
      <c r="D35" s="2">
        <f>IFERROR(__xludf.DUMMYFUNCTION("""COMPUTED_VALUE"""),0.001274197328024551)</f>
        <v>0.001274197328</v>
      </c>
      <c r="E35" s="2" t="str">
        <f>IFERROR(__xludf.DUMMYFUNCTION("""COMPUTED_VALUE"""),"  3.549.564")</f>
        <v>  3.549.564</v>
      </c>
    </row>
    <row r="36">
      <c r="A36" s="2" t="str">
        <f>IFERROR(__xludf.DUMMYFUNCTION("""COMPUTED_VALUE"""),"Helio Lopes")</f>
        <v>Helio Lopes</v>
      </c>
      <c r="B36" s="2" t="str">
        <f>IFERROR(__xludf.DUMMYFUNCTION("""COMPUTED_VALUE"""),"depheliolopes")</f>
        <v>depheliolopes</v>
      </c>
      <c r="C36" s="2"/>
      <c r="D36" s="2">
        <f>IFERROR(__xludf.DUMMYFUNCTION("""COMPUTED_VALUE"""),0.001265202811530458)</f>
        <v>0.001265202812</v>
      </c>
      <c r="E36" s="2" t="str">
        <f>IFERROR(__xludf.DUMMYFUNCTION("""COMPUTED_VALUE"""),"    577.204")</f>
        <v>    577.204</v>
      </c>
    </row>
    <row r="37">
      <c r="A37" s="2" t="str">
        <f>IFERROR(__xludf.DUMMYFUNCTION("""COMPUTED_VALUE"""),"não, sei usar virgulas")</f>
        <v>não, sei usar virgulas</v>
      </c>
      <c r="B37" s="2" t="str">
        <f>IFERROR(__xludf.DUMMYFUNCTION("""COMPUTED_VALUE"""),"donacarine")</f>
        <v>donacarine</v>
      </c>
      <c r="C37" s="2" t="str">
        <f>IFERROR(__xludf.DUMMYFUNCTION("""COMPUTED_VALUE"""),"Esposa, Mãe e chata")</f>
        <v>Esposa, Mãe e chata</v>
      </c>
      <c r="D37" s="2">
        <f>IFERROR(__xludf.DUMMYFUNCTION("""COMPUTED_VALUE"""),0.0012367900667536837)</f>
        <v>0.001236790067</v>
      </c>
      <c r="E37" s="2" t="str">
        <f>IFERROR(__xludf.DUMMYFUNCTION("""COMPUTED_VALUE"""),"     13.603")</f>
        <v>     13.603</v>
      </c>
    </row>
    <row r="38">
      <c r="A38" s="2" t="str">
        <f>IFERROR(__xludf.DUMMYFUNCTION("""COMPUTED_VALUE"""),"Guerreiro BLANKA")</f>
        <v>Guerreiro BLANKA</v>
      </c>
      <c r="B38" s="2" t="str">
        <f>IFERROR(__xludf.DUMMYFUNCTION("""COMPUTED_VALUE"""),"guerreroblanka2")</f>
        <v>guerreroblanka2</v>
      </c>
      <c r="C38" s="2" t="str">
        <f>IFERROR(__xludf.DUMMYFUNCTION("""COMPUTED_VALUE"""),"Monarquista, Anti-Fascista, Anti-Comunista e Libertário! e HOMEM LIVRE ACIMA DE TUDO.")</f>
        <v>Monarquista, Anti-Fascista, Anti-Comunista e Libertário! e HOMEM LIVRE ACIMA DE TUDO.</v>
      </c>
      <c r="D38" s="2">
        <f>IFERROR(__xludf.DUMMYFUNCTION("""COMPUTED_VALUE"""),0.0012367900667536837)</f>
        <v>0.001236790067</v>
      </c>
      <c r="E38" s="2" t="str">
        <f>IFERROR(__xludf.DUMMYFUNCTION("""COMPUTED_VALUE"""),"      1.367")</f>
        <v>      1.367</v>
      </c>
    </row>
    <row r="39">
      <c r="A39" s="2" t="str">
        <f>IFERROR(__xludf.DUMMYFUNCTION("""COMPUTED_VALUE"""),"Cdrama Lovers")</f>
        <v>Cdrama Lovers</v>
      </c>
      <c r="B39" s="2" t="str">
        <f>IFERROR(__xludf.DUMMYFUNCTION("""COMPUTED_VALUE"""),"cdramal")</f>
        <v>cdramal</v>
      </c>
      <c r="C39" s="2" t="str">
        <f>IFERROR(__xludf.DUMMYFUNCTION("""COMPUTED_VALUE"""),"✨ Quer saber mais sobre C-drama? Fonte de informações, OSTs e curiosidades asiáticas! fan account
  ⚠️ Conta reserva @LoversCdrama")</f>
        <v>✨ Quer saber mais sobre C-drama? Fonte de informações, OSTs e curiosidades asiáticas! fan account
  ⚠️ Conta reserva @LoversCdrama</v>
      </c>
      <c r="D39" s="2">
        <f>IFERROR(__xludf.DUMMYFUNCTION("""COMPUTED_VALUE"""),0.0012367900667536837)</f>
        <v>0.001236790067</v>
      </c>
      <c r="E39" s="2" t="str">
        <f>IFERROR(__xludf.DUMMYFUNCTION("""COMPUTED_VALUE"""),"     17.879")</f>
        <v>     17.879</v>
      </c>
    </row>
    <row r="40">
      <c r="A40" s="2" t="str">
        <f>IFERROR(__xludf.DUMMYFUNCTION("""COMPUTED_VALUE"""),"| La Sacerdotisa Tarot |")</f>
        <v>| La Sacerdotisa Tarot |</v>
      </c>
      <c r="B40" s="2" t="str">
        <f>IFERROR(__xludf.DUMMYFUNCTION("""COMPUTED_VALUE"""),"oman_tarot1")</f>
        <v>oman_tarot1</v>
      </c>
      <c r="C40" s="2" t="str">
        <f>IFERROR(__xludf.DUMMYFUNCTION("""COMPUTED_VALUE"""),"| Virginiana, Bruxaria Tradicional, Cartomancia. | Psicóloga e fazendo Mestrado/Filosofia. | ◾ Quer agendar sua consulta? link abaixo disponível")</f>
        <v>| Virginiana, Bruxaria Tradicional, Cartomancia. | Psicóloga e fazendo Mestrado/Filosofia. | ◾ Quer agendar sua consulta? link abaixo disponível</v>
      </c>
      <c r="D40" s="2">
        <f>IFERROR(__xludf.DUMMYFUNCTION("""COMPUTED_VALUE"""),0.0012367900667536837)</f>
        <v>0.001236790067</v>
      </c>
      <c r="E40" s="2" t="str">
        <f>IFERROR(__xludf.DUMMYFUNCTION("""COMPUTED_VALUE"""),"      6.129")</f>
        <v>      6.129</v>
      </c>
    </row>
    <row r="41">
      <c r="A41" s="2" t="str">
        <f>IFERROR(__xludf.DUMMYFUNCTION("""COMPUTED_VALUE"""),"Diosfera🌺⚔️🌺☦️⩩")</f>
        <v>Diosfera🌺⚔️🌺☦️⩩</v>
      </c>
      <c r="B41" s="2" t="str">
        <f>IFERROR(__xludf.DUMMYFUNCTION("""COMPUTED_VALUE"""),"arefsoid")</f>
        <v>arefsoid</v>
      </c>
      <c r="C41" s="2" t="str">
        <f>IFERROR(__xludf.DUMMYFUNCTION("""COMPUTED_VALUE"""),"4ª conta, Escritor, Poliglota, Italo-Brasileiro🇧🇷🇮🇹, NatTrad, entusiasta multiplo, ENTJ-T, Ortodoxo, CEO da Bolha, Czarista &amp; vice-líder do @RLegionari")</f>
        <v>4ª conta, Escritor, Poliglota, Italo-Brasileiro🇧🇷🇮🇹, NatTrad, entusiasta multiplo, ENTJ-T, Ortodoxo, CEO da Bolha, Czarista &amp; vice-líder do @RLegionari</v>
      </c>
      <c r="D41" s="2">
        <f>IFERROR(__xludf.DUMMYFUNCTION("""COMPUTED_VALUE"""),0.0012367900667536837)</f>
        <v>0.001236790067</v>
      </c>
      <c r="E41" s="2" t="str">
        <f>IFERROR(__xludf.DUMMYFUNCTION("""COMPUTED_VALUE"""),"      9.343")</f>
        <v>      9.343</v>
      </c>
    </row>
    <row r="42">
      <c r="A42" s="2" t="str">
        <f>IFERROR(__xludf.DUMMYFUNCTION("""COMPUTED_VALUE"""),"sabrinafernandes.bsky.social")</f>
        <v>sabrinafernandes.bsky.social</v>
      </c>
      <c r="B42" s="2" t="str">
        <f>IFERROR(__xludf.DUMMYFUNCTION("""COMPUTED_VALUE"""),"safbf")</f>
        <v>safbf</v>
      </c>
      <c r="C42" s="2" t="str">
        <f>IFERROR(__xludf.DUMMYFUNCTION("""COMPUTED_VALUE"""),"Sociologist, ecosocialist and author
Brazil, internationalism, ecosocialism and just transitions
@alamedainst Head of Research
Tweets: pt/en/es
she/ela")</f>
        <v>Sociologist, ecosocialist and author
Brazil, internationalism, ecosocialism and just transitions
@alamedainst Head of Research
Tweets: pt/en/es
she/ela</v>
      </c>
      <c r="D42" s="2">
        <f>IFERROR(__xludf.DUMMYFUNCTION("""COMPUTED_VALUE"""),0.0012367900667536837)</f>
        <v>0.001236790067</v>
      </c>
      <c r="E42" s="2" t="str">
        <f>IFERROR(__xludf.DUMMYFUNCTION("""COMPUTED_VALUE"""),"    271.387")</f>
        <v>    271.387</v>
      </c>
    </row>
    <row r="43">
      <c r="A43" s="2" t="str">
        <f>IFERROR(__xludf.DUMMYFUNCTION("""COMPUTED_VALUE"""),"@GeopoliticaBR")</f>
        <v>@GeopoliticaBR</v>
      </c>
      <c r="B43" s="2" t="str">
        <f>IFERROR(__xludf.DUMMYFUNCTION("""COMPUTED_VALUE"""),"geopoliticabra")</f>
        <v>geopoliticabra</v>
      </c>
      <c r="C43" s="2" t="str">
        <f>IFERROR(__xludf.DUMMYFUNCTION("""COMPUTED_VALUE"""),"Análises de alto nível sobre geopolítica, história e história militar, sistemas de armas, tecnologia e assuntos relacionados a esses temas.")</f>
        <v>Análises de alto nível sobre geopolítica, história e história militar, sistemas de armas, tecnologia e assuntos relacionados a esses temas.</v>
      </c>
      <c r="D43" s="2">
        <f>IFERROR(__xludf.DUMMYFUNCTION("""COMPUTED_VALUE"""),0.0012367900667536837)</f>
        <v>0.001236790067</v>
      </c>
      <c r="E43" s="2" t="str">
        <f>IFERROR(__xludf.DUMMYFUNCTION("""COMPUTED_VALUE"""),"     21.466")</f>
        <v>     21.466</v>
      </c>
    </row>
    <row r="44">
      <c r="A44" s="2" t="str">
        <f>IFERROR(__xludf.DUMMYFUNCTION("""COMPUTED_VALUE"""),"Felipe Kieling 🇧🇷")</f>
        <v>Felipe Kieling 🇧🇷</v>
      </c>
      <c r="B44" s="2" t="str">
        <f>IFERROR(__xludf.DUMMYFUNCTION("""COMPUTED_VALUE"""),"felipekieling")</f>
        <v>felipekieling</v>
      </c>
      <c r="C44" s="2" t="str">
        <f>IFERROR(__xludf.DUMMYFUNCTION("""COMPUTED_VALUE"""),"Brazilian journalist. European correspondent for Grupo Bandeirantes de Comunicação! Follow me on Instagram: felipekieling")</f>
        <v>Brazilian journalist. European correspondent for Grupo Bandeirantes de Comunicação! Follow me on Instagram: felipekieling</v>
      </c>
      <c r="D44" s="2">
        <f>IFERROR(__xludf.DUMMYFUNCTION("""COMPUTED_VALUE"""),0.0012367900667536837)</f>
        <v>0.001236790067</v>
      </c>
      <c r="E44" s="2" t="str">
        <f>IFERROR(__xludf.DUMMYFUNCTION("""COMPUTED_VALUE"""),"     39.168")</f>
        <v>     39.168</v>
      </c>
    </row>
    <row r="45">
      <c r="A45" s="2" t="str">
        <f>IFERROR(__xludf.DUMMYFUNCTION("""COMPUTED_VALUE"""),"Formula Whatever")</f>
        <v>Formula Whatever</v>
      </c>
      <c r="B45" s="2" t="str">
        <f>IFERROR(__xludf.DUMMYFUNCTION("""COMPUTED_VALUE"""),"formulawhatever")</f>
        <v>formulawhatever</v>
      </c>
      <c r="C45" s="2" t="str">
        <f>IFERROR(__xludf.DUMMYFUNCTION("""COMPUTED_VALUE"""),"fangirl, hater, nico rosberg apologist")</f>
        <v>fangirl, hater, nico rosberg apologist</v>
      </c>
      <c r="D45" s="2">
        <f>IFERROR(__xludf.DUMMYFUNCTION("""COMPUTED_VALUE"""),0.0012367900667536837)</f>
        <v>0.001236790067</v>
      </c>
      <c r="E45" s="2" t="str">
        <f>IFERROR(__xludf.DUMMYFUNCTION("""COMPUTED_VALUE"""),"      3.895")</f>
        <v>      3.895</v>
      </c>
    </row>
    <row r="46">
      <c r="A46" s="2" t="str">
        <f>IFERROR(__xludf.DUMMYFUNCTION("""COMPUTED_VALUE"""),"Última Divisão")</f>
        <v>Última Divisão</v>
      </c>
      <c r="B46" s="2" t="str">
        <f>IFERROR(__xludf.DUMMYFUNCTION("""COMPUTED_VALUE"""),"ultimadivisao")</f>
        <v>ultimadivisao</v>
      </c>
      <c r="C46" s="2" t="str">
        <f>IFERROR(__xludf.DUMMYFUNCTION("""COMPUTED_VALUE"""),"Boas histórias de futebol em qualquer divisão, em qualquer lugar. Temos canal no YT e mais redes.
Parcerias: ultimadivisao@nwb.com.br")</f>
        <v>Boas histórias de futebol em qualquer divisão, em qualquer lugar. Temos canal no YT e mais redes.
Parcerias: ultimadivisao@nwb.com.br</v>
      </c>
      <c r="D46" s="2">
        <f>IFERROR(__xludf.DUMMYFUNCTION("""COMPUTED_VALUE"""),0.0012176114640293615)</f>
        <v>0.001217611464</v>
      </c>
      <c r="E46" s="2" t="str">
        <f>IFERROR(__xludf.DUMMYFUNCTION("""COMPUTED_VALUE"""),"     66.394")</f>
        <v>     66.394</v>
      </c>
    </row>
    <row r="47">
      <c r="A47" s="2" t="str">
        <f>IFERROR(__xludf.DUMMYFUNCTION("""COMPUTED_VALUE"""),"Análise Política")</f>
        <v>Análise Política</v>
      </c>
      <c r="B47" s="2" t="str">
        <f>IFERROR(__xludf.DUMMYFUNCTION("""COMPUTED_VALUE"""),"analise2023")</f>
        <v>analise2023</v>
      </c>
      <c r="C47" s="2" t="str">
        <f>IFERROR(__xludf.DUMMYFUNCTION("""COMPUTED_VALUE"""),"Temos como objetivo analisar os principais assuntos relacionados à política, economia e eleições. 
PIX: analisespoliticas10@gmail.com")</f>
        <v>Temos como objetivo analisar os principais assuntos relacionados à política, economia e eleições. 
PIX: analisespoliticas10@gmail.com</v>
      </c>
      <c r="D47" s="2">
        <f>IFERROR(__xludf.DUMMYFUNCTION("""COMPUTED_VALUE"""),0.0012012741357827173)</f>
        <v>0.001201274136</v>
      </c>
      <c r="E47" s="2" t="str">
        <f>IFERROR(__xludf.DUMMYFUNCTION("""COMPUTED_VALUE"""),"     39.982")</f>
        <v>     39.982</v>
      </c>
    </row>
    <row r="48">
      <c r="A48" s="2" t="str">
        <f>IFERROR(__xludf.DUMMYFUNCTION("""COMPUTED_VALUE"""),"Giulia")</f>
        <v>Giulia</v>
      </c>
      <c r="B48" s="2" t="str">
        <f>IFERROR(__xludf.DUMMYFUNCTION("""COMPUTED_VALUE"""),"itsgiuliadip")</f>
        <v>itsgiuliadip</v>
      </c>
      <c r="C48" s="2" t="str">
        <f>IFERROR(__xludf.DUMMYFUNCTION("""COMPUTED_VALUE"""),"foolhardy ambition enjoyer")</f>
        <v>foolhardy ambition enjoyer</v>
      </c>
      <c r="D48" s="2">
        <f>IFERROR(__xludf.DUMMYFUNCTION("""COMPUTED_VALUE"""),0.0011972592914120854)</f>
        <v>0.001197259291</v>
      </c>
      <c r="E48" s="2" t="str">
        <f>IFERROR(__xludf.DUMMYFUNCTION("""COMPUTED_VALUE"""),"      3.604")</f>
        <v>      3.604</v>
      </c>
    </row>
    <row r="49">
      <c r="A49" s="2" t="str">
        <f>IFERROR(__xludf.DUMMYFUNCTION("""COMPUTED_VALUE"""),"Gonçalo Pinto")</f>
        <v>Gonçalo Pinto</v>
      </c>
      <c r="B49" s="2" t="str">
        <f>IFERROR(__xludf.DUMMYFUNCTION("""COMPUTED_VALUE"""),"goncalo_nspinto")</f>
        <v>goncalo_nspinto</v>
      </c>
      <c r="C49" s="2" t="str">
        <f>IFERROR(__xludf.DUMMYFUNCTION("""COMPUTED_VALUE"""),"BSc &amp; MSc in Economics | CEFA | @LiberalPT | Porto | Portugal 🇵🇹 🇪🇺")</f>
        <v>BSc &amp; MSc in Economics | CEFA | @LiberalPT | Porto | Portugal 🇵🇹 🇪🇺</v>
      </c>
      <c r="D49" s="2">
        <f>IFERROR(__xludf.DUMMYFUNCTION("""COMPUTED_VALUE"""),0.0011626698629881868)</f>
        <v>0.001162669863</v>
      </c>
      <c r="E49" s="2" t="str">
        <f>IFERROR(__xludf.DUMMYFUNCTION("""COMPUTED_VALUE"""),"      1.383")</f>
        <v>      1.383</v>
      </c>
    </row>
    <row r="50">
      <c r="A50" s="2" t="str">
        <f>IFERROR(__xludf.DUMMYFUNCTION("""COMPUTED_VALUE"""),"AGU")</f>
        <v>AGU</v>
      </c>
      <c r="B50" s="2" t="str">
        <f>IFERROR(__xludf.DUMMYFUNCTION("""COMPUTED_VALUE"""),"advocaciageral")</f>
        <v>advocaciageral</v>
      </c>
      <c r="C50" s="2" t="str">
        <f>IFERROR(__xludf.DUMMYFUNCTION("""COMPUTED_VALUE"""),"Conta oficial da Advocacia-Geral da União (AGU)
Política de Uso e Moderação: https://t.co/ovXqDmhJBF")</f>
        <v>Conta oficial da Advocacia-Geral da União (AGU)
Política de Uso e Moderação: https://t.co/ovXqDmhJBF</v>
      </c>
      <c r="D50" s="2">
        <f>IFERROR(__xludf.DUMMYFUNCTION("""COMPUTED_VALUE"""),0.0011401867345126528)</f>
        <v>0.001140186735</v>
      </c>
      <c r="E50" s="2" t="str">
        <f>IFERROR(__xludf.DUMMYFUNCTION("""COMPUTED_VALUE"""),"    330.494")</f>
        <v>    330.494</v>
      </c>
    </row>
    <row r="51">
      <c r="A51" s="2" t="str">
        <f>IFERROR(__xludf.DUMMYFUNCTION("""COMPUTED_VALUE"""),"Tamara 💙🇺🇦")</f>
        <v>Tamara 💙🇺🇦</v>
      </c>
      <c r="B51" s="2" t="str">
        <f>IFERROR(__xludf.DUMMYFUNCTION("""COMPUTED_VALUE"""),"fadin9heart5")</f>
        <v>fadin9heart5</v>
      </c>
      <c r="C51" s="2" t="str">
        <f>IFERROR(__xludf.DUMMYFUNCTION("""COMPUTED_VALUE"""),"Gamer | LFC | Shiny Pokémon Hunter | (F1 FA14, CL16, PG10) | (F2 AL12) | Team RXR | WRC TN11 | She/Her 25+")</f>
        <v>Gamer | LFC | Shiny Pokémon Hunter | (F1 FA14, CL16, PG10) | (F2 AL12) | Team RXR | WRC TN11 | She/Her 25+</v>
      </c>
      <c r="D51" s="2">
        <f>IFERROR(__xludf.DUMMYFUNCTION("""COMPUTED_VALUE"""),0.0011179506733830038)</f>
        <v>0.001117950673</v>
      </c>
      <c r="E51" s="2" t="str">
        <f>IFERROR(__xludf.DUMMYFUNCTION("""COMPUTED_VALUE"""),"      1.127")</f>
        <v>      1.127</v>
      </c>
    </row>
    <row r="52">
      <c r="A52" s="2" t="str">
        <f>IFERROR(__xludf.DUMMYFUNCTION("""COMPUTED_VALUE"""),"Q.")</f>
        <v>Q.</v>
      </c>
      <c r="B52" s="2" t="str">
        <f>IFERROR(__xludf.DUMMYFUNCTION("""COMPUTED_VALUE"""),"leclercstyre")</f>
        <v>leclercstyre</v>
      </c>
      <c r="C52" s="2" t="str">
        <f>IFERROR(__xludf.DUMMYFUNCTION("""COMPUTED_VALUE"""),"One dream one team — translating 🇮🇹🇫🇷 articles")</f>
        <v>One dream one team — translating 🇮🇹🇫🇷 articles</v>
      </c>
      <c r="D52" s="2">
        <f>IFERROR(__xludf.DUMMYFUNCTION("""COMPUTED_VALUE"""),0.0010505383480582844)</f>
        <v>0.001050538348</v>
      </c>
      <c r="E52" s="2" t="str">
        <f>IFERROR(__xludf.DUMMYFUNCTION("""COMPUTED_VALUE"""),"      2.558")</f>
        <v>      2.558</v>
      </c>
    </row>
    <row r="53">
      <c r="A53" s="2" t="str">
        <f>IFERROR(__xludf.DUMMYFUNCTION("""COMPUTED_VALUE"""),"Luciana Santos")</f>
        <v>Luciana Santos</v>
      </c>
      <c r="B53" s="2" t="str">
        <f>IFERROR(__xludf.DUMMYFUNCTION("""COMPUTED_VALUE"""),"lucianasantos")</f>
        <v>lucianasantos</v>
      </c>
      <c r="C53" s="2" t="str">
        <f>IFERROR(__xludf.DUMMYFUNCTION("""COMPUTED_VALUE"""),"Ministra de Ciência, Tecnologia e Inovação e presidenta nacional do PCdoB.")</f>
        <v>Ministra de Ciência, Tecnologia e Inovação e presidenta nacional do PCdoB.</v>
      </c>
      <c r="D53" s="2">
        <f>IFERROR(__xludf.DUMMYFUNCTION("""COMPUTED_VALUE"""),9.526626189859457E-4)</f>
        <v>0.000952662619</v>
      </c>
      <c r="E53" s="2" t="str">
        <f>IFERROR(__xludf.DUMMYFUNCTION("""COMPUTED_VALUE"""),"     44.431")</f>
        <v>     44.431</v>
      </c>
    </row>
    <row r="54">
      <c r="A54" s="2" t="str">
        <f>IFERROR(__xludf.DUMMYFUNCTION("""COMPUTED_VALUE"""),"Gritinho do Tom Araya")</f>
        <v>Gritinho do Tom Araya</v>
      </c>
      <c r="B54" s="2" t="str">
        <f>IFERROR(__xludf.DUMMYFUNCTION("""COMPUTED_VALUE"""),"brunopommer")</f>
        <v>brunopommer</v>
      </c>
      <c r="C54" s="2" t="str">
        <f>IFERROR(__xludf.DUMMYFUNCTION("""COMPUTED_VALUE"""),"Louco dos gatos, goleiro e metal hipster.
O caminho é pela esquerda.")</f>
        <v>Louco dos gatos, goleiro e metal hipster.
O caminho é pela esquerda.</v>
      </c>
      <c r="D54" s="2">
        <f>IFERROR(__xludf.DUMMYFUNCTION("""COMPUTED_VALUE"""),9.526626189859457E-4)</f>
        <v>0.000952662619</v>
      </c>
      <c r="E54" s="2" t="str">
        <f>IFERROR(__xludf.DUMMYFUNCTION("""COMPUTED_VALUE"""),"      1.781")</f>
        <v>      1.781</v>
      </c>
    </row>
    <row r="55">
      <c r="A55" s="2" t="str">
        <f>IFERROR(__xludf.DUMMYFUNCTION("""COMPUTED_VALUE"""),"tiny")</f>
        <v>tiny</v>
      </c>
      <c r="B55" s="2" t="str">
        <f>IFERROR(__xludf.DUMMYFUNCTION("""COMPUTED_VALUE"""),"billistin")</f>
        <v>billistin</v>
      </c>
      <c r="C55" s="2" t="str">
        <f>IFERROR(__xludf.DUMMYFUNCTION("""COMPUTED_VALUE"""),"sou hipócrita")</f>
        <v>sou hipócrita</v>
      </c>
      <c r="D55" s="2">
        <f>IFERROR(__xludf.DUMMYFUNCTION("""COMPUTED_VALUE"""),9.526626189859457E-4)</f>
        <v>0.000952662619</v>
      </c>
      <c r="E55" s="2" t="str">
        <f>IFERROR(__xludf.DUMMYFUNCTION("""COMPUTED_VALUE"""),"      2.817")</f>
        <v>      2.817</v>
      </c>
    </row>
    <row r="56">
      <c r="A56" s="2" t="str">
        <f>IFERROR(__xludf.DUMMYFUNCTION("""COMPUTED_VALUE"""),"Gustavo Castañon")</f>
        <v>Gustavo Castañon</v>
      </c>
      <c r="B56" s="2" t="str">
        <f>IFERROR(__xludf.DUMMYFUNCTION("""COMPUTED_VALUE"""),"gustavocastanon")</f>
        <v>gustavocastanon</v>
      </c>
      <c r="C56" s="2" t="str">
        <f>IFERROR(__xludf.DUMMYFUNCTION("""COMPUTED_VALUE"""),"Professor de Filosofia e Psicologia na Universidade Federal de Juiz de Fora.")</f>
        <v>Professor de Filosofia e Psicologia na Universidade Federal de Juiz de Fora.</v>
      </c>
      <c r="D56" s="2">
        <f>IFERROR(__xludf.DUMMYFUNCTION("""COMPUTED_VALUE"""),9.526626189859457E-4)</f>
        <v>0.000952662619</v>
      </c>
      <c r="E56" s="2" t="str">
        <f>IFERROR(__xludf.DUMMYFUNCTION("""COMPUTED_VALUE"""),"     24.404")</f>
        <v>     24.404</v>
      </c>
    </row>
    <row r="57">
      <c r="A57" s="2" t="str">
        <f>IFERROR(__xludf.DUMMYFUNCTION("""COMPUTED_VALUE"""),"Acervo Cruzeiro | Fan Account")</f>
        <v>Acervo Cruzeiro | Fan Account</v>
      </c>
      <c r="B57" s="2" t="str">
        <f>IFERROR(__xludf.DUMMYFUNCTION("""COMPUTED_VALUE"""),"acervodocec")</f>
        <v>acervodocec</v>
      </c>
      <c r="C57" s="2" t="str">
        <f>IFERROR(__xludf.DUMMYFUNCTION("""COMPUTED_VALUE"""),"ғᴜᴛᴇʙᴏʟ, ᴍᴇᴍᴇs ᴇ ᴄʀᴜᴢᴇɪʀᴏ ᴇsᴘᴏʀᴛᴇ ᴄʟᴜʙᴇ ᴀᴄɪᴍᴀ ᴅᴇ ᴛᴜᴅᴏ 🇮🇹 | contato e sugestões via DM 📩")</f>
        <v>ғᴜᴛᴇʙᴏʟ, ᴍᴇᴍᴇs ᴇ ᴄʀᴜᴢᴇɪʀᴏ ᴇsᴘᴏʀᴛᴇ ᴄʟᴜʙᴇ ᴀᴄɪᴍᴀ ᴅᴇ ᴛᴜᴅᴏ 🇮🇹 | contato e sugestões via DM 📩</v>
      </c>
      <c r="D57" s="2">
        <f>IFERROR(__xludf.DUMMYFUNCTION("""COMPUTED_VALUE"""),9.526626189859457E-4)</f>
        <v>0.000952662619</v>
      </c>
      <c r="E57" s="2" t="str">
        <f>IFERROR(__xludf.DUMMYFUNCTION("""COMPUTED_VALUE"""),"      8.920")</f>
        <v>      8.920</v>
      </c>
    </row>
    <row r="58">
      <c r="A58" s="2" t="str">
        <f>IFERROR(__xludf.DUMMYFUNCTION("""COMPUTED_VALUE"""),"Rafaela 🇧🇷✝️")</f>
        <v>Rafaela 🇧🇷✝️</v>
      </c>
      <c r="B58" s="2" t="str">
        <f>IFERROR(__xludf.DUMMYFUNCTION("""COMPUTED_VALUE"""),"rafaelafcnv")</f>
        <v>rafaelafcnv</v>
      </c>
      <c r="C58" s="2" t="str">
        <f>IFERROR(__xludf.DUMMYFUNCTION("""COMPUTED_VALUE"""),"Insta: rafaelaferreiracn | CRF ❤️🖤")</f>
        <v>Insta: rafaelaferreiracn | CRF ❤️🖤</v>
      </c>
      <c r="D58" s="2">
        <f>IFERROR(__xludf.DUMMYFUNCTION("""COMPUTED_VALUE"""),8.41277894521734E-4)</f>
        <v>0.0008412778945</v>
      </c>
      <c r="E58" s="2" t="str">
        <f>IFERROR(__xludf.DUMMYFUNCTION("""COMPUTED_VALUE"""),"     73.556")</f>
        <v>     73.556</v>
      </c>
    </row>
    <row r="59">
      <c r="A59" s="2" t="str">
        <f>IFERROR(__xludf.DUMMYFUNCTION("""COMPUTED_VALUE"""),"Diego Pautasso 🧉")</f>
        <v>Diego Pautasso 🧉</v>
      </c>
      <c r="B59" s="2" t="str">
        <f>IFERROR(__xludf.DUMMYFUNCTION("""COMPUTED_VALUE"""),"dgpautasso")</f>
        <v>dgpautasso</v>
      </c>
      <c r="C59" s="2" t="str">
        <f>IFERROR(__xludf.DUMMYFUNCTION("""COMPUTED_VALUE"""),"Doutor em Ciência Política pela UFRGS. Autor de Imperialismo; China e Rússia no Pós Guerra Fria; e co-autor de Teoria das Relações Internacionais")</f>
        <v>Doutor em Ciência Política pela UFRGS. Autor de Imperialismo; China e Rússia no Pós Guerra Fria; e co-autor de Teoria das Relações Internacionais</v>
      </c>
      <c r="D59" s="2">
        <f>IFERROR(__xludf.DUMMYFUNCTION("""COMPUTED_VALUE"""),8.105988951020765E-4)</f>
        <v>0.0008105988951</v>
      </c>
      <c r="E59" s="2" t="str">
        <f>IFERROR(__xludf.DUMMYFUNCTION("""COMPUTED_VALUE"""),"     11.949")</f>
        <v>     11.949</v>
      </c>
    </row>
    <row r="60">
      <c r="A60" s="2" t="str">
        <f>IFERROR(__xludf.DUMMYFUNCTION("""COMPUTED_VALUE"""),"Jorge Lopes Cançado")</f>
        <v>Jorge Lopes Cançado</v>
      </c>
      <c r="B60" s="2" t="str">
        <f>IFERROR(__xludf.DUMMYFUNCTION("""COMPUTED_VALUE"""),"lopes_cancado")</f>
        <v>lopes_cancado</v>
      </c>
      <c r="C60" s="2" t="str">
        <f>IFERROR(__xludf.DUMMYFUNCTION("""COMPUTED_VALUE"""),"Consultor em comunicação digital. Conselheiro do @itv_oficial. Atleticano. Pai da Lara.")</f>
        <v>Consultor em comunicação digital. Conselheiro do @itv_oficial. Atleticano. Pai da Lara.</v>
      </c>
      <c r="D60" s="2">
        <f>IFERROR(__xludf.DUMMYFUNCTION("""COMPUTED_VALUE"""),7.892893365194962E-4)</f>
        <v>0.0007892893365</v>
      </c>
      <c r="E60" s="2" t="str">
        <f>IFERROR(__xludf.DUMMYFUNCTION("""COMPUTED_VALUE"""),"      9.301")</f>
        <v>      9.301</v>
      </c>
    </row>
    <row r="61">
      <c r="A61" s="2" t="str">
        <f>IFERROR(__xludf.DUMMYFUNCTION("""COMPUTED_VALUE"""),"Marinha do Brasil")</f>
        <v>Marinha do Brasil</v>
      </c>
      <c r="B61" s="2" t="str">
        <f>IFERROR(__xludf.DUMMYFUNCTION("""COMPUTED_VALUE"""),"marmilbr")</f>
        <v>marmilbr</v>
      </c>
      <c r="C61" s="2" t="str">
        <f>IFERROR(__xludf.DUMMYFUNCTION("""COMPUTED_VALUE"""),"Bem-vindo ao Perfil Oficial da Marinha do Brasil.")</f>
        <v>Bem-vindo ao Perfil Oficial da Marinha do Brasil.</v>
      </c>
      <c r="D61" s="2">
        <f>IFERROR(__xludf.DUMMYFUNCTION("""COMPUTED_VALUE"""),7.821861503253028E-4)</f>
        <v>0.0007821861503</v>
      </c>
      <c r="E61" s="2" t="str">
        <f>IFERROR(__xludf.DUMMYFUNCTION("""COMPUTED_VALUE"""),"    927.228")</f>
        <v>    927.228</v>
      </c>
    </row>
    <row r="62">
      <c r="A62" s="2" t="str">
        <f>IFERROR(__xludf.DUMMYFUNCTION("""COMPUTED_VALUE"""),"Jorginho Mello")</f>
        <v>Jorginho Mello</v>
      </c>
      <c r="B62" s="2" t="str">
        <f>IFERROR(__xludf.DUMMYFUNCTION("""COMPUTED_VALUE"""),"jorginhomello")</f>
        <v>jorginhomello</v>
      </c>
      <c r="C62" s="2" t="str">
        <f>IFERROR(__xludf.DUMMYFUNCTION("""COMPUTED_VALUE"""),"- Governador de SC
- Eleito o melhor senador do Brasil
- Ex-líder do Governo Bolsonaro no Senado e no Congresso Nacional")</f>
        <v>- Governador de SC
- Eleito o melhor senador do Brasil
- Ex-líder do Governo Bolsonaro no Senado e no Congresso Nacional</v>
      </c>
      <c r="D62" s="2">
        <f>IFERROR(__xludf.DUMMYFUNCTION("""COMPUTED_VALUE"""),7.821861503253028E-4)</f>
        <v>0.0007821861503</v>
      </c>
      <c r="E62" s="2" t="str">
        <f>IFERROR(__xludf.DUMMYFUNCTION("""COMPUTED_VALUE"""),"    116.394")</f>
        <v>    116.394</v>
      </c>
    </row>
    <row r="63">
      <c r="A63" s="2" t="str">
        <f>IFERROR(__xludf.DUMMYFUNCTION("""COMPUTED_VALUE"""),"Rodrigo Lorenzoni")</f>
        <v>Rodrigo Lorenzoni</v>
      </c>
      <c r="B63" s="2" t="str">
        <f>IFERROR(__xludf.DUMMYFUNCTION("""COMPUTED_VALUE"""),"rdlorenzoni")</f>
        <v>rdlorenzoni</v>
      </c>
      <c r="C63" s="2" t="str">
        <f>IFERROR(__xludf.DUMMYFUNCTION("""COMPUTED_VALUE"""),"Deputado Estadual reeleito - PL/RS - 85.692 votos. Autor da Lei de Liberdade Econômica gaúcha. 🇧🇷🧉")</f>
        <v>Deputado Estadual reeleito - PL/RS - 85.692 votos. Autor da Lei de Liberdade Econômica gaúcha. 🇧🇷🧉</v>
      </c>
      <c r="D63" s="2">
        <f>IFERROR(__xludf.DUMMYFUNCTION("""COMPUTED_VALUE"""),7.821861503253028E-4)</f>
        <v>0.0007821861503</v>
      </c>
      <c r="E63" s="2" t="str">
        <f>IFERROR(__xludf.DUMMYFUNCTION("""COMPUTED_VALUE"""),"     18.138")</f>
        <v>     18.138</v>
      </c>
    </row>
    <row r="64">
      <c r="A64" s="2" t="str">
        <f>IFERROR(__xludf.DUMMYFUNCTION("""COMPUTED_VALUE"""),"Extensão Anitta | Fan Account")</f>
        <v>Extensão Anitta | Fan Account</v>
      </c>
      <c r="B64" s="2" t="str">
        <f>IFERROR(__xludf.DUMMYFUNCTION("""COMPUTED_VALUE"""),"extensaoanitta")</f>
        <v>extensaoanitta</v>
      </c>
      <c r="C64" s="2" t="str">
        <f>IFERROR(__xludf.DUMMYFUNCTION("""COMPUTED_VALUE"""),"Sua principal e mais completa fonte de informações sobre a cantora, compositora, atriz e empresária, Anitta no Brasil. 🇧🇷")</f>
        <v>Sua principal e mais completa fonte de informações sobre a cantora, compositora, atriz e empresária, Anitta no Brasil. 🇧🇷</v>
      </c>
      <c r="D64" s="2">
        <f>IFERROR(__xludf.DUMMYFUNCTION("""COMPUTED_VALUE"""),7.608765917427224E-4)</f>
        <v>0.0007608765917</v>
      </c>
      <c r="E64" s="2" t="str">
        <f>IFERROR(__xludf.DUMMYFUNCTION("""COMPUTED_VALUE"""),"      5.513")</f>
        <v>      5.513</v>
      </c>
    </row>
    <row r="65">
      <c r="A65" s="2" t="str">
        <f>IFERROR(__xludf.DUMMYFUNCTION("""COMPUTED_VALUE"""),"Folha de S.Paulo")</f>
        <v>Folha de S.Paulo</v>
      </c>
      <c r="B65" s="2" t="str">
        <f>IFERROR(__xludf.DUMMYFUNCTION("""COMPUTED_VALUE"""),"folha")</f>
        <v>folha</v>
      </c>
      <c r="C65" s="2" t="str">
        <f>IFERROR(__xludf.DUMMYFUNCTION("""COMPUTED_VALUE"""),"Um jornal a serviço do Brasil
Newsletters: https://t.co/NVUcVDAjzm
Insta: https://t.co/ktjTHtETj7 
TikTok: https://t.co/EOgj84KB9l
Facebook: https://t.co/Iq0fS3e2sF
Assine: https://t.co/OJOZUvKPWW")</f>
        <v>Um jornal a serviço do Brasil
Newsletters: https://t.co/NVUcVDAjzm
Insta: https://t.co/ktjTHtETj7 
TikTok: https://t.co/EOgj84KB9l
Facebook: https://t.co/Iq0fS3e2sF
Assine: https://t.co/OJOZUvKPWW</v>
      </c>
      <c r="D65" s="2">
        <f>IFERROR(__xludf.DUMMYFUNCTION("""COMPUTED_VALUE"""),7.267812980105938E-4)</f>
        <v>0.000726781298</v>
      </c>
      <c r="E65" s="2" t="str">
        <f>IFERROR(__xludf.DUMMYFUNCTION("""COMPUTED_VALUE"""),"  8.886.110")</f>
        <v>  8.886.110</v>
      </c>
    </row>
    <row r="66">
      <c r="A66" s="2" t="str">
        <f>IFERROR(__xludf.DUMMYFUNCTION("""COMPUTED_VALUE"""),"kill yi zhuo")</f>
        <v>kill yi zhuo</v>
      </c>
      <c r="B66" s="2" t="str">
        <f>IFERROR(__xludf.DUMMYFUNCTION("""COMPUTED_VALUE"""),"ningparda")</f>
        <v>ningparda</v>
      </c>
      <c r="C66" s="2" t="str">
        <f>IFERROR(__xludf.DUMMYFUNCTION("""COMPUTED_VALUE"""),"hot girl ningning")</f>
        <v>hot girl ningning</v>
      </c>
      <c r="D66" s="2">
        <f>IFERROR(__xludf.DUMMYFUNCTION("""COMPUTED_VALUE"""),6.969479159949813E-4)</f>
        <v>0.000696947916</v>
      </c>
      <c r="E66" s="2" t="str">
        <f>IFERROR(__xludf.DUMMYFUNCTION("""COMPUTED_VALUE"""),"      4.651")</f>
        <v>      4.651</v>
      </c>
    </row>
    <row r="67">
      <c r="A67" s="2" t="str">
        <f>IFERROR(__xludf.DUMMYFUNCTION("""COMPUTED_VALUE"""),"CANAL ALVINEGRO - RepShow - 🏆37 🏆71 🏆21")</f>
        <v>CANAL ALVINEGRO - RepShow - 🏆37 🏆71 🏆21</v>
      </c>
      <c r="B67" s="2" t="str">
        <f>IFERROR(__xludf.DUMMYFUNCTION("""COMPUTED_VALUE"""),"repsoldandre")</f>
        <v>repsoldandre</v>
      </c>
      <c r="C67" s="2" t="str">
        <f>IFERROR(__xludf.DUMMYFUNCTION("""COMPUTED_VALUE"""),"🐔ÂNCORA DO CANAL ALVINEGRO🐔
============================
🐔FUNDADOR DO HOJE TEM GALO🐔
==================
⚽ CONTATO COMERCIAL:  https://t.co/9FbFmCjECi")</f>
        <v>🐔ÂNCORA DO CANAL ALVINEGRO🐔
============================
🐔FUNDADOR DO HOJE TEM GALO🐔
==================
⚽ CONTATO COMERCIAL:  https://t.co/9FbFmCjECi</v>
      </c>
      <c r="D67" s="2">
        <f>IFERROR(__xludf.DUMMYFUNCTION("""COMPUTED_VALUE"""),6.969479159949813E-4)</f>
        <v>0.000696947916</v>
      </c>
      <c r="E67" s="2" t="str">
        <f>IFERROR(__xludf.DUMMYFUNCTION("""COMPUTED_VALUE"""),"      8.092")</f>
        <v>      8.092</v>
      </c>
    </row>
    <row r="68">
      <c r="A68" s="2" t="str">
        <f>IFERROR(__xludf.DUMMYFUNCTION("""COMPUTED_VALUE"""),"g1")</f>
        <v>g1</v>
      </c>
      <c r="B68" s="2" t="str">
        <f>IFERROR(__xludf.DUMMYFUNCTION("""COMPUTED_VALUE"""),"g1")</f>
        <v>g1</v>
      </c>
      <c r="C68" s="2" t="str">
        <f>IFERROR(__xludf.DUMMYFUNCTION("""COMPUTED_VALUE"""),"Siga o g1 nas redes sociais:
https://t.co/Z0QGNc44I7")</f>
        <v>Siga o g1 nas redes sociais:
https://t.co/Z0QGNc44I7</v>
      </c>
      <c r="D68" s="2">
        <f>IFERROR(__xludf.DUMMYFUNCTION("""COMPUTED_VALUE"""),6.969479159949813E-4)</f>
        <v>0.000696947916</v>
      </c>
      <c r="E68" s="2" t="str">
        <f>IFERROR(__xludf.DUMMYFUNCTION("""COMPUTED_VALUE""")," 14.925.972")</f>
        <v> 14.925.972</v>
      </c>
    </row>
    <row r="69">
      <c r="A69" s="2" t="str">
        <f>IFERROR(__xludf.DUMMYFUNCTION("""COMPUTED_VALUE"""),"Humberto Costa")</f>
        <v>Humberto Costa</v>
      </c>
      <c r="B69" s="2" t="str">
        <f>IFERROR(__xludf.DUMMYFUNCTION("""COMPUTED_VALUE"""),"senadorhumberto")</f>
        <v>senadorhumberto</v>
      </c>
      <c r="C69" s="2" t="str">
        <f>IFERROR(__xludf.DUMMYFUNCTION("""COMPUTED_VALUE"""),"Perfil oficial do Senador Humberto Costa (PT-PE). Ex-ministro da Saúde, atual presidente da Comissão de Assuntos Sociais do Senado. #TrabalhoQueViraRealidade")</f>
        <v>Perfil oficial do Senador Humberto Costa (PT-PE). Ex-ministro da Saúde, atual presidente da Comissão de Assuntos Sociais do Senado. #TrabalhoQueViraRealidade</v>
      </c>
      <c r="D69" s="2">
        <f>IFERROR(__xludf.DUMMYFUNCTION("""COMPUTED_VALUE"""),6.926860042784653E-4)</f>
        <v>0.0006926860043</v>
      </c>
      <c r="E69" s="2" t="str">
        <f>IFERROR(__xludf.DUMMYFUNCTION("""COMPUTED_VALUE"""),"    640.554")</f>
        <v>    640.554</v>
      </c>
    </row>
    <row r="70">
      <c r="A70" s="2" t="str">
        <f>IFERROR(__xludf.DUMMYFUNCTION("""COMPUTED_VALUE"""),"SZA Access")</f>
        <v>SZA Access</v>
      </c>
      <c r="B70" s="2" t="str">
        <f>IFERROR(__xludf.DUMMYFUNCTION("""COMPUTED_VALUE"""),"szaaccess")</f>
        <v>szaaccess</v>
      </c>
      <c r="C70" s="2" t="str">
        <f>IFERROR(__xludf.DUMMYFUNCTION("""COMPUTED_VALUE"""),"Sua mais completa fonte de notícias sobre a cantora, compositora e produtora SZA no Brasil. | @uploadsza — Fan Account")</f>
        <v>Sua mais completa fonte de notícias sobre a cantora, compositora e produtora SZA no Brasil. | @uploadsza — Fan Account</v>
      </c>
      <c r="D70" s="2">
        <f>IFERROR(__xludf.DUMMYFUNCTION("""COMPUTED_VALUE"""),6.926860042784653E-4)</f>
        <v>0.0006926860043</v>
      </c>
      <c r="E70" s="2" t="str">
        <f>IFERROR(__xludf.DUMMYFUNCTION("""COMPUTED_VALUE"""),"     10.890")</f>
        <v>     10.890</v>
      </c>
    </row>
    <row r="71">
      <c r="A71" s="2" t="str">
        <f>IFERROR(__xludf.DUMMYFUNCTION("""COMPUTED_VALUE"""),"ICL Notícias")</f>
        <v>ICL Notícias</v>
      </c>
      <c r="B71" s="2" t="str">
        <f>IFERROR(__xludf.DUMMYFUNCTION("""COMPUTED_VALUE"""),"iclnoticias")</f>
        <v>iclnoticias</v>
      </c>
      <c r="C71" s="2" t="str">
        <f>IFERROR(__xludf.DUMMYFUNCTION("""COMPUTED_VALUE"""),"ICL Notícias, todos os dias, pelos canais do Eduardo Moreira+Instituto Conhecimento Liberta.")</f>
        <v>ICL Notícias, todos os dias, pelos canais do Eduardo Moreira+Instituto Conhecimento Liberta.</v>
      </c>
      <c r="D71" s="2">
        <f>IFERROR(__xludf.DUMMYFUNCTION("""COMPUTED_VALUE"""),6.685351712182075E-4)</f>
        <v>0.0006685351712</v>
      </c>
      <c r="E71" s="2" t="str">
        <f>IFERROR(__xludf.DUMMYFUNCTION("""COMPUTED_VALUE"""),"     83.279")</f>
        <v>     83.279</v>
      </c>
    </row>
    <row r="72">
      <c r="A72" s="2" t="str">
        <f>IFERROR(__xludf.DUMMYFUNCTION("""COMPUTED_VALUE"""),"Crypto ID®")</f>
        <v>Crypto ID®</v>
      </c>
      <c r="B72" s="2" t="str">
        <f>IFERROR(__xludf.DUMMYFUNCTION("""COMPUTED_VALUE"""),"portalcryptoid")</f>
        <v>portalcryptoid</v>
      </c>
      <c r="C72" s="2" t="str">
        <f>IFERROR(__xludf.DUMMYFUNCTION("""COMPUTED_VALUE"""),"O maior portal de notícias sobre identificação digital. Confira!")</f>
        <v>O maior portal de notícias sobre identificação digital. Confira!</v>
      </c>
      <c r="D72" s="2">
        <f>IFERROR(__xludf.DUMMYFUNCTION("""COMPUTED_VALUE"""),6.685351712182074E-4)</f>
        <v>0.0006685351712</v>
      </c>
      <c r="E72" s="2" t="str">
        <f>IFERROR(__xludf.DUMMYFUNCTION("""COMPUTED_VALUE"""),"      1.257")</f>
        <v>      1.257</v>
      </c>
    </row>
    <row r="73">
      <c r="A73" s="2" t="str">
        <f>IFERROR(__xludf.DUMMYFUNCTION("""COMPUTED_VALUE"""),"Luiz C. M. De Barros")</f>
        <v>Luiz C. M. De Barros</v>
      </c>
      <c r="B73" s="2" t="str">
        <f>IFERROR(__xludf.DUMMYFUNCTION("""COMPUTED_VALUE"""),"lcmbarros")</f>
        <v>lcmbarros</v>
      </c>
      <c r="C73" s="2" t="str">
        <f>IFERROR(__xludf.DUMMYFUNCTION("""COMPUTED_VALUE"""),"Foi diretor do Banco Central, Presidente do BNDES e Ministro das Comunicações. Palestrante")</f>
        <v>Foi diretor do Banco Central, Presidente do BNDES e Ministro das Comunicações. Palestrante</v>
      </c>
      <c r="D73" s="2">
        <f>IFERROR(__xludf.DUMMYFUNCTION("""COMPUTED_VALUE"""),6.685351712182074E-4)</f>
        <v>0.0006685351712</v>
      </c>
      <c r="E73" s="2" t="str">
        <f>IFERROR(__xludf.DUMMYFUNCTION("""COMPUTED_VALUE"""),"     53.440")</f>
        <v>     53.440</v>
      </c>
    </row>
    <row r="74">
      <c r="A74" s="2" t="str">
        <f>IFERROR(__xludf.DUMMYFUNCTION("""COMPUTED_VALUE"""),"gabi ceo do croche 🐌")</f>
        <v>gabi ceo do croche 🐌</v>
      </c>
      <c r="B74" s="2" t="str">
        <f>IFERROR(__xludf.DUMMYFUNCTION("""COMPUTED_VALUE"""),"acidsaturn")</f>
        <v>acidsaturn</v>
      </c>
      <c r="C74" s="2" t="str">
        <f>IFERROR(__xludf.DUMMYFUNCTION("""COMPUTED_VALUE"""),"apenas crochê &amp; bichinhos fofo •
agenda de FEV/2024 aberta para encomendas • @/saturn.atelie no insta")</f>
        <v>apenas crochê &amp; bichinhos fofo •
agenda de FEV/2024 aberta para encomendas • @/saturn.atelie no insta</v>
      </c>
      <c r="D74" s="2">
        <f>IFERROR(__xludf.DUMMYFUNCTION("""COMPUTED_VALUE"""),6.685351712182074E-4)</f>
        <v>0.0006685351712</v>
      </c>
      <c r="E74" s="2" t="str">
        <f>IFERROR(__xludf.DUMMYFUNCTION("""COMPUTED_VALUE"""),"      8.124")</f>
        <v>      8.124</v>
      </c>
    </row>
    <row r="75">
      <c r="A75" s="2" t="str">
        <f>IFERROR(__xludf.DUMMYFUNCTION("""COMPUTED_VALUE"""),"miuccia ✨ straw hat loving hours")</f>
        <v>miuccia ✨ straw hat loving hours</v>
      </c>
      <c r="B75" s="2" t="str">
        <f>IFERROR(__xludf.DUMMYFUNCTION("""COMPUTED_VALUE"""),"miumilta")</f>
        <v>miumilta</v>
      </c>
      <c r="C75" s="2" t="str">
        <f>IFERROR(__xludf.DUMMYFUNCTION("""COMPUTED_VALUE"""),"Leonora Miuccia (Primal/Behemoth) | weird girlie enjoyer and resident forever DM 💕💀")</f>
        <v>Leonora Miuccia (Primal/Behemoth) | weird girlie enjoyer and resident forever DM 💕💀</v>
      </c>
      <c r="D75" s="2">
        <f>IFERROR(__xludf.DUMMYFUNCTION("""COMPUTED_VALUE"""),6.685351712182074E-4)</f>
        <v>0.0006685351712</v>
      </c>
      <c r="E75" s="2" t="str">
        <f>IFERROR(__xludf.DUMMYFUNCTION("""COMPUTED_VALUE"""),"      4.076")</f>
        <v>      4.076</v>
      </c>
    </row>
    <row r="76">
      <c r="A76" s="2" t="str">
        <f>IFERROR(__xludf.DUMMYFUNCTION("""COMPUTED_VALUE"""),"clayton silvestre")</f>
        <v>clayton silvestre</v>
      </c>
      <c r="B76" s="2" t="str">
        <f>IFERROR(__xludf.DUMMYFUNCTION("""COMPUTED_VALUE"""),"clayton_history")</f>
        <v>clayton_history</v>
      </c>
      <c r="C76" s="2" t="str">
        <f>IFERROR(__xludf.DUMMYFUNCTION("""COMPUTED_VALUE"""),"Ciências Sociais, gestão de segurança, docente e pesquisador do Datafolha. Ex-agente de segurança da Rede Globo e Seleção Americana de Futebol na Copa de 2014.")</f>
        <v>Ciências Sociais, gestão de segurança, docente e pesquisador do Datafolha. Ex-agente de segurança da Rede Globo e Seleção Americana de Futebol na Copa de 2014.</v>
      </c>
      <c r="D76" s="2">
        <f>IFERROR(__xludf.DUMMYFUNCTION("""COMPUTED_VALUE"""),6.685351712182074E-4)</f>
        <v>0.0006685351712</v>
      </c>
      <c r="E76" s="2" t="str">
        <f>IFERROR(__xludf.DUMMYFUNCTION("""COMPUTED_VALUE"""),"      1.392")</f>
        <v>      1.392</v>
      </c>
    </row>
    <row r="77">
      <c r="A77" s="2" t="str">
        <f>IFERROR(__xludf.DUMMYFUNCTION("""COMPUTED_VALUE"""),"Governo do RJ")</f>
        <v>Governo do RJ</v>
      </c>
      <c r="B77" s="2" t="str">
        <f>IFERROR(__xludf.DUMMYFUNCTION("""COMPUTED_VALUE"""),"govrj")</f>
        <v>govrj</v>
      </c>
      <c r="C77" s="2" t="str">
        <f>IFERROR(__xludf.DUMMYFUNCTION("""COMPUTED_VALUE"""),"Um RJ pra se apaixonar! 💙 Perfil oficial do Governo do Estado do Rio de Janeiro no Twitter.")</f>
        <v>Um RJ pra se apaixonar! 💙 Perfil oficial do Governo do Estado do Rio de Janeiro no Twitter.</v>
      </c>
      <c r="D77" s="2">
        <f>IFERROR(__xludf.DUMMYFUNCTION("""COMPUTED_VALUE"""),6.685351712182074E-4)</f>
        <v>0.0006685351712</v>
      </c>
      <c r="E77" s="2" t="str">
        <f>IFERROR(__xludf.DUMMYFUNCTION("""COMPUTED_VALUE"""),"    409.844")</f>
        <v>    409.844</v>
      </c>
    </row>
    <row r="78">
      <c r="A78" s="2" t="str">
        <f>IFERROR(__xludf.DUMMYFUNCTION("""COMPUTED_VALUE"""),"PAULO 🎀")</f>
        <v>PAULO 🎀</v>
      </c>
      <c r="B78" s="2" t="str">
        <f>IFERROR(__xludf.DUMMYFUNCTION("""COMPUTED_VALUE"""),"pauloxxsilva")</f>
        <v>pauloxxsilva</v>
      </c>
      <c r="C78" s="2" t="str">
        <f>IFERROR(__xludf.DUMMYFUNCTION("""COMPUTED_VALUE"""),"Super Summer, o videoclipe - disponível agora no YouTube mais próximo: https://t.co/Bs9nk2GmjW")</f>
        <v>Super Summer, o videoclipe - disponível agora no YouTube mais próximo: https://t.co/Bs9nk2GmjW</v>
      </c>
      <c r="D78" s="2">
        <f>IFERROR(__xludf.DUMMYFUNCTION("""COMPUTED_VALUE"""),6.685351712182074E-4)</f>
        <v>0.0006685351712</v>
      </c>
      <c r="E78" s="2" t="str">
        <f>IFERROR(__xludf.DUMMYFUNCTION("""COMPUTED_VALUE"""),"      8.026")</f>
        <v>      8.026</v>
      </c>
    </row>
    <row r="79">
      <c r="A79" s="2" t="str">
        <f>IFERROR(__xludf.DUMMYFUNCTION("""COMPUTED_VALUE"""),"Pippi Calzelunghe #IoSonoAntifascista ")</f>
        <v>Pippi Calzelunghe #IoSonoAntifascista </v>
      </c>
      <c r="B79" s="2" t="str">
        <f>IFERROR(__xludf.DUMMYFUNCTION("""COMPUTED_VALUE"""),"pippicalz")</f>
        <v>pippicalz</v>
      </c>
      <c r="C79" s="2" t="str">
        <f>IFERROR(__xludf.DUMMYFUNCTION("""COMPUTED_VALUE"""),"Sempre dalla parte del torto.
Antifascista ✊
Se i muri non parlano nessuno lo farà e di noi non resterà che un silenzio disumano. [MEP]")</f>
        <v>Sempre dalla parte del torto.
Antifascista ✊
Se i muri non parlano nessuno lo farà e di noi non resterà che un silenzio disumano. [MEP]</v>
      </c>
      <c r="D79" s="2">
        <f>IFERROR(__xludf.DUMMYFUNCTION("""COMPUTED_VALUE"""),6.685351712182074E-4)</f>
        <v>0.0006685351712</v>
      </c>
      <c r="E79" s="2" t="str">
        <f>IFERROR(__xludf.DUMMYFUNCTION("""COMPUTED_VALUE"""),"      2.680")</f>
        <v>      2.680</v>
      </c>
    </row>
    <row r="80">
      <c r="A80" s="2" t="str">
        <f>IFERROR(__xludf.DUMMYFUNCTION("""COMPUTED_VALUE"""),"ph 🪩")</f>
        <v>ph 🪩</v>
      </c>
      <c r="B80" s="2" t="str">
        <f>IFERROR(__xludf.DUMMYFUNCTION("""COMPUTED_VALUE"""),"henriquecomentt")</f>
        <v>henriquecomentt</v>
      </c>
      <c r="C80" s="2" t="str">
        <f>IFERROR(__xludf.DUMMYFUNCTION("""COMPUTED_VALUE"""),"a coisa que eu mais prezo na vida é conselho de mendiga")</f>
        <v>a coisa que eu mais prezo na vida é conselho de mendiga</v>
      </c>
      <c r="D80" s="2">
        <f>IFERROR(__xludf.DUMMYFUNCTION("""COMPUTED_VALUE"""),6.685351712182074E-4)</f>
        <v>0.0006685351712</v>
      </c>
      <c r="E80" s="2" t="str">
        <f>IFERROR(__xludf.DUMMYFUNCTION("""COMPUTED_VALUE"""),"      1.978")</f>
        <v>      1.978</v>
      </c>
    </row>
    <row r="81">
      <c r="A81" s="2" t="str">
        <f>IFERROR(__xludf.DUMMYFUNCTION("""COMPUTED_VALUE"""),"Jaques Wagner")</f>
        <v>Jaques Wagner</v>
      </c>
      <c r="B81" s="2" t="str">
        <f>IFERROR(__xludf.DUMMYFUNCTION("""COMPUTED_VALUE"""),"jaqueswagner")</f>
        <v>jaqueswagner</v>
      </c>
      <c r="C81" s="2" t="str">
        <f>IFERROR(__xludf.DUMMYFUNCTION("""COMPUTED_VALUE"""),"Senador da Bahia. Líder do governo no Senado. Ex-governador, ex-ministro e ex-deputado. Pai, avô e marido de Fatinha. Trabalho e amor pela Bahia! ❤️")</f>
        <v>Senador da Bahia. Líder do governo no Senado. Ex-governador, ex-ministro e ex-deputado. Pai, avô e marido de Fatinha. Trabalho e amor pela Bahia! ❤️</v>
      </c>
      <c r="D81" s="2">
        <f>IFERROR(__xludf.DUMMYFUNCTION("""COMPUTED_VALUE"""),6.685351712182074E-4)</f>
        <v>0.0006685351712</v>
      </c>
      <c r="E81" s="2" t="str">
        <f>IFERROR(__xludf.DUMMYFUNCTION("""COMPUTED_VALUE"""),"    136.729")</f>
        <v>    136.729</v>
      </c>
    </row>
    <row r="82">
      <c r="A82" s="2" t="str">
        <f>IFERROR(__xludf.DUMMYFUNCTION("""COMPUTED_VALUE"""),"A Malvada Profe")</f>
        <v>A Malvada Profe</v>
      </c>
      <c r="B82" s="2" t="str">
        <f>IFERROR(__xludf.DUMMYFUNCTION("""COMPUTED_VALUE"""),"mariaartze")</f>
        <v>mariaartze</v>
      </c>
      <c r="C82" s="2" t="str">
        <f>IFERROR(__xludf.DUMMYFUNCTION("""COMPUTED_VALUE"""),"Nas trincheiras da ESO.
Emigrante a medio retornar. Womansplainer.
(Sie - vostede)
Trans rights are human rights. Trans women are women. Dongalizos GO HOME.")</f>
        <v>Nas trincheiras da ESO.
Emigrante a medio retornar. Womansplainer.
(Sie - vostede)
Trans rights are human rights. Trans women are women. Dongalizos GO HOME.</v>
      </c>
      <c r="D82" s="2">
        <f>IFERROR(__xludf.DUMMYFUNCTION("""COMPUTED_VALUE"""),6.685351712182074E-4)</f>
        <v>0.0006685351712</v>
      </c>
      <c r="E82" s="2" t="str">
        <f>IFERROR(__xludf.DUMMYFUNCTION("""COMPUTED_VALUE"""),"      3.552")</f>
        <v>      3.552</v>
      </c>
    </row>
    <row r="83">
      <c r="A83" s="2" t="str">
        <f>IFERROR(__xludf.DUMMYFUNCTION("""COMPUTED_VALUE"""),"✸.𝚂𝚊𝚌𝚑𝚒 ⌑﹒| 𝟏𝟗𝟖𝟗 (Taylor's version)")</f>
        <v>✸.𝚂𝚊𝚌𝚑𝚒 ⌑﹒| 𝟏𝟗𝟖𝟗 (Taylor's version)</v>
      </c>
      <c r="B83" s="2" t="str">
        <f>IFERROR(__xludf.DUMMYFUNCTION("""COMPUTED_VALUE"""),"isitsachils")</f>
        <v>isitsachils</v>
      </c>
      <c r="C83" s="2" t="str">
        <f>IFERROR(__xludf.DUMMYFUNCTION("""COMPUTED_VALUE"""),"♡ — Tᥲkᥱ mᥱ to thᥱ ᥣᥲkᥱs ᥕhᥱrᥱ
           ᥲᥣᥣ thᥱ ρoᥱts ᥕᥱᥒt to dιᥱ ₊˚ʚ 🧊 ₊˚✧ ﾟ.     @Taylorswift13")</f>
        <v>♡ — Tᥲkᥱ mᥱ to thᥱ ᥣᥲkᥱs ᥕhᥱrᥱ
           ᥲᥣᥣ thᥱ ρoᥱts ᥕᥱᥒt to dιᥱ ₊˚ʚ 🧊 ₊˚✧ ﾟ.     @Taylorswift13</v>
      </c>
      <c r="D83" s="2">
        <f>IFERROR(__xludf.DUMMYFUNCTION("""COMPUTED_VALUE"""),6.685351712182074E-4)</f>
        <v>0.0006685351712</v>
      </c>
      <c r="E83" s="2" t="str">
        <f>IFERROR(__xludf.DUMMYFUNCTION("""COMPUTED_VALUE"""),"      2.628")</f>
        <v>      2.628</v>
      </c>
    </row>
    <row r="84">
      <c r="A84" s="2" t="str">
        <f>IFERROR(__xludf.DUMMYFUNCTION("""COMPUTED_VALUE"""),"Rafael")</f>
        <v>Rafael</v>
      </c>
      <c r="B84" s="2" t="str">
        <f>IFERROR(__xludf.DUMMYFUNCTION("""COMPUTED_VALUE"""),"still_feb")</f>
        <v>still_feb</v>
      </c>
      <c r="C84" s="2" t="str">
        <f>IFERROR(__xludf.DUMMYFUNCTION("""COMPUTED_VALUE"""),"pra quê")</f>
        <v>pra quê</v>
      </c>
      <c r="D84" s="2">
        <f>IFERROR(__xludf.DUMMYFUNCTION("""COMPUTED_VALUE"""),6.685351712182074E-4)</f>
        <v>0.0006685351712</v>
      </c>
      <c r="E84" s="2" t="str">
        <f>IFERROR(__xludf.DUMMYFUNCTION("""COMPUTED_VALUE"""),"      2.065")</f>
        <v>      2.065</v>
      </c>
    </row>
    <row r="85">
      <c r="A85" s="2" t="str">
        <f>IFERROR(__xludf.DUMMYFUNCTION("""COMPUTED_VALUE"""),"Radio Alfa")</f>
        <v>Radio Alfa</v>
      </c>
      <c r="B85" s="2" t="str">
        <f>IFERROR(__xludf.DUMMYFUNCTION("""COMPUTED_VALUE"""),"radioalfa")</f>
        <v>radioalfa</v>
      </c>
      <c r="C85" s="2" t="str">
        <f>IFERROR(__xludf.DUMMYFUNCTION("""COMPUTED_VALUE"""),"il quotidiano radiofonico di Salerno e provincia | WhatsApp 338 11 11 102 | https://t.co/3LLGqWjjOX | https://t.co/6H6hrKIfsb")</f>
        <v>il quotidiano radiofonico di Salerno e provincia | WhatsApp 338 11 11 102 | https://t.co/3LLGqWjjOX | https://t.co/6H6hrKIfsb</v>
      </c>
      <c r="D85" s="2">
        <f>IFERROR(__xludf.DUMMYFUNCTION("""COMPUTED_VALUE"""),6.685351712182074E-4)</f>
        <v>0.0006685351712</v>
      </c>
      <c r="E85" s="2" t="str">
        <f>IFERROR(__xludf.DUMMYFUNCTION("""COMPUTED_VALUE"""),"      3.488")</f>
        <v>      3.488</v>
      </c>
    </row>
    <row r="86">
      <c r="A86" s="2" t="str">
        <f>IFERROR(__xludf.DUMMYFUNCTION("""COMPUTED_VALUE"""),"BlockTrends")</f>
        <v>BlockTrends</v>
      </c>
      <c r="B86" s="2" t="str">
        <f>IFERROR(__xludf.DUMMYFUNCTION("""COMPUTED_VALUE"""),"blocktrendsbr")</f>
        <v>blocktrendsbr</v>
      </c>
      <c r="C86" s="2" t="str">
        <f>IFERROR(__xludf.DUMMYFUNCTION("""COMPUTED_VALUE"""),"Educação e informação da criptoeconomia. Tendências, artigos e lives que unem o mercado financeiro tradicional à indústria de blockchain.")</f>
        <v>Educação e informação da criptoeconomia. Tendências, artigos e lives que unem o mercado financeiro tradicional à indústria de blockchain.</v>
      </c>
      <c r="D86" s="2">
        <f>IFERROR(__xludf.DUMMYFUNCTION("""COMPUTED_VALUE"""),6.685351712182074E-4)</f>
        <v>0.0006685351712</v>
      </c>
      <c r="E86" s="2" t="str">
        <f>IFERROR(__xludf.DUMMYFUNCTION("""COMPUTED_VALUE"""),"     11.947")</f>
        <v>     11.947</v>
      </c>
    </row>
    <row r="87">
      <c r="A87" s="2" t="str">
        <f>IFERROR(__xludf.DUMMYFUNCTION("""COMPUTED_VALUE"""),"papacu")</f>
        <v>papacu</v>
      </c>
      <c r="B87" s="2" t="str">
        <f>IFERROR(__xludf.DUMMYFUNCTION("""COMPUTED_VALUE"""),"leodaponte")</f>
        <v>leodaponte</v>
      </c>
      <c r="C87" s="2" t="str">
        <f>IFERROR(__xludf.DUMMYFUNCTION("""COMPUTED_VALUE"""),"deus me deu um dão")</f>
        <v>deus me deu um dão</v>
      </c>
      <c r="D87" s="2">
        <f>IFERROR(__xludf.DUMMYFUNCTION("""COMPUTED_VALUE"""),6.685351712182074E-4)</f>
        <v>0.0006685351712</v>
      </c>
      <c r="E87" s="2" t="str">
        <f>IFERROR(__xludf.DUMMYFUNCTION("""COMPUTED_VALUE"""),"      1.262")</f>
        <v>      1.262</v>
      </c>
    </row>
    <row r="88">
      <c r="A88" s="2" t="str">
        <f>IFERROR(__xludf.DUMMYFUNCTION("""COMPUTED_VALUE"""),"Conexão Itajubá")</f>
        <v>Conexão Itajubá</v>
      </c>
      <c r="B88" s="2" t="str">
        <f>IFERROR(__xludf.DUMMYFUNCTION("""COMPUTED_VALUE"""),"conexaoitajuba")</f>
        <v>conexaoitajuba</v>
      </c>
      <c r="C88" s="2" t="str">
        <f>IFERROR(__xludf.DUMMYFUNCTION("""COMPUTED_VALUE"""),"Tudo sobre Itajubá e região!")</f>
        <v>Tudo sobre Itajubá e região!</v>
      </c>
      <c r="D88" s="2">
        <f>IFERROR(__xludf.DUMMYFUNCTION("""COMPUTED_VALUE"""),6.685351712182074E-4)</f>
        <v>0.0006685351712</v>
      </c>
      <c r="E88" s="2" t="str">
        <f>IFERROR(__xludf.DUMMYFUNCTION("""COMPUTED_VALUE"""),"      1.832")</f>
        <v>      1.832</v>
      </c>
    </row>
    <row r="89">
      <c r="A89" s="2" t="str">
        <f>IFERROR(__xludf.DUMMYFUNCTION("""COMPUTED_VALUE"""),"Girafa Mulamba 🦒⚫🔴")</f>
        <v>Girafa Mulamba 🦒⚫🔴</v>
      </c>
      <c r="B89" s="2" t="str">
        <f>IFERROR(__xludf.DUMMYFUNCTION("""COMPUTED_VALUE"""),"girafa_mulamba")</f>
        <v>girafa_mulamba</v>
      </c>
      <c r="C89" s="2" t="str">
        <f>IFERROR(__xludf.DUMMYFUNCTION("""COMPUTED_VALUE"""),"Flamenguista retardado, Paraense Bicolor e sofredor dos Red Devils, pescoçudo, Volcel e integrante da fauna Waifuísta.
Democracia é minha pingola.")</f>
        <v>Flamenguista retardado, Paraense Bicolor e sofredor dos Red Devils, pescoçudo, Volcel e integrante da fauna Waifuísta.
Democracia é minha pingola.</v>
      </c>
      <c r="D89" s="2">
        <f>IFERROR(__xludf.DUMMYFUNCTION("""COMPUTED_VALUE"""),6.685351712182074E-4)</f>
        <v>0.0006685351712</v>
      </c>
      <c r="E89" s="2" t="str">
        <f>IFERROR(__xludf.DUMMYFUNCTION("""COMPUTED_VALUE"""),"      1.448")</f>
        <v>      1.448</v>
      </c>
    </row>
    <row r="90">
      <c r="A90" s="2" t="str">
        <f>IFERROR(__xludf.DUMMYFUNCTION("""COMPUTED_VALUE"""),"Jader Filho")</f>
        <v>Jader Filho</v>
      </c>
      <c r="B90" s="2" t="str">
        <f>IFERROR(__xludf.DUMMYFUNCTION("""COMPUTED_VALUE"""),"jaderbfilho")</f>
        <v>jaderbfilho</v>
      </c>
      <c r="C90" s="2" t="str">
        <f>IFERROR(__xludf.DUMMYFUNCTION("""COMPUTED_VALUE"""),"🇧🇷Paraense, casado e pai de 5 filhos. Administrador. Presidente do MDB no Pará 🏘️Ministro das Cidades")</f>
        <v>🇧🇷Paraense, casado e pai de 5 filhos. Administrador. Presidente do MDB no Pará 🏘️Ministro das Cidades</v>
      </c>
      <c r="D90" s="2">
        <f>IFERROR(__xludf.DUMMYFUNCTION("""COMPUTED_VALUE"""),6.685351712182074E-4)</f>
        <v>0.0006685351712</v>
      </c>
      <c r="E90" s="2" t="str">
        <f>IFERROR(__xludf.DUMMYFUNCTION("""COMPUTED_VALUE"""),"      1.434")</f>
        <v>      1.434</v>
      </c>
    </row>
    <row r="91">
      <c r="A91" s="2" t="str">
        <f>IFERROR(__xludf.DUMMYFUNCTION("""COMPUTED_VALUE"""),"venus")</f>
        <v>venus</v>
      </c>
      <c r="B91" s="2" t="str">
        <f>IFERROR(__xludf.DUMMYFUNCTION("""COMPUTED_VALUE"""),"liabiliwty")</f>
        <v>liabiliwty</v>
      </c>
      <c r="C91" s="2" t="str">
        <f>IFERROR(__xludf.DUMMYFUNCTION("""COMPUTED_VALUE"""),"envied fallen angel enby oseremagbo from outer space")</f>
        <v>envied fallen angel enby oseremagbo from outer space</v>
      </c>
      <c r="D91" s="2">
        <f>IFERROR(__xludf.DUMMYFUNCTION("""COMPUTED_VALUE"""),6.685351712182074E-4)</f>
        <v>0.0006685351712</v>
      </c>
      <c r="E91" s="2" t="str">
        <f>IFERROR(__xludf.DUMMYFUNCTION("""COMPUTED_VALUE"""),"      1.489")</f>
        <v>      1.489</v>
      </c>
    </row>
    <row r="92">
      <c r="A92" s="2" t="str">
        <f>IFERROR(__xludf.DUMMYFUNCTION("""COMPUTED_VALUE"""),"ABES_SOFTWARE")</f>
        <v>ABES_SOFTWARE</v>
      </c>
      <c r="B92" s="2" t="str">
        <f>IFERROR(__xludf.DUMMYFUNCTION("""COMPUTED_VALUE"""),"abes_software")</f>
        <v>abes_software</v>
      </c>
      <c r="C92" s="2" t="str">
        <f>IFERROR(__xludf.DUMMYFUNCTION("""COMPUTED_VALUE"""),"A Associação Brasileira das Empresas de Software reúne cerca de 2 mil empresas, distribuídas em 24 Estados e no Distrito Federal, que geram 232 mil empregos.")</f>
        <v>A Associação Brasileira das Empresas de Software reúne cerca de 2 mil empresas, distribuídas em 24 Estados e no Distrito Federal, que geram 232 mil empregos.</v>
      </c>
      <c r="D92" s="2">
        <f>IFERROR(__xludf.DUMMYFUNCTION("""COMPUTED_VALUE"""),6.685351712182074E-4)</f>
        <v>0.0006685351712</v>
      </c>
      <c r="E92" s="2" t="str">
        <f>IFERROR(__xludf.DUMMYFUNCTION("""COMPUTED_VALUE"""),"      1.719")</f>
        <v>      1.719</v>
      </c>
    </row>
    <row r="93">
      <c r="A93" s="2" t="str">
        <f>IFERROR(__xludf.DUMMYFUNCTION("""COMPUTED_VALUE"""),"Marina")</f>
        <v>Marina</v>
      </c>
      <c r="B93" s="2" t="str">
        <f>IFERROR(__xludf.DUMMYFUNCTION("""COMPUTED_VALUE"""),"marinarodri__")</f>
        <v>marinarodri__</v>
      </c>
      <c r="C93" s="2" t="str">
        <f>IFERROR(__xludf.DUMMYFUNCTION("""COMPUTED_VALUE"""),"Bacharel em Cinema. Produtora executiva focada em políticas públicas no audiovisual. Escrevo sobre mercado audiovisual e sou dona do projeto SimplificandoCinema")</f>
        <v>Bacharel em Cinema. Produtora executiva focada em políticas públicas no audiovisual. Escrevo sobre mercado audiovisual e sou dona do projeto SimplificandoCinema</v>
      </c>
      <c r="D93" s="2">
        <f>IFERROR(__xludf.DUMMYFUNCTION("""COMPUTED_VALUE"""),6.685351712182074E-4)</f>
        <v>0.0006685351712</v>
      </c>
      <c r="E93" s="2" t="str">
        <f>IFERROR(__xludf.DUMMYFUNCTION("""COMPUTED_VALUE"""),"     17.074")</f>
        <v>     17.074</v>
      </c>
    </row>
    <row r="94">
      <c r="A94" s="2" t="str">
        <f>IFERROR(__xludf.DUMMYFUNCTION("""COMPUTED_VALUE"""),"Aline Magalhaes")</f>
        <v>Aline Magalhaes</v>
      </c>
      <c r="B94" s="2" t="str">
        <f>IFERROR(__xludf.DUMMYFUNCTION("""COMPUTED_VALUE"""),"alinefortuna2")</f>
        <v>alinefortuna2</v>
      </c>
      <c r="C94" s="2" t="str">
        <f>IFERROR(__xludf.DUMMYFUNCTION("""COMPUTED_VALUE"""),"Medical Doctor, UNICAMP/UNIFESP. Opinions are my own.")</f>
        <v>Medical Doctor, UNICAMP/UNIFESP. Opinions are my own.</v>
      </c>
      <c r="D94" s="2">
        <f>IFERROR(__xludf.DUMMYFUNCTION("""COMPUTED_VALUE"""),6.685351712182074E-4)</f>
        <v>0.0006685351712</v>
      </c>
      <c r="E94" s="2" t="str">
        <f>IFERROR(__xludf.DUMMYFUNCTION("""COMPUTED_VALUE"""),"      3.622")</f>
        <v>      3.622</v>
      </c>
    </row>
    <row r="95">
      <c r="A95" s="2" t="str">
        <f>IFERROR(__xludf.DUMMYFUNCTION("""COMPUTED_VALUE"""),"Cláudio Fontes")</f>
        <v>Cláudio Fontes</v>
      </c>
      <c r="B95" s="2" t="str">
        <f>IFERROR(__xludf.DUMMYFUNCTION("""COMPUTED_VALUE"""),"claudioffontess")</f>
        <v>claudioffontess</v>
      </c>
      <c r="C95" s="2" t="str">
        <f>IFERROR(__xludf.DUMMYFUNCTION("""COMPUTED_VALUE"""),"Jesus está voltando. MARANATA!!!
SDV 🇧🇷 Ative o Sininho.
Gratidão por mais um dia!!!")</f>
        <v>Jesus está voltando. MARANATA!!!
SDV 🇧🇷 Ative o Sininho.
Gratidão por mais um dia!!!</v>
      </c>
      <c r="D95" s="2">
        <f>IFERROR(__xludf.DUMMYFUNCTION("""COMPUTED_VALUE"""),6.685351712182074E-4)</f>
        <v>0.0006685351712</v>
      </c>
      <c r="E95" s="2" t="str">
        <f>IFERROR(__xludf.DUMMYFUNCTION("""COMPUTED_VALUE"""),"     12.687")</f>
        <v>     12.687</v>
      </c>
    </row>
    <row r="96">
      <c r="A96" s="2" t="str">
        <f>IFERROR(__xludf.DUMMYFUNCTION("""COMPUTED_VALUE"""),"Professor Mira")</f>
        <v>Professor Mira</v>
      </c>
      <c r="B96" s="2" t="str">
        <f>IFERROR(__xludf.DUMMYFUNCTION("""COMPUTED_VALUE"""),"professormira1")</f>
        <v>professormira1</v>
      </c>
      <c r="C96" s="2" t="str">
        <f>IFERROR(__xludf.DUMMYFUNCTION("""COMPUTED_VALUE"""),"Analista CNPI, Investidor Profissional, trader e especialista em finanças e Investimentos.")</f>
        <v>Analista CNPI, Investidor Profissional, trader e especialista em finanças e Investimentos.</v>
      </c>
      <c r="D96" s="2">
        <f>IFERROR(__xludf.DUMMYFUNCTION("""COMPUTED_VALUE"""),6.685351712182074E-4)</f>
        <v>0.0006685351712</v>
      </c>
      <c r="E96" s="2" t="str">
        <f>IFERROR(__xludf.DUMMYFUNCTION("""COMPUTED_VALUE"""),"      3.192")</f>
        <v>      3.192</v>
      </c>
    </row>
    <row r="97">
      <c r="A97" s="2" t="str">
        <f>IFERROR(__xludf.DUMMYFUNCTION("""COMPUTED_VALUE"""),"Busby Babes Brasil")</f>
        <v>Busby Babes Brasil</v>
      </c>
      <c r="B97" s="2" t="str">
        <f>IFERROR(__xludf.DUMMYFUNCTION("""COMPUTED_VALUE"""),"busbybabesbr")</f>
        <v>busbybabesbr</v>
      </c>
      <c r="C97" s="2" t="str">
        <f>IFERROR(__xludf.DUMMYFUNCTION("""COMPUTED_VALUE"""),"Seja bem-vindo à Busby Babes Brasil. A página de torcedores do Manchester United, que trará a você tudo sobre o maior campeão da Inglaterra. Divirta-se!")</f>
        <v>Seja bem-vindo à Busby Babes Brasil. A página de torcedores do Manchester United, que trará a você tudo sobre o maior campeão da Inglaterra. Divirta-se!</v>
      </c>
      <c r="D97" s="2">
        <f>IFERROR(__xludf.DUMMYFUNCTION("""COMPUTED_VALUE"""),6.685351712182074E-4)</f>
        <v>0.0006685351712</v>
      </c>
      <c r="E97" s="2" t="str">
        <f>IFERROR(__xludf.DUMMYFUNCTION("""COMPUTED_VALUE"""),"      9.042")</f>
        <v>      9.042</v>
      </c>
    </row>
    <row r="98">
      <c r="A98" s="2" t="str">
        <f>IFERROR(__xludf.DUMMYFUNCTION("""COMPUTED_VALUE"""),"SEGUIDORES DA VERDADE")</f>
        <v>SEGUIDORES DA VERDADE</v>
      </c>
      <c r="B98" s="2" t="str">
        <f>IFERROR(__xludf.DUMMYFUNCTION("""COMPUTED_VALUE"""),"euleoallure")</f>
        <v>euleoallure</v>
      </c>
      <c r="C98" s="2" t="str">
        <f>IFERROR(__xludf.DUMMYFUNCTION("""COMPUTED_VALUE"""),"Seguidores da Verdade")</f>
        <v>Seguidores da Verdade</v>
      </c>
      <c r="D98" s="2">
        <f>IFERROR(__xludf.DUMMYFUNCTION("""COMPUTED_VALUE"""),6.685351712182074E-4)</f>
        <v>0.0006685351712</v>
      </c>
      <c r="E98" s="2" t="str">
        <f>IFERROR(__xludf.DUMMYFUNCTION("""COMPUTED_VALUE"""),"     10.693")</f>
        <v>     10.693</v>
      </c>
    </row>
    <row r="99">
      <c r="A99" s="2" t="str">
        <f>IFERROR(__xludf.DUMMYFUNCTION("""COMPUTED_VALUE"""),"Luiz Geovane🇧🇷")</f>
        <v>Luiz Geovane🇧🇷</v>
      </c>
      <c r="B99" s="2" t="str">
        <f>IFERROR(__xludf.DUMMYFUNCTION("""COMPUTED_VALUE"""),"geomorfismo")</f>
        <v>geomorfismo</v>
      </c>
      <c r="C99" s="2" t="str">
        <f>IFERROR(__xludf.DUMMYFUNCTION("""COMPUTED_VALUE"""),"Trabalhador, contador, editor, estudante, comunista, sindicalista, político e apaixonado.")</f>
        <v>Trabalhador, contador, editor, estudante, comunista, sindicalista, político e apaixonado.</v>
      </c>
      <c r="D99" s="2">
        <f>IFERROR(__xludf.DUMMYFUNCTION("""COMPUTED_VALUE"""),6.685351712182074E-4)</f>
        <v>0.0006685351712</v>
      </c>
      <c r="E99" s="2" t="str">
        <f>IFERROR(__xludf.DUMMYFUNCTION("""COMPUTED_VALUE"""),"      1.082")</f>
        <v>      1.082</v>
      </c>
    </row>
    <row r="100">
      <c r="A100" s="2" t="str">
        <f>IFERROR(__xludf.DUMMYFUNCTION("""COMPUTED_VALUE"""),"Xornal21")</f>
        <v>Xornal21</v>
      </c>
      <c r="B100" s="2" t="str">
        <f>IFERROR(__xludf.DUMMYFUNCTION("""COMPUTED_VALUE"""),"xornal21")</f>
        <v>xornal21</v>
      </c>
      <c r="C100" s="2" t="str">
        <f>IFERROR(__xludf.DUMMYFUNCTION("""COMPUTED_VALUE"""),"Edición digital del gratuito https://t.co/VUzrjw2Ohc Información | Actualidad de Galicia Pontevedra RíasBaixas + 50.000 NOTICIAS")</f>
        <v>Edición digital del gratuito https://t.co/VUzrjw2Ohc Información | Actualidad de Galicia Pontevedra RíasBaixas + 50.000 NOTICIAS</v>
      </c>
      <c r="D100" s="2">
        <f>IFERROR(__xludf.DUMMYFUNCTION("""COMPUTED_VALUE"""),6.685351712156733E-4)</f>
        <v>0.0006685351712</v>
      </c>
      <c r="E100" s="2" t="str">
        <f>IFERROR(__xludf.DUMMYFUNCTION("""COMPUTED_VALUE"""),"      1.754")</f>
        <v>      1.754</v>
      </c>
    </row>
    <row r="101">
      <c r="A101" s="2" t="str">
        <f>IFERROR(__xludf.DUMMYFUNCTION("""COMPUTED_VALUE"""),"Argon Trading")</f>
        <v>Argon Trading</v>
      </c>
      <c r="B101" s="2" t="str">
        <f>IFERROR(__xludf.DUMMYFUNCTION("""COMPUTED_VALUE"""),"argon_trading")</f>
        <v>argon_trading</v>
      </c>
      <c r="C101" s="2" t="str">
        <f>IFERROR(__xludf.DUMMYFUNCTION("""COMPUTED_VALUE"""),"• Mercado Financeiro / Trading.
• Me chamo Iuri, vivendo e respirando trading há 7 anos.
https://t.co/gQrNvaCg1s")</f>
        <v>• Mercado Financeiro / Trading.
• Me chamo Iuri, vivendo e respirando trading há 7 anos.
https://t.co/gQrNvaCg1s</v>
      </c>
      <c r="D101" s="2">
        <f>IFERROR(__xludf.DUMMYFUNCTION("""COMPUTED_VALUE"""),6.685351712153129E-4)</f>
        <v>0.0006685351712</v>
      </c>
      <c r="E101" s="2" t="str">
        <f>IFERROR(__xludf.DUMMYFUNCTION("""COMPUTED_VALUE"""),"      2.454")</f>
        <v>      2.454</v>
      </c>
    </row>
    <row r="102">
      <c r="A102" s="2" t="str">
        <f>IFERROR(__xludf.DUMMYFUNCTION("""COMPUTED_VALUE"""),"L Space 🇰🇷")</f>
        <v>L Space 🇰🇷</v>
      </c>
      <c r="B102" s="2" t="str">
        <f>IFERROR(__xludf.DUMMYFUNCTION("""COMPUTED_VALUE"""),"lll_spacex")</f>
        <v>lll_spacex</v>
      </c>
      <c r="C102" s="2" t="str">
        <f>IFERROR(__xludf.DUMMYFUNCTION("""COMPUTED_VALUE"""),"❤️‍🔥 Cristo salva, siga o Rei | No fear and follow the noise")</f>
        <v>❤️‍🔥 Cristo salva, siga o Rei | No fear and follow the noise</v>
      </c>
      <c r="D102" s="2">
        <f>IFERROR(__xludf.DUMMYFUNCTION("""COMPUTED_VALUE"""),6.685351712153129E-4)</f>
        <v>0.0006685351712</v>
      </c>
      <c r="E102" s="2" t="str">
        <f>IFERROR(__xludf.DUMMYFUNCTION("""COMPUTED_VALUE"""),"      2.156")</f>
        <v>      2.156</v>
      </c>
    </row>
    <row r="103">
      <c r="A103" s="2" t="str">
        <f>IFERROR(__xludf.DUMMYFUNCTION("""COMPUTED_VALUE"""),"Manofox 🇦🇴")</f>
        <v>Manofox 🇦🇴</v>
      </c>
      <c r="B103" s="2" t="str">
        <f>IFERROR(__xludf.DUMMYFUNCTION("""COMPUTED_VALUE"""),"gigz_elm")</f>
        <v>gigz_elm</v>
      </c>
      <c r="C103" s="2" t="str">
        <f>IFERROR(__xludf.DUMMYFUNCTION("""COMPUTED_VALUE"""),"Só como funge com feijão, originário da Lisa, clandestino em Nantes....HAKUNA MATATA  snapchat: manofoxptao
Certified Lover Boy")</f>
        <v>Só como funge com feijão, originário da Lisa, clandestino em Nantes....HAKUNA MATATA  snapchat: manofoxptao
Certified Lover Boy</v>
      </c>
      <c r="D103" s="2">
        <f>IFERROR(__xludf.DUMMYFUNCTION("""COMPUTED_VALUE"""),6.685351712153129E-4)</f>
        <v>0.0006685351712</v>
      </c>
      <c r="E103" s="2" t="str">
        <f>IFERROR(__xludf.DUMMYFUNCTION("""COMPUTED_VALUE"""),"      1.040")</f>
        <v>      1.040</v>
      </c>
    </row>
    <row r="104">
      <c r="A104" s="2" t="str">
        <f>IFERROR(__xludf.DUMMYFUNCTION("""COMPUTED_VALUE"""),"la rachel")</f>
        <v>la rachel</v>
      </c>
      <c r="B104" s="2" t="str">
        <f>IFERROR(__xludf.DUMMYFUNCTION("""COMPUTED_VALUE"""),"larachel_")</f>
        <v>larachel_</v>
      </c>
      <c r="C104" s="2" t="str">
        <f>IFERROR(__xludf.DUMMYFUNCTION("""COMPUTED_VALUE"""),"pretty please, 08 de setembro 💕 | fan account")</f>
        <v>pretty please, 08 de setembro 💕 | fan account</v>
      </c>
      <c r="D104" s="2">
        <f>IFERROR(__xludf.DUMMYFUNCTION("""COMPUTED_VALUE"""),6.685351712153129E-4)</f>
        <v>0.0006685351712</v>
      </c>
      <c r="E104" s="2" t="str">
        <f>IFERROR(__xludf.DUMMYFUNCTION("""COMPUTED_VALUE"""),"      5.356")</f>
        <v>      5.356</v>
      </c>
    </row>
    <row r="105">
      <c r="A105" s="2" t="str">
        <f>IFERROR(__xludf.DUMMYFUNCTION("""COMPUTED_VALUE"""),"Empório do Futebol Feminino")</f>
        <v>Empório do Futebol Feminino</v>
      </c>
      <c r="B105" s="2" t="str">
        <f>IFERROR(__xludf.DUMMYFUNCTION("""COMPUTED_VALUE"""),"emporiodoff")</f>
        <v>emporiodoff</v>
      </c>
      <c r="C105" s="2" t="str">
        <f>IFERROR(__xludf.DUMMYFUNCTION("""COMPUTED_VALUE"""),"Principais notícias do futebol feminino ⚽️ | Acompanhe todos os esportes no @emporiodoef e futsal no @emporiodofsf")</f>
        <v>Principais notícias do futebol feminino ⚽️ | Acompanhe todos os esportes no @emporiodoef e futsal no @emporiodofsf</v>
      </c>
      <c r="D105" s="2">
        <f>IFERROR(__xludf.DUMMYFUNCTION("""COMPUTED_VALUE"""),6.68535171214802E-4)</f>
        <v>0.0006685351712</v>
      </c>
      <c r="E105" s="2" t="str">
        <f>IFERROR(__xludf.DUMMYFUNCTION("""COMPUTED_VALUE"""),"     11.210")</f>
        <v>     11.210</v>
      </c>
    </row>
    <row r="106">
      <c r="A106" s="2" t="str">
        <f>IFERROR(__xludf.DUMMYFUNCTION("""COMPUTED_VALUE"""),"cai")</f>
        <v>cai</v>
      </c>
      <c r="B106" s="2" t="str">
        <f>IFERROR(__xludf.DUMMYFUNCTION("""COMPUTED_VALUE"""),"caizxr")</f>
        <v>caizxr</v>
      </c>
      <c r="C106" s="2"/>
      <c r="D106" s="2">
        <f>IFERROR(__xludf.DUMMYFUNCTION("""COMPUTED_VALUE"""),6.68535171214802E-4)</f>
        <v>0.0006685351712</v>
      </c>
      <c r="E106" s="2" t="str">
        <f>IFERROR(__xludf.DUMMYFUNCTION("""COMPUTED_VALUE"""),"      1.423")</f>
        <v>      1.423</v>
      </c>
    </row>
    <row r="107">
      <c r="A107" s="2" t="str">
        <f>IFERROR(__xludf.DUMMYFUNCTION("""COMPUTED_VALUE"""),"Deputación Pontevedra")</f>
        <v>Deputación Pontevedra</v>
      </c>
      <c r="B107" s="2" t="str">
        <f>IFERROR(__xludf.DUMMYFUNCTION("""COMPUTED_VALUE"""),"depo_es")</f>
        <v>depo_es</v>
      </c>
      <c r="C107" s="2" t="str">
        <f>IFERROR(__xludf.DUMMYFUNCTION("""COMPUTED_VALUE"""),"Canle oficial da Deputación de Pontevedra en Twitter. Traballamos por unha provincia máis igualitaria, xusta e sostible")</f>
        <v>Canle oficial da Deputación de Pontevedra en Twitter. Traballamos por unha provincia máis igualitaria, xusta e sostible</v>
      </c>
      <c r="D107" s="2">
        <f>IFERROR(__xludf.DUMMYFUNCTION("""COMPUTED_VALUE"""),6.685351712147788E-4)</f>
        <v>0.0006685351712</v>
      </c>
      <c r="E107" s="2" t="str">
        <f>IFERROR(__xludf.DUMMYFUNCTION("""COMPUTED_VALUE"""),"     15.173")</f>
        <v>     15.173</v>
      </c>
    </row>
    <row r="108">
      <c r="A108" s="2" t="str">
        <f>IFERROR(__xludf.DUMMYFUNCTION("""COMPUTED_VALUE"""),"Hoje no Mundo Militar")</f>
        <v>Hoje no Mundo Militar</v>
      </c>
      <c r="B108" s="2" t="str">
        <f>IFERROR(__xludf.DUMMYFUNCTION("""COMPUTED_VALUE"""),"hoje_no")</f>
        <v>hoje_no</v>
      </c>
      <c r="C108" s="2" t="str">
        <f>IFERROR(__xludf.DUMMYFUNCTION("""COMPUTED_VALUE"""),"Dedicado à discussão de temas militares atuais.
Telegram: https://t.co/rv8mgjPIyz")</f>
        <v>Dedicado à discussão de temas militares atuais.
Telegram: https://t.co/rv8mgjPIyz</v>
      </c>
      <c r="D108" s="2">
        <f>IFERROR(__xludf.DUMMYFUNCTION("""COMPUTED_VALUE"""),6.556097950325779E-4)</f>
        <v>0.000655609795</v>
      </c>
      <c r="E108" s="2" t="str">
        <f>IFERROR(__xludf.DUMMYFUNCTION("""COMPUTED_VALUE"""),"    571.167")</f>
        <v>    571.167</v>
      </c>
    </row>
    <row r="109">
      <c r="A109" s="2" t="str">
        <f>IFERROR(__xludf.DUMMYFUNCTION("""COMPUTED_VALUE"""),"Ministério da Justiça e Segurança Pública")</f>
        <v>Ministério da Justiça e Segurança Pública</v>
      </c>
      <c r="B109" s="2" t="str">
        <f>IFERROR(__xludf.DUMMYFUNCTION("""COMPUTED_VALUE"""),"mjspgov")</f>
        <v>mjspgov</v>
      </c>
      <c r="C109" s="2" t="str">
        <f>IFERROR(__xludf.DUMMYFUNCTION("""COMPUTED_VALUE"""),"Seja bem-vindo ao perfil oficial do Ministério da Justiça e Segurança Pública no Twitter.")</f>
        <v>Seja bem-vindo ao perfil oficial do Ministério da Justiça e Segurança Pública no Twitter.</v>
      </c>
      <c r="D109" s="2">
        <f>IFERROR(__xludf.DUMMYFUNCTION("""COMPUTED_VALUE"""),6.48395532815038E-4)</f>
        <v>0.0006483955328</v>
      </c>
      <c r="E109" s="2" t="str">
        <f>IFERROR(__xludf.DUMMYFUNCTION("""COMPUTED_VALUE"""),"    780.747")</f>
        <v>    780.747</v>
      </c>
    </row>
    <row r="110">
      <c r="A110" s="2" t="str">
        <f>IFERROR(__xludf.DUMMYFUNCTION("""COMPUTED_VALUE"""),"Paulo Filho")</f>
        <v>Paulo Filho</v>
      </c>
      <c r="B110" s="2" t="str">
        <f>IFERROR(__xludf.DUMMYFUNCTION("""COMPUTED_VALUE"""),"paulofilho_90")</f>
        <v>paulofilho_90</v>
      </c>
      <c r="C110" s="2" t="str">
        <f>IFERROR(__xludf.DUMMYFUNCTION("""COMPUTED_VALUE"""),"Coronel da Reserva do Exército / Lattes - https://t.co/kafafMMoU1 / Linkedin - https://t.co/KrPLxNzSwY / Instagram - https://t.co/ssBI0g8Zhb / Canal do Youtube https://t.co/EzU8amQzKI")</f>
        <v>Coronel da Reserva do Exército / Lattes - https://t.co/kafafMMoU1 / Linkedin - https://t.co/KrPLxNzSwY / Instagram - https://t.co/ssBI0g8Zhb / Canal do Youtube https://t.co/EzU8amQzKI</v>
      </c>
      <c r="D110" s="2">
        <f>IFERROR(__xludf.DUMMYFUNCTION("""COMPUTED_VALUE"""),6.479359312550465E-4)</f>
        <v>0.0006479359313</v>
      </c>
      <c r="E110" s="2" t="str">
        <f>IFERROR(__xludf.DUMMYFUNCTION("""COMPUTED_VALUE"""),"     39.697")</f>
        <v>     39.697</v>
      </c>
    </row>
    <row r="111">
      <c r="A111" s="2" t="str">
        <f>IFERROR(__xludf.DUMMYFUNCTION("""COMPUTED_VALUE"""),"Opinião Estadão")</f>
        <v>Opinião Estadão</v>
      </c>
      <c r="B111" s="2" t="str">
        <f>IFERROR(__xludf.DUMMYFUNCTION("""COMPUTED_VALUE"""),"opiniao_estadao")</f>
        <v>opiniao_estadao</v>
      </c>
      <c r="C111" s="2" t="str">
        <f>IFERROR(__xludf.DUMMYFUNCTION("""COMPUTED_VALUE"""),"Editoria de Opinião do @Estadao. Acompanhe as seções Notas e Informações, Espaço Aberto e Fórum dos Leitores")</f>
        <v>Editoria de Opinião do @Estadao. Acompanhe as seções Notas e Informações, Espaço Aberto e Fórum dos Leitores</v>
      </c>
      <c r="D111" s="2">
        <f>IFERROR(__xludf.DUMMYFUNCTION("""COMPUTED_VALUE"""),6.275083516249118E-4)</f>
        <v>0.0006275083516</v>
      </c>
      <c r="E111" s="2" t="str">
        <f>IFERROR(__xludf.DUMMYFUNCTION("""COMPUTED_VALUE"""),"      4.026")</f>
        <v>      4.026</v>
      </c>
    </row>
    <row r="112">
      <c r="A112" s="2" t="str">
        <f>IFERROR(__xludf.DUMMYFUNCTION("""COMPUTED_VALUE"""),"Dep. Alencar Santana")</f>
        <v>Dep. Alencar Santana</v>
      </c>
      <c r="B112" s="2" t="str">
        <f>IFERROR(__xludf.DUMMYFUNCTION("""COMPUTED_VALUE"""),"alencarbraga13")</f>
        <v>alencarbraga13</v>
      </c>
      <c r="C112" s="2" t="str">
        <f>IFERROR(__xludf.DUMMYFUNCTION("""COMPUTED_VALUE"""),"Deputado federal (PT-SP) reeleito, Vice-Líder do Governo Lula na Câmara. Antes: Dep. estadual (2011-2018) e vereador em Guarulhos (2005-2010), Advogado ⚖️")</f>
        <v>Deputado federal (PT-SP) reeleito, Vice-Líder do Governo Lula na Câmara. Antes: Dep. estadual (2011-2018) e vereador em Guarulhos (2005-2010), Advogado ⚖️</v>
      </c>
      <c r="D112" s="2">
        <f>IFERROR(__xludf.DUMMYFUNCTION("""COMPUTED_VALUE"""),6.159880431836817E-4)</f>
        <v>0.0006159880432</v>
      </c>
      <c r="E112" s="2" t="str">
        <f>IFERROR(__xludf.DUMMYFUNCTION("""COMPUTED_VALUE"""),"     39.573")</f>
        <v>     39.573</v>
      </c>
    </row>
    <row r="113">
      <c r="A113" s="2" t="str">
        <f>IFERROR(__xludf.DUMMYFUNCTION("""COMPUTED_VALUE"""),"Fabiano Horta")</f>
        <v>Fabiano Horta</v>
      </c>
      <c r="B113" s="2" t="str">
        <f>IFERROR(__xludf.DUMMYFUNCTION("""COMPUTED_VALUE"""),"fabianohorta_")</f>
        <v>fabianohorta_</v>
      </c>
      <c r="C113" s="2" t="str">
        <f>IFERROR(__xludf.DUMMYFUNCTION("""COMPUTED_VALUE"""),"Botafoguense, Prefeito de Maricá, no RJ, cidade dos ônibus e bikes Tarifa Zero, da moeda social Mumbuca, do Passaporte Universitário… Cidade das utopias!")</f>
        <v>Botafoguense, Prefeito de Maricá, no RJ, cidade dos ônibus e bikes Tarifa Zero, da moeda social Mumbuca, do Passaporte Universitário… Cidade das utopias!</v>
      </c>
      <c r="D113" s="2">
        <f>IFERROR(__xludf.DUMMYFUNCTION("""COMPUTED_VALUE"""),6.15971593381176E-4)</f>
        <v>0.0006159715934</v>
      </c>
      <c r="E113" s="2" t="str">
        <f>IFERROR(__xludf.DUMMYFUNCTION("""COMPUTED_VALUE"""),"      9.211")</f>
        <v>      9.211</v>
      </c>
    </row>
    <row r="114">
      <c r="A114" s="2" t="str">
        <f>IFERROR(__xludf.DUMMYFUNCTION("""COMPUTED_VALUE"""),"nala")</f>
        <v>nala</v>
      </c>
      <c r="B114" s="2" t="str">
        <f>IFERROR(__xludf.DUMMYFUNCTION("""COMPUTED_VALUE"""),"folkcruels")</f>
        <v>folkcruels</v>
      </c>
      <c r="C114" s="2" t="str">
        <f>IFERROR(__xludf.DUMMYFUNCTION("""COMPUTED_VALUE"""),"it's me, hi! i'm the one obsessed with jude and cardan, that's me!")</f>
        <v>it's me, hi! i'm the one obsessed with jude and cardan, that's me!</v>
      </c>
      <c r="D114" s="2">
        <f>IFERROR(__xludf.DUMMYFUNCTION("""COMPUTED_VALUE"""),6.117096816646599E-4)</f>
        <v>0.0006117096817</v>
      </c>
      <c r="E114" s="2" t="str">
        <f>IFERROR(__xludf.DUMMYFUNCTION("""COMPUTED_VALUE"""),"     31.405")</f>
        <v>     31.405</v>
      </c>
    </row>
    <row r="115">
      <c r="A115" s="2" t="str">
        <f>IFERROR(__xludf.DUMMYFUNCTION("""COMPUTED_VALUE"""),"Radar")</f>
        <v>Radar</v>
      </c>
      <c r="B115" s="2" t="str">
        <f>IFERROR(__xludf.DUMMYFUNCTION("""COMPUTED_VALUE"""),"radaronline")</f>
        <v>radaronline</v>
      </c>
      <c r="C115" s="2" t="str">
        <f>IFERROR(__xludf.DUMMYFUNCTION("""COMPUTED_VALUE"""),"Notícias em primeira mão, direto dos bastidores de Brasília. Um perfil oficial de @VEJA. Por Robson Bonin. @robsonboninjor")</f>
        <v>Notícias em primeira mão, direto dos bastidores de Brasília. Um perfil oficial de @VEJA. Por Robson Bonin. @robsonboninjor</v>
      </c>
      <c r="D115" s="2">
        <f>IFERROR(__xludf.DUMMYFUNCTION("""COMPUTED_VALUE"""),5.9849775534346E-4)</f>
        <v>0.0005984977553</v>
      </c>
      <c r="E115" s="2" t="str">
        <f>IFERROR(__xludf.DUMMYFUNCTION("""COMPUTED_VALUE"""),"    460.613")</f>
        <v>    460.613</v>
      </c>
    </row>
    <row r="116">
      <c r="A116" s="2" t="str">
        <f>IFERROR(__xludf.DUMMYFUNCTION("""COMPUTED_VALUE"""),"VEJA")</f>
        <v>VEJA</v>
      </c>
      <c r="B116" s="2" t="str">
        <f>IFERROR(__xludf.DUMMYFUNCTION("""COMPUTED_VALUE"""),"veja")</f>
        <v>veja</v>
      </c>
      <c r="C116" s="2" t="str">
        <f>IFERROR(__xludf.DUMMYFUNCTION("""COMPUTED_VALUE"""),"O Brasil está mudando. O tempo todo. Fique por dentro! Assine a partir de R$2,00 por semana no link: https://t.co/R2g8xVH8FX
VEJA - Quem lê, sabe.")</f>
        <v>O Brasil está mudando. O tempo todo. Fique por dentro! Assine a partir de R$2,00 por semana no link: https://t.co/R2g8xVH8FX
VEJA - Quem lê, sabe.</v>
      </c>
      <c r="D116" s="2">
        <f>IFERROR(__xludf.DUMMYFUNCTION("""COMPUTED_VALUE"""),5.861382113655634E-4)</f>
        <v>0.0005861382114</v>
      </c>
      <c r="E116" s="2" t="str">
        <f>IFERROR(__xludf.DUMMYFUNCTION("""COMPUTED_VALUE"""),"  9.106.362")</f>
        <v>  9.106.362</v>
      </c>
    </row>
    <row r="117">
      <c r="A117" s="2" t="str">
        <f>IFERROR(__xludf.DUMMYFUNCTION("""COMPUTED_VALUE"""),"Maria Carolina Gontijo")</f>
        <v>Maria Carolina Gontijo</v>
      </c>
      <c r="B117" s="2" t="str">
        <f>IFERROR(__xludf.DUMMYFUNCTION("""COMPUTED_VALUE"""),"duquesadetax")</f>
        <v>duquesadetax</v>
      </c>
      <c r="C117" s="2" t="str">
        <f>IFERROR(__xludf.DUMMYFUNCTION("""COMPUTED_VALUE"""),"Eu explico tributário pra não passar raiva sozinha. Youtube, Instagram, Spotify, tudo duquesadetax.")</f>
        <v>Eu explico tributário pra não passar raiva sozinha. Youtube, Instagram, Spotify, tudo duquesadetax.</v>
      </c>
      <c r="D117" s="2">
        <f>IFERROR(__xludf.DUMMYFUNCTION("""COMPUTED_VALUE"""),5.825133917738869E-4)</f>
        <v>0.0005825133918</v>
      </c>
      <c r="E117" s="2" t="str">
        <f>IFERROR(__xludf.DUMMYFUNCTION("""COMPUTED_VALUE"""),"     75.323")</f>
        <v>     75.323</v>
      </c>
    </row>
    <row r="118">
      <c r="A118" s="2" t="str">
        <f>IFERROR(__xludf.DUMMYFUNCTION("""COMPUTED_VALUE"""),"Estadão 🗞️")</f>
        <v>Estadão 🗞️</v>
      </c>
      <c r="B118" s="2" t="str">
        <f>IFERROR(__xludf.DUMMYFUNCTION("""COMPUTED_VALUE"""),"estadao")</f>
        <v>estadao</v>
      </c>
      <c r="C118" s="2" t="str">
        <f>IFERROR(__xludf.DUMMYFUNCTION("""COMPUTED_VALUE"""),"A versão online do jornal O Estado de S. Paulo. Acompanhe também as atualizações pelo Instagram: https://t.co/hGsLKgFw9w")</f>
        <v>A versão online do jornal O Estado de S. Paulo. Acompanhe também as atualizações pelo Instagram: https://t.co/hGsLKgFw9w</v>
      </c>
      <c r="D118" s="2">
        <f>IFERROR(__xludf.DUMMYFUNCTION("""COMPUTED_VALUE"""),5.822314589587571E-4)</f>
        <v>0.000582231459</v>
      </c>
      <c r="E118" s="2" t="str">
        <f>IFERROR(__xludf.DUMMYFUNCTION("""COMPUTED_VALUE"""),"  7.576.095")</f>
        <v>  7.576.095</v>
      </c>
    </row>
    <row r="119">
      <c r="A119" s="2" t="str">
        <f>IFERROR(__xludf.DUMMYFUNCTION("""COMPUTED_VALUE"""),"Felipe Tadewald")</f>
        <v>Felipe Tadewald</v>
      </c>
      <c r="B119" s="2" t="str">
        <f>IFERROR(__xludf.DUMMYFUNCTION("""COMPUTED_VALUE"""),"felipetadewald")</f>
        <v>felipetadewald</v>
      </c>
      <c r="C119" s="2" t="str">
        <f>IFERROR(__xludf.DUMMYFUNCTION("""COMPUTED_VALUE"""),"Sócio do Grupo Suno 
| Investidor desde 2009 |
Quem é você no mundo do investimentos? 👇")</f>
        <v>Sócio do Grupo Suno 
| Investidor desde 2009 |
Quem é você no mundo do investimentos? 👇</v>
      </c>
      <c r="D119" s="2">
        <f>IFERROR(__xludf.DUMMYFUNCTION("""COMPUTED_VALUE"""),5.690905644994992E-4)</f>
        <v>0.0005690905645</v>
      </c>
      <c r="E119" s="2" t="str">
        <f>IFERROR(__xludf.DUMMYFUNCTION("""COMPUTED_VALUE"""),"    105.550")</f>
        <v>    105.550</v>
      </c>
    </row>
    <row r="120">
      <c r="A120" s="2" t="str">
        <f>IFERROR(__xludf.DUMMYFUNCTION("""COMPUTED_VALUE"""),"Arthur Virgílio")</f>
        <v>Arthur Virgílio</v>
      </c>
      <c r="B120" s="2" t="str">
        <f>IFERROR(__xludf.DUMMYFUNCTION("""COMPUTED_VALUE"""),"arthurvneto")</f>
        <v>arthurvneto</v>
      </c>
      <c r="C120" s="2" t="str">
        <f>IFERROR(__xludf.DUMMYFUNCTION("""COMPUTED_VALUE"""),"Diplomata, ex ministro-chefe da Sec-Geral da Presidência da República do Gov FHC, Senador, deputado federal e prefeito de Manaus por três mandatos.")</f>
        <v>Diplomata, ex ministro-chefe da Sec-Geral da Presidência da República do Gov FHC, Senador, deputado federal e prefeito de Manaus por três mandatos.</v>
      </c>
      <c r="D120" s="2">
        <f>IFERROR(__xludf.DUMMYFUNCTION("""COMPUTED_VALUE"""),5.690905644994992E-4)</f>
        <v>0.0005690905645</v>
      </c>
      <c r="E120" s="2" t="str">
        <f>IFERROR(__xludf.DUMMYFUNCTION("""COMPUTED_VALUE"""),"    133.906")</f>
        <v>    133.906</v>
      </c>
    </row>
    <row r="121">
      <c r="A121" s="2" t="str">
        <f>IFERROR(__xludf.DUMMYFUNCTION("""COMPUTED_VALUE"""),"Nuno Sousa")</f>
        <v>Nuno Sousa</v>
      </c>
      <c r="B121" s="2" t="str">
        <f>IFERROR(__xludf.DUMMYFUNCTION("""COMPUTED_VALUE"""),"nsousa76")</f>
        <v>nsousa76</v>
      </c>
      <c r="C121" s="2" t="str">
        <f>IFERROR(__xludf.DUMMYFUNCTION("""COMPUTED_VALUE"""),"Sportinguista desde que nasci. Sócio desde 1981. #PeloMeuSporting
@PelomeuSCP")</f>
        <v>Sportinguista desde que nasci. Sócio desde 1981. #PeloMeuSporting
@PelomeuSCP</v>
      </c>
      <c r="D121" s="2">
        <f>IFERROR(__xludf.DUMMYFUNCTION("""COMPUTED_VALUE"""),5.658941307121121E-4)</f>
        <v>0.0005658941307</v>
      </c>
      <c r="E121" s="2" t="str">
        <f>IFERROR(__xludf.DUMMYFUNCTION("""COMPUTED_VALUE"""),"      2.391")</f>
        <v>      2.391</v>
      </c>
    </row>
    <row r="122">
      <c r="A122" s="2" t="str">
        <f>IFERROR(__xludf.DUMMYFUNCTION("""COMPUTED_VALUE"""),"MEDUSA 👑 stream funk rave Anitta lover")</f>
        <v>MEDUSA 👑 stream funk rave Anitta lover</v>
      </c>
      <c r="B122" s="2" t="str">
        <f>IFERROR(__xludf.DUMMYFUNCTION("""COMPUTED_VALUE"""),"medusinhah")</f>
        <v>medusinhah</v>
      </c>
      <c r="C122" s="2" t="str">
        <f>IFERROR(__xludf.DUMMYFUNCTION("""COMPUTED_VALUE"""),"Anitta e Larissa amores da minha vida 💘")</f>
        <v>Anitta e Larissa amores da minha vida 💘</v>
      </c>
      <c r="D122" s="2">
        <f>IFERROR(__xludf.DUMMYFUNCTION("""COMPUTED_VALUE"""),5.477810059169188E-4)</f>
        <v>0.0005477810059</v>
      </c>
      <c r="E122" s="2" t="str">
        <f>IFERROR(__xludf.DUMMYFUNCTION("""COMPUTED_VALUE"""),"      6.240")</f>
        <v>      6.240</v>
      </c>
    </row>
    <row r="123">
      <c r="A123" s="2" t="str">
        <f>IFERROR(__xludf.DUMMYFUNCTION("""COMPUTED_VALUE"""),"Pelo Meu Sporting")</f>
        <v>Pelo Meu Sporting</v>
      </c>
      <c r="B123" s="2" t="str">
        <f>IFERROR(__xludf.DUMMYFUNCTION("""COMPUTED_VALUE"""),"pelomeuscp")</f>
        <v>pelomeuscp</v>
      </c>
      <c r="C123" s="2" t="str">
        <f>IFERROR(__xludf.DUMMYFUNCTION("""COMPUTED_VALUE"""),"Quantas vezes já deste por ti a pensar no que farias pelo teu Sporting? E se tivesses essa oportunidade?")</f>
        <v>Quantas vezes já deste por ti a pensar no que farias pelo teu Sporting? E se tivesses essa oportunidade?</v>
      </c>
      <c r="D123" s="2">
        <f>IFERROR(__xludf.DUMMYFUNCTION("""COMPUTED_VALUE"""),5.477810059169188E-4)</f>
        <v>0.0005477810059</v>
      </c>
      <c r="E123" s="2" t="str">
        <f>IFERROR(__xludf.DUMMYFUNCTION("""COMPUTED_VALUE"""),"      2.061")</f>
        <v>      2.061</v>
      </c>
    </row>
    <row r="124">
      <c r="A124" s="2" t="str">
        <f>IFERROR(__xludf.DUMMYFUNCTION("""COMPUTED_VALUE"""),"aly")</f>
        <v>aly</v>
      </c>
      <c r="B124" s="2" t="str">
        <f>IFERROR(__xludf.DUMMYFUNCTION("""COMPUTED_VALUE"""),"stranwberryes")</f>
        <v>stranwberryes</v>
      </c>
      <c r="C124" s="2" t="str">
        <f>IFERROR(__xludf.DUMMYFUNCTION("""COMPUTED_VALUE"""),"comento sobre a vida dos outros")</f>
        <v>comento sobre a vida dos outros</v>
      </c>
      <c r="D124" s="2">
        <f>IFERROR(__xludf.DUMMYFUNCTION("""COMPUTED_VALUE"""),5.477810059169188E-4)</f>
        <v>0.0005477810059</v>
      </c>
      <c r="E124" s="2" t="str">
        <f>IFERROR(__xludf.DUMMYFUNCTION("""COMPUTED_VALUE"""),"     44.386")</f>
        <v>     44.386</v>
      </c>
    </row>
    <row r="125">
      <c r="A125" s="2" t="str">
        <f>IFERROR(__xludf.DUMMYFUNCTION("""COMPUTED_VALUE"""),"Lidio Mateus")</f>
        <v>Lidio Mateus</v>
      </c>
      <c r="B125" s="2" t="str">
        <f>IFERROR(__xludf.DUMMYFUNCTION("""COMPUTED_VALUE"""),"lidiomateus")</f>
        <v>lidiomateus</v>
      </c>
      <c r="C125" s="2" t="str">
        <f>IFERROR(__xludf.DUMMYFUNCTION("""COMPUTED_VALUE"""),"""Show para todes"" Novo projeto!")</f>
        <v>"Show para todes" Novo projeto!</v>
      </c>
      <c r="D125" s="2">
        <f>IFERROR(__xludf.DUMMYFUNCTION("""COMPUTED_VALUE"""),5.477810059169188E-4)</f>
        <v>0.0005477810059</v>
      </c>
      <c r="E125" s="2" t="str">
        <f>IFERROR(__xludf.DUMMYFUNCTION("""COMPUTED_VALUE"""),"      2.435")</f>
        <v>      2.435</v>
      </c>
    </row>
    <row r="126">
      <c r="A126" s="2" t="str">
        <f>IFERROR(__xludf.DUMMYFUNCTION("""COMPUTED_VALUE"""),"Arena MRV")</f>
        <v>Arena MRV</v>
      </c>
      <c r="B126" s="2" t="str">
        <f>IFERROR(__xludf.DUMMYFUNCTION("""COMPUTED_VALUE"""),"arenamrv")</f>
        <v>arenamrv</v>
      </c>
      <c r="C126" s="2" t="str">
        <f>IFERROR(__xludf.DUMMYFUNCTION("""COMPUTED_VALUE"""),"Perfil oficial da casa do @Atletico.")</f>
        <v>Perfil oficial da casa do @Atletico.</v>
      </c>
      <c r="D126" s="2">
        <f>IFERROR(__xludf.DUMMYFUNCTION("""COMPUTED_VALUE"""),5.351018185602835E-4)</f>
        <v>0.0005351018186</v>
      </c>
      <c r="E126" s="2" t="str">
        <f>IFERROR(__xludf.DUMMYFUNCTION("""COMPUTED_VALUE"""),"    151.587")</f>
        <v>    151.587</v>
      </c>
    </row>
    <row r="127">
      <c r="A127" s="2" t="str">
        <f>IFERROR(__xludf.DUMMYFUNCTION("""COMPUTED_VALUE"""),"SportingPopular")</f>
        <v>SportingPopular</v>
      </c>
      <c r="B127" s="2" t="str">
        <f>IFERROR(__xludf.DUMMYFUNCTION("""COMPUTED_VALUE"""),"scppopular")</f>
        <v>scppopular</v>
      </c>
      <c r="C127" s="2" t="str">
        <f>IFERROR(__xludf.DUMMYFUNCTION("""COMPUTED_VALUE"""),"Por um Sporting de Matriz Popular.
https://t.co/Hi4vCDcVOx
https://t.co/QGNJkGer1w")</f>
        <v>Por um Sporting de Matriz Popular.
https://t.co/Hi4vCDcVOx
https://t.co/QGNJkGer1w</v>
      </c>
      <c r="D127" s="2">
        <f>IFERROR(__xludf.DUMMYFUNCTION("""COMPUTED_VALUE"""),5.264714473343384E-4)</f>
        <v>0.0005264714473</v>
      </c>
      <c r="E127" s="2" t="str">
        <f>IFERROR(__xludf.DUMMYFUNCTION("""COMPUTED_VALUE"""),"      2.636")</f>
        <v>      2.636</v>
      </c>
    </row>
    <row r="128">
      <c r="A128" s="2" t="str">
        <f>IFERROR(__xludf.DUMMYFUNCTION("""COMPUTED_VALUE"""),"Bonéverson do Terreirão")</f>
        <v>Bonéverson do Terreirão</v>
      </c>
      <c r="B128" s="2" t="str">
        <f>IFERROR(__xludf.DUMMYFUNCTION("""COMPUTED_VALUE"""),"ogalista")</f>
        <v>ogalista</v>
      </c>
      <c r="C128" s="2" t="str">
        <f>IFERROR(__xludf.DUMMYFUNCTION("""COMPUTED_VALUE"""),"Perfil pessoal, com opiniões pessoais sobre tudo o que me der na telha. Não é uma página temática sobre o Galo. O problema é que eu penso no Galo o tempo todo.")</f>
        <v>Perfil pessoal, com opiniões pessoais sobre tudo o que me der na telha. Não é uma página temática sobre o Galo. O problema é que eu penso no Galo o tempo todo.</v>
      </c>
      <c r="D128" s="2">
        <f>IFERROR(__xludf.DUMMYFUNCTION("""COMPUTED_VALUE"""),5.264714473343384E-4)</f>
        <v>0.0005264714473</v>
      </c>
      <c r="E128" s="2" t="str">
        <f>IFERROR(__xludf.DUMMYFUNCTION("""COMPUTED_VALUE"""),"      2.304")</f>
        <v>      2.304</v>
      </c>
    </row>
    <row r="129">
      <c r="A129" s="2" t="str">
        <f>IFERROR(__xludf.DUMMYFUNCTION("""COMPUTED_VALUE"""),"marcia denser")</f>
        <v>marcia denser</v>
      </c>
      <c r="B129" s="2" t="str">
        <f>IFERROR(__xludf.DUMMYFUNCTION("""COMPUTED_VALUE"""),"mdenser")</f>
        <v>mdenser</v>
      </c>
      <c r="C129" s="2" t="str">
        <f>IFERROR(__xludf.DUMMYFUNCTION("""COMPUTED_VALUE"""),"ESCRITORA e JORNALISTA cursos,coach,palestras e bate-papos
mdenser@uol.com.br")</f>
        <v>ESCRITORA e JORNALISTA cursos,coach,palestras e bate-papos
mdenser@uol.com.br</v>
      </c>
      <c r="D129" s="2">
        <f>IFERROR(__xludf.DUMMYFUNCTION("""COMPUTED_VALUE"""),5.264714473343384E-4)</f>
        <v>0.0005264714473</v>
      </c>
      <c r="E129" s="2" t="str">
        <f>IFERROR(__xludf.DUMMYFUNCTION("""COMPUTED_VALUE"""),"     39.897")</f>
        <v>     39.897</v>
      </c>
    </row>
    <row r="130">
      <c r="A130" s="2" t="str">
        <f>IFERROR(__xludf.DUMMYFUNCTION("""COMPUTED_VALUE"""),"Leonardo Ribeiro")</f>
        <v>Leonardo Ribeiro</v>
      </c>
      <c r="B130" s="2" t="str">
        <f>IFERROR(__xludf.DUMMYFUNCTION("""COMPUTED_VALUE"""),"leobudget")</f>
        <v>leobudget</v>
      </c>
      <c r="C130" s="2" t="str">
        <f>IFERROR(__xludf.DUMMYFUNCTION("""COMPUTED_VALUE"""),"Secretário Nacional de Ferrovias. Um dos idealizadores do Marco Regulatório das Ferrovias e @ifibrasil. Mestre em Economia c/ Visiting Scholar @victoriauninews")</f>
        <v>Secretário Nacional de Ferrovias. Um dos idealizadores do Marco Regulatório das Ferrovias e @ifibrasil. Mestre em Economia c/ Visiting Scholar @victoriauninews</v>
      </c>
      <c r="D130" s="2">
        <f>IFERROR(__xludf.DUMMYFUNCTION("""COMPUTED_VALUE"""),5.264714473343384E-4)</f>
        <v>0.0005264714473</v>
      </c>
      <c r="E130" s="2" t="str">
        <f>IFERROR(__xludf.DUMMYFUNCTION("""COMPUTED_VALUE"""),"      5.739")</f>
        <v>      5.739</v>
      </c>
    </row>
    <row r="131">
      <c r="A131" s="2" t="str">
        <f>IFERROR(__xludf.DUMMYFUNCTION("""COMPUTED_VALUE"""),"Greice Kelly 🦋")</f>
        <v>Greice Kelly 🦋</v>
      </c>
      <c r="B131" s="2" t="str">
        <f>IFERROR(__xludf.DUMMYFUNCTION("""COMPUTED_VALUE"""),"greicy_kelly21")</f>
        <v>greicy_kelly21</v>
      </c>
      <c r="C131" s="2" t="str">
        <f>IFERROR(__xludf.DUMMYFUNCTION("""COMPUTED_VALUE"""),"aqui apenas pela diversão 👍🏻😛")</f>
        <v>aqui apenas pela diversão 👍🏻😛</v>
      </c>
      <c r="D131" s="2">
        <f>IFERROR(__xludf.DUMMYFUNCTION("""COMPUTED_VALUE"""),5.264714473343383E-4)</f>
        <v>0.0005264714473</v>
      </c>
      <c r="E131" s="2" t="str">
        <f>IFERROR(__xludf.DUMMYFUNCTION("""COMPUTED_VALUE"""),"      1.887")</f>
        <v>      1.887</v>
      </c>
    </row>
    <row r="132">
      <c r="A132" s="2" t="str">
        <f>IFERROR(__xludf.DUMMYFUNCTION("""COMPUTED_VALUE"""),"Rede Marco")</f>
        <v>Rede Marco</v>
      </c>
      <c r="B132" s="2" t="str">
        <f>IFERROR(__xludf.DUMMYFUNCTION("""COMPUTED_VALUE"""),"rede_marco")</f>
        <v>rede_marco</v>
      </c>
      <c r="C132" s="2" t="str">
        <f>IFERROR(__xludf.DUMMYFUNCTION("""COMPUTED_VALUE"""),"👍 Aqui não se cria notícia, se compartilha")</f>
        <v>👍 Aqui não se cria notícia, se compartilha</v>
      </c>
      <c r="D132" s="2">
        <f>IFERROR(__xludf.DUMMYFUNCTION("""COMPUTED_VALUE"""),5.179476239013062E-4)</f>
        <v>0.0005179476239</v>
      </c>
      <c r="E132" s="2" t="str">
        <f>IFERROR(__xludf.DUMMYFUNCTION("""COMPUTED_VALUE"""),"     66.763")</f>
        <v>     66.763</v>
      </c>
    </row>
    <row r="133">
      <c r="A133" s="2" t="str">
        <f>IFERROR(__xludf.DUMMYFUNCTION("""COMPUTED_VALUE"""),"adri")</f>
        <v>adri</v>
      </c>
      <c r="B133" s="2" t="str">
        <f>IFERROR(__xludf.DUMMYFUNCTION("""COMPUTED_VALUE"""),"aotyrevival")</f>
        <v>aotyrevival</v>
      </c>
      <c r="C133" s="2" t="str">
        <f>IFERROR(__xludf.DUMMYFUNCTION("""COMPUTED_VALUE"""),"esse perfil é uma monarquia governada por selena gomez e taylor swift")</f>
        <v>esse perfil é uma monarquia governada por selena gomez e taylor swift</v>
      </c>
      <c r="D133" s="2">
        <f>IFERROR(__xludf.DUMMYFUNCTION("""COMPUTED_VALUE"""),5.177226896718235E-4)</f>
        <v>0.0005177226897</v>
      </c>
      <c r="E133" s="2" t="str">
        <f>IFERROR(__xludf.DUMMYFUNCTION("""COMPUTED_VALUE"""),"      8.854")</f>
        <v>      8.854</v>
      </c>
    </row>
    <row r="134">
      <c r="A134" s="2" t="str">
        <f>IFERROR(__xludf.DUMMYFUNCTION("""COMPUTED_VALUE"""),"Atlético")</f>
        <v>Atlético</v>
      </c>
      <c r="B134" s="2" t="str">
        <f>IFERROR(__xludf.DUMMYFUNCTION("""COMPUTED_VALUE"""),"atletico")</f>
        <v>atletico</v>
      </c>
      <c r="C134" s="2" t="str">
        <f>IFERROR(__xludf.DUMMYFUNCTION("""COMPUTED_VALUE"""),"Twitter Oficial do Clube Atlético Mineiro | https://t.co/ArdRHE0KYJ | https://t.co/rPebkOzQWz | https://t.co/gvlkQS7VFF")</f>
        <v>Twitter Oficial do Clube Atlético Mineiro | https://t.co/ArdRHE0KYJ | https://t.co/rPebkOzQWz | https://t.co/gvlkQS7VFF</v>
      </c>
      <c r="D134" s="2">
        <f>IFERROR(__xludf.DUMMYFUNCTION("""COMPUTED_VALUE"""),5.115547563265322E-4)</f>
        <v>0.0005115547563</v>
      </c>
      <c r="E134" s="2" t="str">
        <f>IFERROR(__xludf.DUMMYFUNCTION("""COMPUTED_VALUE"""),"  2.614.600")</f>
        <v>  2.614.600</v>
      </c>
    </row>
    <row r="135">
      <c r="A135" s="2" t="str">
        <f>IFERROR(__xludf.DUMMYFUNCTION("""COMPUTED_VALUE"""),"E-Investidor")</f>
        <v>E-Investidor</v>
      </c>
      <c r="B135" s="2" t="str">
        <f>IFERROR(__xludf.DUMMYFUNCTION("""COMPUTED_VALUE"""),"einvestidor")</f>
        <v>einvestidor</v>
      </c>
      <c r="C135" s="2" t="str">
        <f>IFERROR(__xludf.DUMMYFUNCTION("""COMPUTED_VALUE"""),"Notícias sobre mercado financeiro, economia e finanças pessoais. Este é o E-investidor, novo portal de investimentos do @estadao")</f>
        <v>Notícias sobre mercado financeiro, economia e finanças pessoais. Este é o E-investidor, novo portal de investimentos do @estadao</v>
      </c>
      <c r="D135" s="2">
        <f>IFERROR(__xludf.DUMMYFUNCTION("""COMPUTED_VALUE"""),4.8597144738377876E-4)</f>
        <v>0.0004859714474</v>
      </c>
      <c r="E135" s="2" t="str">
        <f>IFERROR(__xludf.DUMMYFUNCTION("""COMPUTED_VALUE"""),"     70.646")</f>
        <v>     70.646</v>
      </c>
    </row>
    <row r="136">
      <c r="A136" s="2" t="str">
        <f>IFERROR(__xludf.DUMMYFUNCTION("""COMPUTED_VALUE"""),"𝛂riel")</f>
        <v>𝛂riel</v>
      </c>
      <c r="B136" s="2" t="str">
        <f>IFERROR(__xludf.DUMMYFUNCTION("""COMPUTED_VALUE"""),"jblackswxn")</f>
        <v>jblackswxn</v>
      </c>
      <c r="C136" s="2" t="str">
        <f>IFERROR(__xludf.DUMMYFUNCTION("""COMPUTED_VALUE"""),"͏ ͏bizzle is a fucking legend")</f>
        <v>͏ ͏bizzle is a fucking legend</v>
      </c>
      <c r="D136" s="2">
        <f>IFERROR(__xludf.DUMMYFUNCTION("""COMPUTED_VALUE"""),4.8385233016917775E-4)</f>
        <v>0.0004838523302</v>
      </c>
      <c r="E136" s="2" t="str">
        <f>IFERROR(__xludf.DUMMYFUNCTION("""COMPUTED_VALUE"""),"      4.185")</f>
        <v>      4.185</v>
      </c>
    </row>
    <row r="137">
      <c r="A137" s="2" t="str">
        <f>IFERROR(__xludf.DUMMYFUNCTION("""COMPUTED_VALUE"""),"Cristiano R Castro")</f>
        <v>Cristiano R Castro</v>
      </c>
      <c r="B137" s="2" t="str">
        <f>IFERROR(__xludf.DUMMYFUNCTION("""COMPUTED_VALUE"""),"criscastrogalo")</f>
        <v>criscastrogalo</v>
      </c>
      <c r="C137" s="2" t="str">
        <f>IFERROR(__xludf.DUMMYFUNCTION("""COMPUTED_VALUE"""),"Atleticano Graças a Deus!!!")</f>
        <v>Atleticano Graças a Deus!!!</v>
      </c>
      <c r="D137" s="2">
        <f>IFERROR(__xludf.DUMMYFUNCTION("""COMPUTED_VALUE"""),4.8385233016917775E-4)</f>
        <v>0.0004838523302</v>
      </c>
      <c r="E137" s="2" t="str">
        <f>IFERROR(__xludf.DUMMYFUNCTION("""COMPUTED_VALUE"""),"     22.068")</f>
        <v>     22.068</v>
      </c>
    </row>
    <row r="138">
      <c r="A138" s="2" t="str">
        <f>IFERROR(__xludf.DUMMYFUNCTION("""COMPUTED_VALUE"""),"Geração FM ⚽")</f>
        <v>Geração FM ⚽</v>
      </c>
      <c r="B138" s="2" t="str">
        <f>IFERROR(__xludf.DUMMYFUNCTION("""COMPUTED_VALUE"""),"gerafutebol")</f>
        <v>gerafutebol</v>
      </c>
      <c r="C138" s="2" t="str">
        <f>IFERROR(__xludf.DUMMYFUNCTION("""COMPUTED_VALUE"""),"Futebol, Fútbol, Football")</f>
        <v>Futebol, Fútbol, Football</v>
      </c>
      <c r="D138" s="2">
        <f>IFERROR(__xludf.DUMMYFUNCTION("""COMPUTED_VALUE"""),4.8385233016917775E-4)</f>
        <v>0.0004838523302</v>
      </c>
      <c r="E138" s="2" t="str">
        <f>IFERROR(__xludf.DUMMYFUNCTION("""COMPUTED_VALUE"""),"      5.895")</f>
        <v>      5.895</v>
      </c>
    </row>
    <row r="139">
      <c r="A139" s="2" t="str">
        <f>IFERROR(__xludf.DUMMYFUNCTION("""COMPUTED_VALUE"""),"Carlos Alberto Ramos")</f>
        <v>Carlos Alberto Ramos</v>
      </c>
      <c r="B139" s="2" t="str">
        <f>IFERROR(__xludf.DUMMYFUNCTION("""COMPUTED_VALUE"""),"carlosalrms")</f>
        <v>carlosalrms</v>
      </c>
      <c r="C139" s="2" t="str">
        <f>IFERROR(__xludf.DUMMYFUNCTION("""COMPUTED_VALUE"""),"Professor - Departamento de Economia - UnB")</f>
        <v>Professor - Departamento de Economia - UnB</v>
      </c>
      <c r="D139" s="2">
        <f>IFERROR(__xludf.DUMMYFUNCTION("""COMPUTED_VALUE"""),4.8385233016917775E-4)</f>
        <v>0.0004838523302</v>
      </c>
      <c r="E139" s="2" t="str">
        <f>IFERROR(__xludf.DUMMYFUNCTION("""COMPUTED_VALUE"""),"      2.145")</f>
        <v>      2.145</v>
      </c>
    </row>
    <row r="140">
      <c r="A140" s="2" t="str">
        <f>IFERROR(__xludf.DUMMYFUNCTION("""COMPUTED_VALUE"""),"TXT Stream Base")</f>
        <v>TXT Stream Base</v>
      </c>
      <c r="B140" s="2" t="str">
        <f>IFERROR(__xludf.DUMMYFUNCTION("""COMPUTED_VALUE"""),"txtstreambase")</f>
        <v>txtstreambase</v>
      </c>
      <c r="C140" s="2" t="str">
        <f>IFERROR(__xludf.DUMMYFUNCTION("""COMPUTED_VALUE"""),"Main @TXT_members' streaming fanbase // do not repost our content without credit")</f>
        <v>Main @TXT_members' streaming fanbase // do not repost our content without credit</v>
      </c>
      <c r="D140" s="2">
        <f>IFERROR(__xludf.DUMMYFUNCTION("""COMPUTED_VALUE"""),4.7532850673614557E-4)</f>
        <v>0.0004753285067</v>
      </c>
      <c r="E140" s="2" t="str">
        <f>IFERROR(__xludf.DUMMYFUNCTION("""COMPUTED_VALUE"""),"     26.697")</f>
        <v>     26.697</v>
      </c>
    </row>
    <row r="141">
      <c r="A141" s="2" t="str">
        <f>IFERROR(__xludf.DUMMYFUNCTION("""COMPUTED_VALUE"""),"fernanda schmitt • autora")</f>
        <v>fernanda schmitt • autora</v>
      </c>
      <c r="B141" s="2" t="str">
        <f>IFERROR(__xludf.DUMMYFUNCTION("""COMPUTED_VALUE"""),"fernandaschmtt")</f>
        <v>fernandaschmtt</v>
      </c>
      <c r="C141" s="2" t="str">
        <f>IFERROR(__xludf.DUMMYFUNCTION("""COMPUTED_VALUE"""),"compre meu livro Eros com brindes e autógrafo dedicado no link abaixo 🏹🤎")</f>
        <v>compre meu livro Eros com brindes e autógrafo dedicado no link abaixo 🏹🤎</v>
      </c>
      <c r="D141" s="2">
        <f>IFERROR(__xludf.DUMMYFUNCTION("""COMPUTED_VALUE"""),4.7532850673614557E-4)</f>
        <v>0.0004753285067</v>
      </c>
      <c r="E141" s="2" t="str">
        <f>IFERROR(__xludf.DUMMYFUNCTION("""COMPUTED_VALUE"""),"      1.563")</f>
        <v>      1.563</v>
      </c>
    </row>
    <row r="142">
      <c r="A142" s="2" t="str">
        <f>IFERROR(__xludf.DUMMYFUNCTION("""COMPUTED_VALUE"""),"Wellington Dias")</f>
        <v>Wellington Dias</v>
      </c>
      <c r="B142" s="2" t="str">
        <f>IFERROR(__xludf.DUMMYFUNCTION("""COMPUTED_VALUE"""),"wdiaspi")</f>
        <v>wdiaspi</v>
      </c>
      <c r="C142" s="2" t="str">
        <f>IFERROR(__xludf.DUMMYFUNCTION("""COMPUTED_VALUE"""),"Ministro do Desenvolvimento e Assistência Social, Família e Combate à Fome. Ex-governador do Piauí e escritor. 
Nossa missão é cuidar das pessoas 🇧🇷")</f>
        <v>Ministro do Desenvolvimento e Assistência Social, Família e Combate à Fome. Ex-governador do Piauí e escritor. 
Nossa missão é cuidar das pessoas 🇧🇷</v>
      </c>
      <c r="D142" s="2">
        <f>IFERROR(__xludf.DUMMYFUNCTION("""COMPUTED_VALUE"""),4.7213207294875847E-4)</f>
        <v>0.0004721320729</v>
      </c>
      <c r="E142" s="2" t="str">
        <f>IFERROR(__xludf.DUMMYFUNCTION("""COMPUTED_VALUE"""),"     49.839")</f>
        <v>     49.839</v>
      </c>
    </row>
    <row r="143">
      <c r="A143" s="2" t="str">
        <f>IFERROR(__xludf.DUMMYFUNCTION("""COMPUTED_VALUE"""),"jeff. FREEFALL")</f>
        <v>jeff. FREEFALL</v>
      </c>
      <c r="B143" s="2" t="str">
        <f>IFERROR(__xludf.DUMMYFUNCTION("""COMPUTED_VALUE"""),"lightxtt")</f>
        <v>lightxtt</v>
      </c>
      <c r="C143" s="2" t="str">
        <f>IFERROR(__xludf.DUMMYFUNCTION("""COMPUTED_VALUE"""),"𓏲 ⭒  ׅ 𝑜𝑛𝑙𝑦𝑚𝑜𝑎  -  𝒉𝑒 𝒉𝑖𝑚  𔘓  𝑡𝑒𝑟𝑟𝑦  -  🥀
⠀                  ⠀⠀                  ⠀⠀                   ⠀⠀                   ⠀⠀")</f>
        <v>𓏲 ⭒  ׅ 𝑜𝑛𝑙𝑦𝑚𝑜𝑎  -  𝒉𝑒 𝒉𝑖𝑚  𔘓  𝑡𝑒𝑟𝑟𝑦  -  🥀
⠀                  ⠀⠀                  ⠀⠀                   ⠀⠀                   ⠀⠀</v>
      </c>
      <c r="D143" s="2">
        <f>IFERROR(__xludf.DUMMYFUNCTION("""COMPUTED_VALUE"""),4.41233213004017E-4)</f>
        <v>0.000441233213</v>
      </c>
      <c r="E143" s="2" t="str">
        <f>IFERROR(__xludf.DUMMYFUNCTION("""COMPUTED_VALUE"""),"      1.481")</f>
        <v>      1.481</v>
      </c>
    </row>
    <row r="144">
      <c r="A144" s="2" t="str">
        <f>IFERROR(__xludf.DUMMYFUNCTION("""COMPUTED_VALUE"""),"Livros com Promo")</f>
        <v>Livros com Promo</v>
      </c>
      <c r="B144" s="2" t="str">
        <f>IFERROR(__xludf.DUMMYFUNCTION("""COMPUTED_VALUE"""),"livroscompromo")</f>
        <v>livroscompromo</v>
      </c>
      <c r="C144" s="2" t="str">
        <f>IFERROR(__xludf.DUMMYFUNCTION("""COMPUTED_VALUE"""),"🙋🏻‍♂️ Oi! Somos a LCP! 💌 Divulgamos ofertas, promoções, pré-vendas e cupons de livros. 📘 Links: https://t.co/djeATChZog 🫶🏻 • (he/him) • #BookTwT •")</f>
        <v>🙋🏻‍♂️ Oi! Somos a LCP! 💌 Divulgamos ofertas, promoções, pré-vendas e cupons de livros. 📘 Links: https://t.co/djeATChZog 🫶🏻 • (he/him) • #BookTwT •</v>
      </c>
      <c r="D144" s="2">
        <f>IFERROR(__xludf.DUMMYFUNCTION("""COMPUTED_VALUE"""),4.41233213004017E-4)</f>
        <v>0.000441233213</v>
      </c>
      <c r="E144" s="2" t="str">
        <f>IFERROR(__xludf.DUMMYFUNCTION("""COMPUTED_VALUE"""),"     98.895")</f>
        <v>     98.895</v>
      </c>
    </row>
    <row r="145">
      <c r="A145" s="2" t="str">
        <f>IFERROR(__xludf.DUMMYFUNCTION("""COMPUTED_VALUE"""),"leizzy🏹🐯")</f>
        <v>leizzy🏹🐯</v>
      </c>
      <c r="B145" s="2" t="str">
        <f>IFERROR(__xludf.DUMMYFUNCTION("""COMPUTED_VALUE"""),"leizzy0")</f>
        <v>leizzy0</v>
      </c>
      <c r="C145" s="2" t="str">
        <f>IFERROR(__xludf.DUMMYFUNCTION("""COMPUTED_VALUE"""),"Eu sou mais louco que todos vocês")</f>
        <v>Eu sou mais louco que todos vocês</v>
      </c>
      <c r="D145" s="2">
        <f>IFERROR(__xludf.DUMMYFUNCTION("""COMPUTED_VALUE"""),4.41233213004017E-4)</f>
        <v>0.000441233213</v>
      </c>
      <c r="E145" s="2" t="str">
        <f>IFERROR(__xludf.DUMMYFUNCTION("""COMPUTED_VALUE"""),"      1.725")</f>
        <v>      1.725</v>
      </c>
    </row>
    <row r="146">
      <c r="A146" s="2" t="str">
        <f>IFERROR(__xludf.DUMMYFUNCTION("""COMPUTED_VALUE"""),"Gabriel Sá")</f>
        <v>Gabriel Sá</v>
      </c>
      <c r="B146" s="2" t="str">
        <f>IFERROR(__xludf.DUMMYFUNCTION("""COMPUTED_VALUE"""),"ogabrielsa")</f>
        <v>ogabrielsa</v>
      </c>
      <c r="C146" s="2" t="str">
        <f>IFERROR(__xludf.DUMMYFUNCTION("""COMPUTED_VALUE"""),"🇧🇷🎙️ | Por aqui, informações, opiniões e algumas bobeiras… | Embaixador @KTO_Brasil | #PodeCravar 🤝")</f>
        <v>🇧🇷🎙️ | Por aqui, informações, opiniões e algumas bobeiras… | Embaixador @KTO_Brasil | #PodeCravar 🤝</v>
      </c>
      <c r="D146" s="2">
        <f>IFERROR(__xludf.DUMMYFUNCTION("""COMPUTED_VALUE"""),4.41233213004017E-4)</f>
        <v>0.000441233213</v>
      </c>
      <c r="E146" s="2" t="str">
        <f>IFERROR(__xludf.DUMMYFUNCTION("""COMPUTED_VALUE"""),"     73.325")</f>
        <v>     73.325</v>
      </c>
    </row>
    <row r="147">
      <c r="A147" s="2" t="str">
        <f>IFERROR(__xludf.DUMMYFUNCTION("""COMPUTED_VALUE"""),"Revista Oeste")</f>
        <v>Revista Oeste</v>
      </c>
      <c r="B147" s="2" t="str">
        <f>IFERROR(__xludf.DUMMYFUNCTION("""COMPUTED_VALUE"""),"revistaoeste")</f>
        <v>revistaoeste</v>
      </c>
      <c r="C147" s="2"/>
      <c r="D147" s="2">
        <f>IFERROR(__xludf.DUMMYFUNCTION("""COMPUTED_VALUE"""),4.41233213004017E-4)</f>
        <v>0.000441233213</v>
      </c>
      <c r="E147" s="2" t="str">
        <f>IFERROR(__xludf.DUMMYFUNCTION("""COMPUTED_VALUE"""),"  1.182.838")</f>
        <v>  1.182.838</v>
      </c>
    </row>
    <row r="148">
      <c r="A148" s="2" t="str">
        <f>IFERROR(__xludf.DUMMYFUNCTION("""COMPUTED_VALUE"""),"Claudio Dantas")</f>
        <v>Claudio Dantas</v>
      </c>
      <c r="B148" s="2" t="str">
        <f>IFERROR(__xludf.DUMMYFUNCTION("""COMPUTED_VALUE"""),"claudioedantas")</f>
        <v>claudioedantas</v>
      </c>
      <c r="C148" s="2" t="str">
        <f>IFERROR(__xludf.DUMMYFUNCTION("""COMPUTED_VALUE"""),"Diretor da Jovem Pan em Brasília e analista político. Palestras e eventos em inteligenciapublica@proton.me")</f>
        <v>Diretor da Jovem Pan em Brasília e analista político. Palestras e eventos em inteligenciapublica@proton.me</v>
      </c>
      <c r="D148" s="2">
        <f>IFERROR(__xludf.DUMMYFUNCTION("""COMPUTED_VALUE"""),4.41233213004017E-4)</f>
        <v>0.000441233213</v>
      </c>
      <c r="E148" s="2" t="str">
        <f>IFERROR(__xludf.DUMMYFUNCTION("""COMPUTED_VALUE"""),"    324.500")</f>
        <v>    324.500</v>
      </c>
    </row>
    <row r="149">
      <c r="A149" s="2" t="str">
        <f>IFERROR(__xludf.DUMMYFUNCTION("""COMPUTED_VALUE"""),"UBS")</f>
        <v>UBS</v>
      </c>
      <c r="B149" s="2" t="str">
        <f>IFERROR(__xludf.DUMMYFUNCTION("""COMPUTED_VALUE"""),"ubs")</f>
        <v>ubs</v>
      </c>
      <c r="C149" s="2" t="str">
        <f>IFERROR(__xludf.DUMMYFUNCTION("""COMPUTED_VALUE"""),"Follow us for news about UBS, our events and opinions  from around the world.")</f>
        <v>Follow us for news about UBS, our events and opinions  from around the world.</v>
      </c>
      <c r="D149" s="2">
        <f>IFERROR(__xludf.DUMMYFUNCTION("""COMPUTED_VALUE"""),4.41233213004017E-4)</f>
        <v>0.000441233213</v>
      </c>
      <c r="E149" s="2" t="str">
        <f>IFERROR(__xludf.DUMMYFUNCTION("""COMPUTED_VALUE"""),"    521.156")</f>
        <v>    521.156</v>
      </c>
    </row>
    <row r="150">
      <c r="A150" s="2" t="str">
        <f>IFERROR(__xludf.DUMMYFUNCTION("""COMPUTED_VALUE"""),"Central Rony Rústico")</f>
        <v>Central Rony Rústico</v>
      </c>
      <c r="B150" s="2" t="str">
        <f>IFERROR(__xludf.DUMMYFUNCTION("""COMPUTED_VALUE"""),"ronyrustico2m")</f>
        <v>ronyrustico2m</v>
      </c>
      <c r="C150" s="2" t="str">
        <f>IFERROR(__xludf.DUMMYFUNCTION("""COMPUTED_VALUE"""),"Perfil no Twitter dedicado ao lendário camisa 10, conhecido como Rony Rústico Careca #R10 e fã incondicional do Lakers 🏀⚽")</f>
        <v>Perfil no Twitter dedicado ao lendário camisa 10, conhecido como Rony Rústico Careca #R10 e fã incondicional do Lakers 🏀⚽</v>
      </c>
      <c r="D150" s="2">
        <f>IFERROR(__xludf.DUMMYFUNCTION("""COMPUTED_VALUE"""),4.332421285352718E-4)</f>
        <v>0.0004332421285</v>
      </c>
      <c r="E150" s="2" t="str">
        <f>IFERROR(__xludf.DUMMYFUNCTION("""COMPUTED_VALUE"""),"      6.070")</f>
        <v>      6.070</v>
      </c>
    </row>
    <row r="151">
      <c r="A151" s="2" t="str">
        <f>IFERROR(__xludf.DUMMYFUNCTION("""COMPUTED_VALUE"""),"Zé Adão Barbosa")</f>
        <v>Zé Adão Barbosa</v>
      </c>
      <c r="B151" s="2" t="str">
        <f>IFERROR(__xludf.DUMMYFUNCTION("""COMPUTED_VALUE"""),"zeadaobarbosa")</f>
        <v>zeadaobarbosa</v>
      </c>
      <c r="C151" s="2" t="str">
        <f>IFERROR(__xludf.DUMMYFUNCTION("""COMPUTED_VALUE"""),"Ator, diretor e professor de teatro na Casa de Teatro de Porto Alegre")</f>
        <v>Ator, diretor e professor de teatro na Casa de Teatro de Porto Alegre</v>
      </c>
      <c r="D151" s="2">
        <f>IFERROR(__xludf.DUMMYFUNCTION("""COMPUTED_VALUE"""),4.2702684061563006E-4)</f>
        <v>0.0004270268406</v>
      </c>
      <c r="E151" s="2" t="str">
        <f>IFERROR(__xludf.DUMMYFUNCTION("""COMPUTED_VALUE"""),"      4.660")</f>
        <v>      4.660</v>
      </c>
    </row>
    <row r="152">
      <c r="A152" s="2" t="str">
        <f>IFERROR(__xludf.DUMMYFUNCTION("""COMPUTED_VALUE"""),"Carlos Jordy")</f>
        <v>Carlos Jordy</v>
      </c>
      <c r="B152" s="2" t="str">
        <f>IFERROR(__xludf.DUMMYFUNCTION("""COMPUTED_VALUE"""),"carlosjordy")</f>
        <v>carlosjordy</v>
      </c>
      <c r="C152" s="2" t="str">
        <f>IFERROR(__xludf.DUMMYFUNCTION("""COMPUTED_VALUE"""),"Deputado Federal reeleito pelo RJ / Líder da oposição na Câmara dos Deputados")</f>
        <v>Deputado Federal reeleito pelo RJ / Líder da oposição na Câmara dos Deputados</v>
      </c>
      <c r="D152" s="2">
        <f>IFERROR(__xludf.DUMMYFUNCTION("""COMPUTED_VALUE"""),4.259998739369515E-4)</f>
        <v>0.0004259998739</v>
      </c>
      <c r="E152" s="2" t="str">
        <f>IFERROR(__xludf.DUMMYFUNCTION("""COMPUTED_VALUE"""),"  1.136.892")</f>
        <v>  1.136.892</v>
      </c>
    </row>
    <row r="153">
      <c r="A153" s="2" t="str">
        <f>IFERROR(__xludf.DUMMYFUNCTION("""COMPUTED_VALUE"""),"Jones Manoel - YouTube: Jones Manoel")</f>
        <v>Jones Manoel - YouTube: Jones Manoel</v>
      </c>
      <c r="B153" s="2" t="str">
        <f>IFERROR(__xludf.DUMMYFUNCTION("""COMPUTED_VALUE"""),"jonesmanoel_pe")</f>
        <v>jonesmanoel_pe</v>
      </c>
      <c r="C153" s="2" t="str">
        <f>IFERROR(__xludf.DUMMYFUNCTION("""COMPUTED_VALUE"""),"Historiador, professor, educador popular, Youtuber, Podcaster (@revolushow) e militante comunista.")</f>
        <v>Historiador, professor, educador popular, Youtuber, Podcaster (@revolushow) e militante comunista.</v>
      </c>
      <c r="D153" s="2">
        <f>IFERROR(__xludf.DUMMYFUNCTION("""COMPUTED_VALUE"""),4.220546102796946E-4)</f>
        <v>0.0004220546103</v>
      </c>
      <c r="E153" s="2" t="str">
        <f>IFERROR(__xludf.DUMMYFUNCTION("""COMPUTED_VALUE"""),"    230.118")</f>
        <v>    230.118</v>
      </c>
    </row>
    <row r="154">
      <c r="A154" s="2" t="str">
        <f>IFERROR(__xludf.DUMMYFUNCTION("""COMPUTED_VALUE"""),"Morpheus 66 🚩🚩🚩🕊️")</f>
        <v>Morpheus 66 🚩🚩🚩🕊️</v>
      </c>
      <c r="B154" s="2" t="str">
        <f>IFERROR(__xludf.DUMMYFUNCTION("""COMPUTED_VALUE"""),"morpheus1966_")</f>
        <v>morpheus1966_</v>
      </c>
      <c r="C154" s="2" t="str">
        <f>IFERROR(__xludf.DUMMYFUNCTION("""COMPUTED_VALUE"""),"🚩As amizades verdadeiras são como a Fênix. Lembram do DaviGabriel1966? soy yo. Encontrando novamente meus velhos amigos!
A ESQUERDA é bem-vinda! 🚩
⛔DM Pornô⛔")</f>
        <v>🚩As amizades verdadeiras são como a Fênix. Lembram do DaviGabriel1966? soy yo. Encontrando novamente meus velhos amigos!
A ESQUERDA é bem-vinda! 🚩
⛔DM Pornô⛔</v>
      </c>
      <c r="D154" s="2">
        <f>IFERROR(__xludf.DUMMYFUNCTION("""COMPUTED_VALUE"""),4.1179350154856454E-4)</f>
        <v>0.0004117935015</v>
      </c>
      <c r="E154" s="2" t="str">
        <f>IFERROR(__xludf.DUMMYFUNCTION("""COMPUTED_VALUE"""),"      3.753")</f>
        <v>      3.753</v>
      </c>
    </row>
    <row r="155">
      <c r="A155" s="2" t="str">
        <f>IFERROR(__xludf.DUMMYFUNCTION("""COMPUTED_VALUE"""),"liv")</f>
        <v>liv</v>
      </c>
      <c r="B155" s="2" t="str">
        <f>IFERROR(__xludf.DUMMYFUNCTION("""COMPUTED_VALUE"""),"thesiciliantea")</f>
        <v>thesiciliantea</v>
      </c>
      <c r="C155" s="2" t="str">
        <f>IFERROR(__xludf.DUMMYFUNCTION("""COMPUTED_VALUE"""),"it gets progressively gayer as we go on...as life usually does")</f>
        <v>it gets progressively gayer as we go on...as life usually does</v>
      </c>
      <c r="D155" s="2">
        <f>IFERROR(__xludf.DUMMYFUNCTION("""COMPUTED_VALUE"""),4.0287600755537227E-4)</f>
        <v>0.0004028760076</v>
      </c>
      <c r="E155" s="2" t="str">
        <f>IFERROR(__xludf.DUMMYFUNCTION("""COMPUTED_VALUE"""),"      1.230")</f>
        <v>      1.230</v>
      </c>
    </row>
    <row r="156">
      <c r="A156" s="2" t="str">
        <f>IFERROR(__xludf.DUMMYFUNCTION("""COMPUTED_VALUE"""),"Santos FC")</f>
        <v>Santos FC</v>
      </c>
      <c r="B156" s="2" t="str">
        <f>IFERROR(__xludf.DUMMYFUNCTION("""COMPUTED_VALUE"""),"santosfc")</f>
        <v>santosfc</v>
      </c>
      <c r="C156" s="2" t="str">
        <f>IFERROR(__xludf.DUMMYFUNCTION("""COMPUTED_VALUE"""),"Twitter Oficial do Santos FC • https://t.co/nGILmGi48H • https://t.co/boktFUTdt2 • https://t.co/x3HJLc8QPM • https://t.co/2UhYqA3ykX")</f>
        <v>Twitter Oficial do Santos FC • https://t.co/nGILmGi48H • https://t.co/boktFUTdt2 • https://t.co/x3HJLc8QPM • https://t.co/2UhYqA3ykX</v>
      </c>
      <c r="D156" s="2">
        <f>IFERROR(__xludf.DUMMYFUNCTION("""COMPUTED_VALUE"""),4.000347330776949E-4)</f>
        <v>0.0004000347331</v>
      </c>
      <c r="E156" s="2" t="str">
        <f>IFERROR(__xludf.DUMMYFUNCTION("""COMPUTED_VALUE"""),"  3.109.070")</f>
        <v>  3.109.070</v>
      </c>
    </row>
    <row r="157">
      <c r="A157" s="2" t="str">
        <f>IFERROR(__xludf.DUMMYFUNCTION("""COMPUTED_VALUE"""),"Terra Brasil Notícias")</f>
        <v>Terra Brasil Notícias</v>
      </c>
      <c r="B157" s="2" t="str">
        <f>IFERROR(__xludf.DUMMYFUNCTION("""COMPUTED_VALUE"""),"terrabrasilnot")</f>
        <v>terrabrasilnot</v>
      </c>
      <c r="C157" s="2" t="str">
        <f>IFERROR(__xludf.DUMMYFUNCTION("""COMPUTED_VALUE"""),"O Terra Brasil Notícias trabalha com responsabilidade para trazer todos os fatos do Brasil e do mundo para nosso leitor. Deus acima de tudo e de todos.🇧🇷")</f>
        <v>O Terra Brasil Notícias trabalha com responsabilidade para trazer todos os fatos do Brasil e do mundo para nosso leitor. Deus acima de tudo e de todos.🇧🇷</v>
      </c>
      <c r="D157" s="2">
        <f>IFERROR(__xludf.DUMMYFUNCTION("""COMPUTED_VALUE"""),3.986140958388562E-4)</f>
        <v>0.0003986140958</v>
      </c>
      <c r="E157" s="2" t="str">
        <f>IFERROR(__xludf.DUMMYFUNCTION("""COMPUTED_VALUE"""),"    397.842")</f>
        <v>    397.842</v>
      </c>
    </row>
    <row r="158">
      <c r="A158" s="2" t="str">
        <f>IFERROR(__xludf.DUMMYFUNCTION("""COMPUTED_VALUE"""),"YouTube")</f>
        <v>YouTube</v>
      </c>
      <c r="B158" s="2" t="str">
        <f>IFERROR(__xludf.DUMMYFUNCTION("""COMPUTED_VALUE"""),"youtube")</f>
        <v>youtube</v>
      </c>
      <c r="C158" s="2" t="str">
        <f>IFERROR(__xludf.DUMMYFUNCTION("""COMPUTED_VALUE"""),"like and subscribe.")</f>
        <v>like and subscribe.</v>
      </c>
      <c r="D158" s="2">
        <f>IFERROR(__xludf.DUMMYFUNCTION("""COMPUTED_VALUE"""),3.986140958388562E-4)</f>
        <v>0.0003986140958</v>
      </c>
      <c r="E158" s="2" t="str">
        <f>IFERROR(__xludf.DUMMYFUNCTION("""COMPUTED_VALUE""")," 79.269.498")</f>
        <v> 79.269.498</v>
      </c>
    </row>
    <row r="159">
      <c r="A159" s="2" t="str">
        <f>IFERROR(__xludf.DUMMYFUNCTION("""COMPUTED_VALUE"""),"Καμαράδα")</f>
        <v>Καμαράδα</v>
      </c>
      <c r="B159" s="2" t="str">
        <f>IFERROR(__xludf.DUMMYFUNCTION("""COMPUTED_VALUE"""),"basedpererecas")</f>
        <v>basedpererecas</v>
      </c>
      <c r="C159" s="2" t="str">
        <f>IFERROR(__xludf.DUMMYFUNCTION("""COMPUTED_VALUE"""),"Hasta sucumbir | 4TP🏴‍☠️✵♃ | Violent regime enjoyer☢️")</f>
        <v>Hasta sucumbir | 4TP🏴‍☠️✵♃ | Violent regime enjoyer☢️</v>
      </c>
      <c r="D159" s="2">
        <f>IFERROR(__xludf.DUMMYFUNCTION("""COMPUTED_VALUE"""),3.9840100025303045E-4)</f>
        <v>0.0003984010003</v>
      </c>
      <c r="E159" s="2" t="str">
        <f>IFERROR(__xludf.DUMMYFUNCTION("""COMPUTED_VALUE"""),"      1.352")</f>
        <v>      1.352</v>
      </c>
    </row>
    <row r="160">
      <c r="A160" s="2" t="str">
        <f>IFERROR(__xludf.DUMMYFUNCTION("""COMPUTED_VALUE"""),"Ajax Vrouwen")</f>
        <v>Ajax Vrouwen</v>
      </c>
      <c r="B160" s="2" t="str">
        <f>IFERROR(__xludf.DUMMYFUNCTION("""COMPUTED_VALUE"""),"ajaxvrouwen")</f>
        <v>ajaxvrouwen</v>
      </c>
      <c r="C160" s="2" t="str">
        <f>IFERROR(__xludf.DUMMYFUNCTION("""COMPUTED_VALUE"""),"BEST OF 🇳🇱 Het officiële account van de Ajax Vrouwen | Vrouwen Eredivisie |")</f>
        <v>BEST OF 🇳🇱 Het officiële account van de Ajax Vrouwen | Vrouwen Eredivisie |</v>
      </c>
      <c r="D160" s="2">
        <f>IFERROR(__xludf.DUMMYFUNCTION("""COMPUTED_VALUE"""),3.8780890657990404E-4)</f>
        <v>0.0003878089066</v>
      </c>
      <c r="E160" s="2" t="str">
        <f>IFERROR(__xludf.DUMMYFUNCTION("""COMPUTED_VALUE"""),"     19.318")</f>
        <v>     19.318</v>
      </c>
    </row>
    <row r="161">
      <c r="A161" s="2" t="str">
        <f>IFERROR(__xludf.DUMMYFUNCTION("""COMPUTED_VALUE"""),"Renato Amoedo 38bitcoinheiro")</f>
        <v>Renato Amoedo 38bitcoinheiro</v>
      </c>
      <c r="B161" s="2" t="str">
        <f>IFERROR(__xludf.DUMMYFUNCTION("""COMPUTED_VALUE"""),"38bitcoinheiro")</f>
        <v>38bitcoinheiro</v>
      </c>
      <c r="C161" s="2" t="str">
        <f>IFERROR(__xludf.DUMMYFUNCTION("""COMPUTED_VALUE"""),"Todos os links ai:
https://t.co/LGIKEAYEiG
HODL or HFSP")</f>
        <v>Todos os links ai:
https://t.co/LGIKEAYEiG
HODL or HFSP</v>
      </c>
      <c r="D161" s="2">
        <f>IFERROR(__xludf.DUMMYFUNCTION("""COMPUTED_VALUE"""),3.844077234504693E-4)</f>
        <v>0.0003844077235</v>
      </c>
      <c r="E161" s="2" t="str">
        <f>IFERROR(__xludf.DUMMYFUNCTION("""COMPUTED_VALUE"""),"     23.434")</f>
        <v>     23.434</v>
      </c>
    </row>
    <row r="162">
      <c r="A162" s="2" t="str">
        <f>IFERROR(__xludf.DUMMYFUNCTION("""COMPUTED_VALUE"""),"Fátima Bezerra")</f>
        <v>Fátima Bezerra</v>
      </c>
      <c r="B162" s="2" t="str">
        <f>IFERROR(__xludf.DUMMYFUNCTION("""COMPUTED_VALUE"""),"fatimabezerra")</f>
        <v>fatimabezerra</v>
      </c>
      <c r="C162" s="2" t="str">
        <f>IFERROR(__xludf.DUMMYFUNCTION("""COMPUTED_VALUE"""),"👩🏽‍💼 Professora e governadora do Rio Grande do Norte")</f>
        <v>👩🏽‍💼 Professora e governadora do Rio Grande do Norte</v>
      </c>
      <c r="D162" s="2">
        <f>IFERROR(__xludf.DUMMYFUNCTION("""COMPUTED_VALUE"""),3.783192781411606E-4)</f>
        <v>0.0003783192781</v>
      </c>
      <c r="E162" s="2" t="str">
        <f>IFERROR(__xludf.DUMMYFUNCTION("""COMPUTED_VALUE"""),"    180.089")</f>
        <v>    180.089</v>
      </c>
    </row>
    <row r="163">
      <c r="A163" s="2" t="str">
        <f>IFERROR(__xludf.DUMMYFUNCTION("""COMPUTED_VALUE"""),"Deputado Professor Cleiton")</f>
        <v>Deputado Professor Cleiton</v>
      </c>
      <c r="B163" s="2" t="str">
        <f>IFERROR(__xludf.DUMMYFUNCTION("""COMPUTED_VALUE"""),"depprofcleiton")</f>
        <v>depprofcleiton</v>
      </c>
      <c r="C163" s="2" t="str">
        <f>IFERROR(__xludf.DUMMYFUNCTION("""COMPUTED_VALUE"""),"Dep. Estadual MG (PV). Mestre em História; Pres. Comissão de Cultura na ALMG; Defensor do meio ambiente, da Casa Comum e dos servidores públicos. Cruzeiro! 💙")</f>
        <v>Dep. Estadual MG (PV). Mestre em História; Pres. Comissão de Cultura na ALMG; Defensor do meio ambiente, da Casa Comum e dos servidores públicos. Cruzeiro! 💙</v>
      </c>
      <c r="D163" s="2">
        <f>IFERROR(__xludf.DUMMYFUNCTION("""COMPUTED_VALUE"""),3.730426255397598E-4)</f>
        <v>0.0003730426255</v>
      </c>
      <c r="E163" s="2" t="str">
        <f>IFERROR(__xludf.DUMMYFUNCTION("""COMPUTED_VALUE"""),"      1.592")</f>
        <v>      1.592</v>
      </c>
    </row>
    <row r="164">
      <c r="A164" s="2" t="str">
        <f>IFERROR(__xludf.DUMMYFUNCTION("""COMPUTED_VALUE"""),"Emerson Kapaz")</f>
        <v>Emerson Kapaz</v>
      </c>
      <c r="B164" s="2" t="str">
        <f>IFERROR(__xludf.DUMMYFUNCTION("""COMPUTED_VALUE"""),"kapazkapaz")</f>
        <v>kapazkapaz</v>
      </c>
      <c r="C164" s="2" t="str">
        <f>IFERROR(__xludf.DUMMYFUNCTION("""COMPUTED_VALUE"""),"Empreendedor, consultor e comentarista do Jornal da Cultura")</f>
        <v>Empreendedor, consultor e comentarista do Jornal da Cultura</v>
      </c>
      <c r="D164" s="2">
        <f>IFERROR(__xludf.DUMMYFUNCTION("""COMPUTED_VALUE"""),3.648894031255037E-4)</f>
        <v>0.0003648894031</v>
      </c>
      <c r="E164" s="2" t="str">
        <f>IFERROR(__xludf.DUMMYFUNCTION("""COMPUTED_VALUE"""),"      1.449")</f>
        <v>      1.449</v>
      </c>
    </row>
    <row r="165">
      <c r="A165" s="2" t="str">
        <f>IFERROR(__xludf.DUMMYFUNCTION("""COMPUTED_VALUE"""),"Gazeta do Povo")</f>
        <v>Gazeta do Povo</v>
      </c>
      <c r="B165" s="2" t="str">
        <f>IFERROR(__xludf.DUMMYFUNCTION("""COMPUTED_VALUE"""),"gazetadopovo")</f>
        <v>gazetadopovo</v>
      </c>
      <c r="C165" s="2" t="str">
        <f>IFERROR(__xludf.DUMMYFUNCTION("""COMPUTED_VALUE"""),"Clareza de convicções. Coragem no posicionamento. Acompanhe também pelo Telegram: https://t.co/yVulxJJqIL")</f>
        <v>Clareza de convicções. Coragem no posicionamento. Acompanhe também pelo Telegram: https://t.co/yVulxJJqIL</v>
      </c>
      <c r="D165" s="2">
        <f>IFERROR(__xludf.DUMMYFUNCTION("""COMPUTED_VALUE"""),3.621747506626438E-4)</f>
        <v>0.0003621747507</v>
      </c>
      <c r="E165" s="2" t="str">
        <f>IFERROR(__xludf.DUMMYFUNCTION("""COMPUTED_VALUE"""),"    740.632")</f>
        <v>    740.632</v>
      </c>
    </row>
    <row r="166">
      <c r="A166" s="2" t="str">
        <f>IFERROR(__xludf.DUMMYFUNCTION("""COMPUTED_VALUE"""),"Andréia Landim")</f>
        <v>Andréia Landim</v>
      </c>
      <c r="B166" s="2" t="str">
        <f>IFERROR(__xludf.DUMMYFUNCTION("""COMPUTED_VALUE"""),"andreialandim")</f>
        <v>andreialandim</v>
      </c>
      <c r="C166" s="2" t="str">
        <f>IFERROR(__xludf.DUMMYFUNCTION("""COMPUTED_VALUE"""),"From 🇧🇷 Live 🇮🇪")</f>
        <v>From 🇧🇷 Live 🇮🇪</v>
      </c>
      <c r="D166" s="2">
        <f>IFERROR(__xludf.DUMMYFUNCTION("""COMPUTED_VALUE"""),3.559949786736955E-4)</f>
        <v>0.0003559949787</v>
      </c>
      <c r="E166" s="2" t="str">
        <f>IFERROR(__xludf.DUMMYFUNCTION("""COMPUTED_VALUE"""),"      1.929")</f>
        <v>      1.929</v>
      </c>
    </row>
    <row r="167">
      <c r="A167" s="2" t="str">
        <f>IFERROR(__xludf.DUMMYFUNCTION("""COMPUTED_VALUE"""),"Cofen")</f>
        <v>Cofen</v>
      </c>
      <c r="B167" s="2" t="str">
        <f>IFERROR(__xludf.DUMMYFUNCTION("""COMPUTED_VALUE"""),"cofen_oficial")</f>
        <v>cofen_oficial</v>
      </c>
      <c r="C167" s="2" t="str">
        <f>IFERROR(__xludf.DUMMYFUNCTION("""COMPUTED_VALUE"""),"Conselho Federal de Enfermagem")</f>
        <v>Conselho Federal de Enfermagem</v>
      </c>
      <c r="D167" s="2">
        <f>IFERROR(__xludf.DUMMYFUNCTION("""COMPUTED_VALUE"""),3.559949786736955E-4)</f>
        <v>0.0003559949787</v>
      </c>
      <c r="E167" s="2" t="str">
        <f>IFERROR(__xludf.DUMMYFUNCTION("""COMPUTED_VALUE"""),"     19.935")</f>
        <v>     19.935</v>
      </c>
    </row>
    <row r="168">
      <c r="A168" s="2" t="str">
        <f>IFERROR(__xludf.DUMMYFUNCTION("""COMPUTED_VALUE"""),"🔥 Moo - Canal KIMOTI 🍓")</f>
        <v>🔥 Moo - Canal KIMOTI 🍓</v>
      </c>
      <c r="B168" s="2" t="str">
        <f>IFERROR(__xludf.DUMMYFUNCTION("""COMPUTED_VALUE"""),"kidzastr")</f>
        <v>kidzastr</v>
      </c>
      <c r="C168" s="2" t="str">
        <f>IFERROR(__xludf.DUMMYFUNCTION("""COMPUTED_VALUE"""),"Maria Luiza Grantaine【Moo】
Dubladora, Cantora, Cosplayer, KIMOTI com @tati_mafort e BENTÔ, do @omelete {Ela} #ActuallyAutistic
Contato: malu.grantaine@gmail.com")</f>
        <v>Maria Luiza Grantaine【Moo】
Dubladora, Cantora, Cosplayer, KIMOTI com @tati_mafort e BENTÔ, do @omelete {Ela} #ActuallyAutistic
Contato: malu.grantaine@gmail.com</v>
      </c>
      <c r="D168" s="2">
        <f>IFERROR(__xludf.DUMMYFUNCTION("""COMPUTED_VALUE"""),3.559949786736955E-4)</f>
        <v>0.0003559949787</v>
      </c>
      <c r="E168" s="2" t="str">
        <f>IFERROR(__xludf.DUMMYFUNCTION("""COMPUTED_VALUE"""),"     37.511")</f>
        <v>     37.511</v>
      </c>
    </row>
    <row r="169">
      <c r="A169" s="2" t="str">
        <f>IFERROR(__xludf.DUMMYFUNCTION("""COMPUTED_VALUE"""),"Ricardo Amorim")</f>
        <v>Ricardo Amorim</v>
      </c>
      <c r="B169" s="2" t="str">
        <f>IFERROR(__xludf.DUMMYFUNCTION("""COMPUTED_VALUE"""),"ricamconsult")</f>
        <v>ricamconsult</v>
      </c>
      <c r="C169" s="2" t="str">
        <f>IFERROR(__xludf.DUMMYFUNCTION("""COMPUTED_VALUE"""),"Economista sem economês e com bom humor. Ganhador dos Prêmios iBest de Economia e Negócios, Opinião e Cidadania e maior influenciador do LinkedIn.")</f>
        <v>Economista sem economês e com bom humor. Ganhador dos Prêmios iBest de Economia e Negócios, Opinião e Cidadania e maior influenciador do LinkedIn.</v>
      </c>
      <c r="D169" s="2">
        <f>IFERROR(__xludf.DUMMYFUNCTION("""COMPUTED_VALUE"""),3.559949786736955E-4)</f>
        <v>0.0003559949787</v>
      </c>
      <c r="E169" s="2" t="str">
        <f>IFERROR(__xludf.DUMMYFUNCTION("""COMPUTED_VALUE"""),"  1.512.065")</f>
        <v>  1.512.065</v>
      </c>
    </row>
    <row r="170">
      <c r="A170" s="2" t="str">
        <f>IFERROR(__xludf.DUMMYFUNCTION("""COMPUTED_VALUE"""),"D.✨")</f>
        <v>D.✨</v>
      </c>
      <c r="B170" s="2" t="str">
        <f>IFERROR(__xludf.DUMMYFUNCTION("""COMPUTED_VALUE"""),"danielladuarte0")</f>
        <v>danielladuarte0</v>
      </c>
      <c r="C170" s="2" t="str">
        <f>IFERROR(__xludf.DUMMYFUNCTION("""COMPUTED_VALUE"""),"Heitor 🤴🏻 / @daninailsdesignerr 💅🏼 / Adm 🎓 / Marketing 🎓 / Bombeira civil 🎓/ 23years./ @_LucasBarbos ♥️")</f>
        <v>Heitor 🤴🏻 / @daninailsdesignerr 💅🏼 / Adm 🎓 / Marketing 🎓 / Bombeira civil 🎓/ 23years./ @_LucasBarbos ♥️</v>
      </c>
      <c r="D170" s="2">
        <f>IFERROR(__xludf.DUMMYFUNCTION("""COMPUTED_VALUE"""),3.559949786736955E-4)</f>
        <v>0.0003559949787</v>
      </c>
      <c r="E170" s="2" t="str">
        <f>IFERROR(__xludf.DUMMYFUNCTION("""COMPUTED_VALUE"""),"      4.791")</f>
        <v>      4.791</v>
      </c>
    </row>
    <row r="171">
      <c r="A171" s="2" t="str">
        <f>IFERROR(__xludf.DUMMYFUNCTION("""COMPUTED_VALUE"""),"𝘿𝙤𝙣.")</f>
        <v>𝘿𝙤𝙣.</v>
      </c>
      <c r="B171" s="2" t="str">
        <f>IFERROR(__xludf.DUMMYFUNCTION("""COMPUTED_VALUE"""),"doncosta_")</f>
        <v>doncosta_</v>
      </c>
      <c r="C171" s="2" t="str">
        <f>IFERROR(__xludf.DUMMYFUNCTION("""COMPUTED_VALUE"""),"Cortes fora de contexto, estatísticas não oficiais e análises resultadistas.")</f>
        <v>Cortes fora de contexto, estatísticas não oficiais e análises resultadistas.</v>
      </c>
      <c r="D171" s="2">
        <f>IFERROR(__xludf.DUMMYFUNCTION("""COMPUTED_VALUE"""),3.559949786736955E-4)</f>
        <v>0.0003559949787</v>
      </c>
      <c r="E171" s="2" t="str">
        <f>IFERROR(__xludf.DUMMYFUNCTION("""COMPUTED_VALUE"""),"      7.228")</f>
        <v>      7.228</v>
      </c>
    </row>
    <row r="172">
      <c r="A172" s="2" t="str">
        <f>IFERROR(__xludf.DUMMYFUNCTION("""COMPUTED_VALUE"""),"Tuca (Arthur)")</f>
        <v>Tuca (Arthur)</v>
      </c>
      <c r="B172" s="2" t="str">
        <f>IFERROR(__xludf.DUMMYFUNCTION("""COMPUTED_VALUE"""),"tucabr54")</f>
        <v>tucabr54</v>
      </c>
      <c r="C172" s="2" t="str">
        <f>IFERROR(__xludf.DUMMYFUNCTION("""COMPUTED_VALUE"""),"(14ª conta 😎 )
Quantos anos você tem ?
- Tenho os que me restam.
Os que vivi  não os tenho mais.")</f>
        <v>(14ª conta 😎 )
Quantos anos você tem ?
- Tenho os que me restam.
Os que vivi  não os tenho mais.</v>
      </c>
      <c r="D172" s="2">
        <f>IFERROR(__xludf.DUMMYFUNCTION("""COMPUTED_VALUE"""),3.4960211109892137E-4)</f>
        <v>0.0003496021111</v>
      </c>
      <c r="E172" s="2" t="str">
        <f>IFERROR(__xludf.DUMMYFUNCTION("""COMPUTED_VALUE"""),"     46.518")</f>
        <v>     46.518</v>
      </c>
    </row>
    <row r="173">
      <c r="A173" s="2" t="str">
        <f>IFERROR(__xludf.DUMMYFUNCTION("""COMPUTED_VALUE"""),"Alerta Mundo")</f>
        <v>Alerta Mundo</v>
      </c>
      <c r="B173" s="2" t="str">
        <f>IFERROR(__xludf.DUMMYFUNCTION("""COMPUTED_VALUE"""),"alertamundo_")</f>
        <v>alertamundo_</v>
      </c>
      <c r="C173" s="2" t="str">
        <f>IFERROR(__xludf.DUMMYFUNCTION("""COMPUTED_VALUE"""),"Notícias sobre o cotidiano Mundial de minuto a minuto.")</f>
        <v>Notícias sobre o cotidiano Mundial de minuto a minuto.</v>
      </c>
      <c r="D173" s="2">
        <f>IFERROR(__xludf.DUMMYFUNCTION("""COMPUTED_VALUE"""),3.4960211109892137E-4)</f>
        <v>0.0003496021111</v>
      </c>
      <c r="E173" s="2" t="str">
        <f>IFERROR(__xludf.DUMMYFUNCTION("""COMPUTED_VALUE"""),"     12.050")</f>
        <v>     12.050</v>
      </c>
    </row>
    <row r="174">
      <c r="A174" s="2" t="str">
        <f>IFERROR(__xludf.DUMMYFUNCTION("""COMPUTED_VALUE"""),"Thales, PhD")</f>
        <v>Thales, PhD</v>
      </c>
      <c r="B174" s="2" t="str">
        <f>IFERROR(__xludf.DUMMYFUNCTION("""COMPUTED_VALUE"""),"thaleseb")</f>
        <v>thaleseb</v>
      </c>
      <c r="C174" s="2" t="str">
        <f>IFERROR(__xludf.DUMMYFUNCTION("""COMPUTED_VALUE"""),"PhD in Electrical Engineering.
Aqui falo sobre política. Apaixonado por ideias e não por pessoas. De centro, com orgulho.")</f>
        <v>PhD in Electrical Engineering.
Aqui falo sobre política. Apaixonado por ideias e não por pessoas. De centro, com orgulho.</v>
      </c>
      <c r="D174" s="2">
        <f>IFERROR(__xludf.DUMMYFUNCTION("""COMPUTED_VALUE"""),3.4960211109892137E-4)</f>
        <v>0.0003496021111</v>
      </c>
      <c r="E174" s="2" t="str">
        <f>IFERROR(__xludf.DUMMYFUNCTION("""COMPUTED_VALUE"""),"      1.185")</f>
        <v>      1.185</v>
      </c>
    </row>
    <row r="175">
      <c r="A175" s="2" t="str">
        <f>IFERROR(__xludf.DUMMYFUNCTION("""COMPUTED_VALUE"""),"Notícias Paralelas")</f>
        <v>Notícias Paralelas</v>
      </c>
      <c r="B175" s="2" t="str">
        <f>IFERROR(__xludf.DUMMYFUNCTION("""COMPUTED_VALUE"""),"np__oficial")</f>
        <v>np__oficial</v>
      </c>
      <c r="C175" s="2" t="str">
        <f>IFERROR(__xludf.DUMMYFUNCTION("""COMPUTED_VALUE"""),"Notícias l Humor l Entretenimento.                                
Contato : noticiasparalelas@yahoo.com")</f>
        <v>Notícias l Humor l Entretenimento.                                
Contato : noticiasparalelas@yahoo.com</v>
      </c>
      <c r="D175" s="2">
        <f>IFERROR(__xludf.DUMMYFUNCTION("""COMPUTED_VALUE"""),3.4960211109892137E-4)</f>
        <v>0.0003496021111</v>
      </c>
      <c r="E175" s="2" t="str">
        <f>IFERROR(__xludf.DUMMYFUNCTION("""COMPUTED_VALUE"""),"     51.924")</f>
        <v>     51.924</v>
      </c>
    </row>
    <row r="176">
      <c r="A176" s="2" t="str">
        <f>IFERROR(__xludf.DUMMYFUNCTION("""COMPUTED_VALUE"""),"CHOQUEI")</f>
        <v>CHOQUEI</v>
      </c>
      <c r="B176" s="2" t="str">
        <f>IFERROR(__xludf.DUMMYFUNCTION("""COMPUTED_VALUE"""),"choquei")</f>
        <v>choquei</v>
      </c>
      <c r="C176" s="2" t="str">
        <f>IFERROR(__xludf.DUMMYFUNCTION("""COMPUTED_VALUE"""),"A sua fonte de notícias mais rápida. Tudo sobre os acontecimentos mais recentes do Brasil e do mundo. Contato: assessoriachoquei@gmail.com")</f>
        <v>A sua fonte de notícias mais rápida. Tudo sobre os acontecimentos mais recentes do Brasil e do mundo. Contato: assessoriachoquei@gmail.com</v>
      </c>
      <c r="D176" s="2">
        <f>IFERROR(__xludf.DUMMYFUNCTION("""COMPUTED_VALUE"""),3.4487694810887096E-4)</f>
        <v>0.0003448769481</v>
      </c>
      <c r="E176" s="2" t="str">
        <f>IFERROR(__xludf.DUMMYFUNCTION("""COMPUTED_VALUE"""),"  6.374.937")</f>
        <v>  6.374.937</v>
      </c>
    </row>
    <row r="177">
      <c r="A177" s="2" t="str">
        <f>IFERROR(__xludf.DUMMYFUNCTION("""COMPUTED_VALUE"""),"tesoureiros")</f>
        <v>tesoureiros</v>
      </c>
      <c r="B177" s="2" t="str">
        <f>IFERROR(__xludf.DUMMYFUNCTION("""COMPUTED_VALUE"""),"tesoureiros")</f>
        <v>tesoureiros</v>
      </c>
      <c r="C177" s="2" t="str">
        <f>IFERROR(__xludf.DUMMYFUNCTION("""COMPUTED_VALUE"""),"Ativistas que atuaram na CPI da COVID")</f>
        <v>Ativistas que atuaram na CPI da COVID</v>
      </c>
      <c r="D177" s="2">
        <f>IFERROR(__xludf.DUMMYFUNCTION("""COMPUTED_VALUE"""),3.4320924352414727E-4)</f>
        <v>0.0003432092435</v>
      </c>
      <c r="E177" s="2" t="str">
        <f>IFERROR(__xludf.DUMMYFUNCTION("""COMPUTED_VALUE"""),"    241.598")</f>
        <v>    241.598</v>
      </c>
    </row>
    <row r="178">
      <c r="A178" s="2" t="str">
        <f>IFERROR(__xludf.DUMMYFUNCTION("""COMPUTED_VALUE"""),"Planeta do Futebol 🌎")</f>
        <v>Planeta do Futebol 🌎</v>
      </c>
      <c r="B178" s="2" t="str">
        <f>IFERROR(__xludf.DUMMYFUNCTION("""COMPUTED_VALUE"""),"futebol_info")</f>
        <v>futebol_info</v>
      </c>
      <c r="C178" s="2" t="str">
        <f>IFERROR(__xludf.DUMMYFUNCTION("""COMPUTED_VALUE"""),"Informando tudo sobre os bastidores do mundo do futebol. Publicidade/parceria: contato.planetadofutebol@gmail.com 🔔 Ative as notificações.")</f>
        <v>Informando tudo sobre os bastidores do mundo do futebol. Publicidade/parceria: contato.planetadofutebol@gmail.com 🔔 Ative as notificações.</v>
      </c>
      <c r="D178" s="2">
        <f>IFERROR(__xludf.DUMMYFUNCTION("""COMPUTED_VALUE"""),3.3826897752608576E-4)</f>
        <v>0.0003382689775</v>
      </c>
      <c r="E178" s="2" t="str">
        <f>IFERROR(__xludf.DUMMYFUNCTION("""COMPUTED_VALUE"""),"  2.064.163")</f>
        <v>  2.064.163</v>
      </c>
    </row>
    <row r="179">
      <c r="A179" s="2" t="str">
        <f>IFERROR(__xludf.DUMMYFUNCTION("""COMPUTED_VALUE"""),"Governo de S. Paulo")</f>
        <v>Governo de S. Paulo</v>
      </c>
      <c r="B179" s="2" t="str">
        <f>IFERROR(__xludf.DUMMYFUNCTION("""COMPUTED_VALUE"""),"governosp")</f>
        <v>governosp</v>
      </c>
      <c r="C179" s="2" t="str">
        <f>IFERROR(__xludf.DUMMYFUNCTION("""COMPUTED_VALUE"""),"Twitter Oficial do Governo do Estado de São Paulo")</f>
        <v>Twitter Oficial do Governo do Estado de São Paulo</v>
      </c>
      <c r="D179" s="2">
        <f>IFERROR(__xludf.DUMMYFUNCTION("""COMPUTED_VALUE"""),3.381544179999072E-4)</f>
        <v>0.000338154418</v>
      </c>
      <c r="E179" s="2" t="str">
        <f>IFERROR(__xludf.DUMMYFUNCTION("""COMPUTED_VALUE"""),"    550.630")</f>
        <v>    550.630</v>
      </c>
    </row>
    <row r="180">
      <c r="A180" s="2" t="str">
        <f>IFERROR(__xludf.DUMMYFUNCTION("""COMPUTED_VALUE"""),"Metrópoles")</f>
        <v>Metrópoles</v>
      </c>
      <c r="B180" s="2" t="str">
        <f>IFERROR(__xludf.DUMMYFUNCTION("""COMPUTED_VALUE"""),"metropoles")</f>
        <v>metropoles</v>
      </c>
      <c r="C180" s="2" t="str">
        <f>IFERROR(__xludf.DUMMYFUNCTION("""COMPUTED_VALUE"""),"📱 O seu portal de notícias. Tudo sobre política, saúde, justiça, comportamento, entretenimento. Confira os fatos relevantes do país e do mundo em tempo real.")</f>
        <v>📱 O seu portal de notícias. Tudo sobre política, saúde, justiça, comportamento, entretenimento. Confira os fatos relevantes do país e do mundo em tempo real.</v>
      </c>
      <c r="D180" s="2">
        <f>IFERROR(__xludf.DUMMYFUNCTION("""COMPUTED_VALUE"""),3.359862445507629E-4)</f>
        <v>0.0003359862446</v>
      </c>
      <c r="E180" s="2" t="str">
        <f>IFERROR(__xludf.DUMMYFUNCTION("""COMPUTED_VALUE"""),"  1.039.946")</f>
        <v>  1.039.946</v>
      </c>
    </row>
    <row r="181">
      <c r="A181" s="2" t="str">
        <f>IFERROR(__xludf.DUMMYFUNCTION("""COMPUTED_VALUE"""),"Giuliano Cosenza")</f>
        <v>Giuliano Cosenza</v>
      </c>
      <c r="B181" s="2" t="str">
        <f>IFERROR(__xludf.DUMMYFUNCTION("""COMPUTED_VALUE"""),"cosenzagiuliano")</f>
        <v>cosenzagiuliano</v>
      </c>
      <c r="C181" s="2" t="str">
        <f>IFERROR(__xludf.DUMMYFUNCTION("""COMPUTED_VALUE"""),"No escucho y sigo l Scout l Jornalismo l @celtics @flamengo")</f>
        <v>No escucho y sigo l Scout l Jornalismo l @celtics @flamengo</v>
      </c>
      <c r="D181" s="2">
        <f>IFERROR(__xludf.DUMMYFUNCTION("""COMPUTED_VALUE"""),3.3468542009111514E-4)</f>
        <v>0.0003346854201</v>
      </c>
      <c r="E181" s="2" t="str">
        <f>IFERROR(__xludf.DUMMYFUNCTION("""COMPUTED_VALUE"""),"     32.086")</f>
        <v>     32.086</v>
      </c>
    </row>
    <row r="182">
      <c r="A182" s="2" t="str">
        <f>IFERROR(__xludf.DUMMYFUNCTION("""COMPUTED_VALUE"""),"Zenaide Maia")</f>
        <v>Zenaide Maia</v>
      </c>
      <c r="B182" s="2" t="str">
        <f>IFERROR(__xludf.DUMMYFUNCTION("""COMPUTED_VALUE"""),"zenaidern")</f>
        <v>zenaidern</v>
      </c>
      <c r="C182" s="2" t="str">
        <f>IFERROR(__xludf.DUMMYFUNCTION("""COMPUTED_VALUE"""),"🇧🇷 Senadora do Rio Grande do Norte. Vice-líder do governo Lula no Congresso Nacional. Procuradora da Mulher do Senado. Presidente do PSD-RN. Médica do Seridó.")</f>
        <v>🇧🇷 Senadora do Rio Grande do Norte. Vice-líder do governo Lula no Congresso Nacional. Procuradora da Mulher do Senado. Presidente do PSD-RN. Médica do Seridó.</v>
      </c>
      <c r="D182" s="2">
        <f>IFERROR(__xludf.DUMMYFUNCTION("""COMPUTED_VALUE"""),3.3468542009111514E-4)</f>
        <v>0.0003346854201</v>
      </c>
      <c r="E182" s="2" t="str">
        <f>IFERROR(__xludf.DUMMYFUNCTION("""COMPUTED_VALUE"""),"     10.627")</f>
        <v>     10.627</v>
      </c>
    </row>
    <row r="183">
      <c r="A183" s="2" t="str">
        <f>IFERROR(__xludf.DUMMYFUNCTION("""COMPUTED_VALUE"""),"Gonçalo Sousa")</f>
        <v>Gonçalo Sousa</v>
      </c>
      <c r="B183" s="2" t="str">
        <f>IFERROR(__xludf.DUMMYFUNCTION("""COMPUTED_VALUE"""),"machotoxico_")</f>
        <v>machotoxico_</v>
      </c>
      <c r="C183" s="2" t="str">
        <f>IFERROR(__xludf.DUMMYFUNCTION("""COMPUTED_VALUE"""),"Analista político, Empresário, Comunicólogo, Embaixador da Masculinidade Tóxica |
Canal de YouTube ⬇️")</f>
        <v>Analista político, Empresário, Comunicólogo, Embaixador da Masculinidade Tóxica |
Canal de YouTube ⬇️</v>
      </c>
      <c r="D183" s="2">
        <f>IFERROR(__xludf.DUMMYFUNCTION("""COMPUTED_VALUE"""),3.3375891754391083E-4)</f>
        <v>0.0003337589175</v>
      </c>
      <c r="E183" s="2" t="str">
        <f>IFERROR(__xludf.DUMMYFUNCTION("""COMPUTED_VALUE"""),"     16.701")</f>
        <v>     16.701</v>
      </c>
    </row>
    <row r="184">
      <c r="A184" s="2" t="str">
        <f>IFERROR(__xludf.DUMMYFUNCTION("""COMPUTED_VALUE"""),"RodrigoGuedesAm")</f>
        <v>RodrigoGuedesAm</v>
      </c>
      <c r="B184" s="2" t="str">
        <f>IFERROR(__xludf.DUMMYFUNCTION("""COMPUTED_VALUE"""),"rodrigoguedesam")</f>
        <v>rodrigoguedesam</v>
      </c>
      <c r="C184" s="2" t="str">
        <f>IFERROR(__xludf.DUMMYFUNCTION("""COMPUTED_VALUE"""),"Vereador de Manaus e Pai da Antonella. Fui candidato a Deputado Federal e tive 20.305 votos sem fundão eleitoral. Me cobrem!")</f>
        <v>Vereador de Manaus e Pai da Antonella. Fui candidato a Deputado Federal e tive 20.305 votos sem fundão eleitoral. Me cobrem!</v>
      </c>
      <c r="D184" s="2">
        <f>IFERROR(__xludf.DUMMYFUNCTION("""COMPUTED_VALUE"""),3.304235083745991E-4)</f>
        <v>0.0003304235084</v>
      </c>
      <c r="E184" s="2" t="str">
        <f>IFERROR(__xludf.DUMMYFUNCTION("""COMPUTED_VALUE"""),"      4.312")</f>
        <v>      4.312</v>
      </c>
    </row>
    <row r="185">
      <c r="A185" s="2" t="str">
        <f>IFERROR(__xludf.DUMMYFUNCTION("""COMPUTED_VALUE"""),"Rui Cavaleiro")</f>
        <v>Rui Cavaleiro</v>
      </c>
      <c r="B185" s="2" t="str">
        <f>IFERROR(__xludf.DUMMYFUNCTION("""COMPUTED_VALUE"""),"rui_cavaleiro_")</f>
        <v>rui_cavaleiro_</v>
      </c>
      <c r="C185" s="2" t="str">
        <f>IFERROR(__xludf.DUMMYFUNCTION("""COMPUTED_VALUE"""),"Artista Visual.Autor, comunicador,produtor, ilustrador, retratista,sktecher. Explorador de conceitos e técnicas.Contador de histórias. (Já levei porrada).")</f>
        <v>Artista Visual.Autor, comunicador,produtor, ilustrador, retratista,sktecher. Explorador de conceitos e técnicas.Contador de histórias. (Já levei porrada).</v>
      </c>
      <c r="D185" s="2">
        <f>IFERROR(__xludf.DUMMYFUNCTION("""COMPUTED_VALUE"""),3.304235083745991E-4)</f>
        <v>0.0003304235084</v>
      </c>
      <c r="E185" s="2" t="str">
        <f>IFERROR(__xludf.DUMMYFUNCTION("""COMPUTED_VALUE"""),"      9.766")</f>
        <v>      9.766</v>
      </c>
    </row>
    <row r="186">
      <c r="A186" s="2" t="str">
        <f>IFERROR(__xludf.DUMMYFUNCTION("""COMPUTED_VALUE"""),"Cleitin")</f>
        <v>Cleitin</v>
      </c>
      <c r="B186" s="2" t="str">
        <f>IFERROR(__xludf.DUMMYFUNCTION("""COMPUTED_VALUE"""),"leandrocleito")</f>
        <v>leandrocleito</v>
      </c>
      <c r="C186" s="2"/>
      <c r="D186" s="2">
        <f>IFERROR(__xludf.DUMMYFUNCTION("""COMPUTED_VALUE"""),3.304235083745991E-4)</f>
        <v>0.0003304235084</v>
      </c>
      <c r="E186" s="2" t="str">
        <f>IFERROR(__xludf.DUMMYFUNCTION("""COMPUTED_VALUE"""),"      1.218")</f>
        <v>      1.218</v>
      </c>
    </row>
    <row r="187">
      <c r="A187" s="2" t="str">
        <f>IFERROR(__xludf.DUMMYFUNCTION("""COMPUTED_VALUE"""),"Baby *Anitta* 🧸♥️⭐🌈")</f>
        <v>Baby *Anitta* 🧸♥️⭐🌈</v>
      </c>
      <c r="B187" s="2" t="str">
        <f>IFERROR(__xludf.DUMMYFUNCTION("""COMPUTED_VALUE"""),"tamarababy2")</f>
        <v>tamarababy2</v>
      </c>
      <c r="C187" s="2" t="str">
        <f>IFERROR(__xludf.DUMMYFUNCTION("""COMPUTED_VALUE"""),"FAVELA LOVE STORY'   👇🏻/ FAN ACCOUNT
@anitta")</f>
        <v>FAVELA LOVE STORY'   👇🏻/ FAN ACCOUNT
@anitta</v>
      </c>
      <c r="D187" s="2">
        <f>IFERROR(__xludf.DUMMYFUNCTION("""COMPUTED_VALUE"""),3.304235083745991E-4)</f>
        <v>0.0003304235084</v>
      </c>
      <c r="E187" s="2" t="str">
        <f>IFERROR(__xludf.DUMMYFUNCTION("""COMPUTED_VALUE"""),"      3.966")</f>
        <v>      3.966</v>
      </c>
    </row>
    <row r="188">
      <c r="A188" s="2" t="str">
        <f>IFERROR(__xludf.DUMMYFUNCTION("""COMPUTED_VALUE"""),"Chefin 23")</f>
        <v>Chefin 23</v>
      </c>
      <c r="B188" s="2" t="str">
        <f>IFERROR(__xludf.DUMMYFUNCTION("""COMPUTED_VALUE"""),"omaisnovo01")</f>
        <v>omaisnovo01</v>
      </c>
      <c r="C188" s="2" t="str">
        <f>IFERROR(__xludf.DUMMYFUNCTION("""COMPUTED_VALUE"""),"OUÇAM O MAIS ROMÂNTICO ! 🤍💿👇🏻  https://t.co/MKzc604R3l")</f>
        <v>OUÇAM O MAIS ROMÂNTICO ! 🤍💿👇🏻  https://t.co/MKzc604R3l</v>
      </c>
      <c r="D188" s="2">
        <f>IFERROR(__xludf.DUMMYFUNCTION("""COMPUTED_VALUE"""),3.304235083745991E-4)</f>
        <v>0.0003304235084</v>
      </c>
      <c r="E188" s="2" t="str">
        <f>IFERROR(__xludf.DUMMYFUNCTION("""COMPUTED_VALUE"""),"    363.407")</f>
        <v>    363.407</v>
      </c>
    </row>
    <row r="189">
      <c r="A189" s="2" t="str">
        <f>IFERROR(__xludf.DUMMYFUNCTION("""COMPUTED_VALUE"""),"Flavio Bolsonaro")</f>
        <v>Flavio Bolsonaro</v>
      </c>
      <c r="B189" s="2" t="str">
        <f>IFERROR(__xludf.DUMMYFUNCTION("""COMPUTED_VALUE"""),"flaviobolsonaro")</f>
        <v>flaviobolsonaro</v>
      </c>
      <c r="C189" s="2" t="str">
        <f>IFERROR(__xludf.DUMMYFUNCTION("""COMPUTED_VALUE"""),"Agradeço a Deus pelas 4.380.418 pessoas que me elegeram Senador pelo RJ. Telegram https://t.co/ZUkOwjucvD")</f>
        <v>Agradeço a Deus pelas 4.380.418 pessoas que me elegeram Senador pelo RJ. Telegram https://t.co/ZUkOwjucvD</v>
      </c>
      <c r="D189" s="2">
        <f>IFERROR(__xludf.DUMMYFUNCTION("""COMPUTED_VALUE"""),3.2758223389692167E-4)</f>
        <v>0.0003275822339</v>
      </c>
      <c r="E189" s="2" t="str">
        <f>IFERROR(__xludf.DUMMYFUNCTION("""COMPUTED_VALUE"""),"  3.054.188")</f>
        <v>  3.054.188</v>
      </c>
    </row>
    <row r="190">
      <c r="A190" s="2" t="str">
        <f>IFERROR(__xludf.DUMMYFUNCTION("""COMPUTED_VALUE"""),"C6 Bank")</f>
        <v>C6 Bank</v>
      </c>
      <c r="B190" s="2" t="str">
        <f>IFERROR(__xludf.DUMMYFUNCTION("""COMPUTED_VALUE"""),"c6bank")</f>
        <v>c6bank</v>
      </c>
      <c r="C190" s="2" t="str">
        <f>IFERROR(__xludf.DUMMYFUNCTION("""COMPUTED_VALUE"""),"#DesenrolaComC6Bank: Aproveite vantagens únicas para quitar suas dívidas 👇")</f>
        <v>#DesenrolaComC6Bank: Aproveite vantagens únicas para quitar suas dívidas 👇</v>
      </c>
      <c r="D190" s="2">
        <f>IFERROR(__xludf.DUMMYFUNCTION("""COMPUTED_VALUE"""),3.233203221804056E-4)</f>
        <v>0.0003233203222</v>
      </c>
      <c r="E190" s="2" t="str">
        <f>IFERROR(__xludf.DUMMYFUNCTION("""COMPUTED_VALUE"""),"     78.862")</f>
        <v>     78.862</v>
      </c>
    </row>
    <row r="191">
      <c r="A191" s="2" t="str">
        <f>IFERROR(__xludf.DUMMYFUNCTION("""COMPUTED_VALUE"""),"Colonnello Kurtz")</f>
        <v>Colonnello Kurtz</v>
      </c>
      <c r="B191" s="2" t="str">
        <f>IFERROR(__xludf.DUMMYFUNCTION("""COMPUTED_VALUE"""),"apocalypsevax")</f>
        <v>apocalypsevax</v>
      </c>
      <c r="C191" s="2" t="str">
        <f>IFERROR(__xludf.DUMMYFUNCTION("""COMPUTED_VALUE"""),"E’ il voler giudicare che ci sconfigge")</f>
        <v>E’ il voler giudicare che ci sconfigge</v>
      </c>
      <c r="D191" s="2">
        <f>IFERROR(__xludf.DUMMYFUNCTION("""COMPUTED_VALUE"""),3.226408869792219E-4)</f>
        <v>0.000322640887</v>
      </c>
      <c r="E191" s="2" t="str">
        <f>IFERROR(__xludf.DUMMYFUNCTION("""COMPUTED_VALUE"""),"      3.182")</f>
        <v>      3.182</v>
      </c>
    </row>
    <row r="192">
      <c r="A192" s="2" t="str">
        <f>IFERROR(__xludf.DUMMYFUNCTION("""COMPUTED_VALUE"""),"MUFC BR")</f>
        <v>MUFC BR</v>
      </c>
      <c r="B192" s="2" t="str">
        <f>IFERROR(__xludf.DUMMYFUNCTION("""COMPUTED_VALUE"""),"mufcbr")</f>
        <v>mufcbr</v>
      </c>
      <c r="C192" s="2" t="str">
        <f>IFERROR(__xludf.DUMMYFUNCTION("""COMPUTED_VALUE"""),"Desde 2010, trazendo informações, curiosidades, história e o máximo de conteúdo sobre o Manchester United. Encontros de torcedores:@RedevilsBrasil")</f>
        <v>Desde 2010, trazendo informações, curiosidades, história e o máximo de conteúdo sobre o Manchester United. Encontros de torcedores:@RedevilsBrasil</v>
      </c>
      <c r="D192" s="2">
        <f>IFERROR(__xludf.DUMMYFUNCTION("""COMPUTED_VALUE"""),3.169274546056315E-4)</f>
        <v>0.0003169274546</v>
      </c>
      <c r="E192" s="2" t="str">
        <f>IFERROR(__xludf.DUMMYFUNCTION("""COMPUTED_VALUE"""),"     43.671")</f>
        <v>     43.671</v>
      </c>
    </row>
    <row r="193">
      <c r="A193" s="2" t="str">
        <f>IFERROR(__xludf.DUMMYFUNCTION("""COMPUTED_VALUE"""),"InfoAmazonia Brasil")</f>
        <v>InfoAmazonia Brasil</v>
      </c>
      <c r="B193" s="2" t="str">
        <f>IFERROR(__xludf.DUMMYFUNCTION("""COMPUTED_VALUE"""),"infoamazoniabr")</f>
        <v>infoamazoniabr</v>
      </c>
      <c r="C193" s="2" t="str">
        <f>IFERROR(__xludf.DUMMYFUNCTION("""COMPUTED_VALUE"""),"Jornalismo de dados nos nove países da Amazônia. Follow @InfoAmazonia for updates in English. Para actualizaciones en español sigue @InfoAmazoniaESP")</f>
        <v>Jornalismo de dados nos nove países da Amazônia. Follow @InfoAmazonia for updates in English. Para actualizaciones en español sigue @InfoAmazoniaESP</v>
      </c>
      <c r="D193" s="2">
        <f>IFERROR(__xludf.DUMMYFUNCTION("""COMPUTED_VALUE"""),3.1337586150853477E-4)</f>
        <v>0.0003133758615</v>
      </c>
      <c r="E193" s="2" t="str">
        <f>IFERROR(__xludf.DUMMYFUNCTION("""COMPUTED_VALUE"""),"     22.255")</f>
        <v>     22.255</v>
      </c>
    </row>
    <row r="194">
      <c r="A194" s="2" t="str">
        <f>IFERROR(__xludf.DUMMYFUNCTION("""COMPUTED_VALUE"""),"E. Cavendish")</f>
        <v>E. Cavendish</v>
      </c>
      <c r="B194" s="2" t="str">
        <f>IFERROR(__xludf.DUMMYFUNCTION("""COMPUTED_VALUE"""),"ducavendish")</f>
        <v>ducavendish</v>
      </c>
      <c r="C194" s="2" t="str">
        <f>IFERROR(__xludf.DUMMYFUNCTION("""COMPUTED_VALUE"""),"Economia | Criptoativos | Política | Esportes | Co-Fundador @Somas_io | Mercados somente: @CavendishTS - 𝕏")</f>
        <v>Economia | Criptoativos | Política | Esportes | Co-Fundador @Somas_io | Mercados somente: @CavendishTS - 𝕏</v>
      </c>
      <c r="D194" s="2">
        <f>IFERROR(__xludf.DUMMYFUNCTION("""COMPUTED_VALUE"""),3.0905218295554745E-4)</f>
        <v>0.000309052183</v>
      </c>
      <c r="E194" s="2" t="str">
        <f>IFERROR(__xludf.DUMMYFUNCTION("""COMPUTED_VALUE"""),"    122.062")</f>
        <v>    122.062</v>
      </c>
    </row>
    <row r="195">
      <c r="A195" s="2" t="str">
        <f>IFERROR(__xludf.DUMMYFUNCTION("""COMPUTED_VALUE"""),"Goiás Esporte Clube")</f>
        <v>Goiás Esporte Clube</v>
      </c>
      <c r="B195" s="2" t="str">
        <f>IFERROR(__xludf.DUMMYFUNCTION("""COMPUTED_VALUE"""),"goiasoficial")</f>
        <v>goiasoficial</v>
      </c>
      <c r="C195" s="2" t="str">
        <f>IFERROR(__xludf.DUMMYFUNCTION("""COMPUTED_VALUE"""),"Twitter oficial do Goiás Esporte Clube, o maior clube do Centro-Oeste. 🇳🇬")</f>
        <v>Twitter oficial do Goiás Esporte Clube, o maior clube do Centro-Oeste. 🇳🇬</v>
      </c>
      <c r="D195" s="2">
        <f>IFERROR(__xludf.DUMMYFUNCTION("""COMPUTED_VALUE"""),3.048520380755026E-4)</f>
        <v>0.0003048520381</v>
      </c>
      <c r="E195" s="2" t="str">
        <f>IFERROR(__xludf.DUMMYFUNCTION("""COMPUTED_VALUE"""),"    665.745")</f>
        <v>    665.745</v>
      </c>
    </row>
    <row r="196">
      <c r="A196" s="2" t="str">
        <f>IFERROR(__xludf.DUMMYFUNCTION("""COMPUTED_VALUE"""),"TeAtualizei 🇧🇷👊🏻❤️")</f>
        <v>TeAtualizei 🇧🇷👊🏻❤️</v>
      </c>
      <c r="B196" s="2" t="str">
        <f>IFERROR(__xludf.DUMMYFUNCTION("""COMPUTED_VALUE"""),"taoquei1")</f>
        <v>taoquei1</v>
      </c>
      <c r="C196" s="2" t="str">
        <f>IFERROR(__xludf.DUMMYFUNCTION("""COMPUTED_VALUE"""),"Aqui dou minhas opiniões. Ainda pode ter opinião? Vamos ver...
Contraditório com respeito é bem vindo.
Inscreva-se https://t.co/4ifDb6rz9V")</f>
        <v>Aqui dou minhas opiniões. Ainda pode ter opinião? Vamos ver...
Contraditório com respeito é bem vindo.
Inscreva-se https://t.co/4ifDb6rz9V</v>
      </c>
      <c r="D196" s="2">
        <f>IFERROR(__xludf.DUMMYFUNCTION("""COMPUTED_VALUE"""),3.005901263589866E-4)</f>
        <v>0.0003005901264</v>
      </c>
      <c r="E196" s="2" t="str">
        <f>IFERROR(__xludf.DUMMYFUNCTION("""COMPUTED_VALUE"""),"  2.099.258")</f>
        <v>  2.099.258</v>
      </c>
    </row>
    <row r="197">
      <c r="A197" s="2" t="str">
        <f>IFERROR(__xludf.DUMMYFUNCTION("""COMPUTED_VALUE"""),"Rubinho Nunes")</f>
        <v>Rubinho Nunes</v>
      </c>
      <c r="B197" s="2" t="str">
        <f>IFERROR(__xludf.DUMMYFUNCTION("""COMPUTED_VALUE"""),"rubinhonunes")</f>
        <v>rubinhonunes</v>
      </c>
      <c r="C197" s="2" t="str">
        <f>IFERROR(__xludf.DUMMYFUNCTION("""COMPUTED_VALUE"""),"🇧🇷 Vereador de São Paulo; Corregedor-Geral da Câmara; Economia de R$ 111,515 BILHÕES; Advogado; Pres. da Comissão Política Urbana; 📱11 91199-5511")</f>
        <v>🇧🇷 Vereador de São Paulo; Corregedor-Geral da Câmara; Economia de R$ 111,515 BILHÕES; Advogado; Pres. da Comissão Política Urbana; 📱11 91199-5511</v>
      </c>
      <c r="D197" s="2">
        <f>IFERROR(__xludf.DUMMYFUNCTION("""COMPUTED_VALUE"""),3.005901263589866E-4)</f>
        <v>0.0003005901264</v>
      </c>
      <c r="E197" s="2" t="str">
        <f>IFERROR(__xludf.DUMMYFUNCTION("""COMPUTED_VALUE"""),"    128.591")</f>
        <v>    128.591</v>
      </c>
    </row>
    <row r="198">
      <c r="A198" s="2" t="str">
        <f>IFERROR(__xludf.DUMMYFUNCTION("""COMPUTED_VALUE"""),"ƁσƖѕσIcє")</f>
        <v>ƁσƖѕσIcє</v>
      </c>
      <c r="B198" s="2" t="str">
        <f>IFERROR(__xludf.DUMMYFUNCTION("""COMPUTED_VALUE"""),"icesohei")</f>
        <v>icesohei</v>
      </c>
      <c r="C198" s="2" t="str">
        <f>IFERROR(__xludf.DUMMYFUNCTION("""COMPUTED_VALUE"""),"Abraçando a vida com ousadia, revelando verdades através da ironia, tornando cada momento uma jornada poderosamente impactante.")</f>
        <v>Abraçando a vida com ousadia, revelando verdades através da ironia, tornando cada momento uma jornada poderosamente impactante.</v>
      </c>
      <c r="D198" s="2">
        <f>IFERROR(__xludf.DUMMYFUNCTION("""COMPUTED_VALUE"""),2.991694891201479E-4)</f>
        <v>0.0002991694891</v>
      </c>
      <c r="E198" s="2" t="str">
        <f>IFERROR(__xludf.DUMMYFUNCTION("""COMPUTED_VALUE"""),"     22.101")</f>
        <v>     22.101</v>
      </c>
    </row>
    <row r="199">
      <c r="A199" s="2" t="str">
        <f>IFERROR(__xludf.DUMMYFUNCTION("""COMPUTED_VALUE"""),"Doc")</f>
        <v>Doc</v>
      </c>
      <c r="B199" s="2" t="str">
        <f>IFERROR(__xludf.DUMMYFUNCTION("""COMPUTED_VALUE"""),"bfelipe22")</f>
        <v>bfelipe22</v>
      </c>
      <c r="C199" s="2" t="str">
        <f>IFERROR(__xludf.DUMMYFUNCTION("""COMPUTED_VALUE"""),"📝@redecoxa 🎙#Coxacast 🎥#LivedoDoc Parceria com @oficialbrbet 🎰")</f>
        <v>📝@redecoxa 🎙#Coxacast 🎥#LivedoDoc Parceria com @oficialbrbet 🎰</v>
      </c>
      <c r="D199" s="2">
        <f>IFERROR(__xludf.DUMMYFUNCTION("""COMPUTED_VALUE"""),2.991694891201479E-4)</f>
        <v>0.0002991694891</v>
      </c>
      <c r="E199" s="2" t="str">
        <f>IFERROR(__xludf.DUMMYFUNCTION("""COMPUTED_VALUE"""),"      9.072")</f>
        <v>      9.072</v>
      </c>
    </row>
    <row r="200">
      <c r="A200" s="2" t="str">
        <f>IFERROR(__xludf.DUMMYFUNCTION("""COMPUTED_VALUE"""),"Gennaro Carotenuto")</f>
        <v>Gennaro Carotenuto</v>
      </c>
      <c r="B200" s="2" t="str">
        <f>IFERROR(__xludf.DUMMYFUNCTION("""COMPUTED_VALUE"""),"gencar5")</f>
        <v>gencar5</v>
      </c>
      <c r="C200" s="2" t="str">
        <f>IFERROR(__xludf.DUMMYFUNCTION("""COMPUTED_VALUE"""),"Contemporary historian, cittadino europeo, #fiducianellascienza, woke, #Marathon PB3h36, tante scarpe consumate in #AmericaLatina. Verrà #lafebbre")</f>
        <v>Contemporary historian, cittadino europeo, #fiducianellascienza, woke, #Marathon PB3h36, tante scarpe consumate in #AmericaLatina. Verrà #lafebbre</v>
      </c>
      <c r="D200" s="2">
        <f>IFERROR(__xludf.DUMMYFUNCTION("""COMPUTED_VALUE"""),2.9714385288652956E-4)</f>
        <v>0.0002971438529</v>
      </c>
      <c r="E200" s="2" t="str">
        <f>IFERROR(__xludf.DUMMYFUNCTION("""COMPUTED_VALUE"""),"     27.835")</f>
        <v>     27.835</v>
      </c>
    </row>
    <row r="201">
      <c r="A201" s="2" t="str">
        <f>IFERROR(__xludf.DUMMYFUNCTION("""COMPUTED_VALUE"""),"PESQUISAS E ANÁLISES ELEIÇÕES")</f>
        <v>PESQUISAS E ANÁLISES ELEIÇÕES</v>
      </c>
      <c r="B201" s="2" t="str">
        <f>IFERROR(__xludf.DUMMYFUNCTION("""COMPUTED_VALUE"""),"pesquisas_elige")</f>
        <v>pesquisas_elige</v>
      </c>
      <c r="C201" s="2" t="str">
        <f>IFERROR(__xludf.DUMMYFUNCTION("""COMPUTED_VALUE"""),"O ex-apartidário mais seguido desse site!")</f>
        <v>O ex-apartidário mais seguido desse site!</v>
      </c>
      <c r="D201" s="2">
        <f>IFERROR(__xludf.DUMMYFUNCTION("""COMPUTED_VALUE"""),2.9490757740363176E-4)</f>
        <v>0.0002949075774</v>
      </c>
      <c r="E201" s="2" t="str">
        <f>IFERROR(__xludf.DUMMYFUNCTION("""COMPUTED_VALUE"""),"     86.353")</f>
        <v>     86.353</v>
      </c>
    </row>
    <row r="202">
      <c r="A202" s="2" t="str">
        <f>IFERROR(__xludf.DUMMYFUNCTION("""COMPUTED_VALUE"""),"christian")</f>
        <v>christian</v>
      </c>
      <c r="B202" s="2" t="str">
        <f>IFERROR(__xludf.DUMMYFUNCTION("""COMPUTED_VALUE"""),"whoischristian")</f>
        <v>whoischristian</v>
      </c>
      <c r="C202" s="2"/>
      <c r="D202" s="2">
        <f>IFERROR(__xludf.DUMMYFUNCTION("""COMPUTED_VALUE"""),2.9490757740363176E-4)</f>
        <v>0.0002949075774</v>
      </c>
      <c r="E202" s="2" t="str">
        <f>IFERROR(__xludf.DUMMYFUNCTION("""COMPUTED_VALUE"""),"      1.807")</f>
        <v>      1.807</v>
      </c>
    </row>
    <row r="203">
      <c r="A203" s="2" t="str">
        <f>IFERROR(__xludf.DUMMYFUNCTION("""COMPUTED_VALUE"""),"Valuation Freestyle")</f>
        <v>Valuation Freestyle</v>
      </c>
      <c r="B203" s="2" t="str">
        <f>IFERROR(__xludf.DUMMYFUNCTION("""COMPUTED_VALUE"""),"valuationfstyle")</f>
        <v>valuationfstyle</v>
      </c>
      <c r="C203" s="2" t="str">
        <f>IFERROR(__xludf.DUMMYFUNCTION("""COMPUTED_VALUE"""),"PhD at PSOL Academy of Valuation #FREE3 / Freestyle's, memes e notícias sem compromisso com a realidade / Aberto para parcerias (mande DM)")</f>
        <v>PhD at PSOL Academy of Valuation #FREE3 / Freestyle's, memes e notícias sem compromisso com a realidade / Aberto para parcerias (mande DM)</v>
      </c>
      <c r="D203" s="2">
        <f>IFERROR(__xludf.DUMMYFUNCTION("""COMPUTED_VALUE"""),2.9206630292595445E-4)</f>
        <v>0.0002920663029</v>
      </c>
      <c r="E203" s="2" t="str">
        <f>IFERROR(__xludf.DUMMYFUNCTION("""COMPUTED_VALUE"""),"     80.008")</f>
        <v>     80.008</v>
      </c>
    </row>
    <row r="204">
      <c r="A204" s="2" t="str">
        <f>IFERROR(__xludf.DUMMYFUNCTION("""COMPUTED_VALUE"""),"Nilgalo 🏆🏆🏆")</f>
        <v>Nilgalo 🏆🏆🏆</v>
      </c>
      <c r="B204" s="2" t="str">
        <f>IFERROR(__xludf.DUMMYFUNCTION("""COMPUTED_VALUE"""),"ferreiragnilso1")</f>
        <v>ferreiragnilso1</v>
      </c>
      <c r="C204" s="2" t="str">
        <f>IFERROR(__xludf.DUMMYFUNCTION("""COMPUTED_VALUE"""),"Atleticano  d corpo e alma")</f>
        <v>Atleticano  d corpo e alma</v>
      </c>
      <c r="D204" s="2">
        <f>IFERROR(__xludf.DUMMYFUNCTION("""COMPUTED_VALUE"""),2.904399373975199E-4)</f>
        <v>0.0002904399374</v>
      </c>
      <c r="E204" s="2" t="str">
        <f>IFERROR(__xludf.DUMMYFUNCTION("""COMPUTED_VALUE"""),"      2.184")</f>
        <v>      2.184</v>
      </c>
    </row>
    <row r="205">
      <c r="A205" s="2" t="str">
        <f>IFERROR(__xludf.DUMMYFUNCTION("""COMPUTED_VALUE"""),"GreenZ")</f>
        <v>GreenZ</v>
      </c>
      <c r="B205" s="2" t="str">
        <f>IFERROR(__xludf.DUMMYFUNCTION("""COMPUTED_VALUE"""),"green7z")</f>
        <v>green7z</v>
      </c>
      <c r="C205" s="2" t="str">
        <f>IFERROR(__xludf.DUMMYFUNCTION("""COMPUTED_VALUE"""),"🎧 𝐈'𝐦 𝐒𝐨𝐫𝐫𝐲, 𝐈 𝐂𝐚𝐧'𝐭 𝐛𝐞 𝐏𝐞𝐫𝐟𝐞𝐜𝐭 🎧
(o/ele/-o)
@Palmeiras 💚")</f>
        <v>🎧 𝐈'𝐦 𝐒𝐨𝐫𝐫𝐲, 𝐈 𝐂𝐚𝐧'𝐭 𝐛𝐞 𝐏𝐞𝐫𝐟𝐞𝐜𝐭 🎧
(o/ele/-o)
@Palmeiras 💚</v>
      </c>
      <c r="D205" s="2">
        <f>IFERROR(__xludf.DUMMYFUNCTION("""COMPUTED_VALUE"""),2.8673891327972E-4)</f>
        <v>0.0002867389133</v>
      </c>
      <c r="E205" s="2" t="str">
        <f>IFERROR(__xludf.DUMMYFUNCTION("""COMPUTED_VALUE"""),"      1.283")</f>
        <v>      1.283</v>
      </c>
    </row>
    <row r="206">
      <c r="A206" s="2" t="str">
        <f>IFERROR(__xludf.DUMMYFUNCTION("""COMPUTED_VALUE"""),"Lean Minaj (Big Difference)")</f>
        <v>Lean Minaj (Big Difference)</v>
      </c>
      <c r="B206" s="2" t="str">
        <f>IFERROR(__xludf.DUMMYFUNCTION("""COMPUTED_VALUE"""),"leanminaj")</f>
        <v>leanminaj</v>
      </c>
      <c r="C206" s="2" t="str">
        <f>IFERROR(__xludf.DUMMYFUNCTION("""COMPUTED_VALUE"""),"- Fan account
Nicki Minaj")</f>
        <v>- Fan account
Nicki Minaj</v>
      </c>
      <c r="D206" s="2">
        <f>IFERROR(__xludf.DUMMYFUNCTION("""COMPUTED_VALUE"""),2.856734353511803E-4)</f>
        <v>0.0002856734354</v>
      </c>
      <c r="E206" s="2" t="str">
        <f>IFERROR(__xludf.DUMMYFUNCTION("""COMPUTED_VALUE"""),"      1.048")</f>
        <v>      1.048</v>
      </c>
    </row>
    <row r="207">
      <c r="A207" s="2" t="str">
        <f>IFERROR(__xludf.DUMMYFUNCTION("""COMPUTED_VALUE"""),"Steve")</f>
        <v>Steve</v>
      </c>
      <c r="B207" s="2" t="str">
        <f>IFERROR(__xludf.DUMMYFUNCTION("""COMPUTED_VALUE"""),"michaustenn")</f>
        <v>michaustenn</v>
      </c>
      <c r="C207" s="2" t="str">
        <f>IFERROR(__xludf.DUMMYFUNCTION("""COMPUTED_VALUE"""),"Doctor.investor.Crypto. $BTC $ETH $MATIC $AAVE $GMX $GNS $MKR $LINK $SNX $ATOM KAS IPOR VRA PUNDIX PENDLE QNT 🚀🚀Do your DCA in each coin during 2023..DYOR")</f>
        <v>Doctor.investor.Crypto. $BTC $ETH $MATIC $AAVE $GMX $GNS $MKR $LINK $SNX $ATOM KAS IPOR VRA PUNDIX PENDLE QNT 🚀🚀Do your DCA in each coin during 2023..DYOR</v>
      </c>
      <c r="D207" s="2">
        <f>IFERROR(__xludf.DUMMYFUNCTION("""COMPUTED_VALUE"""),2.8031052977456426E-4)</f>
        <v>0.0002803105298</v>
      </c>
      <c r="E207" s="2" t="str">
        <f>IFERROR(__xludf.DUMMYFUNCTION("""COMPUTED_VALUE"""),"      1.407")</f>
        <v>      1.407</v>
      </c>
    </row>
    <row r="208">
      <c r="A208" s="2" t="str">
        <f>IFERROR(__xludf.DUMMYFUNCTION("""COMPUTED_VALUE"""),"Davi Souza, CNPI")</f>
        <v>Davi Souza, CNPI</v>
      </c>
      <c r="B208" s="2" t="str">
        <f>IFERROR(__xludf.DUMMYFUNCTION("""COMPUTED_VALUE"""),"fatosdabolsa")</f>
        <v>fatosdabolsa</v>
      </c>
      <c r="C208" s="2" t="str">
        <f>IFERROR(__xludf.DUMMYFUNCTION("""COMPUTED_VALUE"""),"ANALISTA CNPI
Conteúdo educativo somente.
Siga meu instagram no link abaixo.")</f>
        <v>ANALISTA CNPI
Conteúdo educativo somente.
Siga meu instagram no link abaixo.</v>
      </c>
      <c r="D208" s="2">
        <f>IFERROR(__xludf.DUMMYFUNCTION("""COMPUTED_VALUE"""),2.792805677764062E-4)</f>
        <v>0.0002792805678</v>
      </c>
      <c r="E208" s="2" t="str">
        <f>IFERROR(__xludf.DUMMYFUNCTION("""COMPUTED_VALUE"""),"     11.532")</f>
        <v>     11.532</v>
      </c>
    </row>
    <row r="209">
      <c r="A209" s="2" t="str">
        <f>IFERROR(__xludf.DUMMYFUNCTION("""COMPUTED_VALUE"""),"Banco do Nordeste")</f>
        <v>Banco do Nordeste</v>
      </c>
      <c r="B209" s="2" t="str">
        <f>IFERROR(__xludf.DUMMYFUNCTION("""COMPUTED_VALUE"""),"bancodonordeste")</f>
        <v>bancodonordeste</v>
      </c>
      <c r="C209" s="2" t="str">
        <f>IFERROR(__xludf.DUMMYFUNCTION("""COMPUTED_VALUE"""),"Desenvolvimento e sustentabilidade. Há 71 anos, sempre em frente para a Região acelerar. Perfil oficial.")</f>
        <v>Desenvolvimento e sustentabilidade. Há 71 anos, sempre em frente para a Região acelerar. Perfil oficial.</v>
      </c>
      <c r="D209" s="2">
        <f>IFERROR(__xludf.DUMMYFUNCTION("""COMPUTED_VALUE"""),2.7324285951134175E-4)</f>
        <v>0.0002732428595</v>
      </c>
      <c r="E209" s="2" t="str">
        <f>IFERROR(__xludf.DUMMYFUNCTION("""COMPUTED_VALUE"""),"      1.335")</f>
        <v>      1.335</v>
      </c>
    </row>
    <row r="210">
      <c r="A210" s="2" t="str">
        <f>IFERROR(__xludf.DUMMYFUNCTION("""COMPUTED_VALUE"""),"Ministério dos Transportes")</f>
        <v>Ministério dos Transportes</v>
      </c>
      <c r="B210" s="2" t="str">
        <f>IFERROR(__xludf.DUMMYFUNCTION("""COMPUTED_VALUE"""),"mtransportes")</f>
        <v>mtransportes</v>
      </c>
      <c r="C210" s="2" t="str">
        <f>IFERROR(__xludf.DUMMYFUNCTION("""COMPUTED_VALUE"""),"Perfil oficial do Ministério dos Transportes 🇧🇷")</f>
        <v>Perfil oficial do Ministério dos Transportes 🇧🇷</v>
      </c>
      <c r="D210" s="2">
        <f>IFERROR(__xludf.DUMMYFUNCTION("""COMPUTED_VALUE"""),2.7322741780222393E-4)</f>
        <v>0.0002732274178</v>
      </c>
      <c r="E210" s="2" t="str">
        <f>IFERROR(__xludf.DUMMYFUNCTION("""COMPUTED_VALUE"""),"    375.341")</f>
        <v>    375.341</v>
      </c>
    </row>
    <row r="211">
      <c r="A211" s="2" t="str">
        <f>IFERROR(__xludf.DUMMYFUNCTION("""COMPUTED_VALUE"""),"Renan Filho")</f>
        <v>Renan Filho</v>
      </c>
      <c r="B211" s="2" t="str">
        <f>IFERROR(__xludf.DUMMYFUNCTION("""COMPUTED_VALUE"""),"renanfilho_")</f>
        <v>renanfilho_</v>
      </c>
      <c r="C211" s="2" t="str">
        <f>IFERROR(__xludf.DUMMYFUNCTION("""COMPUTED_VALUE"""),"Economista, casado com a Renata, pai do Davi e do João. Senador por Alagoas, licenciado para assumir o Ministério dos Transportes.")</f>
        <v>Economista, casado com a Renata, pai do Davi e do João. Senador por Alagoas, licenciado para assumir o Ministério dos Transportes.</v>
      </c>
      <c r="D211" s="2">
        <f>IFERROR(__xludf.DUMMYFUNCTION("""COMPUTED_VALUE"""),2.7322741780222393E-4)</f>
        <v>0.0002732274178</v>
      </c>
      <c r="E211" s="2" t="str">
        <f>IFERROR(__xludf.DUMMYFUNCTION("""COMPUTED_VALUE"""),"     56.978")</f>
        <v>     56.978</v>
      </c>
    </row>
    <row r="212">
      <c r="A212" s="2" t="str">
        <f>IFERROR(__xludf.DUMMYFUNCTION("""COMPUTED_VALUE"""),"bifeahcasa")</f>
        <v>bifeahcasa</v>
      </c>
      <c r="B212" s="2" t="str">
        <f>IFERROR(__xludf.DUMMYFUNCTION("""COMPUTED_VALUE"""),"bifeahcasa")</f>
        <v>bifeahcasa</v>
      </c>
      <c r="C212" s="2" t="str">
        <f>IFERROR(__xludf.DUMMYFUNCTION("""COMPUTED_VALUE"""),"Product manager de banalidades. e
Empreendedor do ócio.")</f>
        <v>Product manager de banalidades. e
Empreendedor do ócio.</v>
      </c>
      <c r="D212" s="2">
        <f>IFERROR(__xludf.DUMMYFUNCTION("""COMPUTED_VALUE"""),2.707567443433741E-4)</f>
        <v>0.0002707567443</v>
      </c>
      <c r="E212" s="2" t="str">
        <f>IFERROR(__xludf.DUMMYFUNCTION("""COMPUTED_VALUE"""),"     19.972")</f>
        <v>     19.972</v>
      </c>
    </row>
    <row r="213">
      <c r="A213" s="2" t="str">
        <f>IFERROR(__xludf.DUMMYFUNCTION("""COMPUTED_VALUE"""),"Felipe Quintas")</f>
        <v>Felipe Quintas</v>
      </c>
      <c r="B213" s="2" t="str">
        <f>IFERROR(__xludf.DUMMYFUNCTION("""COMPUTED_VALUE"""),"felipemquintas")</f>
        <v>felipemquintas</v>
      </c>
      <c r="C213" s="2" t="str">
        <f>IFERROR(__xludf.DUMMYFUNCTION("""COMPUTED_VALUE"""),"Pretendia alcançar o ponto em que nossa vontade se articula com o destino e onde a disciplina secunda a natureza, em lugar de contê-la. - Memórias de Adriano")</f>
        <v>Pretendia alcançar o ponto em que nossa vontade se articula com o destino e onde a disciplina secunda a natureza, em lugar de contê-la. - Memórias de Adriano</v>
      </c>
      <c r="D213" s="2">
        <f>IFERROR(__xludf.DUMMYFUNCTION("""COMPUTED_VALUE"""),2.707567443433741E-4)</f>
        <v>0.0002707567443</v>
      </c>
      <c r="E213" s="2" t="str">
        <f>IFERROR(__xludf.DUMMYFUNCTION("""COMPUTED_VALUE"""),"     11.042")</f>
        <v>     11.042</v>
      </c>
    </row>
    <row r="214">
      <c r="A214" s="2" t="str">
        <f>IFERROR(__xludf.DUMMYFUNCTION("""COMPUTED_VALUE"""),"Sindipetro-ES")</f>
        <v>Sindipetro-ES</v>
      </c>
      <c r="B214" s="2" t="str">
        <f>IFERROR(__xludf.DUMMYFUNCTION("""COMPUTED_VALUE"""),"sindipetro_es")</f>
        <v>sindipetro_es</v>
      </c>
      <c r="C214" s="2" t="str">
        <f>IFERROR(__xludf.DUMMYFUNCTION("""COMPUTED_VALUE"""),"Sindicato dos Petroleiros do Espirito Santo")</f>
        <v>Sindicato dos Petroleiros do Espirito Santo</v>
      </c>
      <c r="D214" s="2">
        <f>IFERROR(__xludf.DUMMYFUNCTION("""COMPUTED_VALUE"""),2.707567443433741E-4)</f>
        <v>0.0002707567443</v>
      </c>
      <c r="E214" s="2" t="str">
        <f>IFERROR(__xludf.DUMMYFUNCTION("""COMPUTED_VALUE"""),"     13.923")</f>
        <v>     13.923</v>
      </c>
    </row>
    <row r="215">
      <c r="A215" s="2" t="str">
        <f>IFERROR(__xludf.DUMMYFUNCTION("""COMPUTED_VALUE"""),"Lázaro Rosa 🇧🇷")</f>
        <v>Lázaro Rosa 🇧🇷</v>
      </c>
      <c r="B215" s="2" t="str">
        <f>IFERROR(__xludf.DUMMYFUNCTION("""COMPUTED_VALUE"""),"lazarorosa25")</f>
        <v>lazarorosa25</v>
      </c>
      <c r="C215" s="2" t="str">
        <f>IFERROR(__xludf.DUMMYFUNCTION("""COMPUTED_VALUE"""),"Progressista, irônico e bem humorado. Ativista pela democracia 💪🏾")</f>
        <v>Progressista, irônico e bem humorado. Ativista pela democracia 💪🏾</v>
      </c>
      <c r="D215" s="2">
        <f>IFERROR(__xludf.DUMMYFUNCTION("""COMPUTED_VALUE"""),2.707567443433741E-4)</f>
        <v>0.0002707567443</v>
      </c>
      <c r="E215" s="2" t="str">
        <f>IFERROR(__xludf.DUMMYFUNCTION("""COMPUTED_VALUE"""),"    215.825")</f>
        <v>    215.825</v>
      </c>
    </row>
    <row r="216">
      <c r="A216" s="2" t="str">
        <f>IFERROR(__xludf.DUMMYFUNCTION("""COMPUTED_VALUE"""),"Brendda Índia")</f>
        <v>Brendda Índia</v>
      </c>
      <c r="B216" s="2" t="str">
        <f>IFERROR(__xludf.DUMMYFUNCTION("""COMPUTED_VALUE"""),"brenddatrindade")</f>
        <v>brenddatrindade</v>
      </c>
      <c r="C216" s="2" t="str">
        <f>IFERROR(__xludf.DUMMYFUNCTION("""COMPUTED_VALUE"""),"Me benze aonde eu for, vó! 🤍")</f>
        <v>Me benze aonde eu for, vó! 🤍</v>
      </c>
      <c r="D216" s="2">
        <f>IFERROR(__xludf.DUMMYFUNCTION("""COMPUTED_VALUE"""),2.707567443433741E-4)</f>
        <v>0.0002707567443</v>
      </c>
      <c r="E216" s="2" t="str">
        <f>IFERROR(__xludf.DUMMYFUNCTION("""COMPUTED_VALUE"""),"     64.358")</f>
        <v>     64.358</v>
      </c>
    </row>
    <row r="217">
      <c r="A217" s="2" t="str">
        <f>IFERROR(__xludf.DUMMYFUNCTION("""COMPUTED_VALUE"""),"Sicoob")</f>
        <v>Sicoob</v>
      </c>
      <c r="B217" s="2" t="str">
        <f>IFERROR(__xludf.DUMMYFUNCTION("""COMPUTED_VALUE"""),"sicoob")</f>
        <v>sicoob</v>
      </c>
      <c r="C217" s="2" t="str">
        <f>IFERROR(__xludf.DUMMYFUNCTION("""COMPUTED_VALUE"""),"Fazer mais que uma escolha financeira é decidir crescer junto, transformando a vida de pessoas por todo o Brasil. Abra a sua conta e venha ser dono. 💚")</f>
        <v>Fazer mais que uma escolha financeira é decidir crescer junto, transformando a vida de pessoas por todo o Brasil. Abra a sua conta e venha ser dono. 💚</v>
      </c>
      <c r="D217" s="2">
        <f>IFERROR(__xludf.DUMMYFUNCTION("""COMPUTED_VALUE"""),2.707567443433741E-4)</f>
        <v>0.0002707567443</v>
      </c>
      <c r="E217" s="2" t="str">
        <f>IFERROR(__xludf.DUMMYFUNCTION("""COMPUTED_VALUE"""),"     51.862")</f>
        <v>     51.862</v>
      </c>
    </row>
    <row r="218">
      <c r="A218" s="2" t="str">
        <f>IFERROR(__xludf.DUMMYFUNCTION("""COMPUTED_VALUE"""),"Tiago Prux")</f>
        <v>Tiago Prux</v>
      </c>
      <c r="B218" s="2" t="str">
        <f>IFERROR(__xludf.DUMMYFUNCTION("""COMPUTED_VALUE"""),"tprux")</f>
        <v>tprux</v>
      </c>
      <c r="C218" s="2" t="str">
        <f>IFERROR(__xludf.DUMMYFUNCTION("""COMPUTED_VALUE"""),"Minhas opiniões sobre o mercado. Não são recomendações. EVOLUÇÃO, sempre para frente!
Sócio fundador da https://t.co/uuo466luqV
https://t.co/DE1j7Ah5gI")</f>
        <v>Minhas opiniões sobre o mercado. Não são recomendações. EVOLUÇÃO, sempre para frente!
Sócio fundador da https://t.co/uuo466luqV
https://t.co/DE1j7Ah5gI</v>
      </c>
      <c r="D218" s="2">
        <f>IFERROR(__xludf.DUMMYFUNCTION("""COMPUTED_VALUE"""),2.707567443433741E-4)</f>
        <v>0.0002707567443</v>
      </c>
      <c r="E218" s="2" t="str">
        <f>IFERROR(__xludf.DUMMYFUNCTION("""COMPUTED_VALUE"""),"      4.855")</f>
        <v>      4.855</v>
      </c>
    </row>
    <row r="219">
      <c r="A219" s="2" t="str">
        <f>IFERROR(__xludf.DUMMYFUNCTION("""COMPUTED_VALUE"""),"Samuel Pancher")</f>
        <v>Samuel Pancher</v>
      </c>
      <c r="B219" s="2" t="str">
        <f>IFERROR(__xludf.DUMMYFUNCTION("""COMPUTED_VALUE"""),"sampancher")</f>
        <v>sampancher</v>
      </c>
      <c r="C219" s="2" t="str">
        <f>IFERROR(__xludf.DUMMYFUNCTION("""COMPUTED_VALUE"""),"Jornalista retratando a realidade distópica no @metropoles Contato: sampancher7@gmail.com")</f>
        <v>Jornalista retratando a realidade distópica no @metropoles Contato: sampancher7@gmail.com</v>
      </c>
      <c r="D219" s="2">
        <f>IFERROR(__xludf.DUMMYFUNCTION("""COMPUTED_VALUE"""),2.707567443433741E-4)</f>
        <v>0.0002707567443</v>
      </c>
      <c r="E219" s="2" t="str">
        <f>IFERROR(__xludf.DUMMYFUNCTION("""COMPUTED_VALUE"""),"    116.927")</f>
        <v>    116.927</v>
      </c>
    </row>
    <row r="220">
      <c r="A220" s="2" t="str">
        <f>IFERROR(__xludf.DUMMYFUNCTION("""COMPUTED_VALUE"""),"Eixo Político")</f>
        <v>Eixo Político</v>
      </c>
      <c r="B220" s="2" t="str">
        <f>IFERROR(__xludf.DUMMYFUNCTION("""COMPUTED_VALUE"""),"eixopolitico")</f>
        <v>eixopolitico</v>
      </c>
      <c r="C220" s="2" t="str">
        <f>IFERROR(__xludf.DUMMYFUNCTION("""COMPUTED_VALUE"""),"Sua fonte diária de informações sobre política. Por @mateusno.
✉️ contato@eixopolitico.com")</f>
        <v>Sua fonte diária de informações sobre política. Por @mateusno.
✉️ contato@eixopolitico.com</v>
      </c>
      <c r="D220" s="2">
        <f>IFERROR(__xludf.DUMMYFUNCTION("""COMPUTED_VALUE"""),2.707567443433741E-4)</f>
        <v>0.0002707567443</v>
      </c>
      <c r="E220" s="2" t="str">
        <f>IFERROR(__xludf.DUMMYFUNCTION("""COMPUTED_VALUE"""),"    309.353")</f>
        <v>    309.353</v>
      </c>
    </row>
    <row r="221">
      <c r="A221" s="2" t="str">
        <f>IFERROR(__xludf.DUMMYFUNCTION("""COMPUTED_VALUE"""),"Prof. Claudio Branchieri")</f>
        <v>Prof. Claudio Branchieri</v>
      </c>
      <c r="B221" s="2" t="str">
        <f>IFERROR(__xludf.DUMMYFUNCTION("""COMPUTED_VALUE"""),"profclaudiobran")</f>
        <v>profclaudiobran</v>
      </c>
      <c r="C221" s="2" t="str">
        <f>IFERROR(__xludf.DUMMYFUNCTION("""COMPUTED_VALUE"""),"🔰 Deputado Estadual - RS
🎯 Mestre em Economia - UFRGS
🇧🇷 Antipetista &amp; Conservador
📢 Coragem e firmeza que te representam!")</f>
        <v>🔰 Deputado Estadual - RS
🎯 Mestre em Economia - UFRGS
🇧🇷 Antipetista &amp; Conservador
📢 Coragem e firmeza que te representam!</v>
      </c>
      <c r="D221" s="2">
        <f>IFERROR(__xludf.DUMMYFUNCTION("""COMPUTED_VALUE"""),2.707567443433741E-4)</f>
        <v>0.0002707567443</v>
      </c>
      <c r="E221" s="2" t="str">
        <f>IFERROR(__xludf.DUMMYFUNCTION("""COMPUTED_VALUE"""),"      6.782")</f>
        <v>      6.782</v>
      </c>
    </row>
    <row r="222">
      <c r="A222" s="2" t="str">
        <f>IFERROR(__xludf.DUMMYFUNCTION("""COMPUTED_VALUE"""),"Leonardo Lopes")</f>
        <v>Leonardo Lopes</v>
      </c>
      <c r="B222" s="2" t="str">
        <f>IFERROR(__xludf.DUMMYFUNCTION("""COMPUTED_VALUE"""),"leonardo1opes")</f>
        <v>leonardo1opes</v>
      </c>
      <c r="C222" s="2" t="str">
        <f>IFERROR(__xludf.DUMMYFUNCTION("""COMPUTED_VALUE"""),"Faço threads com histórias de lugares que visitei, ou pelo menos deveria. Na maior parte do tempo estou reclamando de políticos e fazendo enquetes inúteis.")</f>
        <v>Faço threads com histórias de lugares que visitei, ou pelo menos deveria. Na maior parte do tempo estou reclamando de políticos e fazendo enquetes inúteis.</v>
      </c>
      <c r="D222" s="2">
        <f>IFERROR(__xludf.DUMMYFUNCTION("""COMPUTED_VALUE"""),2.707567443433741E-4)</f>
        <v>0.0002707567443</v>
      </c>
      <c r="E222" s="2" t="str">
        <f>IFERROR(__xludf.DUMMYFUNCTION("""COMPUTED_VALUE"""),"     64.506")</f>
        <v>     64.506</v>
      </c>
    </row>
    <row r="223">
      <c r="A223" s="2" t="str">
        <f>IFERROR(__xludf.DUMMYFUNCTION("""COMPUTED_VALUE"""),"Bruce Barbosa")</f>
        <v>Bruce Barbosa</v>
      </c>
      <c r="B223" s="2" t="str">
        <f>IFERROR(__xludf.DUMMYFUNCTION("""COMPUTED_VALUE"""),"brucebarbosa88")</f>
        <v>brucebarbosa88</v>
      </c>
      <c r="C223" s="2" t="str">
        <f>IFERROR(__xludf.DUMMYFUNCTION("""COMPUTED_VALUE"""),"Cético, mas ainda otimista...
Sócio-fundador da @ResearchNord 👉🏻 cadastre-se gratuitamente para receber nossos conteúdo https://t.co/4sf3aRh6zN")</f>
        <v>Cético, mas ainda otimista...
Sócio-fundador da @ResearchNord 👉🏻 cadastre-se gratuitamente para receber nossos conteúdo https://t.co/4sf3aRh6zN</v>
      </c>
      <c r="D223" s="2">
        <f>IFERROR(__xludf.DUMMYFUNCTION("""COMPUTED_VALUE"""),2.707567443433741E-4)</f>
        <v>0.0002707567443</v>
      </c>
      <c r="E223" s="2" t="str">
        <f>IFERROR(__xludf.DUMMYFUNCTION("""COMPUTED_VALUE"""),"     82.991")</f>
        <v>     82.991</v>
      </c>
    </row>
    <row r="224">
      <c r="A224" s="2" t="str">
        <f>IFERROR(__xludf.DUMMYFUNCTION("""COMPUTED_VALUE"""),"Eddy Veerus")</f>
        <v>Eddy Veerus</v>
      </c>
      <c r="B224" s="2" t="str">
        <f>IFERROR(__xludf.DUMMYFUNCTION("""COMPUTED_VALUE"""),"eddyveerus")</f>
        <v>eddyveerus</v>
      </c>
      <c r="C224" s="2" t="str">
        <f>IFERROR(__xludf.DUMMYFUNCTION("""COMPUTED_VALUE"""),"1/2 del @paganteofficial e maledettamente innamorato dell’@inter di Milano")</f>
        <v>1/2 del @paganteofficial e maledettamente innamorato dell’@inter di Milano</v>
      </c>
      <c r="D224" s="2">
        <f>IFERROR(__xludf.DUMMYFUNCTION("""COMPUTED_VALUE"""),2.707567443433741E-4)</f>
        <v>0.0002707567443</v>
      </c>
      <c r="E224" s="2" t="str">
        <f>IFERROR(__xludf.DUMMYFUNCTION("""COMPUTED_VALUE"""),"      7.878")</f>
        <v>      7.878</v>
      </c>
    </row>
    <row r="225">
      <c r="A225" s="2" t="str">
        <f>IFERROR(__xludf.DUMMYFUNCTION("""COMPUTED_VALUE"""),"Filipe")</f>
        <v>Filipe</v>
      </c>
      <c r="B225" s="2" t="str">
        <f>IFERROR(__xludf.DUMMYFUNCTION("""COMPUTED_VALUE"""),"filipeuri")</f>
        <v>filipeuri</v>
      </c>
      <c r="C225" s="2" t="str">
        <f>IFERROR(__xludf.DUMMYFUNCTION("""COMPUTED_VALUE"""),"tô aqui pelas tour")</f>
        <v>tô aqui pelas tour</v>
      </c>
      <c r="D225" s="2">
        <f>IFERROR(__xludf.DUMMYFUNCTION("""COMPUTED_VALUE"""),2.707567443433741E-4)</f>
        <v>0.0002707567443</v>
      </c>
      <c r="E225" s="2" t="str">
        <f>IFERROR(__xludf.DUMMYFUNCTION("""COMPUTED_VALUE"""),"      1.661")</f>
        <v>      1.661</v>
      </c>
    </row>
    <row r="226">
      <c r="A226" s="2" t="str">
        <f>IFERROR(__xludf.DUMMYFUNCTION("""COMPUTED_VALUE"""),"Blog Fórmula 1 🏁")</f>
        <v>Blog Fórmula 1 🏁</v>
      </c>
      <c r="B226" s="2" t="str">
        <f>IFERROR(__xludf.DUMMYFUNCTION("""COMPUTED_VALUE"""),"blog_formula1")</f>
        <v>blog_formula1</v>
      </c>
      <c r="C226" s="2" t="str">
        <f>IFERROR(__xludf.DUMMYFUNCTION("""COMPUTED_VALUE"""),"FAN PAGE! O seu lugar para falar sobre F1 no Twitter.
Contato/parcerias: contato@blog-formula1.com
Lojinha na Shopee: https://t.co/KfdYTHDkcp")</f>
        <v>FAN PAGE! O seu lugar para falar sobre F1 no Twitter.
Contato/parcerias: contato@blog-formula1.com
Lojinha na Shopee: https://t.co/KfdYTHDkcp</v>
      </c>
      <c r="D226" s="2">
        <f>IFERROR(__xludf.DUMMYFUNCTION("""COMPUTED_VALUE"""),2.707567443433741E-4)</f>
        <v>0.0002707567443</v>
      </c>
      <c r="E226" s="2" t="str">
        <f>IFERROR(__xludf.DUMMYFUNCTION("""COMPUTED_VALUE"""),"     70.211")</f>
        <v>     70.211</v>
      </c>
    </row>
    <row r="227">
      <c r="A227" s="2" t="str">
        <f>IFERROR(__xludf.DUMMYFUNCTION("""COMPUTED_VALUE"""),"Thomas Alencar")</f>
        <v>Thomas Alencar</v>
      </c>
      <c r="B227" s="2" t="str">
        <f>IFERROR(__xludf.DUMMYFUNCTION("""COMPUTED_VALUE"""),"thomasalencr")</f>
        <v>thomasalencr</v>
      </c>
      <c r="C227" s="2" t="str">
        <f>IFERROR(__xludf.DUMMYFUNCTION("""COMPUTED_VALUE"""),"Jornalista e redator do @Bola_Amarela e @Colunadofla. Aqui falo sobre o 𝗠𝗮𝗻𝗰𝗵𝗲𝘀𝘁𝗲𝗿 𝗨𝗻𝗶𝘁𝗲𝗱 com opiniões e informações.")</f>
        <v>Jornalista e redator do @Bola_Amarela e @Colunadofla. Aqui falo sobre o 𝗠𝗮𝗻𝗰𝗵𝗲𝘀𝘁𝗲𝗿 𝗨𝗻𝗶𝘁𝗲𝗱 com opiniões e informações.</v>
      </c>
      <c r="D227" s="2">
        <f>IFERROR(__xludf.DUMMYFUNCTION("""COMPUTED_VALUE"""),2.707567443433741E-4)</f>
        <v>0.0002707567443</v>
      </c>
      <c r="E227" s="2" t="str">
        <f>IFERROR(__xludf.DUMMYFUNCTION("""COMPUTED_VALUE"""),"     26.492")</f>
        <v>     26.492</v>
      </c>
    </row>
    <row r="228">
      <c r="A228" s="2" t="str">
        <f>IFERROR(__xludf.DUMMYFUNCTION("""COMPUTED_VALUE"""),"Andrade")</f>
        <v>Andrade</v>
      </c>
      <c r="B228" s="2" t="str">
        <f>IFERROR(__xludf.DUMMYFUNCTION("""COMPUTED_VALUE"""),"andradernegro2")</f>
        <v>andradernegro2</v>
      </c>
      <c r="C228" s="2" t="str">
        <f>IFERROR(__xludf.DUMMYFUNCTION("""COMPUTED_VALUE"""),"Fé, Flamengo, Política.")</f>
        <v>Fé, Flamengo, Política.</v>
      </c>
      <c r="D228" s="2">
        <f>IFERROR(__xludf.DUMMYFUNCTION("""COMPUTED_VALUE"""),2.707567443433741E-4)</f>
        <v>0.0002707567443</v>
      </c>
      <c r="E228" s="2" t="str">
        <f>IFERROR(__xludf.DUMMYFUNCTION("""COMPUTED_VALUE"""),"     49.363")</f>
        <v>     49.363</v>
      </c>
    </row>
    <row r="229">
      <c r="A229" s="2" t="str">
        <f>IFERROR(__xludf.DUMMYFUNCTION("""COMPUTED_VALUE"""),"Nonô, o Vovô Investidor")</f>
        <v>Nonô, o Vovô Investidor</v>
      </c>
      <c r="B229" s="2" t="str">
        <f>IFERROR(__xludf.DUMMYFUNCTION("""COMPUTED_VALUE"""),"nonoinvestidor")</f>
        <v>nonoinvestidor</v>
      </c>
      <c r="C229" s="2" t="str">
        <f>IFERROR(__xludf.DUMMYFUNCTION("""COMPUTED_VALUE"""),"▫️PhD em Loss pela StopLoss University / B3 🇧🇷▫️O melhor perfil de Humor do Mercado Financeiro ▫️Eu ensino como perder dinheiro!!!!!!▫️ CLICA AQUI👇🏼")</f>
        <v>▫️PhD em Loss pela StopLoss University / B3 🇧🇷▫️O melhor perfil de Humor do Mercado Financeiro ▫️Eu ensino como perder dinheiro!!!!!!▫️ CLICA AQUI👇🏼</v>
      </c>
      <c r="D229" s="2">
        <f>IFERROR(__xludf.DUMMYFUNCTION("""COMPUTED_VALUE"""),2.707567443433741E-4)</f>
        <v>0.0002707567443</v>
      </c>
      <c r="E229" s="2" t="str">
        <f>IFERROR(__xludf.DUMMYFUNCTION("""COMPUTED_VALUE"""),"    118.867")</f>
        <v>    118.867</v>
      </c>
    </row>
    <row r="230">
      <c r="A230" s="2" t="str">
        <f>IFERROR(__xludf.DUMMYFUNCTION("""COMPUTED_VALUE"""),"CGTP-IN")</f>
        <v>CGTP-IN</v>
      </c>
      <c r="B230" s="2" t="str">
        <f>IFERROR(__xludf.DUMMYFUNCTION("""COMPUTED_VALUE"""),"cgtp_in")</f>
        <v>cgtp_in</v>
      </c>
      <c r="C230" s="2" t="str">
        <f>IFERROR(__xludf.DUMMYFUNCTION("""COMPUTED_VALUE"""),"CGTP-IN, organização sindical de classe, unitária, democrática, independente e de massas")</f>
        <v>CGTP-IN, organização sindical de classe, unitária, democrática, independente e de massas</v>
      </c>
      <c r="D230" s="2">
        <f>IFERROR(__xludf.DUMMYFUNCTION("""COMPUTED_VALUE"""),2.707567443433741E-4)</f>
        <v>0.0002707567443</v>
      </c>
      <c r="E230" s="2" t="str">
        <f>IFERROR(__xludf.DUMMYFUNCTION("""COMPUTED_VALUE"""),"      4.066")</f>
        <v>      4.066</v>
      </c>
    </row>
    <row r="231">
      <c r="A231" s="2" t="str">
        <f>IFERROR(__xludf.DUMMYFUNCTION("""COMPUTED_VALUE"""),"Arturo Bandini")</f>
        <v>Arturo Bandini</v>
      </c>
      <c r="B231" s="2" t="str">
        <f>IFERROR(__xludf.DUMMYFUNCTION("""COMPUTED_VALUE"""),"arturob23022138")</f>
        <v>arturob23022138</v>
      </c>
      <c r="C231" s="2" t="str">
        <f>IFERROR(__xludf.DUMMYFUNCTION("""COMPUTED_VALUE"""),"NOTO CAZZONE, SBALLONE, PESANTISSIMO ROMPICOGLIONI E BULLO DEI PEGGIORI")</f>
        <v>NOTO CAZZONE, SBALLONE, PESANTISSIMO ROMPICOGLIONI E BULLO DEI PEGGIORI</v>
      </c>
      <c r="D231" s="2">
        <f>IFERROR(__xludf.DUMMYFUNCTION("""COMPUTED_VALUE"""),2.707567443433741E-4)</f>
        <v>0.0002707567443</v>
      </c>
      <c r="E231" s="2" t="str">
        <f>IFERROR(__xludf.DUMMYFUNCTION("""COMPUTED_VALUE"""),"      4.966")</f>
        <v>      4.966</v>
      </c>
    </row>
    <row r="232">
      <c r="A232" s="2" t="str">
        <f>IFERROR(__xludf.DUMMYFUNCTION("""COMPUTED_VALUE"""),"Julio Schneider 🇧🇷🇺🇸")</f>
        <v>Julio Schneider 🇧🇷🇺🇸</v>
      </c>
      <c r="B232" s="2" t="str">
        <f>IFERROR(__xludf.DUMMYFUNCTION("""COMPUTED_VALUE"""),"juliovschneider")</f>
        <v>juliovschneider</v>
      </c>
      <c r="C232" s="2" t="str">
        <f>IFERROR(__xludf.DUMMYFUNCTION("""COMPUTED_VALUE"""),"Consultor Internacional")</f>
        <v>Consultor Internacional</v>
      </c>
      <c r="D232" s="2">
        <f>IFERROR(__xludf.DUMMYFUNCTION("""COMPUTED_VALUE"""),2.707567443433741E-4)</f>
        <v>0.0002707567443</v>
      </c>
      <c r="E232" s="2" t="str">
        <f>IFERROR(__xludf.DUMMYFUNCTION("""COMPUTED_VALUE"""),"    113.384")</f>
        <v>    113.384</v>
      </c>
    </row>
    <row r="233">
      <c r="A233" s="2" t="str">
        <f>IFERROR(__xludf.DUMMYFUNCTION("""COMPUTED_VALUE"""),"Genoa CFC")</f>
        <v>Genoa CFC</v>
      </c>
      <c r="B233" s="2" t="str">
        <f>IFERROR(__xludf.DUMMYFUNCTION("""COMPUTED_VALUE"""),"genoacfc")</f>
        <v>genoacfc</v>
      </c>
      <c r="C233" s="2" t="str">
        <f>IFERROR(__xludf.DUMMYFUNCTION("""COMPUTED_VALUE"""),"❤️💙 𝗗𝗮𝗹𝗹'𝗶𝗻𝗶𝘇𝗶𝗼, 𝗽𝗲𝗿 𝘀𝗲𝗺𝗽𝗿𝗲 🏴󠁧󠁢󠁥󠁮󠁧󠁿 Genoa CFC Official Account | The Oldest Football Club in Italy")</f>
        <v>❤️💙 𝗗𝗮𝗹𝗹'𝗶𝗻𝗶𝘇𝗶𝗼, 𝗽𝗲𝗿 𝘀𝗲𝗺𝗽𝗿𝗲 🏴󠁧󠁢󠁥󠁮󠁧󠁿 Genoa CFC Official Account | The Oldest Football Club in Italy</v>
      </c>
      <c r="D233" s="2">
        <f>IFERROR(__xludf.DUMMYFUNCTION("""COMPUTED_VALUE"""),2.707567443433741E-4)</f>
        <v>0.0002707567443</v>
      </c>
      <c r="E233" s="2" t="str">
        <f>IFERROR(__xludf.DUMMYFUNCTION("""COMPUTED_VALUE"""),"    396.779")</f>
        <v>    396.779</v>
      </c>
    </row>
    <row r="234">
      <c r="A234" s="2" t="str">
        <f>IFERROR(__xludf.DUMMYFUNCTION("""COMPUTED_VALUE"""),"MC Kevin")</f>
        <v>MC Kevin</v>
      </c>
      <c r="B234" s="2" t="str">
        <f>IFERROR(__xludf.DUMMYFUNCTION("""COMPUTED_VALUE"""),"mckevinreels")</f>
        <v>mckevinreels</v>
      </c>
      <c r="C234" s="2"/>
      <c r="D234" s="2">
        <f>IFERROR(__xludf.DUMMYFUNCTION("""COMPUTED_VALUE"""),2.707567443433741E-4)</f>
        <v>0.0002707567443</v>
      </c>
      <c r="E234" s="2" t="str">
        <f>IFERROR(__xludf.DUMMYFUNCTION("""COMPUTED_VALUE"""),"     12.116")</f>
        <v>     12.116</v>
      </c>
    </row>
    <row r="235">
      <c r="A235" s="2" t="str">
        <f>IFERROR(__xludf.DUMMYFUNCTION("""COMPUTED_VALUE"""),"Leonardo Bertozzi")</f>
        <v>Leonardo Bertozzi</v>
      </c>
      <c r="B235" s="2" t="str">
        <f>IFERROR(__xludf.DUMMYFUNCTION("""COMPUTED_VALUE"""),"lbertozzi")</f>
        <v>lbertozzi</v>
      </c>
      <c r="C235" s="2" t="str">
        <f>IFERROR(__xludf.DUMMYFUNCTION("""COMPUTED_VALUE"""),"🌍 Futebol internacional
▶️ Comentarista ESPN/Star+
🎙️ Podcast Futebol no Mundo
🖥️ Contato profissional https://t.co/UhzBTsfv1N")</f>
        <v>🌍 Futebol internacional
▶️ Comentarista ESPN/Star+
🎙️ Podcast Futebol no Mundo
🖥️ Contato profissional https://t.co/UhzBTsfv1N</v>
      </c>
      <c r="D235" s="2">
        <f>IFERROR(__xludf.DUMMYFUNCTION("""COMPUTED_VALUE"""),2.707567443433741E-4)</f>
        <v>0.0002707567443</v>
      </c>
      <c r="E235" s="2" t="str">
        <f>IFERROR(__xludf.DUMMYFUNCTION("""COMPUTED_VALUE"""),"    659.595")</f>
        <v>    659.595</v>
      </c>
    </row>
    <row r="236">
      <c r="A236" s="2" t="str">
        <f>IFERROR(__xludf.DUMMYFUNCTION("""COMPUTED_VALUE"""),"Correios")</f>
        <v>Correios</v>
      </c>
      <c r="B236" s="2" t="str">
        <f>IFERROR(__xludf.DUMMYFUNCTION("""COMPUTED_VALUE"""),"correiosbr")</f>
        <v>correiosbr</v>
      </c>
      <c r="C236" s="2" t="str">
        <f>IFERROR(__xludf.DUMMYFUNCTION("""COMPUTED_VALUE"""),"#Correios360, Brasil em todos os ângulos. 💛💙")</f>
        <v>#Correios360, Brasil em todos os ângulos. 💛💙</v>
      </c>
      <c r="D236" s="2">
        <f>IFERROR(__xludf.DUMMYFUNCTION("""COMPUTED_VALUE"""),2.707567443433741E-4)</f>
        <v>0.0002707567443</v>
      </c>
      <c r="E236" s="2" t="str">
        <f>IFERROR(__xludf.DUMMYFUNCTION("""COMPUTED_VALUE"""),"      4.274")</f>
        <v>      4.274</v>
      </c>
    </row>
    <row r="237">
      <c r="A237" s="2" t="str">
        <f>IFERROR(__xludf.DUMMYFUNCTION("""COMPUTED_VALUE"""),"Pedro Eneas")</f>
        <v>Pedro Eneas</v>
      </c>
      <c r="B237" s="2" t="str">
        <f>IFERROR(__xludf.DUMMYFUNCTION("""COMPUTED_VALUE"""),"eneas_pedro")</f>
        <v>eneas_pedro</v>
      </c>
      <c r="C237" s="2" t="str">
        <f>IFERROR(__xludf.DUMMYFUNCTION("""COMPUTED_VALUE"""),"Contador/Especialista em Auditoria e Controle Interno/Mestre em Gestão Institucional/Mestrando em Ciências Contábeis")</f>
        <v>Contador/Especialista em Auditoria e Controle Interno/Mestre em Gestão Institucional/Mestrando em Ciências Contábeis</v>
      </c>
      <c r="D237" s="2">
        <f>IFERROR(__xludf.DUMMYFUNCTION("""COMPUTED_VALUE"""),2.707567443433741E-4)</f>
        <v>0.0002707567443</v>
      </c>
      <c r="E237" s="2" t="str">
        <f>IFERROR(__xludf.DUMMYFUNCTION("""COMPUTED_VALUE"""),"      5.343")</f>
        <v>      5.343</v>
      </c>
    </row>
    <row r="238">
      <c r="A238" s="2" t="str">
        <f>IFERROR(__xludf.DUMMYFUNCTION("""COMPUTED_VALUE"""),"Carlos Moedas")</f>
        <v>Carlos Moedas</v>
      </c>
      <c r="B238" s="2" t="str">
        <f>IFERROR(__xludf.DUMMYFUNCTION("""COMPUTED_VALUE"""),"moedas")</f>
        <v>moedas</v>
      </c>
      <c r="C238" s="2" t="str">
        <f>IFERROR(__xludf.DUMMYFUNCTION("""COMPUTED_VALUE"""),"👤 Presidente da Câmara Municipal de Lisboa | Mayor of Lisbon | Maire de Lisbonne")</f>
        <v>👤 Presidente da Câmara Municipal de Lisboa | Mayor of Lisbon | Maire de Lisbonne</v>
      </c>
      <c r="D238" s="2">
        <f>IFERROR(__xludf.DUMMYFUNCTION("""COMPUTED_VALUE"""),2.707567443433741E-4)</f>
        <v>0.0002707567443</v>
      </c>
      <c r="E238" s="2" t="str">
        <f>IFERROR(__xludf.DUMMYFUNCTION("""COMPUTED_VALUE"""),"     82.383")</f>
        <v>     82.383</v>
      </c>
    </row>
    <row r="239">
      <c r="A239" s="2" t="str">
        <f>IFERROR(__xludf.DUMMYFUNCTION("""COMPUTED_VALUE"""),"Nação BRB FLA")</f>
        <v>Nação BRB FLA</v>
      </c>
      <c r="B239" s="2" t="str">
        <f>IFERROR(__xludf.DUMMYFUNCTION("""COMPUTED_VALUE"""),"nacaobrbfla")</f>
        <v>nacaobrbfla</v>
      </c>
      <c r="C239" s="2" t="str">
        <f>IFERROR(__xludf.DUMMYFUNCTION("""COMPUTED_VALUE"""),"🏦 Somos o banco digital oficial da Nação Rubro-Negra. Siga nosso perfil e fique por dentro das novidades!")</f>
        <v>🏦 Somos o banco digital oficial da Nação Rubro-Negra. Siga nosso perfil e fique por dentro das novidades!</v>
      </c>
      <c r="D239" s="2">
        <f>IFERROR(__xludf.DUMMYFUNCTION("""COMPUTED_VALUE"""),2.707567443433741E-4)</f>
        <v>0.0002707567443</v>
      </c>
      <c r="E239" s="2" t="str">
        <f>IFERROR(__xludf.DUMMYFUNCTION("""COMPUTED_VALUE"""),"     45.937")</f>
        <v>     45.937</v>
      </c>
    </row>
    <row r="240">
      <c r="A240" s="2" t="str">
        <f>IFERROR(__xludf.DUMMYFUNCTION("""COMPUTED_VALUE"""),"Ajveiga")</f>
        <v>Ajveiga</v>
      </c>
      <c r="B240" s="2" t="str">
        <f>IFERROR(__xludf.DUMMYFUNCTION("""COMPUTED_VALUE"""),"ajveiga2")</f>
        <v>ajveiga2</v>
      </c>
      <c r="C240" s="2" t="str">
        <f>IFERROR(__xludf.DUMMYFUNCTION("""COMPUTED_VALUE"""),"De direita, anticomunista, pai de família, conservador e cozinheiro nas horas vagas.")</f>
        <v>De direita, anticomunista, pai de família, conservador e cozinheiro nas horas vagas.</v>
      </c>
      <c r="D240" s="2">
        <f>IFERROR(__xludf.DUMMYFUNCTION("""COMPUTED_VALUE"""),2.707567443433741E-4)</f>
        <v>0.0002707567443</v>
      </c>
      <c r="E240" s="2" t="str">
        <f>IFERROR(__xludf.DUMMYFUNCTION("""COMPUTED_VALUE"""),"     22.986")</f>
        <v>     22.986</v>
      </c>
    </row>
    <row r="241">
      <c r="A241" s="2" t="str">
        <f>IFERROR(__xludf.DUMMYFUNCTION("""COMPUTED_VALUE"""),"Alessandro Loiola MD")</f>
        <v>Alessandro Loiola MD</v>
      </c>
      <c r="B241" s="2" t="str">
        <f>IFERROR(__xludf.DUMMYFUNCTION("""COMPUTED_VALUE"""),"alessandroloio2")</f>
        <v>alessandroloio2</v>
      </c>
      <c r="C241" s="2" t="str">
        <f>IFERROR(__xludf.DUMMYFUNCTION("""COMPUTED_VALUE"""),"Empresário, escritor, médico. CRMSP 142346. Contato: https://t.co/fT5vCenhCD")</f>
        <v>Empresário, escritor, médico. CRMSP 142346. Contato: https://t.co/fT5vCenhCD</v>
      </c>
      <c r="D241" s="2">
        <f>IFERROR(__xludf.DUMMYFUNCTION("""COMPUTED_VALUE"""),2.6436387676859993E-4)</f>
        <v>0.0002643638768</v>
      </c>
      <c r="E241" s="2" t="str">
        <f>IFERROR(__xludf.DUMMYFUNCTION("""COMPUTED_VALUE"""),"    205.555")</f>
        <v>    205.555</v>
      </c>
    </row>
    <row r="242">
      <c r="A242" s="2" t="str">
        <f>IFERROR(__xludf.DUMMYFUNCTION("""COMPUTED_VALUE"""),"Z x u T")</f>
        <v>Z x u T</v>
      </c>
      <c r="B242" s="2" t="str">
        <f>IFERROR(__xludf.DUMMYFUNCTION("""COMPUTED_VALUE"""),"notzxu7")</f>
        <v>notzxu7</v>
      </c>
      <c r="C242" s="2" t="str">
        <f>IFERROR(__xludf.DUMMYFUNCTION("""COMPUTED_VALUE"""),"felicidade.")</f>
        <v>felicidade.</v>
      </c>
      <c r="D242" s="2">
        <f>IFERROR(__xludf.DUMMYFUNCTION("""COMPUTED_VALUE"""),2.6436387676859993E-4)</f>
        <v>0.0002643638768</v>
      </c>
      <c r="E242" s="2" t="str">
        <f>IFERROR(__xludf.DUMMYFUNCTION("""COMPUTED_VALUE"""),"      3.921")</f>
        <v>      3.921</v>
      </c>
    </row>
    <row r="243">
      <c r="A243" s="2" t="str">
        <f>IFERROR(__xludf.DUMMYFUNCTION("""COMPUTED_VALUE"""),"Honorato")</f>
        <v>Honorato</v>
      </c>
      <c r="B243" s="2" t="str">
        <f>IFERROR(__xludf.DUMMYFUNCTION("""COMPUTED_VALUE"""),"philliphonorato")</f>
        <v>philliphonorato</v>
      </c>
      <c r="C243" s="2" t="str">
        <f>IFERROR(__xludf.DUMMYFUNCTION("""COMPUTED_VALUE"""),"Meu hobby é fazer montagem mal feita sobre política e ninguém achar graça. 
💭 Temos de nos tornar a mudança que queremos ver no mundo.")</f>
        <v>Meu hobby é fazer montagem mal feita sobre política e ninguém achar graça. 
💭 Temos de nos tornar a mudança que queremos ver no mundo.</v>
      </c>
      <c r="D243" s="2">
        <f>IFERROR(__xludf.DUMMYFUNCTION("""COMPUTED_VALUE"""),2.6436387676859993E-4)</f>
        <v>0.0002643638768</v>
      </c>
      <c r="E243" s="2" t="str">
        <f>IFERROR(__xludf.DUMMYFUNCTION("""COMPUTED_VALUE"""),"     30.182")</f>
        <v>     30.182</v>
      </c>
    </row>
    <row r="244">
      <c r="A244" s="2" t="str">
        <f>IFERROR(__xludf.DUMMYFUNCTION("""COMPUTED_VALUE"""),"Bicycle Capital")</f>
        <v>Bicycle Capital</v>
      </c>
      <c r="B244" s="2" t="str">
        <f>IFERROR(__xludf.DUMMYFUNCTION("""COMPUTED_VALUE"""),"bicyclevc")</f>
        <v>bicyclevc</v>
      </c>
      <c r="C244" s="2" t="str">
        <f>IFERROR(__xludf.DUMMYFUNCTION("""COMPUTED_VALUE"""),"Partnering with the best growth stage companies in Latin America")</f>
        <v>Partnering with the best growth stage companies in Latin America</v>
      </c>
      <c r="D244" s="2">
        <f>IFERROR(__xludf.DUMMYFUNCTION("""COMPUTED_VALUE"""),2.6436387676859993E-4)</f>
        <v>0.0002643638768</v>
      </c>
      <c r="E244" s="2" t="str">
        <f>IFERROR(__xludf.DUMMYFUNCTION("""COMPUTED_VALUE"""),"      1.612")</f>
        <v>      1.612</v>
      </c>
    </row>
    <row r="245">
      <c r="A245" s="2" t="str">
        <f>IFERROR(__xludf.DUMMYFUNCTION("""COMPUTED_VALUE"""),"MARCIO DE FLORIPA!!! Em Deus eu acredito!!!")</f>
        <v>MARCIO DE FLORIPA!!! Em Deus eu acredito!!!</v>
      </c>
      <c r="B245" s="2" t="str">
        <f>IFERROR(__xludf.DUMMYFUNCTION("""COMPUTED_VALUE"""),"marcio37")</f>
        <v>marcio37</v>
      </c>
      <c r="C245" s="2" t="str">
        <f>IFERROR(__xludf.DUMMYFUNCTION("""COMPUTED_VALUE"""),"GOD IS MY LIFE! FLUENT IN ENGLISH, ITALIAN AND PORTUGUESE")</f>
        <v>GOD IS MY LIFE! FLUENT IN ENGLISH, ITALIAN AND PORTUGUESE</v>
      </c>
      <c r="D245" s="2">
        <f>IFERROR(__xludf.DUMMYFUNCTION("""COMPUTED_VALUE"""),2.6436387676859993E-4)</f>
        <v>0.0002643638768</v>
      </c>
      <c r="E245" s="2" t="str">
        <f>IFERROR(__xludf.DUMMYFUNCTION("""COMPUTED_VALUE"""),"     64.963")</f>
        <v>     64.963</v>
      </c>
    </row>
    <row r="246">
      <c r="A246" s="2" t="str">
        <f>IFERROR(__xludf.DUMMYFUNCTION("""COMPUTED_VALUE"""),"Leonardo Rossatto")</f>
        <v>Leonardo Rossatto</v>
      </c>
      <c r="B246" s="2" t="str">
        <f>IFERROR(__xludf.DUMMYFUNCTION("""COMPUTED_VALUE"""),"nadanovonofront")</f>
        <v>nadanovonofront</v>
      </c>
      <c r="C246" s="2" t="str">
        <f>IFERROR(__xludf.DUMMYFUNCTION("""COMPUTED_VALUE"""),"Cientista Social, Esp. Políticas Públicas. Saúde mental estragada pela tese. Não fui indicado ao Oscar https://t.co/IbIGVvg2DO")</f>
        <v>Cientista Social, Esp. Políticas Públicas. Saúde mental estragada pela tese. Não fui indicado ao Oscar https://t.co/IbIGVvg2DO</v>
      </c>
      <c r="D246" s="2">
        <f>IFERROR(__xludf.DUMMYFUNCTION("""COMPUTED_VALUE"""),2.6436387676859993E-4)</f>
        <v>0.0002643638768</v>
      </c>
      <c r="E246" s="2" t="str">
        <f>IFERROR(__xludf.DUMMYFUNCTION("""COMPUTED_VALUE"""),"    141.178")</f>
        <v>    141.178</v>
      </c>
    </row>
    <row r="247">
      <c r="A247" s="2" t="str">
        <f>IFERROR(__xludf.DUMMYFUNCTION("""COMPUTED_VALUE"""),"Flávio Augusto")</f>
        <v>Flávio Augusto</v>
      </c>
      <c r="B247" s="2" t="str">
        <f>IFERROR(__xludf.DUMMYFUNCTION("""COMPUTED_VALUE"""),"geracaodevalor")</f>
        <v>geracaodevalor</v>
      </c>
      <c r="C247" s="2" t="str">
        <f>IFERROR(__xludf.DUMMYFUNCTION("""COMPUTED_VALUE"""),"Founder &amp; CEO of Wiser Educação • Co-founder of FRST CLAX • Former owner of Orlando City • Author of 4 Best-sellers • Forbes Columnist • Private equity Investor")</f>
        <v>Founder &amp; CEO of Wiser Educação • Co-founder of FRST CLAX • Former owner of Orlando City • Author of 4 Best-sellers • Forbes Columnist • Private equity Investor</v>
      </c>
      <c r="D247" s="2">
        <f>IFERROR(__xludf.DUMMYFUNCTION("""COMPUTED_VALUE"""),2.6436387676859993E-4)</f>
        <v>0.0002643638768</v>
      </c>
      <c r="E247" s="2" t="str">
        <f>IFERROR(__xludf.DUMMYFUNCTION("""COMPUTED_VALUE"""),"    623.859")</f>
        <v>    623.859</v>
      </c>
    </row>
    <row r="248">
      <c r="A248" s="2" t="str">
        <f>IFERROR(__xludf.DUMMYFUNCTION("""COMPUTED_VALUE"""),"DR. PAULO FARIA")</f>
        <v>DR. PAULO FARIA</v>
      </c>
      <c r="B248" s="2" t="str">
        <f>IFERROR(__xludf.DUMMYFUNCTION("""COMPUTED_VALUE"""),"drpaulofaria22")</f>
        <v>drpaulofaria22</v>
      </c>
      <c r="C248" s="2" t="str">
        <f>IFERROR(__xludf.DUMMYFUNCTION("""COMPUTED_VALUE"""),"Jornalista e advogado. Casado, pai, conservador. Defensor dos valores da Família. Cristão. Anti-petralha. Anti-comunista. Anti-progressista. Pró-BRASIL!")</f>
        <v>Jornalista e advogado. Casado, pai, conservador. Defensor dos valores da Família. Cristão. Anti-petralha. Anti-comunista. Anti-progressista. Pró-BRASIL!</v>
      </c>
      <c r="D248" s="2">
        <f>IFERROR(__xludf.DUMMYFUNCTION("""COMPUTED_VALUE"""),2.6436387676859993E-4)</f>
        <v>0.0002643638768</v>
      </c>
      <c r="E248" s="2" t="str">
        <f>IFERROR(__xludf.DUMMYFUNCTION("""COMPUTED_VALUE"""),"     75.306")</f>
        <v>     75.306</v>
      </c>
    </row>
    <row r="249">
      <c r="A249" s="2" t="str">
        <f>IFERROR(__xludf.DUMMYFUNCTION("""COMPUTED_VALUE"""),"Ronaldo")</f>
        <v>Ronaldo</v>
      </c>
      <c r="B249" s="2" t="str">
        <f>IFERROR(__xludf.DUMMYFUNCTION("""COMPUTED_VALUE"""),"ronaldotrindade")</f>
        <v>ronaldotrindade</v>
      </c>
      <c r="C249" s="2" t="str">
        <f>IFERROR(__xludf.DUMMYFUNCTION("""COMPUTED_VALUE"""),"Historiador e Antropólogo")</f>
        <v>Historiador e Antropólogo</v>
      </c>
      <c r="D249" s="2">
        <f>IFERROR(__xludf.DUMMYFUNCTION("""COMPUTED_VALUE"""),2.5963871377854953E-4)</f>
        <v>0.0002596387138</v>
      </c>
      <c r="E249" s="2" t="str">
        <f>IFERROR(__xludf.DUMMYFUNCTION("""COMPUTED_VALUE"""),"      2.736")</f>
        <v>      2.736</v>
      </c>
    </row>
    <row r="250">
      <c r="A250" s="2" t="str">
        <f>IFERROR(__xludf.DUMMYFUNCTION("""COMPUTED_VALUE"""),"Brotherly Culture")</f>
        <v>Brotherly Culture</v>
      </c>
      <c r="B250" s="2" t="str">
        <f>IFERROR(__xludf.DUMMYFUNCTION("""COMPUTED_VALUE"""),"brotherlycult")</f>
        <v>brotherlycult</v>
      </c>
      <c r="C250" s="2" t="str">
        <f>IFERROR(__xludf.DUMMYFUNCTION("""COMPUTED_VALUE"""),"Falamos de política através da cultura, arte e basquete. De tudo um pouco, um pouco de tudo.
Contato comercial e pix para donates: brotherlyculture@gmail.com")</f>
        <v>Falamos de política através da cultura, arte e basquete. De tudo um pouco, um pouco de tudo.
Contato comercial e pix para donates: brotherlyculture@gmail.com</v>
      </c>
      <c r="D250" s="2">
        <f>IFERROR(__xludf.DUMMYFUNCTION("""COMPUTED_VALUE"""),2.5963871377854953E-4)</f>
        <v>0.0002596387138</v>
      </c>
      <c r="E250" s="2" t="str">
        <f>IFERROR(__xludf.DUMMYFUNCTION("""COMPUTED_VALUE"""),"     10.964")</f>
        <v>     10.964</v>
      </c>
    </row>
    <row r="251">
      <c r="A251" s="2" t="str">
        <f>IFERROR(__xludf.DUMMYFUNCTION("""COMPUTED_VALUE"""),"Pedro Accorsi")</f>
        <v>Pedro Accorsi</v>
      </c>
      <c r="B251" s="2" t="str">
        <f>IFERROR(__xludf.DUMMYFUNCTION("""COMPUTED_VALUE"""),"pedroaccorsi_")</f>
        <v>pedroaccorsi_</v>
      </c>
      <c r="C251" s="2" t="str">
        <f>IFERROR(__xludf.DUMMYFUNCTION("""COMPUTED_VALUE"""),"Nada do que posto é recomendação, apenas minhas opiniões pessoais | Equity Analyst at @tickerresearch | Acesse meus conteúdos no Link abaixo👇🏻👇🏻")</f>
        <v>Nada do que posto é recomendação, apenas minhas opiniões pessoais | Equity Analyst at @tickerresearch | Acesse meus conteúdos no Link abaixo👇🏻👇🏻</v>
      </c>
      <c r="D251" s="2">
        <f>IFERROR(__xludf.DUMMYFUNCTION("""COMPUTED_VALUE"""),2.5963871377854953E-4)</f>
        <v>0.0002596387138</v>
      </c>
      <c r="E251" s="2" t="str">
        <f>IFERROR(__xludf.DUMMYFUNCTION("""COMPUTED_VALUE"""),"     13.282")</f>
        <v>     13.282</v>
      </c>
    </row>
    <row r="252">
      <c r="A252" s="2" t="str">
        <f>IFERROR(__xludf.DUMMYFUNCTION("""COMPUTED_VALUE"""),"Adalex Góis")</f>
        <v>Adalex Góis</v>
      </c>
      <c r="B252" s="2" t="str">
        <f>IFERROR(__xludf.DUMMYFUNCTION("""COMPUTED_VALUE"""),"adalexgois")</f>
        <v>adalexgois</v>
      </c>
      <c r="C252" s="2" t="str">
        <f>IFERROR(__xludf.DUMMYFUNCTION("""COMPUTED_VALUE"""),"- 🎙️Jornalista/Empresário
- 🏫Lutando contra minha própria ignorância diariamente;
- 💸Modelo para capas de botijão; 
- 🧊Enxugador de gelo.")</f>
        <v>- 🎙️Jornalista/Empresário
- 🏫Lutando contra minha própria ignorância diariamente;
- 💸Modelo para capas de botijão; 
- 🧊Enxugador de gelo.</v>
      </c>
      <c r="D252" s="2">
        <f>IFERROR(__xludf.DUMMYFUNCTION("""COMPUTED_VALUE"""),2.5797100919382584E-4)</f>
        <v>0.0002579710092</v>
      </c>
      <c r="E252" s="2" t="str">
        <f>IFERROR(__xludf.DUMMYFUNCTION("""COMPUTED_VALUE"""),"     49.540")</f>
        <v>     49.540</v>
      </c>
    </row>
    <row r="253">
      <c r="A253" s="2" t="str">
        <f>IFERROR(__xludf.DUMMYFUNCTION("""COMPUTED_VALUE"""),"Ado ( アド)")</f>
        <v>Ado ( アド)</v>
      </c>
      <c r="B253" s="2" t="str">
        <f>IFERROR(__xludf.DUMMYFUNCTION("""COMPUTED_VALUE"""),"adriananakamur5")</f>
        <v>adriananakamur5</v>
      </c>
      <c r="C253" s="2" t="str">
        <f>IFERROR(__xludf.DUMMYFUNCTION("""COMPUTED_VALUE"""),"Apoiadora de Sérgio Moro ! #impeachmentLulaJa !!! Lula Ladrao")</f>
        <v>Apoiadora de Sérgio Moro ! #impeachmentLulaJa !!! Lula Ladrao</v>
      </c>
      <c r="D253" s="2">
        <f>IFERROR(__xludf.DUMMYFUNCTION("""COMPUTED_VALUE"""),2.5797100919382584E-4)</f>
        <v>0.0002579710092</v>
      </c>
      <c r="E253" s="2" t="str">
        <f>IFERROR(__xludf.DUMMYFUNCTION("""COMPUTED_VALUE"""),"      2.643")</f>
        <v>      2.643</v>
      </c>
    </row>
    <row r="254">
      <c r="A254" s="2" t="str">
        <f>IFERROR(__xludf.DUMMYFUNCTION("""COMPUTED_VALUE"""),"Canal Eu Acredito")</f>
        <v>Canal Eu Acredito</v>
      </c>
      <c r="B254" s="2" t="str">
        <f>IFERROR(__xludf.DUMMYFUNCTION("""COMPUTED_VALUE"""),"canaleuacredito")</f>
        <v>canaleuacredito</v>
      </c>
      <c r="C254" s="2" t="str">
        <f>IFERROR(__xludf.DUMMYFUNCTION("""COMPUTED_VALUE"""),"Perfil do canaleuacredito no YouTube Tudo sobre o Atlético-MG e sobre o GALO Instagram: @canaleuacredito")</f>
        <v>Perfil do canaleuacredito no YouTube Tudo sobre o Atlético-MG e sobre o GALO Instagram: @canaleuacredito</v>
      </c>
      <c r="D254" s="2">
        <f>IFERROR(__xludf.DUMMYFUNCTION("""COMPUTED_VALUE"""),2.5797100919382584E-4)</f>
        <v>0.0002579710092</v>
      </c>
      <c r="E254" s="2" t="str">
        <f>IFERROR(__xludf.DUMMYFUNCTION("""COMPUTED_VALUE"""),"      8.535")</f>
        <v>      8.535</v>
      </c>
    </row>
    <row r="255">
      <c r="A255" s="2" t="str">
        <f>IFERROR(__xludf.DUMMYFUNCTION("""COMPUTED_VALUE"""),"Gustavo Ferreira")</f>
        <v>Gustavo Ferreira</v>
      </c>
      <c r="B255" s="2" t="str">
        <f>IFERROR(__xludf.DUMMYFUNCTION("""COMPUTED_VALUE"""),"sf__gustavo")</f>
        <v>sf__gustavo</v>
      </c>
      <c r="C255" s="2" t="str">
        <f>IFERROR(__xludf.DUMMYFUNCTION("""COMPUTED_VALUE"""),"gateiro ✌ repórter de economia e finanças no @valorinveste. live toda seg, 9h; de seg a qui, 19h, e sex, 18h, comentário no @jornaldacbn")</f>
        <v>gateiro ✌ repórter de economia e finanças no @valorinveste. live toda seg, 9h; de seg a qui, 19h, e sex, 18h, comentário no @jornaldacbn</v>
      </c>
      <c r="D255" s="2">
        <f>IFERROR(__xludf.DUMMYFUNCTION("""COMPUTED_VALUE"""),2.5797100919382584E-4)</f>
        <v>0.0002579710092</v>
      </c>
      <c r="E255" s="2" t="str">
        <f>IFERROR(__xludf.DUMMYFUNCTION("""COMPUTED_VALUE"""),"      1.080")</f>
        <v>      1.080</v>
      </c>
    </row>
    <row r="256">
      <c r="A256" s="2" t="str">
        <f>IFERROR(__xludf.DUMMYFUNCTION("""COMPUTED_VALUE"""),"PT Brasil")</f>
        <v>PT Brasil</v>
      </c>
      <c r="B256" s="2" t="str">
        <f>IFERROR(__xludf.DUMMYFUNCTION("""COMPUTED_VALUE"""),"ptbrasil")</f>
        <v>ptbrasil</v>
      </c>
      <c r="C256" s="2" t="str">
        <f>IFERROR(__xludf.DUMMYFUNCTION("""COMPUTED_VALUE"""),"Twitter oficial do Partido dos Trabalhadores")</f>
        <v>Twitter oficial do Partido dos Trabalhadores</v>
      </c>
      <c r="D256" s="2">
        <f>IFERROR(__xludf.DUMMYFUNCTION("""COMPUTED_VALUE"""),2.5797100919382584E-4)</f>
        <v>0.0002579710092</v>
      </c>
      <c r="E256" s="2" t="str">
        <f>IFERROR(__xludf.DUMMYFUNCTION("""COMPUTED_VALUE"""),"  1.543.458")</f>
        <v>  1.543.458</v>
      </c>
    </row>
    <row r="257">
      <c r="A257" s="2" t="str">
        <f>IFERROR(__xludf.DUMMYFUNCTION("""COMPUTED_VALUE"""),"Neymoleque | Fan 🇧🇷")</f>
        <v>Neymoleque | Fan 🇧🇷</v>
      </c>
      <c r="B257" s="2" t="str">
        <f>IFERROR(__xludf.DUMMYFUNCTION("""COMPUTED_VALUE"""),"neymoleque")</f>
        <v>neymoleque</v>
      </c>
      <c r="C257" s="2" t="str">
        <f>IFERROR(__xludf.DUMMYFUNCTION("""COMPUTED_VALUE"""),"Brazilian football fan account 🇧🇷 | Eterno Rei Pelé 🤴🏿Collabs - molequeneymar@gmail.com | 🔔 Notifs ON")</f>
        <v>Brazilian football fan account 🇧🇷 | Eterno Rei Pelé 🤴🏿Collabs - molequeneymar@gmail.com | 🔔 Notifs ON</v>
      </c>
      <c r="D257" s="2">
        <f>IFERROR(__xludf.DUMMYFUNCTION("""COMPUTED_VALUE"""),2.5797100919382584E-4)</f>
        <v>0.0002579710092</v>
      </c>
      <c r="E257" s="2" t="str">
        <f>IFERROR(__xludf.DUMMYFUNCTION("""COMPUTED_VALUE"""),"     57.072")</f>
        <v>     57.072</v>
      </c>
    </row>
    <row r="258">
      <c r="A258" s="2" t="str">
        <f>IFERROR(__xludf.DUMMYFUNCTION("""COMPUTED_VALUE"""),"Telegraph Football")</f>
        <v>Telegraph Football</v>
      </c>
      <c r="B258" s="2" t="str">
        <f>IFERROR(__xludf.DUMMYFUNCTION("""COMPUTED_VALUE"""),"telefootball")</f>
        <v>telefootball</v>
      </c>
      <c r="C258" s="2" t="str">
        <f>IFERROR(__xludf.DUMMYFUNCTION("""COMPUTED_VALUE"""),"The Telegraph's official football channel brings you the best insight and exclusive coverage of the world's biggest game. ⚽")</f>
        <v>The Telegraph's official football channel brings you the best insight and exclusive coverage of the world's biggest game. ⚽</v>
      </c>
      <c r="D258" s="2">
        <f>IFERROR(__xludf.DUMMYFUNCTION("""COMPUTED_VALUE"""),2.5797100919382584E-4)</f>
        <v>0.0002579710092</v>
      </c>
      <c r="E258" s="2" t="str">
        <f>IFERROR(__xludf.DUMMYFUNCTION("""COMPUTED_VALUE"""),"    556.671")</f>
        <v>    556.671</v>
      </c>
    </row>
    <row r="259">
      <c r="A259" s="2" t="str">
        <f>IFERROR(__xludf.DUMMYFUNCTION("""COMPUTED_VALUE"""),"Robin Brooks")</f>
        <v>Robin Brooks</v>
      </c>
      <c r="B259" s="2" t="str">
        <f>IFERROR(__xludf.DUMMYFUNCTION("""COMPUTED_VALUE"""),"robinbrooksiif")</f>
        <v>robinbrooksiif</v>
      </c>
      <c r="C259" s="2" t="str">
        <f>IFERROR(__xludf.DUMMYFUNCTION("""COMPUTED_VALUE"""),"Chief Economist @IIF, former Chief FX Strategist @GoldmanSachs &amp; Senior Economist @IMFnews. Opinions are my own. Email: rbrooks@iif.com.")</f>
        <v>Chief Economist @IIF, former Chief FX Strategist @GoldmanSachs &amp; Senior Economist @IMFnews. Opinions are my own. Email: rbrooks@iif.com.</v>
      </c>
      <c r="D259" s="2">
        <f>IFERROR(__xludf.DUMMYFUNCTION("""COMPUTED_VALUE"""),2.5797100919382584E-4)</f>
        <v>0.0002579710092</v>
      </c>
      <c r="E259" s="2" t="str">
        <f>IFERROR(__xludf.DUMMYFUNCTION("""COMPUTED_VALUE"""),"    269.211")</f>
        <v>    269.211</v>
      </c>
    </row>
    <row r="260">
      <c r="A260" s="2" t="str">
        <f>IFERROR(__xludf.DUMMYFUNCTION("""COMPUTED_VALUE"""),"Raiam Santos McArn")</f>
        <v>Raiam Santos McArn</v>
      </c>
      <c r="B260" s="2" t="str">
        <f>IFERROR(__xludf.DUMMYFUNCTION("""COMPUTED_VALUE"""),"raiam700")</f>
        <v>raiam700</v>
      </c>
      <c r="C260" s="2" t="str">
        <f>IFERROR(__xludf.DUMMYFUNCTION("""COMPUTED_VALUE"""),"Vendi uma empresa por 100+ milhões, visitei 104 países, escrevi 11 livros, falo 8 idiomas,formei na mesma faculdade que o Elon Musk..e joguei na Seleção🇧🇷")</f>
        <v>Vendi uma empresa por 100+ milhões, visitei 104 países, escrevi 11 livros, falo 8 idiomas,formei na mesma faculdade que o Elon Musk..e joguei na Seleção🇧🇷</v>
      </c>
      <c r="D260" s="2">
        <f>IFERROR(__xludf.DUMMYFUNCTION("""COMPUTED_VALUE"""),2.565503719549872E-4)</f>
        <v>0.000256550372</v>
      </c>
      <c r="E260" s="2" t="str">
        <f>IFERROR(__xludf.DUMMYFUNCTION("""COMPUTED_VALUE"""),"    108.408")</f>
        <v>    108.408</v>
      </c>
    </row>
    <row r="261">
      <c r="A261" s="2" t="str">
        <f>IFERROR(__xludf.DUMMYFUNCTION("""COMPUTED_VALUE"""),"Tarcísio Gomes de Freitas")</f>
        <v>Tarcísio Gomes de Freitas</v>
      </c>
      <c r="B261" s="2" t="str">
        <f>IFERROR(__xludf.DUMMYFUNCTION("""COMPUTED_VALUE"""),"tarcisiogdf")</f>
        <v>tarcisiogdf</v>
      </c>
      <c r="C261" s="2" t="str">
        <f>IFERROR(__xludf.DUMMYFUNCTION("""COMPUTED_VALUE"""),"Governador do Estado de São Paulo e ex-Ministro da Infraestrutura do governo do presidente Jair Bolsonaro.")</f>
        <v>Governador do Estado de São Paulo e ex-Ministro da Infraestrutura do governo do presidente Jair Bolsonaro.</v>
      </c>
      <c r="D261" s="2">
        <f>IFERROR(__xludf.DUMMYFUNCTION("""COMPUTED_VALUE"""),2.5655037195498713E-4)</f>
        <v>0.000256550372</v>
      </c>
      <c r="E261" s="2" t="str">
        <f>IFERROR(__xludf.DUMMYFUNCTION("""COMPUTED_VALUE"""),"  2.538.482")</f>
        <v>  2.538.482</v>
      </c>
    </row>
    <row r="262">
      <c r="A262" s="2" t="str">
        <f>IFERROR(__xludf.DUMMYFUNCTION("""COMPUTED_VALUE"""),"Futebol na TV")</f>
        <v>Futebol na TV</v>
      </c>
      <c r="B262" s="2" t="str">
        <f>IFERROR(__xludf.DUMMYFUNCTION("""COMPUTED_VALUE"""),"futnatv")</f>
        <v>futnatv</v>
      </c>
      <c r="C262" s="2" t="str">
        <f>IFERROR(__xludf.DUMMYFUNCTION("""COMPUTED_VALUE"""),"Siga-nos e saiba onde passam todos os jogos de futebol na TV e na internet / Notícias sobre mídia esportiva.
Contato para publicidade: futnatv@gmail.com")</f>
        <v>Siga-nos e saiba onde passam todos os jogos de futebol na TV e na internet / Notícias sobre mídia esportiva.
Contato para publicidade: futnatv@gmail.com</v>
      </c>
      <c r="D262" s="2">
        <f>IFERROR(__xludf.DUMMYFUNCTION("""COMPUTED_VALUE"""),2.5655037195498713E-4)</f>
        <v>0.000256550372</v>
      </c>
      <c r="E262" s="2" t="str">
        <f>IFERROR(__xludf.DUMMYFUNCTION("""COMPUTED_VALUE"""),"    196.321")</f>
        <v>    196.321</v>
      </c>
    </row>
    <row r="263">
      <c r="A263" s="2" t="str">
        <f>IFERROR(__xludf.DUMMYFUNCTION("""COMPUTED_VALUE"""),"Jornalismo TV Cultura")</f>
        <v>Jornalismo TV Cultura</v>
      </c>
      <c r="B263" s="2" t="str">
        <f>IFERROR(__xludf.DUMMYFUNCTION("""COMPUTED_VALUE"""),"jornal_cultura")</f>
        <v>jornal_cultura</v>
      </c>
      <c r="C263" s="2" t="str">
        <f>IFERROR(__xludf.DUMMYFUNCTION("""COMPUTED_VALUE"""),"Acompanhe por aqui as principais notícias do #JTCultura e #JornaldaCultura")</f>
        <v>Acompanhe por aqui as principais notícias do #JTCultura e #JornaldaCultura</v>
      </c>
      <c r="D263" s="2">
        <f>IFERROR(__xludf.DUMMYFUNCTION("""COMPUTED_VALUE"""),2.560627390354411E-4)</f>
        <v>0.000256062739</v>
      </c>
      <c r="E263" s="2" t="str">
        <f>IFERROR(__xludf.DUMMYFUNCTION("""COMPUTED_VALUE"""),"    207.232")</f>
        <v>    207.232</v>
      </c>
    </row>
    <row r="264">
      <c r="A264" s="2" t="str">
        <f>IFERROR(__xludf.DUMMYFUNCTION("""COMPUTED_VALUE"""),"neymar out of context")</f>
        <v>neymar out of context</v>
      </c>
      <c r="B264" s="2" t="str">
        <f>IFERROR(__xludf.DUMMYFUNCTION("""COMPUTED_VALUE"""),"njoutcontext")</f>
        <v>njoutcontext</v>
      </c>
      <c r="C264" s="2" t="str">
        <f>IFERROR(__xludf.DUMMYFUNCTION("""COMPUTED_VALUE"""),"|| neymar out of context, fan account sobre o jogador Neymar e bastante zoeira também || parcerias/publicidade via dm.")</f>
        <v>|| neymar out of context, fan account sobre o jogador Neymar e bastante zoeira também || parcerias/publicidade via dm.</v>
      </c>
      <c r="D264" s="2">
        <f>IFERROR(__xludf.DUMMYFUNCTION("""COMPUTED_VALUE"""),2.5350061105271416E-4)</f>
        <v>0.0002535006111</v>
      </c>
      <c r="E264" s="2" t="str">
        <f>IFERROR(__xludf.DUMMYFUNCTION("""COMPUTED_VALUE"""),"     75.776")</f>
        <v>     75.776</v>
      </c>
    </row>
    <row r="265">
      <c r="A265" s="2" t="str">
        <f>IFERROR(__xludf.DUMMYFUNCTION("""COMPUTED_VALUE"""),"Economia Estadão")</f>
        <v>Economia Estadão</v>
      </c>
      <c r="B265" s="2" t="str">
        <f>IFERROR(__xludf.DUMMYFUNCTION("""COMPUTED_VALUE"""),"estadaoeconomia")</f>
        <v>estadaoeconomia</v>
      </c>
      <c r="C265" s="2" t="str">
        <f>IFERROR(__xludf.DUMMYFUNCTION("""COMPUTED_VALUE"""),"Twitter do site Economia &amp; Negócios do Estadão")</f>
        <v>Twitter do site Economia &amp; Negócios do Estadão</v>
      </c>
      <c r="D265" s="2">
        <f>IFERROR(__xludf.DUMMYFUNCTION("""COMPUTED_VALUE"""),2.494471857607937E-4)</f>
        <v>0.0002494471858</v>
      </c>
      <c r="E265" s="2" t="str">
        <f>IFERROR(__xludf.DUMMYFUNCTION("""COMPUTED_VALUE"""),"    448.040")</f>
        <v>    448.040</v>
      </c>
    </row>
    <row r="266">
      <c r="A266" s="2" t="str">
        <f>IFERROR(__xludf.DUMMYFUNCTION("""COMPUTED_VALUE"""),"Nikolas Ferreira")</f>
        <v>Nikolas Ferreira</v>
      </c>
      <c r="B266" s="2" t="str">
        <f>IFERROR(__xludf.DUMMYFUNCTION("""COMPUTED_VALUE"""),"nikolas_dm")</f>
        <v>nikolas_dm</v>
      </c>
      <c r="C266" s="2" t="str">
        <f>IFERROR(__xludf.DUMMYFUNCTION("""COMPUTED_VALUE"""),"- Dep. Federal mais votado do Brasil e da história de Minas Gerais. 🔺🇧🇷")</f>
        <v>- Dep. Federal mais votado do Brasil e da história de Minas Gerais. 🔺🇧🇷</v>
      </c>
      <c r="D266" s="2">
        <f>IFERROR(__xludf.DUMMYFUNCTION("""COMPUTED_VALUE"""),2.494471857607937E-4)</f>
        <v>0.0002494471858</v>
      </c>
      <c r="E266" s="2" t="str">
        <f>IFERROR(__xludf.DUMMYFUNCTION("""COMPUTED_VALUE"""),"  2.815.766")</f>
        <v>  2.815.766</v>
      </c>
    </row>
    <row r="267">
      <c r="A267" s="2" t="str">
        <f>IFERROR(__xludf.DUMMYFUNCTION("""COMPUTED_VALUE"""),"Ossicodone😻 🖤💙🖇️")</f>
        <v>Ossicodone😻 🖤💙🖇️</v>
      </c>
      <c r="B267" s="2" t="str">
        <f>IFERROR(__xludf.DUMMYFUNCTION("""COMPUTED_VALUE"""),"ossicodone1")</f>
        <v>ossicodone1</v>
      </c>
      <c r="C267" s="2" t="str">
        <f>IFERROR(__xludf.DUMMYFUNCTION("""COMPUTED_VALUE"""),"Il tempo per leggere come per amare, dilata il tempo per vivere D.P.
Dum differtur, vita transcurrit!
SOLO INTER 🖤💙 NO 🚫DM  NO🚫 Porno")</f>
        <v>Il tempo per leggere come per amare, dilata il tempo per vivere D.P.
Dum differtur, vita transcurrit!
SOLO INTER 🖤💙 NO 🚫DM  NO🚫 Porno</v>
      </c>
      <c r="D267" s="2">
        <f>IFERROR(__xludf.DUMMYFUNCTION("""COMPUTED_VALUE"""),2.485206832135894E-4)</f>
        <v>0.0002485206832</v>
      </c>
      <c r="E267" s="2" t="str">
        <f>IFERROR(__xludf.DUMMYFUNCTION("""COMPUTED_VALUE"""),"      1.331")</f>
        <v>      1.331</v>
      </c>
    </row>
    <row r="268">
      <c r="A268" s="2" t="str">
        <f>IFERROR(__xludf.DUMMYFUNCTION("""COMPUTED_VALUE"""),"Futebol no Rio")</f>
        <v>Futebol no Rio</v>
      </c>
      <c r="B268" s="2" t="str">
        <f>IFERROR(__xludf.DUMMYFUNCTION("""COMPUTED_VALUE"""),"futebolnorio")</f>
        <v>futebolnorio</v>
      </c>
      <c r="C268" s="2" t="str">
        <f>IFERROR(__xludf.DUMMYFUNCTION("""COMPUTED_VALUE"""),"🇸🇲Tudo sobre o Futebol Carioca | 🎯 Onde os pequenos tem vez | 📝Análises táticas | 📚 Autor do livro, Os Esquecidos 👉🏻 https://t.co/NyKW48pvI9")</f>
        <v>🇸🇲Tudo sobre o Futebol Carioca | 🎯 Onde os pequenos tem vez | 📝Análises táticas | 📚 Autor do livro, Os Esquecidos 👉🏻 https://t.co/NyKW48pvI9</v>
      </c>
      <c r="D268" s="2">
        <f>IFERROR(__xludf.DUMMYFUNCTION("""COMPUTED_VALUE"""),2.485206832135894E-4)</f>
        <v>0.0002485206832</v>
      </c>
      <c r="E268" s="2" t="str">
        <f>IFERROR(__xludf.DUMMYFUNCTION("""COMPUTED_VALUE"""),"      9.269")</f>
        <v>      9.269</v>
      </c>
    </row>
    <row r="269">
      <c r="A269" s="2" t="str">
        <f>IFERROR(__xludf.DUMMYFUNCTION("""COMPUTED_VALUE"""),"may")</f>
        <v>may</v>
      </c>
      <c r="B269" s="2" t="str">
        <f>IFERROR(__xludf.DUMMYFUNCTION("""COMPUTED_VALUE"""),"maycomentx")</f>
        <v>maycomentx</v>
      </c>
      <c r="C269" s="2"/>
      <c r="D269" s="2">
        <f>IFERROR(__xludf.DUMMYFUNCTION("""COMPUTED_VALUE"""),2.485206832135894E-4)</f>
        <v>0.0002485206832</v>
      </c>
      <c r="E269" s="2" t="str">
        <f>IFERROR(__xludf.DUMMYFUNCTION("""COMPUTED_VALUE"""),"      3.487")</f>
        <v>      3.487</v>
      </c>
    </row>
    <row r="270">
      <c r="A270" s="2" t="str">
        <f>IFERROR(__xludf.DUMMYFUNCTION("""COMPUTED_VALUE"""),"Gonçalo Aguiar")</f>
        <v>Gonçalo Aguiar</v>
      </c>
      <c r="B270" s="2" t="str">
        <f>IFERROR(__xludf.DUMMYFUNCTION("""COMPUTED_VALUE"""),"goncaloaguiar")</f>
        <v>goncaloaguiar</v>
      </c>
      <c r="C270" s="2" t="str">
        <f>IFERROR(__xludf.DUMMYFUNCTION("""COMPUTED_VALUE"""),"Electrical engineer for the Space Industry 🛰 (@clearspacetoday), energy expert ⚡ and science enthusiast 📊, European citizen🇪🇺🇵🇹🇬🇧🇩🇪🇧🇪.")</f>
        <v>Electrical engineer for the Space Industry 🛰 (@clearspacetoday), energy expert ⚡ and science enthusiast 📊, European citizen🇪🇺🇵🇹🇬🇧🇩🇪🇧🇪.</v>
      </c>
      <c r="D270" s="2">
        <f>IFERROR(__xludf.DUMMYFUNCTION("""COMPUTED_VALUE"""),2.48026548521955E-4)</f>
        <v>0.0002480265485</v>
      </c>
      <c r="E270" s="2" t="str">
        <f>IFERROR(__xludf.DUMMYFUNCTION("""COMPUTED_VALUE"""),"      5.248")</f>
        <v>      5.248</v>
      </c>
    </row>
    <row r="271">
      <c r="A271" s="2" t="str">
        <f>IFERROR(__xludf.DUMMYFUNCTION("""COMPUTED_VALUE"""),"poponze")</f>
        <v>poponze</v>
      </c>
      <c r="B271" s="2" t="str">
        <f>IFERROR(__xludf.DUMMYFUNCTION("""COMPUTED_VALUE"""),"poponze")</f>
        <v>poponze</v>
      </c>
      <c r="C271" s="2" t="str">
        <f>IFERROR(__xludf.DUMMYFUNCTION("""COMPUTED_VALUE"""),"Sua parada obrigatória para as últimas notícias de cultura pop, celebridades e entretenimento. 📩 contatopoponze@gmail.com")</f>
        <v>Sua parada obrigatória para as últimas notícias de cultura pop, celebridades e entretenimento. 📩 contatopoponze@gmail.com</v>
      </c>
      <c r="D271" s="2">
        <f>IFERROR(__xludf.DUMMYFUNCTION("""COMPUTED_VALUE"""),2.4655374789625106E-4)</f>
        <v>0.0002465537479</v>
      </c>
      <c r="E271" s="2" t="str">
        <f>IFERROR(__xludf.DUMMYFUNCTION("""COMPUTED_VALUE"""),"     51.261")</f>
        <v>     51.261</v>
      </c>
    </row>
    <row r="272">
      <c r="A272" s="2" t="str">
        <f>IFERROR(__xludf.DUMMYFUNCTION("""COMPUTED_VALUE"""),"CENTRAL DO FLAMENGO ᶜʳᶠ ")</f>
        <v>CENTRAL DO FLAMENGO ᶜʳᶠ </v>
      </c>
      <c r="B272" s="2" t="str">
        <f>IFERROR(__xludf.DUMMYFUNCTION("""COMPUTED_VALUE"""),"centralflanacao")</f>
        <v>centralflanacao</v>
      </c>
      <c r="C272" s="2" t="str">
        <f>IFERROR(__xludf.DUMMYFUNCTION("""COMPUTED_VALUE"""),"Brazilian Journalist / @Flamengo
ADM: @OsKoringasDoFla / Adriano
👉https://t.co/vOHpdy2feM
👉https://t.co/bdAutWtbAy
🔔Ative as notificações")</f>
        <v>Brazilian Journalist / @Flamengo
ADM: @OsKoringasDoFla / Adriano
👉https://t.co/vOHpdy2feM
👉https://t.co/bdAutWtbAy
🔔Ative as notificações</v>
      </c>
      <c r="D272" s="2">
        <f>IFERROR(__xludf.DUMMYFUNCTION("""COMPUTED_VALUE"""),2.4592755700157085E-4)</f>
        <v>0.000245927557</v>
      </c>
      <c r="E272" s="2" t="str">
        <f>IFERROR(__xludf.DUMMYFUNCTION("""COMPUTED_VALUE"""),"     46.714")</f>
        <v>     46.714</v>
      </c>
    </row>
    <row r="273">
      <c r="A273" s="2" t="str">
        <f>IFERROR(__xludf.DUMMYFUNCTION("""COMPUTED_VALUE"""),"AEROIN")</f>
        <v>AEROIN</v>
      </c>
      <c r="B273" s="2" t="str">
        <f>IFERROR(__xludf.DUMMYFUNCTION("""COMPUTED_VALUE"""),"aero_in")</f>
        <v>aero_in</v>
      </c>
      <c r="C273" s="2" t="str">
        <f>IFERROR(__xludf.DUMMYFUNCTION("""COMPUTED_VALUE"""),"Maior site de notícias de aviação do Brasil. Falamos o que os outros não querem dizer. Temos opinião e acidez na medida. Fique por dentro de tudo - https://t.co/SEbfxIQQFZ")</f>
        <v>Maior site de notícias de aviação do Brasil. Falamos o que os outros não querem dizer. Temos opinião e acidez na medida. Fique por dentro de tudo - https://t.co/SEbfxIQQFZ</v>
      </c>
      <c r="D273" s="2">
        <f>IFERROR(__xludf.DUMMYFUNCTION("""COMPUTED_VALUE"""),2.451852740442776E-4)</f>
        <v>0.000245185274</v>
      </c>
      <c r="E273" s="2" t="str">
        <f>IFERROR(__xludf.DUMMYFUNCTION("""COMPUTED_VALUE"""),"     27.290")</f>
        <v>     27.290</v>
      </c>
    </row>
    <row r="274">
      <c r="A274" s="2" t="str">
        <f>IFERROR(__xludf.DUMMYFUNCTION("""COMPUTED_VALUE"""),"GloboNews")</f>
        <v>GloboNews</v>
      </c>
      <c r="B274" s="2" t="str">
        <f>IFERROR(__xludf.DUMMYFUNCTION("""COMPUTED_VALUE"""),"globonews")</f>
        <v>globonews</v>
      </c>
      <c r="C274" s="2" t="str">
        <f>IFERROR(__xludf.DUMMYFUNCTION("""COMPUTED_VALUE"""),"Nunca desliga")</f>
        <v>Nunca desliga</v>
      </c>
      <c r="D274" s="2">
        <f>IFERROR(__xludf.DUMMYFUNCTION("""COMPUTED_VALUE"""),2.423439995666002E-4)</f>
        <v>0.0002423439996</v>
      </c>
      <c r="E274" s="2" t="str">
        <f>IFERROR(__xludf.DUMMYFUNCTION("""COMPUTED_VALUE"""),"  5.727.216")</f>
        <v>  5.727.216</v>
      </c>
    </row>
    <row r="275">
      <c r="A275" s="2" t="str">
        <f>IFERROR(__xludf.DUMMYFUNCTION("""COMPUTED_VALUE"""),"Alexandre de Moraes")</f>
        <v>Alexandre de Moraes</v>
      </c>
      <c r="B275" s="2" t="str">
        <f>IFERROR(__xludf.DUMMYFUNCTION("""COMPUTED_VALUE"""),"alexandre")</f>
        <v>alexandre</v>
      </c>
      <c r="C275" s="2" t="str">
        <f>IFERROR(__xludf.DUMMYFUNCTION("""COMPUTED_VALUE"""),"Ministro do Supremo Tribunal Federal e do TSE. Professor das Faculdades de Direito da USP e do Mackenzie")</f>
        <v>Ministro do Supremo Tribunal Federal e do TSE. Professor das Faculdades de Direito da USP e do Mackenzie</v>
      </c>
      <c r="D275" s="2">
        <f>IFERROR(__xludf.DUMMYFUNCTION("""COMPUTED_VALUE"""),2.4099101172008716E-4)</f>
        <v>0.0002409910117</v>
      </c>
      <c r="E275" s="2" t="str">
        <f>IFERROR(__xludf.DUMMYFUNCTION("""COMPUTED_VALUE"""),"  1.091.299")</f>
        <v>  1.091.299</v>
      </c>
    </row>
    <row r="276">
      <c r="A276" s="2" t="str">
        <f>IFERROR(__xludf.DUMMYFUNCTION("""COMPUTED_VALUE"""),"Chris Antony")</f>
        <v>Chris Antony</v>
      </c>
      <c r="B276" s="2" t="str">
        <f>IFERROR(__xludf.DUMMYFUNCTION("""COMPUTED_VALUE"""),"chrisfootyscoop")</f>
        <v>chrisfootyscoop</v>
      </c>
      <c r="C276" s="2" t="str">
        <f>IFERROR(__xludf.DUMMYFUNCTION("""COMPUTED_VALUE"""),"⚽Football Insights and Transfer Insider @TheFootyScoop
⚽South America and Saudi Pro League
⚽Chelsea FC fan
⚽Has an opinion on all things football")</f>
        <v>⚽Football Insights and Transfer Insider @TheFootyScoop
⚽South America and Saudi Pro League
⚽Chelsea FC fan
⚽Has an opinion on all things football</v>
      </c>
      <c r="D276" s="2">
        <f>IFERROR(__xludf.DUMMYFUNCTION("""COMPUTED_VALUE"""),2.396380238735485E-4)</f>
        <v>0.0002396380239</v>
      </c>
      <c r="E276" s="2" t="str">
        <f>IFERROR(__xludf.DUMMYFUNCTION("""COMPUTED_VALUE"""),"      6.932")</f>
        <v>      6.932</v>
      </c>
    </row>
    <row r="277">
      <c r="A277" s="2" t="str">
        <f>IFERROR(__xludf.DUMMYFUNCTION("""COMPUTED_VALUE"""),"Dr. Pedro Amorim")</f>
        <v>Dr. Pedro Amorim</v>
      </c>
      <c r="B277" s="2" t="str">
        <f>IFERROR(__xludf.DUMMYFUNCTION("""COMPUTED_VALUE"""),"eusouzarolho")</f>
        <v>eusouzarolho</v>
      </c>
      <c r="C277" s="2" t="str">
        <f>IFERROR(__xludf.DUMMYFUNCTION("""COMPUTED_VALUE"""),"Estamos todos de parabéns, somos um país do caralho.")</f>
        <v>Estamos todos de parabéns, somos um país do caralho.</v>
      </c>
      <c r="D277" s="2">
        <f>IFERROR(__xludf.DUMMYFUNCTION("""COMPUTED_VALUE"""),2.3808208785008414E-4)</f>
        <v>0.0002380820879</v>
      </c>
      <c r="E277" s="2" t="str">
        <f>IFERROR(__xludf.DUMMYFUNCTION("""COMPUTED_VALUE"""),"     32.399")</f>
        <v>     32.399</v>
      </c>
    </row>
    <row r="278">
      <c r="A278" s="2" t="str">
        <f>IFERROR(__xludf.DUMMYFUNCTION("""COMPUTED_VALUE"""),"ANNA")</f>
        <v>ANNA</v>
      </c>
      <c r="B278" s="2" t="str">
        <f>IFERROR(__xludf.DUMMYFUNCTION("""COMPUTED_VALUE"""),"annacippiu")</f>
        <v>annacippiu</v>
      </c>
      <c r="C278" s="2" t="str">
        <f>IFERROR(__xludf.DUMMYFUNCTION("""COMPUTED_VALUE"""),"si può commentare,senza offese alla persona...blokko chiunque lo fa...")</f>
        <v>si può commentare,senza offese alla persona...blokko chiunque lo fa...</v>
      </c>
      <c r="D278" s="2">
        <f>IFERROR(__xludf.DUMMYFUNCTION("""COMPUTED_VALUE"""),2.3740265264890045E-4)</f>
        <v>0.0002374026526</v>
      </c>
      <c r="E278" s="2" t="str">
        <f>IFERROR(__xludf.DUMMYFUNCTION("""COMPUTED_VALUE"""),"      3.003")</f>
        <v>      3.003</v>
      </c>
    </row>
    <row r="279">
      <c r="A279" s="2" t="str">
        <f>IFERROR(__xludf.DUMMYFUNCTION("""COMPUTED_VALUE"""),"morgana")</f>
        <v>morgana</v>
      </c>
      <c r="B279" s="2" t="str">
        <f>IFERROR(__xludf.DUMMYFUNCTION("""COMPUTED_VALUE"""),"bailamabel")</f>
        <v>bailamabel</v>
      </c>
      <c r="C279" s="2"/>
      <c r="D279" s="2">
        <f>IFERROR(__xludf.DUMMYFUNCTION("""COMPUTED_VALUE"""),2.3737176923066482E-4)</f>
        <v>0.0002373717692</v>
      </c>
      <c r="E279" s="2" t="str">
        <f>IFERROR(__xludf.DUMMYFUNCTION("""COMPUTED_VALUE"""),"      1.679")</f>
        <v>      1.679</v>
      </c>
    </row>
    <row r="280">
      <c r="A280" s="2" t="str">
        <f>IFERROR(__xludf.DUMMYFUNCTION("""COMPUTED_VALUE"""),"FRENTE AMPLA DE ESQUERDA")</f>
        <v>FRENTE AMPLA DE ESQUERDA</v>
      </c>
      <c r="B280" s="2" t="str">
        <f>IFERROR(__xludf.DUMMYFUNCTION("""COMPUTED_VALUE"""),"frenteampla13")</f>
        <v>frenteampla13</v>
      </c>
      <c r="C280" s="2" t="str">
        <f>IFERROR(__xludf.DUMMYFUNCTION("""COMPUTED_VALUE"""),"Perfil oficial da Frente Ampla de Esquerda antiga  FINES - perfil administrado por @Sandroka131")</f>
        <v>Perfil oficial da Frente Ampla de Esquerda antiga  FINES - perfil administrado por @Sandroka131</v>
      </c>
      <c r="D280" s="2">
        <f>IFERROR(__xludf.DUMMYFUNCTION("""COMPUTED_VALUE"""),2.3337229746149522E-4)</f>
        <v>0.0002333722975</v>
      </c>
      <c r="E280" s="2" t="str">
        <f>IFERROR(__xludf.DUMMYFUNCTION("""COMPUTED_VALUE"""),"     12.310")</f>
        <v>     12.310</v>
      </c>
    </row>
    <row r="281">
      <c r="A281" s="2" t="str">
        <f>IFERROR(__xludf.DUMMYFUNCTION("""COMPUTED_VALUE"""),"MANUEL FVG🇮🇹🇷🇺")</f>
        <v>MANUEL FVG🇮🇹🇷🇺</v>
      </c>
      <c r="B281" s="2" t="str">
        <f>IFERROR(__xludf.DUMMYFUNCTION("""COMPUTED_VALUE"""),"manuel_fc1969")</f>
        <v>manuel_fc1969</v>
      </c>
      <c r="C281" s="2" t="str">
        <f>IFERROR(__xludf.DUMMYFUNCTION("""COMPUTED_VALUE"""),"Manager, settore acciaio.
noEuro-noUE.
Calvino, Hesse 📖
Amo gli animali, la loro purezza.
Pratico ciclismo e nuoto.
Blocco immediato per umani senza più anima")</f>
        <v>Manager, settore acciaio.
noEuro-noUE.
Calvino, Hesse 📖
Amo gli animali, la loro purezza.
Pratico ciclismo e nuoto.
Blocco immediato per umani senza più anima</v>
      </c>
      <c r="D281" s="2">
        <f>IFERROR(__xludf.DUMMYFUNCTION("""COMPUTED_VALUE"""),2.281376271782133E-4)</f>
        <v>0.0002281376272</v>
      </c>
      <c r="E281" s="2" t="str">
        <f>IFERROR(__xludf.DUMMYFUNCTION("""COMPUTED_VALUE"""),"      3.767")</f>
        <v>      3.767</v>
      </c>
    </row>
    <row r="282">
      <c r="A282" s="2" t="str">
        <f>IFERROR(__xludf.DUMMYFUNCTION("""COMPUTED_VALUE"""),"Matheus Giuberti")</f>
        <v>Matheus Giuberti</v>
      </c>
      <c r="B282" s="2" t="str">
        <f>IFERROR(__xludf.DUMMYFUNCTION("""COMPUTED_VALUE"""),"giuberti10mr")</f>
        <v>giuberti10mr</v>
      </c>
      <c r="C282" s="2" t="str">
        <f>IFERROR(__xludf.DUMMYFUNCTION("""COMPUTED_VALUE"""),"@vascodagama @are_cruzmaltina")</f>
        <v>@vascodagama @are_cruzmaltina</v>
      </c>
      <c r="D282" s="2">
        <f>IFERROR(__xludf.DUMMYFUNCTION("""COMPUTED_VALUE"""),2.281376271782133E-4)</f>
        <v>0.0002281376272</v>
      </c>
      <c r="E282" s="2" t="str">
        <f>IFERROR(__xludf.DUMMYFUNCTION("""COMPUTED_VALUE"""),"      9.499")</f>
        <v>      9.499</v>
      </c>
    </row>
    <row r="283">
      <c r="A283" s="2" t="str">
        <f>IFERROR(__xludf.DUMMYFUNCTION("""COMPUTED_VALUE"""),"Nino Cartabellotta")</f>
        <v>Nino Cartabellotta</v>
      </c>
      <c r="B283" s="2" t="str">
        <f>IFERROR(__xludf.DUMMYFUNCTION("""COMPUTED_VALUE"""),"cartabellotta")</f>
        <v>cartabellotta</v>
      </c>
      <c r="C283" s="2" t="str">
        <f>IFERROR(__xludf.DUMMYFUNCTION("""COMPUTED_VALUE"""),"Medico siculo a Bologna, presidente @GIMBE, padre di 3 figli. Divulgo evidenze scientifiche, difendo sanità pubblica e diritti civili. Amo cucina, verde e mare.")</f>
        <v>Medico siculo a Bologna, presidente @GIMBE, padre di 3 figli. Divulgo evidenze scientifiche, difendo sanità pubblica e diritti civili. Amo cucina, verde e mare.</v>
      </c>
      <c r="D283" s="2">
        <f>IFERROR(__xludf.DUMMYFUNCTION("""COMPUTED_VALUE"""),2.281376271782133E-4)</f>
        <v>0.0002281376272</v>
      </c>
      <c r="E283" s="2" t="str">
        <f>IFERROR(__xludf.DUMMYFUNCTION("""COMPUTED_VALUE"""),"     88.215")</f>
        <v>     88.215</v>
      </c>
    </row>
    <row r="284">
      <c r="A284" s="2" t="str">
        <f>IFERROR(__xludf.DUMMYFUNCTION("""COMPUTED_VALUE"""),"Erick Matheus")</f>
        <v>Erick Matheus</v>
      </c>
      <c r="B284" s="2" t="str">
        <f>IFERROR(__xludf.DUMMYFUNCTION("""COMPUTED_VALUE"""),"erickmats06")</f>
        <v>erickmats06</v>
      </c>
      <c r="C284" s="2" t="str">
        <f>IFERROR(__xludf.DUMMYFUNCTION("""COMPUTED_VALUE"""),"Corinthians.")</f>
        <v>Corinthians.</v>
      </c>
      <c r="D284" s="2">
        <f>IFERROR(__xludf.DUMMYFUNCTION("""COMPUTED_VALUE"""),2.281376271782133E-4)</f>
        <v>0.0002281376272</v>
      </c>
      <c r="E284" s="2" t="str">
        <f>IFERROR(__xludf.DUMMYFUNCTION("""COMPUTED_VALUE"""),"      2.580")</f>
        <v>      2.580</v>
      </c>
    </row>
    <row r="285">
      <c r="A285" s="2" t="str">
        <f>IFERROR(__xludf.DUMMYFUNCTION("""COMPUTED_VALUE"""),"RenatoLRomero")</f>
        <v>RenatoLRomero</v>
      </c>
      <c r="B285" s="2" t="str">
        <f>IFERROR(__xludf.DUMMYFUNCTION("""COMPUTED_VALUE"""),"renatolromero17")</f>
        <v>renatolromero17</v>
      </c>
      <c r="C285" s="2" t="str">
        <f>IFERROR(__xludf.DUMMYFUNCTION("""COMPUTED_VALUE"""),"Analiso ciclos macroeconômicos de bolsa de valores/criptomoedas #bitcoin #ibovespa S&amp;P O QUE POSTO NÃO É RECOMENDAÇÃO DE COMPRA; REFLETE APENAS MINHA OPINIÃO")</f>
        <v>Analiso ciclos macroeconômicos de bolsa de valores/criptomoedas #bitcoin #ibovespa S&amp;P O QUE POSTO NÃO É RECOMENDAÇÃO DE COMPRA; REFLETE APENAS MINHA OPINIÃO</v>
      </c>
      <c r="D285" s="2">
        <f>IFERROR(__xludf.DUMMYFUNCTION("""COMPUTED_VALUE"""),2.281376271782133E-4)</f>
        <v>0.0002281376272</v>
      </c>
      <c r="E285" s="2" t="str">
        <f>IFERROR(__xludf.DUMMYFUNCTION("""COMPUTED_VALUE"""),"      7.402")</f>
        <v>      7.402</v>
      </c>
    </row>
    <row r="286">
      <c r="A286" s="2" t="str">
        <f>IFERROR(__xludf.DUMMYFUNCTION("""COMPUTED_VALUE"""),"Felipe Neto 🦉")</f>
        <v>Felipe Neto 🦉</v>
      </c>
      <c r="B286" s="2" t="str">
        <f>IFERROR(__xludf.DUMMYFUNCTION("""COMPUTED_VALUE"""),"felipeneto")</f>
        <v>felipeneto</v>
      </c>
      <c r="C286" s="2" t="str">
        <f>IFERROR(__xludf.DUMMYFUNCTION("""COMPUTED_VALUE"""),"“Não chores. Viva. Te amo” felipeneto@play9.com.br")</f>
        <v>“Não chores. Viva. Te amo” felipeneto@play9.com.br</v>
      </c>
      <c r="D286" s="2">
        <f>IFERROR(__xludf.DUMMYFUNCTION("""COMPUTED_VALUE"""),2.281376271782133E-4)</f>
        <v>0.0002281376272</v>
      </c>
      <c r="E286" s="2" t="str">
        <f>IFERROR(__xludf.DUMMYFUNCTION("""COMPUTED_VALUE""")," 16.559.763")</f>
        <v> 16.559.763</v>
      </c>
    </row>
    <row r="287">
      <c r="A287" s="2" t="str">
        <f>IFERROR(__xludf.DUMMYFUNCTION("""COMPUTED_VALUE"""),"spider")</f>
        <v>spider</v>
      </c>
      <c r="B287" s="2" t="str">
        <f>IFERROR(__xludf.DUMMYFUNCTION("""COMPUTED_VALUE"""),"joytfilm")</f>
        <v>joytfilm</v>
      </c>
      <c r="C287" s="2" t="str">
        <f>IFERROR(__xludf.DUMMYFUNCTION("""COMPUTED_VALUE"""),"time to twice! (fan account) ͏eu e a @natas_notfound assistindo ttt tdoong entertainment!  ͏ ͏ ͏ ͏ ͏ ͏ ͏ ͏ ͏͏ ͏ ͏ ͏ ͏")</f>
        <v>time to twice! (fan account) ͏eu e a @natas_notfound assistindo ttt tdoong entertainment!  ͏ ͏ ͏ ͏ ͏ ͏ ͏ ͏ ͏͏ ͏ ͏ ͏ ͏</v>
      </c>
      <c r="D287" s="2">
        <f>IFERROR(__xludf.DUMMYFUNCTION("""COMPUTED_VALUE"""),2.281376271782133E-4)</f>
        <v>0.0002281376272</v>
      </c>
      <c r="E287" s="2" t="str">
        <f>IFERROR(__xludf.DUMMYFUNCTION("""COMPUTED_VALUE"""),"      5.659")</f>
        <v>      5.659</v>
      </c>
    </row>
    <row r="288">
      <c r="A288" s="2" t="str">
        <f>IFERROR(__xludf.DUMMYFUNCTION("""COMPUTED_VALUE"""),"Gustavo Gayer")</f>
        <v>Gustavo Gayer</v>
      </c>
      <c r="B288" s="2" t="str">
        <f>IFERROR(__xludf.DUMMYFUNCTION("""COMPUTED_VALUE"""),"gayergus")</f>
        <v>gayergus</v>
      </c>
      <c r="C288" s="2" t="str">
        <f>IFERROR(__xludf.DUMMYFUNCTION("""COMPUTED_VALUE"""),"Marido, pai e deputado federal por Goiás 🇧🇷")</f>
        <v>Marido, pai e deputado federal por Goiás 🇧🇷</v>
      </c>
      <c r="D288" s="2">
        <f>IFERROR(__xludf.DUMMYFUNCTION("""COMPUTED_VALUE"""),2.281376271782133E-4)</f>
        <v>0.0002281376272</v>
      </c>
      <c r="E288" s="2" t="str">
        <f>IFERROR(__xludf.DUMMYFUNCTION("""COMPUTED_VALUE"""),"    762.374")</f>
        <v>    762.374</v>
      </c>
    </row>
    <row r="289">
      <c r="A289" s="2" t="str">
        <f>IFERROR(__xludf.DUMMYFUNCTION("""COMPUTED_VALUE"""),"Carlos J. Pereira")</f>
        <v>Carlos J. Pereira</v>
      </c>
      <c r="B289" s="2" t="str">
        <f>IFERROR(__xludf.DUMMYFUNCTION("""COMPUTED_VALUE"""),"carlosp02740287")</f>
        <v>carlosp02740287</v>
      </c>
      <c r="C289" s="2" t="str">
        <f>IFERROR(__xludf.DUMMYFUNCTION("""COMPUTED_VALUE"""),"Deputado na Assembleia da República#Vice-Presidente da bancada parlamentar#Economista#Perito independente da Comissão Europeia para 2020")</f>
        <v>Deputado na Assembleia da República#Vice-Presidente da bancada parlamentar#Economista#Perito independente da Comissão Europeia para 2020</v>
      </c>
      <c r="D289" s="2">
        <f>IFERROR(__xludf.DUMMYFUNCTION("""COMPUTED_VALUE"""),2.281376271782133E-4)</f>
        <v>0.0002281376272</v>
      </c>
      <c r="E289" s="2" t="str">
        <f>IFERROR(__xludf.DUMMYFUNCTION("""COMPUTED_VALUE"""),"      2.326")</f>
        <v>      2.326</v>
      </c>
    </row>
    <row r="290">
      <c r="A290" s="2" t="str">
        <f>IFERROR(__xludf.DUMMYFUNCTION("""COMPUTED_VALUE"""),"Renan Fla")</f>
        <v>Renan Fla</v>
      </c>
      <c r="B290" s="2" t="str">
        <f>IFERROR(__xludf.DUMMYFUNCTION("""COMPUTED_VALUE"""),"renanflamengo")</f>
        <v>renanflamengo</v>
      </c>
      <c r="C290" s="2" t="str">
        <f>IFERROR(__xludf.DUMMYFUNCTION("""COMPUTED_VALUE"""),"Pagina destinada a notícias, opiniões e tudo sobre Flamengo.
As vezes posso exagerar, a paixão pelo Flamengo é maior que a razão.")</f>
        <v>Pagina destinada a notícias, opiniões e tudo sobre Flamengo.
As vezes posso exagerar, a paixão pelo Flamengo é maior que a razão.</v>
      </c>
      <c r="D290" s="2">
        <f>IFERROR(__xludf.DUMMYFUNCTION("""COMPUTED_VALUE"""),2.281376271782133E-4)</f>
        <v>0.0002281376272</v>
      </c>
      <c r="E290" s="2" t="str">
        <f>IFERROR(__xludf.DUMMYFUNCTION("""COMPUTED_VALUE"""),"     16.721")</f>
        <v>     16.721</v>
      </c>
    </row>
    <row r="291">
      <c r="A291" s="2" t="str">
        <f>IFERROR(__xludf.DUMMYFUNCTION("""COMPUTED_VALUE"""),"Júlia Zanatta")</f>
        <v>Júlia Zanatta</v>
      </c>
      <c r="B291" s="2" t="str">
        <f>IFERROR(__xludf.DUMMYFUNCTION("""COMPUTED_VALUE"""),"apropriajulia")</f>
        <v>apropriajulia</v>
      </c>
      <c r="C291" s="2" t="str">
        <f>IFERROR(__xludf.DUMMYFUNCTION("""COMPUTED_VALUE"""),"Mãe, advogada e jornalista. Deputada Federal por Santa Catarina (PL), eleita com 111.588 votos para o mandato 2023-2027.")</f>
        <v>Mãe, advogada e jornalista. Deputada Federal por Santa Catarina (PL), eleita com 111.588 votos para o mandato 2023-2027.</v>
      </c>
      <c r="D291" s="2">
        <f>IFERROR(__xludf.DUMMYFUNCTION("""COMPUTED_VALUE"""),2.281376271782133E-4)</f>
        <v>0.0002281376272</v>
      </c>
      <c r="E291" s="2" t="str">
        <f>IFERROR(__xludf.DUMMYFUNCTION("""COMPUTED_VALUE"""),"    176.371")</f>
        <v>    176.371</v>
      </c>
    </row>
    <row r="292">
      <c r="A292" s="2" t="str">
        <f>IFERROR(__xludf.DUMMYFUNCTION("""COMPUTED_VALUE"""),"XP🌞")</f>
        <v>XP🌞</v>
      </c>
      <c r="B292" s="2" t="str">
        <f>IFERROR(__xludf.DUMMYFUNCTION("""COMPUTED_VALUE"""),"milgraudrugo")</f>
        <v>milgraudrugo</v>
      </c>
      <c r="C292" s="2" t="str">
        <f>IFERROR(__xludf.DUMMYFUNCTION("""COMPUTED_VALUE"""),"⚙️adms: @10__ferreirinha e @jufrandin um santista e uma fã de banda morta falando de automobilismo 🧡🩵")</f>
        <v>⚙️adms: @10__ferreirinha e @jufrandin um santista e uma fã de banda morta falando de automobilismo 🧡🩵</v>
      </c>
      <c r="D292" s="2">
        <f>IFERROR(__xludf.DUMMYFUNCTION("""COMPUTED_VALUE"""),2.281376271782133E-4)</f>
        <v>0.0002281376272</v>
      </c>
      <c r="E292" s="2" t="str">
        <f>IFERROR(__xludf.DUMMYFUNCTION("""COMPUTED_VALUE"""),"      3.919")</f>
        <v>      3.919</v>
      </c>
    </row>
    <row r="293">
      <c r="A293" s="2" t="str">
        <f>IFERROR(__xludf.DUMMYFUNCTION("""COMPUTED_VALUE"""),"Ana Pimentel")</f>
        <v>Ana Pimentel</v>
      </c>
      <c r="B293" s="2" t="str">
        <f>IFERROR(__xludf.DUMMYFUNCTION("""COMPUTED_VALUE"""),"anapimentel_jf")</f>
        <v>anapimentel_jf</v>
      </c>
      <c r="C293" s="2" t="str">
        <f>IFERROR(__xludf.DUMMYFUNCTION("""COMPUTED_VALUE"""),"Deputada federal.
Minas! 🔺
PT ⭐")</f>
        <v>Deputada federal.
Minas! 🔺
PT ⭐</v>
      </c>
      <c r="D293" s="2">
        <f>IFERROR(__xludf.DUMMYFUNCTION("""COMPUTED_VALUE"""),2.281376271782133E-4)</f>
        <v>0.0002281376272</v>
      </c>
      <c r="E293" s="2" t="str">
        <f>IFERROR(__xludf.DUMMYFUNCTION("""COMPUTED_VALUE"""),"      7.098")</f>
        <v>      7.098</v>
      </c>
    </row>
    <row r="294">
      <c r="A294" s="2" t="str">
        <f>IFERROR(__xludf.DUMMYFUNCTION("""COMPUTED_VALUE"""),"Silvinho")</f>
        <v>Silvinho</v>
      </c>
      <c r="B294" s="2" t="str">
        <f>IFERROR(__xludf.DUMMYFUNCTION("""COMPUTED_VALUE"""),"silvinhotv")</f>
        <v>silvinhotv</v>
      </c>
      <c r="C294" s="2" t="str">
        <f>IFERROR(__xludf.DUMMYFUNCTION("""COMPUTED_VALUE"""),"📌 MAOEEE! Fan account com notícias sobre o mundo da TV, famosos e assuntos aleatórios.")</f>
        <v>📌 MAOEEE! Fan account com notícias sobre o mundo da TV, famosos e assuntos aleatórios.</v>
      </c>
      <c r="D294" s="2">
        <f>IFERROR(__xludf.DUMMYFUNCTION("""COMPUTED_VALUE"""),2.281376271782133E-4)</f>
        <v>0.0002281376272</v>
      </c>
      <c r="E294" s="2" t="str">
        <f>IFERROR(__xludf.DUMMYFUNCTION("""COMPUTED_VALUE"""),"     14.678")</f>
        <v>     14.678</v>
      </c>
    </row>
    <row r="295">
      <c r="A295" s="2" t="str">
        <f>IFERROR(__xludf.DUMMYFUNCTION("""COMPUTED_VALUE"""),"Filipe Charters")</f>
        <v>Filipe Charters</v>
      </c>
      <c r="B295" s="2" t="str">
        <f>IFERROR(__xludf.DUMMYFUNCTION("""COMPUTED_VALUE"""),"chartersfil")</f>
        <v>chartersfil</v>
      </c>
      <c r="C295" s="2" t="str">
        <f>IFERROR(__xludf.DUMMYFUNCTION("""COMPUTED_VALUE"""),"Empresário | #LiberalismoBootstrap")</f>
        <v>Empresário | #LiberalismoBootstrap</v>
      </c>
      <c r="D295" s="2">
        <f>IFERROR(__xludf.DUMMYFUNCTION("""COMPUTED_VALUE"""),2.281376271782133E-4)</f>
        <v>0.0002281376272</v>
      </c>
      <c r="E295" s="2" t="str">
        <f>IFERROR(__xludf.DUMMYFUNCTION("""COMPUTED_VALUE"""),"      2.481")</f>
        <v>      2.481</v>
      </c>
    </row>
    <row r="296">
      <c r="A296" s="2" t="str">
        <f>IFERROR(__xludf.DUMMYFUNCTION("""COMPUTED_VALUE"""),"A TROMBETA")</f>
        <v>A TROMBETA</v>
      </c>
      <c r="B296" s="2" t="str">
        <f>IFERROR(__xludf.DUMMYFUNCTION("""COMPUTED_VALUE"""),"atrombeta3")</f>
        <v>atrombeta3</v>
      </c>
      <c r="C296" s="2" t="str">
        <f>IFERROR(__xludf.DUMMYFUNCTION("""COMPUTED_VALUE"""),"Nosso canal prima pela qualidade e credibilidade. Defendemos a liberdade de expressão, a liberdade religiosa e a  economia  de livre mercado.")</f>
        <v>Nosso canal prima pela qualidade e credibilidade. Defendemos a liberdade de expressão, a liberdade religiosa e a  economia  de livre mercado.</v>
      </c>
      <c r="D296" s="2">
        <f>IFERROR(__xludf.DUMMYFUNCTION("""COMPUTED_VALUE"""),2.281376271782133E-4)</f>
        <v>0.0002281376272</v>
      </c>
      <c r="E296" s="2" t="str">
        <f>IFERROR(__xludf.DUMMYFUNCTION("""COMPUTED_VALUE"""),"    114.850")</f>
        <v>    114.850</v>
      </c>
    </row>
    <row r="297">
      <c r="A297" s="2" t="str">
        <f>IFERROR(__xludf.DUMMYFUNCTION("""COMPUTED_VALUE"""),"Rudi Bressa")</f>
        <v>Rudi Bressa</v>
      </c>
      <c r="B297" s="2" t="str">
        <f>IFERROR(__xludf.DUMMYFUNCTION("""COMPUTED_VALUE"""),"rudibressa")</f>
        <v>rudibressa</v>
      </c>
      <c r="C297" s="2" t="str">
        <f>IFERROR(__xludf.DUMMYFUNCTION("""COMPUTED_VALUE"""),"Giornalista @domanigiornale @HuffPostItalia @le_scienze @LifeGate ✍️ di crisi climatica, biodiversità e rinnovabili. In libreria con Trafficanti di natura")</f>
        <v>Giornalista @domanigiornale @HuffPostItalia @le_scienze @LifeGate ✍️ di crisi climatica, biodiversità e rinnovabili. In libreria con Trafficanti di natura</v>
      </c>
      <c r="D297" s="2">
        <f>IFERROR(__xludf.DUMMYFUNCTION("""COMPUTED_VALUE"""),2.2600667131995528E-4)</f>
        <v>0.0002260066713</v>
      </c>
      <c r="E297" s="2" t="str">
        <f>IFERROR(__xludf.DUMMYFUNCTION("""COMPUTED_VALUE"""),"      4.806")</f>
        <v>      4.806</v>
      </c>
    </row>
    <row r="298">
      <c r="A298" s="2" t="str">
        <f>IFERROR(__xludf.DUMMYFUNCTION("""COMPUTED_VALUE"""),"Secretaria da Saúde SP")</f>
        <v>Secretaria da Saúde SP</v>
      </c>
      <c r="B298" s="2" t="str">
        <f>IFERROR(__xludf.DUMMYFUNCTION("""COMPUTED_VALUE"""),"spsaude_")</f>
        <v>spsaude_</v>
      </c>
      <c r="C298" s="2" t="str">
        <f>IFERROR(__xludf.DUMMYFUNCTION("""COMPUTED_VALUE"""),"Perfil da Secretaria de Estado da Saúde de São Paulo para divulgações de campanhas, ações e programas da pasta, além de trazer informações sobre saúde.")</f>
        <v>Perfil da Secretaria de Estado da Saúde de São Paulo para divulgações de campanhas, ações e programas da pasta, além de trazer informações sobre saúde.</v>
      </c>
      <c r="D298" s="2">
        <f>IFERROR(__xludf.DUMMYFUNCTION("""COMPUTED_VALUE"""),2.2450343889281202E-4)</f>
        <v>0.0002245034389</v>
      </c>
      <c r="E298" s="2" t="str">
        <f>IFERROR(__xludf.DUMMYFUNCTION("""COMPUTED_VALUE"""),"     26.150")</f>
        <v>     26.150</v>
      </c>
    </row>
    <row r="299">
      <c r="A299" s="2" t="str">
        <f>IFERROR(__xludf.DUMMYFUNCTION("""COMPUTED_VALUE"""),"Ricardo Fronczak")</f>
        <v>Ricardo Fronczak</v>
      </c>
      <c r="B299" s="2" t="str">
        <f>IFERROR(__xludf.DUMMYFUNCTION("""COMPUTED_VALUE"""),"ricardofronczak")</f>
        <v>ricardofronczak</v>
      </c>
      <c r="C299" s="2" t="str">
        <f>IFERROR(__xludf.DUMMYFUNCTION("""COMPUTED_VALUE"""),"🇧🇷 Direito UFPR 1990
Pós graduado - Direito Civil/Processual Civil (Univ. Castelo Branco)
MBA (LLM – (IBMEC) Dir. Corporativo")</f>
        <v>🇧🇷 Direito UFPR 1990
Pós graduado - Direito Civil/Processual Civil (Univ. Castelo Branco)
MBA (LLM – (IBMEC) Dir. Corporativo</v>
      </c>
      <c r="D299" s="2">
        <f>IFERROR(__xludf.DUMMYFUNCTION("""COMPUTED_VALUE"""),2.23813948625226E-4)</f>
        <v>0.0002238139486</v>
      </c>
      <c r="E299" s="2" t="str">
        <f>IFERROR(__xludf.DUMMYFUNCTION("""COMPUTED_VALUE"""),"      8.421")</f>
        <v>      8.421</v>
      </c>
    </row>
    <row r="300">
      <c r="A300" s="2" t="str">
        <f>IFERROR(__xludf.DUMMYFUNCTION("""COMPUTED_VALUE"""),"Galo Forte Vingador!")</f>
        <v>Galo Forte Vingador!</v>
      </c>
      <c r="B300" s="2" t="str">
        <f>IFERROR(__xludf.DUMMYFUNCTION("""COMPUTED_VALUE"""),"galoforteving15")</f>
        <v>galoforteving15</v>
      </c>
      <c r="C300" s="2" t="str">
        <f>IFERROR(__xludf.DUMMYFUNCTION("""COMPUTED_VALUE"""),"Vencer, vencer, vencer!!!
Atleticano que quer Paz!")</f>
        <v>Vencer, vencer, vencer!!!
Atleticano que quer Paz!</v>
      </c>
      <c r="D300" s="2">
        <f>IFERROR(__xludf.DUMMYFUNCTION("""COMPUTED_VALUE"""),2.2371724907667705E-4)</f>
        <v>0.0002237172491</v>
      </c>
      <c r="E300" s="2" t="str">
        <f>IFERROR(__xludf.DUMMYFUNCTION("""COMPUTED_VALUE"""),"      1.106")</f>
        <v>      1.106</v>
      </c>
    </row>
    <row r="301">
      <c r="A301" s="2" t="str">
        <f>IFERROR(__xludf.DUMMYFUNCTION("""COMPUTED_VALUE"""),"Luiz Carlos Silva &amp; Silva")</f>
        <v>Luiz Carlos Silva &amp; Silva</v>
      </c>
      <c r="B301" s="2" t="str">
        <f>IFERROR(__xludf.DUMMYFUNCTION("""COMPUTED_VALUE"""),"luizcar81121668")</f>
        <v>luizcar81121668</v>
      </c>
      <c r="C301" s="2" t="str">
        <f>IFERROR(__xludf.DUMMYFUNCTION("""COMPUTED_VALUE"""),"LOCUTOR ESPORTIVO/
TRÊS NA REDE NO YOUTUBE e  @radio3328
GALO &amp; BOTAFOGO
Sou da terra do REI 
REINALDO/TUNAI
Instagram @54lcsilva
@radio3328")</f>
        <v>LOCUTOR ESPORTIVO/
TRÊS NA REDE NO YOUTUBE e  @radio3328
GALO &amp; BOTAFOGO
Sou da terra do REI 
REINALDO/TUNAI
Instagram @54lcsilva
@radio3328</v>
      </c>
      <c r="D301" s="2">
        <f>IFERROR(__xludf.DUMMYFUNCTION("""COMPUTED_VALUE"""),2.2371724907622206E-4)</f>
        <v>0.0002237172491</v>
      </c>
      <c r="E301" s="2" t="str">
        <f>IFERROR(__xludf.DUMMYFUNCTION("""COMPUTED_VALUE"""),"      1.665")</f>
        <v>      1.665</v>
      </c>
    </row>
    <row r="302">
      <c r="A302" s="2" t="str">
        <f>IFERROR(__xludf.DUMMYFUNCTION("""COMPUTED_VALUE"""),"ge Flamengo")</f>
        <v>ge Flamengo</v>
      </c>
      <c r="B302" s="2" t="str">
        <f>IFERROR(__xludf.DUMMYFUNCTION("""COMPUTED_VALUE"""),"ge_fla")</f>
        <v>ge_fla</v>
      </c>
      <c r="C302" s="2" t="str">
        <f>IFERROR(__xludf.DUMMYFUNCTION("""COMPUTED_VALUE"""),"Perfil oficial da editoria do Flamengo ⚫️🔴 no @geglobo | Setoristas: @fredgomes1985, @soyyleticia e @tdellima | Produtor de TV: @Cecel_Silins")</f>
        <v>Perfil oficial da editoria do Flamengo ⚫️🔴 no @geglobo | Setoristas: @fredgomes1985, @soyyleticia e @tdellima | Produtor de TV: @Cecel_Silins</v>
      </c>
      <c r="D302" s="2">
        <f>IFERROR(__xludf.DUMMYFUNCTION("""COMPUTED_VALUE"""),2.217447596034392E-4)</f>
        <v>0.0002217447596</v>
      </c>
      <c r="E302" s="2" t="str">
        <f>IFERROR(__xludf.DUMMYFUNCTION("""COMPUTED_VALUE"""),"    207.572")</f>
        <v>    207.572</v>
      </c>
    </row>
    <row r="303">
      <c r="A303" s="2" t="str">
        <f>IFERROR(__xludf.DUMMYFUNCTION("""COMPUTED_VALUE"""),"🫡 Q.G Masculino ♂️ ✝️ 🇧🇷")</f>
        <v>🫡 Q.G Masculino ♂️ ✝️ 🇧🇷</v>
      </c>
      <c r="B303" s="2" t="str">
        <f>IFERROR(__xludf.DUMMYFUNCTION("""COMPUTED_VALUE"""),"qg_masculino")</f>
        <v>qg_masculino</v>
      </c>
      <c r="C303" s="2" t="str">
        <f>IFERROR(__xludf.DUMMYFUNCTION("""COMPUTED_VALUE"""),"MACHISTA? MIS0GIN0? NÃO! SOU UM HOMEM NORMAL QUE NÃO PROSTITUIU A SUA MASCULINIDADE PRA DESCONSTRUÇÃO MODERNA E QUE TRATA A MULHER COM A REAL IGUALDADE.")</f>
        <v>MACHISTA? MIS0GIN0? NÃO! SOU UM HOMEM NORMAL QUE NÃO PROSTITUIU A SUA MASCULINIDADE PRA DESCONSTRUÇÃO MODERNA E QUE TRATA A MULHER COM A REAL IGUALDADE.</v>
      </c>
      <c r="D303" s="2">
        <f>IFERROR(__xludf.DUMMYFUNCTION("""COMPUTED_VALUE"""),2.217447596034392E-4)</f>
        <v>0.0002217447596</v>
      </c>
      <c r="E303" s="2" t="str">
        <f>IFERROR(__xludf.DUMMYFUNCTION("""COMPUTED_VALUE"""),"      8.196")</f>
        <v>      8.196</v>
      </c>
    </row>
    <row r="304">
      <c r="A304" s="2" t="str">
        <f>IFERROR(__xludf.DUMMYFUNCTION("""COMPUTED_VALUE"""),"Brasil Scenes")</f>
        <v>Brasil Scenes</v>
      </c>
      <c r="B304" s="2" t="str">
        <f>IFERROR(__xludf.DUMMYFUNCTION("""COMPUTED_VALUE"""),"brasilscenes")</f>
        <v>brasilscenes</v>
      </c>
      <c r="C304" s="2" t="str">
        <f>IFERROR(__xludf.DUMMYFUNCTION("""COMPUTED_VALUE"""),"Aqui no Brasil Scenes, você fica por dentro de tudo que acontece na TV e nas Novelas! 💙 Por: @bruno_dames e @someversep - contato: brasilscenes@gmail.com")</f>
        <v>Aqui no Brasil Scenes, você fica por dentro de tudo que acontece na TV e nas Novelas! 💙 Por: @bruno_dames e @someversep - contato: brasilscenes@gmail.com</v>
      </c>
      <c r="D304" s="2">
        <f>IFERROR(__xludf.DUMMYFUNCTION("""COMPUTED_VALUE"""),2.217447596034392E-4)</f>
        <v>0.0002217447596</v>
      </c>
      <c r="E304" s="2" t="str">
        <f>IFERROR(__xludf.DUMMYFUNCTION("""COMPUTED_VALUE"""),"      6.540")</f>
        <v>      6.540</v>
      </c>
    </row>
    <row r="305">
      <c r="A305" s="2" t="str">
        <f>IFERROR(__xludf.DUMMYFUNCTION("""COMPUTED_VALUE"""),"Delegado Ramagem")</f>
        <v>Delegado Ramagem</v>
      </c>
      <c r="B305" s="2" t="str">
        <f>IFERROR(__xludf.DUMMYFUNCTION("""COMPUTED_VALUE"""),"delegadoramagem")</f>
        <v>delegadoramagem</v>
      </c>
      <c r="C305" s="2" t="str">
        <f>IFERROR(__xludf.DUMMYFUNCTION("""COMPUTED_VALUE"""),"🟩Delegado de Polícia Federal 🟨Deputado Federal pelo Rio de Janeiro 🟩 https://t.co/lC4OYXXMat")</f>
        <v>🟩Delegado de Polícia Federal 🟨Deputado Federal pelo Rio de Janeiro 🟩 https://t.co/lC4OYXXMat</v>
      </c>
      <c r="D305" s="2">
        <f>IFERROR(__xludf.DUMMYFUNCTION("""COMPUTED_VALUE"""),2.217447596034392E-4)</f>
        <v>0.0002217447596</v>
      </c>
      <c r="E305" s="2" t="str">
        <f>IFERROR(__xludf.DUMMYFUNCTION("""COMPUTED_VALUE"""),"    428.569")</f>
        <v>    428.569</v>
      </c>
    </row>
    <row r="306">
      <c r="A306" s="2" t="str">
        <f>IFERROR(__xludf.DUMMYFUNCTION("""COMPUTED_VALUE"""),"Mubarak Mugabo")</f>
        <v>Mubarak Mugabo</v>
      </c>
      <c r="B306" s="2" t="str">
        <f>IFERROR(__xludf.DUMMYFUNCTION("""COMPUTED_VALUE"""),"mubarakug")</f>
        <v>mubarakug</v>
      </c>
      <c r="C306" s="2" t="str">
        <f>IFERROR(__xludf.DUMMYFUNCTION("""COMPUTED_VALUE"""),"TV Host/Journalist @newvisionwire |Law Dongfang Scholar @PKU1898 | Columnist| China-Africa Press Center Fellow ‘19| First Silk Road Global News Award Winner")</f>
        <v>TV Host/Journalist @newvisionwire |Law Dongfang Scholar @PKU1898 | Columnist| China-Africa Press Center Fellow ‘19| First Silk Road Global News Award Winner</v>
      </c>
      <c r="D306" s="2">
        <f>IFERROR(__xludf.DUMMYFUNCTION("""COMPUTED_VALUE"""),2.217447596034392E-4)</f>
        <v>0.0002217447596</v>
      </c>
      <c r="E306" s="2" t="str">
        <f>IFERROR(__xludf.DUMMYFUNCTION("""COMPUTED_VALUE"""),"     11.281")</f>
        <v>     11.281</v>
      </c>
    </row>
    <row r="307">
      <c r="A307" s="2" t="str">
        <f>IFERROR(__xludf.DUMMYFUNCTION("""COMPUTED_VALUE"""),"Delegado Paulo Bilynskyj")</f>
        <v>Delegado Paulo Bilynskyj</v>
      </c>
      <c r="B307" s="2" t="str">
        <f>IFERROR(__xludf.DUMMYFUNCTION("""COMPUTED_VALUE"""),"paulobilynskyj1")</f>
        <v>paulobilynskyj1</v>
      </c>
      <c r="C307" s="2" t="str">
        <f>IFERROR(__xludf.DUMMYFUNCTION("""COMPUTED_VALUE"""),"Delegado de Policia, Deputado Federal Eleito por SP.")</f>
        <v>Delegado de Policia, Deputado Federal Eleito por SP.</v>
      </c>
      <c r="D307" s="2">
        <f>IFERROR(__xludf.DUMMYFUNCTION("""COMPUTED_VALUE"""),2.217447596034392E-4)</f>
        <v>0.0002217447596</v>
      </c>
      <c r="E307" s="2" t="str">
        <f>IFERROR(__xludf.DUMMYFUNCTION("""COMPUTED_VALUE"""),"    123.149")</f>
        <v>    123.149</v>
      </c>
    </row>
    <row r="308">
      <c r="A308" s="2" t="str">
        <f>IFERROR(__xludf.DUMMYFUNCTION("""COMPUTED_VALUE"""),"Anitta")</f>
        <v>Anitta</v>
      </c>
      <c r="B308" s="2" t="str">
        <f>IFERROR(__xludf.DUMMYFUNCTION("""COMPUTED_VALUE"""),"anitta")</f>
        <v>anitta</v>
      </c>
      <c r="C308" s="2" t="str">
        <f>IFERROR(__xludf.DUMMYFUNCTION("""COMPUTED_VALUE"""),"Brazilian Funk Generation 🇧🇷")</f>
        <v>Brazilian Funk Generation 🇧🇷</v>
      </c>
      <c r="D308" s="2">
        <f>IFERROR(__xludf.DUMMYFUNCTION("""COMPUTED_VALUE"""),2.2103444098401983E-4)</f>
        <v>0.000221034441</v>
      </c>
      <c r="E308" s="2" t="str">
        <f>IFERROR(__xludf.DUMMYFUNCTION("""COMPUTED_VALUE""")," 19.408.289")</f>
        <v> 19.408.289</v>
      </c>
    </row>
    <row r="309">
      <c r="A309" s="2" t="str">
        <f>IFERROR(__xludf.DUMMYFUNCTION("""COMPUTED_VALUE"""),"República Portuguesa")</f>
        <v>República Portuguesa</v>
      </c>
      <c r="B309" s="2" t="str">
        <f>IFERROR(__xludf.DUMMYFUNCTION("""COMPUTED_VALUE"""),"govpt")</f>
        <v>govpt</v>
      </c>
      <c r="C309" s="2" t="str">
        <f>IFERROR(__xludf.DUMMYFUNCTION("""COMPUTED_VALUE"""),"Conta Oficial do XXIII Governo Constitucional")</f>
        <v>Conta Oficial do XXIII Governo Constitucional</v>
      </c>
      <c r="D309" s="2">
        <f>IFERROR(__xludf.DUMMYFUNCTION("""COMPUTED_VALUE"""),2.1705665671527155E-4)</f>
        <v>0.0002170566567</v>
      </c>
      <c r="E309" s="2" t="str">
        <f>IFERROR(__xludf.DUMMYFUNCTION("""COMPUTED_VALUE"""),"    226.737")</f>
        <v>    226.737</v>
      </c>
    </row>
    <row r="310">
      <c r="A310" s="2" t="str">
        <f>IFERROR(__xludf.DUMMYFUNCTION("""COMPUTED_VALUE"""),"BNDES")</f>
        <v>BNDES</v>
      </c>
      <c r="B310" s="2" t="str">
        <f>IFERROR(__xludf.DUMMYFUNCTION("""COMPUTED_VALUE"""),"bndes")</f>
        <v>bndes</v>
      </c>
      <c r="C310" s="2" t="str">
        <f>IFERROR(__xludf.DUMMYFUNCTION("""COMPUTED_VALUE"""),"O BNDES financia e estrutura projetos que fazem do Brasil um país mais sustentável e melhoram a vida do brasileiro. O Brasil pode contar com o BNDES.")</f>
        <v>O BNDES financia e estrutura projetos que fazem do Brasil um país mais sustentável e melhoram a vida do brasileiro. O Brasil pode contar com o BNDES.</v>
      </c>
      <c r="D310" s="2">
        <f>IFERROR(__xludf.DUMMYFUNCTION("""COMPUTED_VALUE"""),2.1474304749773425E-4)</f>
        <v>0.0002147430475</v>
      </c>
      <c r="E310" s="2" t="str">
        <f>IFERROR(__xludf.DUMMYFUNCTION("""COMPUTED_VALUE"""),"    291.579")</f>
        <v>    291.579</v>
      </c>
    </row>
    <row r="311">
      <c r="A311" s="2" t="str">
        <f>IFERROR(__xludf.DUMMYFUNCTION("""COMPUTED_VALUE"""),"victor hugo")</f>
        <v>victor hugo</v>
      </c>
      <c r="B311" s="2" t="str">
        <f>IFERROR(__xludf.DUMMYFUNCTION("""COMPUTED_VALUE"""),"vhdevictorhugo")</f>
        <v>vhdevictorhugo</v>
      </c>
      <c r="C311" s="2" t="str">
        <f>IFERROR(__xludf.DUMMYFUNCTION("""COMPUTED_VALUE"""),"@vhdevictorhugo")</f>
        <v>@vhdevictorhugo</v>
      </c>
      <c r="D311" s="2">
        <f>IFERROR(__xludf.DUMMYFUNCTION("""COMPUTED_VALUE"""),2.139312547898264E-4)</f>
        <v>0.0002139312548</v>
      </c>
      <c r="E311" s="2" t="str">
        <f>IFERROR(__xludf.DUMMYFUNCTION("""COMPUTED_VALUE"""),"      3.092")</f>
        <v>      3.092</v>
      </c>
    </row>
    <row r="312">
      <c r="A312" s="2" t="str">
        <f>IFERROR(__xludf.DUMMYFUNCTION("""COMPUTED_VALUE"""),"João Amoêdo")</f>
        <v>João Amoêdo</v>
      </c>
      <c r="B312" s="2" t="str">
        <f>IFERROR(__xludf.DUMMYFUNCTION("""COMPUTED_VALUE"""),"joaodamoedo")</f>
        <v>joaodamoedo</v>
      </c>
      <c r="C312" s="2" t="str">
        <f>IFERROR(__xludf.DUMMYFUNCTION("""COMPUTED_VALUE"""),"Administrador, engenheiro, um dos fundadores e ex-presidente do @partidonovo30.")</f>
        <v>Administrador, engenheiro, um dos fundadores e ex-presidente do @partidonovo30.</v>
      </c>
      <c r="D312" s="2">
        <f>IFERROR(__xludf.DUMMYFUNCTION("""COMPUTED_VALUE"""),2.139312547898264E-4)</f>
        <v>0.0002139312548</v>
      </c>
      <c r="E312" s="2" t="str">
        <f>IFERROR(__xludf.DUMMYFUNCTION("""COMPUTED_VALUE"""),"    515.519")</f>
        <v>    515.519</v>
      </c>
    </row>
    <row r="313">
      <c r="A313" s="2" t="str">
        <f>IFERROR(__xludf.DUMMYFUNCTION("""COMPUTED_VALUE"""),"Lucas Del’ Amore ⓟ")</f>
        <v>Lucas Del’ Amore ⓟ</v>
      </c>
      <c r="B313" s="2" t="str">
        <f>IFERROR(__xludf.DUMMYFUNCTION("""COMPUTED_VALUE"""),"lucas_delamore")</f>
        <v>lucas_delamore</v>
      </c>
      <c r="C313" s="2" t="str">
        <f>IFERROR(__xludf.DUMMYFUNCTION("""COMPUTED_VALUE"""),"Advogado; Parmerista de Coração e Polêmico em tudo que gera polêmica!")</f>
        <v>Advogado; Parmerista de Coração e Polêmico em tudo que gera polêmica!</v>
      </c>
      <c r="D313" s="2">
        <f>IFERROR(__xludf.DUMMYFUNCTION("""COMPUTED_VALUE"""),2.139312547898264E-4)</f>
        <v>0.0002139312548</v>
      </c>
      <c r="E313" s="2" t="str">
        <f>IFERROR(__xludf.DUMMYFUNCTION("""COMPUTED_VALUE"""),"      8.458")</f>
        <v>      8.458</v>
      </c>
    </row>
    <row r="314">
      <c r="A314" s="2" t="str">
        <f>IFERROR(__xludf.DUMMYFUNCTION("""COMPUTED_VALUE"""),"Governo do Brasil")</f>
        <v>Governo do Brasil</v>
      </c>
      <c r="B314" s="2" t="str">
        <f>IFERROR(__xludf.DUMMYFUNCTION("""COMPUTED_VALUE"""),"govbr")</f>
        <v>govbr</v>
      </c>
      <c r="C314" s="2" t="str">
        <f>IFERROR(__xludf.DUMMYFUNCTION("""COMPUTED_VALUE"""),"Perfil oficial do novo #GovernoDoBrasil. Aqui você participa e fica sabendo sobre ações e serviços para o seu dia a dia.")</f>
        <v>Perfil oficial do novo #GovernoDoBrasil. Aqui você participa e fica sabendo sobre ações e serviços para o seu dia a dia.</v>
      </c>
      <c r="D314" s="2">
        <f>IFERROR(__xludf.DUMMYFUNCTION("""COMPUTED_VALUE"""),2.139312547898264E-4)</f>
        <v>0.0002139312548</v>
      </c>
      <c r="E314" s="2" t="str">
        <f>IFERROR(__xludf.DUMMYFUNCTION("""COMPUTED_VALUE"""),"    664.956")</f>
        <v>    664.956</v>
      </c>
    </row>
    <row r="315">
      <c r="A315" s="2" t="str">
        <f>IFERROR(__xludf.DUMMYFUNCTION("""COMPUTED_VALUE"""),"Carlos Mion")</f>
        <v>Carlos Mion</v>
      </c>
      <c r="B315" s="2" t="str">
        <f>IFERROR(__xludf.DUMMYFUNCTION("""COMPUTED_VALUE"""),"carlosmion")</f>
        <v>carlosmion</v>
      </c>
      <c r="C315" s="2" t="str">
        <f>IFERROR(__xludf.DUMMYFUNCTION("""COMPUTED_VALUE"""),"jornalista esportivo, radialista, apresentador de TV, cinófilo")</f>
        <v>jornalista esportivo, radialista, apresentador de TV, cinófilo</v>
      </c>
      <c r="D315" s="2">
        <f>IFERROR(__xludf.DUMMYFUNCTION("""COMPUTED_VALUE"""),2.139312547898264E-4)</f>
        <v>0.0002139312548</v>
      </c>
      <c r="E315" s="2" t="str">
        <f>IFERROR(__xludf.DUMMYFUNCTION("""COMPUTED_VALUE"""),"      1.815")</f>
        <v>      1.815</v>
      </c>
    </row>
    <row r="316">
      <c r="A316" s="2" t="str">
        <f>IFERROR(__xludf.DUMMYFUNCTION("""COMPUTED_VALUE"""),"Vinicios Betiol")</f>
        <v>Vinicios Betiol</v>
      </c>
      <c r="B316" s="2" t="str">
        <f>IFERROR(__xludf.DUMMYFUNCTION("""COMPUTED_VALUE"""),"vinicios_betiol")</f>
        <v>vinicios_betiol</v>
      </c>
      <c r="C316" s="2" t="str">
        <f>IFERROR(__xludf.DUMMYFUNCTION("""COMPUTED_VALUE"""),"Pós-graduado e Mestre na área de Geopolítica pela UERJ.
Autor do livro: A arte da guerra online: como enfrentar as redes de extrema direita na internet.")</f>
        <v>Pós-graduado e Mestre na área de Geopolítica pela UERJ.
Autor do livro: A arte da guerra online: como enfrentar as redes de extrema direita na internet.</v>
      </c>
      <c r="D316" s="2">
        <f>IFERROR(__xludf.DUMMYFUNCTION("""COMPUTED_VALUE"""),2.1257826694331334E-4)</f>
        <v>0.0002125782669</v>
      </c>
      <c r="E316" s="2" t="str">
        <f>IFERROR(__xludf.DUMMYFUNCTION("""COMPUTED_VALUE"""),"     57.117")</f>
        <v>     57.117</v>
      </c>
    </row>
    <row r="317">
      <c r="A317" s="2" t="str">
        <f>IFERROR(__xludf.DUMMYFUNCTION("""COMPUTED_VALUE"""),"Desinvestidor da B3")</f>
        <v>Desinvestidor da B3</v>
      </c>
      <c r="B317" s="2" t="str">
        <f>IFERROR(__xludf.DUMMYFUNCTION("""COMPUTED_VALUE"""),"felipeg78785331")</f>
        <v>felipeg78785331</v>
      </c>
      <c r="C317" s="2" t="str">
        <f>IFERROR(__xludf.DUMMYFUNCTION("""COMPUTED_VALUE"""),"Emancipate Yourselves From Mental Slavery 🧠")</f>
        <v>Emancipate Yourselves From Mental Slavery 🧠</v>
      </c>
      <c r="D317" s="2">
        <f>IFERROR(__xludf.DUMMYFUNCTION("""COMPUTED_VALUE"""),2.1180029893156838E-4)</f>
        <v>0.0002118002989</v>
      </c>
      <c r="E317" s="2" t="str">
        <f>IFERROR(__xludf.DUMMYFUNCTION("""COMPUTED_VALUE"""),"      2.662")</f>
        <v>      2.662</v>
      </c>
    </row>
    <row r="318">
      <c r="A318" s="2" t="str">
        <f>IFERROR(__xludf.DUMMYFUNCTION("""COMPUTED_VALUE"""),"Leo Nonato | Trading")</f>
        <v>Leo Nonato | Trading</v>
      </c>
      <c r="B318" s="2" t="str">
        <f>IFERROR(__xludf.DUMMYFUNCTION("""COMPUTED_VALUE"""),"leononatotrader")</f>
        <v>leononatotrader</v>
      </c>
      <c r="C318" s="2"/>
      <c r="D318" s="2">
        <f>IFERROR(__xludf.DUMMYFUNCTION("""COMPUTED_VALUE"""),2.1180029893156838E-4)</f>
        <v>0.0002118002989</v>
      </c>
      <c r="E318" s="2" t="str">
        <f>IFERROR(__xludf.DUMMYFUNCTION("""COMPUTED_VALUE"""),"     28.105")</f>
        <v>     28.105</v>
      </c>
    </row>
    <row r="319">
      <c r="A319" s="2" t="str">
        <f>IFERROR(__xludf.DUMMYFUNCTION("""COMPUTED_VALUE"""),"V1to")</f>
        <v>V1to</v>
      </c>
      <c r="B319" s="2" t="str">
        <f>IFERROR(__xludf.DUMMYFUNCTION("""COMPUTED_VALUE"""),"v1to_yt")</f>
        <v>v1to_yt</v>
      </c>
      <c r="C319" s="2" t="str">
        <f>IFERROR(__xludf.DUMMYFUNCTION("""COMPUTED_VALUE"""),"19 | Desenho umas coisas aí, jogo e faço vídeos pro YouTube")</f>
        <v>19 | Desenho umas coisas aí, jogo e faço vídeos pro YouTube</v>
      </c>
      <c r="D319" s="2">
        <f>IFERROR(__xludf.DUMMYFUNCTION("""COMPUTED_VALUE"""),2.0966934307331032E-4)</f>
        <v>0.0002096693431</v>
      </c>
      <c r="E319" s="2" t="str">
        <f>IFERROR(__xludf.DUMMYFUNCTION("""COMPUTED_VALUE"""),"      2.753")</f>
        <v>      2.753</v>
      </c>
    </row>
    <row r="320">
      <c r="A320" s="2" t="str">
        <f>IFERROR(__xludf.DUMMYFUNCTION("""COMPUTED_VALUE"""),"Update Swift Brasil")</f>
        <v>Update Swift Brasil</v>
      </c>
      <c r="B320" s="2" t="str">
        <f>IFERROR(__xludf.DUMMYFUNCTION("""COMPUTED_VALUE"""),"updateswiftbr")</f>
        <v>updateswiftbr</v>
      </c>
      <c r="C320" s="2" t="str">
        <f>IFERROR(__xludf.DUMMYFUNCTION("""COMPUTED_VALUE"""),"Sua principal fonte de informações sobre a cantora e compositora Taylor Swift no Brasil.  Conta reserva: @updateswiftbra | Apoio: @umusicbrasil | Fan Account")</f>
        <v>Sua principal fonte de informações sobre a cantora e compositora Taylor Swift no Brasil.  Conta reserva: @updateswiftbra | Apoio: @umusicbrasil | Fan Account</v>
      </c>
      <c r="D320" s="2">
        <f>IFERROR(__xludf.DUMMYFUNCTION("""COMPUTED_VALUE"""),2.0966934307331032E-4)</f>
        <v>0.0002096693431</v>
      </c>
      <c r="E320" s="2" t="str">
        <f>IFERROR(__xludf.DUMMYFUNCTION("""COMPUTED_VALUE"""),"    155.417")</f>
        <v>    155.417</v>
      </c>
    </row>
    <row r="321">
      <c r="A321" s="2" t="str">
        <f>IFERROR(__xludf.DUMMYFUNCTION("""COMPUTED_VALUE"""),"Navar 🇧🇷🇷🇺🇦🇲🇸🇾🇮🇷🇵🇸🇧🇾")</f>
        <v>Navar 🇧🇷🇷🇺🇦🇲🇸🇾🇮🇷🇵🇸🇧🇾</v>
      </c>
      <c r="B321" s="2" t="str">
        <f>IFERROR(__xludf.DUMMYFUNCTION("""COMPUTED_VALUE"""),"lukasnavar")</f>
        <v>lukasnavar</v>
      </c>
      <c r="C321" s="2" t="str">
        <f>IFERROR(__xludf.DUMMYFUNCTION("""COMPUTED_VALUE"""),"Brasileiro. Católico. Nacionalista.
""Só o Senhor é Deus, em cima no céu e embaixo na terra; não há nenhum outro.""
Quis ut Deus.")</f>
        <v>Brasileiro. Católico. Nacionalista.
"Só o Senhor é Deus, em cima no céu e embaixo na terra; não há nenhum outro."
Quis ut Deus.</v>
      </c>
      <c r="D321" s="2">
        <f>IFERROR(__xludf.DUMMYFUNCTION("""COMPUTED_VALUE"""),2.0849366649519275E-4)</f>
        <v>0.0002084936665</v>
      </c>
      <c r="E321" s="2" t="str">
        <f>IFERROR(__xludf.DUMMYFUNCTION("""COMPUTED_VALUE"""),"      8.612")</f>
        <v>      8.612</v>
      </c>
    </row>
    <row r="322">
      <c r="A322" s="2" t="str">
        <f>IFERROR(__xludf.DUMMYFUNCTION("""COMPUTED_VALUE"""),"iélosubmarine")</f>
        <v>iélosubmarine</v>
      </c>
      <c r="B322" s="2" t="str">
        <f>IFERROR(__xludf.DUMMYFUNCTION("""COMPUTED_VALUE"""),"repimlins")</f>
        <v>repimlins</v>
      </c>
      <c r="C322" s="2" t="str">
        <f>IFERROR(__xludf.DUMMYFUNCTION("""COMPUTED_VALUE"""),"sou boa de piada ruim.
canhota de espírito.
e de corpo.")</f>
        <v>sou boa de piada ruim.
canhota de espírito.
e de corpo.</v>
      </c>
      <c r="D322" s="2">
        <f>IFERROR(__xludf.DUMMYFUNCTION("""COMPUTED_VALUE"""),2.07984401231897E-4)</f>
        <v>0.0002079844012</v>
      </c>
      <c r="E322" s="2" t="str">
        <f>IFERROR(__xludf.DUMMYFUNCTION("""COMPUTED_VALUE"""),"      5.042")</f>
        <v>      5.042</v>
      </c>
    </row>
    <row r="323">
      <c r="A323" s="2" t="str">
        <f>IFERROR(__xludf.DUMMYFUNCTION("""COMPUTED_VALUE"""),"Cortes de Alto Valor ✡️")</f>
        <v>Cortes de Alto Valor ✡️</v>
      </c>
      <c r="B323" s="2" t="str">
        <f>IFERROR(__xludf.DUMMYFUNCTION("""COMPUTED_VALUE"""),"cortesaltovalor")</f>
        <v>cortesaltovalor</v>
      </c>
      <c r="C323" s="2" t="str">
        <f>IFERROR(__xludf.DUMMYFUNCTION("""COMPUTED_VALUE"""),"⚡cortesdealtovalor@getalby.com
🔑 https://t.co/J5SVbdMcbj
🔥 https://t.co/83G4D8c8kT")</f>
        <v>⚡cortesdealtovalor@getalby.com
🔑 https://t.co/J5SVbdMcbj
🔥 https://t.co/83G4D8c8kT</v>
      </c>
      <c r="D323" s="2">
        <f>IFERROR(__xludf.DUMMYFUNCTION("""COMPUTED_VALUE"""),2.0682806859563294E-4)</f>
        <v>0.0002068280686</v>
      </c>
      <c r="E323" s="2" t="str">
        <f>IFERROR(__xludf.DUMMYFUNCTION("""COMPUTED_VALUE"""),"     19.531")</f>
        <v>     19.531</v>
      </c>
    </row>
    <row r="324">
      <c r="A324" s="2" t="str">
        <f>IFERROR(__xludf.DUMMYFUNCTION("""COMPUTED_VALUE"""),"Elon Musk")</f>
        <v>Elon Musk</v>
      </c>
      <c r="B324" s="2" t="str">
        <f>IFERROR(__xludf.DUMMYFUNCTION("""COMPUTED_VALUE"""),"elonmusk")</f>
        <v>elonmusk</v>
      </c>
      <c r="C324" s="2"/>
      <c r="D324" s="2">
        <f>IFERROR(__xludf.DUMMYFUNCTION("""COMPUTED_VALUE"""),2.0256615687911687E-4)</f>
        <v>0.0002025661569</v>
      </c>
      <c r="E324" s="2" t="str">
        <f>IFERROR(__xludf.DUMMYFUNCTION("""COMPUTED_VALUE"""),"156.913.298")</f>
        <v>156.913.298</v>
      </c>
    </row>
    <row r="325">
      <c r="A325" s="2" t="str">
        <f>IFERROR(__xludf.DUMMYFUNCTION("""COMPUTED_VALUE"""),"Julia Duailibi")</f>
        <v>Julia Duailibi</v>
      </c>
      <c r="B325" s="2" t="str">
        <f>IFERROR(__xludf.DUMMYFUNCTION("""COMPUTED_VALUE"""),"juliaduailibi")</f>
        <v>juliaduailibi</v>
      </c>
      <c r="C325" s="2" t="str">
        <f>IFERROR(__xludf.DUMMYFUNCTION("""COMPUTED_VALUE"""),"Comentarista de política e economia da GloboNews")</f>
        <v>Comentarista de política e economia da GloboNews</v>
      </c>
      <c r="D325" s="2">
        <f>IFERROR(__xludf.DUMMYFUNCTION("""COMPUTED_VALUE"""),1.9972488240143952E-4)</f>
        <v>0.0001997248824</v>
      </c>
      <c r="E325" s="2" t="str">
        <f>IFERROR(__xludf.DUMMYFUNCTION("""COMPUTED_VALUE"""),"    257.431")</f>
        <v>    257.431</v>
      </c>
    </row>
    <row r="326">
      <c r="A326" s="2" t="str">
        <f>IFERROR(__xludf.DUMMYFUNCTION("""COMPUTED_VALUE"""),"jose alaildo")</f>
        <v>jose alaildo</v>
      </c>
      <c r="B326" s="2" t="str">
        <f>IFERROR(__xludf.DUMMYFUNCTION("""COMPUTED_VALUE"""),"alaildo_jose")</f>
        <v>alaildo_jose</v>
      </c>
      <c r="C326" s="2" t="str">
        <f>IFERROR(__xludf.DUMMYFUNCTION("""COMPUTED_VALUE"""),"@J.A")</f>
        <v>@J.A</v>
      </c>
      <c r="D326" s="2">
        <f>IFERROR(__xludf.DUMMYFUNCTION("""COMPUTED_VALUE"""),1.9946350210386658E-4)</f>
        <v>0.0001994635021</v>
      </c>
      <c r="E326" s="2" t="str">
        <f>IFERROR(__xludf.DUMMYFUNCTION("""COMPUTED_VALUE"""),"      2.308")</f>
        <v>      2.308</v>
      </c>
    </row>
    <row r="327">
      <c r="A327" s="2" t="str">
        <f>IFERROR(__xludf.DUMMYFUNCTION("""COMPUTED_VALUE"""),"Simão Pedro")</f>
        <v>Simão Pedro</v>
      </c>
      <c r="B327" s="2" t="str">
        <f>IFERROR(__xludf.DUMMYFUNCTION("""COMPUTED_VALUE"""),"simaopedro_sp")</f>
        <v>simaopedro_sp</v>
      </c>
      <c r="C327" s="2" t="str">
        <f>IFERROR(__xludf.DUMMYFUNCTION("""COMPUTED_VALUE"""),"Deputado estadual (PT-SP) por três vezes, Secretário de Serviços na gestão Haddad. Professor de Sociologia Política. Deputado Estadual  (PT).")</f>
        <v>Deputado estadual (PT-SP) por três vezes, Secretário de Serviços na gestão Haddad. Professor de Sociologia Política. Deputado Estadual  (PT).</v>
      </c>
      <c r="D327" s="2">
        <f>IFERROR(__xludf.DUMMYFUNCTION("""COMPUTED_VALUE"""),1.865406790177121E-4)</f>
        <v>0.000186540679</v>
      </c>
      <c r="E327" s="2" t="str">
        <f>IFERROR(__xludf.DUMMYFUNCTION("""COMPUTED_VALUE"""),"     14.635")</f>
        <v>     14.635</v>
      </c>
    </row>
    <row r="328">
      <c r="A328" s="2" t="str">
        <f>IFERROR(__xludf.DUMMYFUNCTION("""COMPUTED_VALUE"""),"Paulo Fiorilo")</f>
        <v>Paulo Fiorilo</v>
      </c>
      <c r="B328" s="2" t="str">
        <f>IFERROR(__xludf.DUMMYFUNCTION("""COMPUTED_VALUE"""),"paulofiorilo")</f>
        <v>paulofiorilo</v>
      </c>
      <c r="C328" s="2" t="str">
        <f>IFERROR(__xludf.DUMMYFUNCTION("""COMPUTED_VALUE"""),"Deputado Estadual pelo PT. Professor licenciado da rede municipal. Pai do Lorenzo.  Acredito que a luta garante a vitória. Quem não luta tá morto!")</f>
        <v>Deputado Estadual pelo PT. Professor licenciado da rede municipal. Pai do Lorenzo.  Acredito que a luta garante a vitória. Quem não luta tá morto!</v>
      </c>
      <c r="D328" s="2">
        <f>IFERROR(__xludf.DUMMYFUNCTION("""COMPUTED_VALUE"""),1.865406790177121E-4)</f>
        <v>0.000186540679</v>
      </c>
      <c r="E328" s="2" t="str">
        <f>IFERROR(__xludf.DUMMYFUNCTION("""COMPUTED_VALUE"""),"      3.459")</f>
        <v>      3.459</v>
      </c>
    </row>
    <row r="329">
      <c r="A329" s="2" t="str">
        <f>IFERROR(__xludf.DUMMYFUNCTION("""COMPUTED_VALUE"""),"Antonio Donato")</f>
        <v>Antonio Donato</v>
      </c>
      <c r="B329" s="2" t="str">
        <f>IFERROR(__xludf.DUMMYFUNCTION("""COMPUTED_VALUE"""),"donato_pt")</f>
        <v>donato_pt</v>
      </c>
      <c r="C329" s="2" t="str">
        <f>IFERROR(__xludf.DUMMYFUNCTION("""COMPUTED_VALUE"""),"Vereador pelo PT na cidade de São Paulo, e deputado estadual eleito em 2022")</f>
        <v>Vereador pelo PT na cidade de São Paulo, e deputado estadual eleito em 2022</v>
      </c>
      <c r="D329" s="2">
        <f>IFERROR(__xludf.DUMMYFUNCTION("""COMPUTED_VALUE"""),1.865406790177121E-4)</f>
        <v>0.000186540679</v>
      </c>
      <c r="E329" s="2" t="str">
        <f>IFERROR(__xludf.DUMMYFUNCTION("""COMPUTED_VALUE"""),"      5.246")</f>
        <v>      5.246</v>
      </c>
    </row>
    <row r="330">
      <c r="A330" s="2" t="str">
        <f>IFERROR(__xludf.DUMMYFUNCTION("""COMPUTED_VALUE"""),"Wadson Fernandes")</f>
        <v>Wadson Fernandes</v>
      </c>
      <c r="B330" s="2" t="str">
        <f>IFERROR(__xludf.DUMMYFUNCTION("""COMPUTED_VALUE"""),"wadsonaraujo89")</f>
        <v>wadsonaraujo89</v>
      </c>
      <c r="C330" s="2" t="str">
        <f>IFERROR(__xludf.DUMMYFUNCTION("""COMPUTED_VALUE"""),"Produtor e Editor do @CanalEuAcredito | Canal @thdearaujo | Canal Notícias do Galo
Professor de Educação Física |
Pós Graduado em Educação Física Escolar")</f>
        <v>Produtor e Editor do @CanalEuAcredito | Canal @thdearaujo | Canal Notícias do Galo
Professor de Educação Física |
Pós Graduado em Educação Física Escolar</v>
      </c>
      <c r="D330" s="2">
        <f>IFERROR(__xludf.DUMMYFUNCTION("""COMPUTED_VALUE"""),1.855185100130526E-4)</f>
        <v>0.00018551851</v>
      </c>
      <c r="E330" s="2" t="str">
        <f>IFERROR(__xludf.DUMMYFUNCTION("""COMPUTED_VALUE"""),"      2.662")</f>
        <v>      2.662</v>
      </c>
    </row>
    <row r="331">
      <c r="A331" s="2" t="str">
        <f>IFERROR(__xludf.DUMMYFUNCTION("""COMPUTED_VALUE"""),"POCAH 🔥")</f>
        <v>POCAH 🔥</v>
      </c>
      <c r="B331" s="2" t="str">
        <f>IFERROR(__xludf.DUMMYFUNCTION("""COMPUTED_VALUE"""),"pocah")</f>
        <v>pocah</v>
      </c>
      <c r="C331" s="2" t="str">
        <f>IFERROR(__xludf.DUMMYFUNCTION("""COMPUTED_VALUE"""),"cantora, compositora, empresária, tuiteira e mãe da toyah | Ouça agora o meu EP A BRABA É ELA 🔥")</f>
        <v>cantora, compositora, empresária, tuiteira e mãe da toyah | Ouça agora o meu EP A BRABA É ELA 🔥</v>
      </c>
      <c r="D331" s="2">
        <f>IFERROR(__xludf.DUMMYFUNCTION("""COMPUTED_VALUE"""),1.855185100130526E-4)</f>
        <v>0.00018551851</v>
      </c>
      <c r="E331" s="2" t="str">
        <f>IFERROR(__xludf.DUMMYFUNCTION("""COMPUTED_VALUE"""),"  3.284.712")</f>
        <v>  3.284.712</v>
      </c>
    </row>
    <row r="332">
      <c r="A332" s="2" t="str">
        <f>IFERROR(__xludf.DUMMYFUNCTION("""COMPUTED_VALUE"""),"MUBi")</f>
        <v>MUBi</v>
      </c>
      <c r="B332" s="2" t="str">
        <f>IFERROR(__xludf.DUMMYFUNCTION("""COMPUTED_VALUE"""),"mubipt")</f>
        <v>mubipt</v>
      </c>
      <c r="C332" s="2" t="str">
        <f>IFERROR(__xludf.DUMMYFUNCTION("""COMPUTED_VALUE"""),"Associação pela Mobilidade Urbana em Bicicleta
Promovemos cidades para as pessoas.
#mobilidadeactiva #maisbicicleta #cidadesvivas")</f>
        <v>Associação pela Mobilidade Urbana em Bicicleta
Promovemos cidades para as pessoas.
#mobilidadeactiva #maisbicicleta #cidadesvivas</v>
      </c>
      <c r="D332" s="2">
        <f>IFERROR(__xludf.DUMMYFUNCTION("""COMPUTED_VALUE"""),1.855185100130526E-4)</f>
        <v>0.00018551851</v>
      </c>
      <c r="E332" s="2" t="str">
        <f>IFERROR(__xludf.DUMMYFUNCTION("""COMPUTED_VALUE"""),"      1.920")</f>
        <v>      1.920</v>
      </c>
    </row>
    <row r="333">
      <c r="A333" s="2" t="str">
        <f>IFERROR(__xludf.DUMMYFUNCTION("""COMPUTED_VALUE"""),"André 🇳🇬")</f>
        <v>André 🇳🇬</v>
      </c>
      <c r="B333" s="2" t="str">
        <f>IFERROR(__xludf.DUMMYFUNCTION("""COMPUTED_VALUE"""),"andrecavaleiro7")</f>
        <v>andrecavaleiro7</v>
      </c>
      <c r="C333" s="2" t="str">
        <f>IFERROR(__xludf.DUMMYFUNCTION("""COMPUTED_VALUE"""),"Viva o Sporting CP 💚🦁🍺")</f>
        <v>Viva o Sporting CP 💚🦁🍺</v>
      </c>
      <c r="D333" s="2">
        <f>IFERROR(__xludf.DUMMYFUNCTION("""COMPUTED_VALUE"""),1.855185100130526E-4)</f>
        <v>0.00018551851</v>
      </c>
      <c r="E333" s="2" t="str">
        <f>IFERROR(__xludf.DUMMYFUNCTION("""COMPUTED_VALUE"""),"      1.194")</f>
        <v>      1.194</v>
      </c>
    </row>
    <row r="334">
      <c r="A334" s="2" t="str">
        <f>IFERROR(__xludf.DUMMYFUNCTION("""COMPUTED_VALUE"""),"Mises Capital 🔑")</f>
        <v>Mises Capital 🔑</v>
      </c>
      <c r="B334" s="2" t="str">
        <f>IFERROR(__xludf.DUMMYFUNCTION("""COMPUTED_VALUE"""),"misescapital")</f>
        <v>misescapital</v>
      </c>
      <c r="C334" s="2" t="str">
        <f>IFERROR(__xludf.DUMMYFUNCTION("""COMPUTED_VALUE"""),"#bitcoin #nostr: #npub174s2x2yzvgme9fgz3najyw694v9h027rupuu0uzw43h9r736re9svgkm3p")</f>
        <v>#bitcoin #nostr: #npub174s2x2yzvgme9fgz3najyw694v9h027rupuu0uzw43h9r736re9svgkm3p</v>
      </c>
      <c r="D334" s="2">
        <f>IFERROR(__xludf.DUMMYFUNCTION("""COMPUTED_VALUE"""),1.855185100130526E-4)</f>
        <v>0.00018551851</v>
      </c>
      <c r="E334" s="2" t="str">
        <f>IFERROR(__xludf.DUMMYFUNCTION("""COMPUTED_VALUE"""),"     58.853")</f>
        <v>     58.853</v>
      </c>
    </row>
    <row r="335">
      <c r="A335" s="2" t="str">
        <f>IFERROR(__xludf.DUMMYFUNCTION("""COMPUTED_VALUE"""),"Valor Investe")</f>
        <v>Valor Investe</v>
      </c>
      <c r="B335" s="2" t="str">
        <f>IFERROR(__xludf.DUMMYFUNCTION("""COMPUTED_VALUE"""),"valorinveste")</f>
        <v>valorinveste</v>
      </c>
      <c r="C335" s="2" t="str">
        <f>IFERROR(__xludf.DUMMYFUNCTION("""COMPUTED_VALUE"""),"Notícias, educação financeira e tudo o que você precisa saber para lidar melhor com dinheiro e seus investimentos. Um site do @valoreconomico")</f>
        <v>Notícias, educação financeira e tudo o que você precisa saber para lidar melhor com dinheiro e seus investimentos. Um site do @valoreconomico</v>
      </c>
      <c r="D335" s="2">
        <f>IFERROR(__xludf.DUMMYFUNCTION("""COMPUTED_VALUE"""),1.855185100130526E-4)</f>
        <v>0.00018551851</v>
      </c>
      <c r="E335" s="2" t="str">
        <f>IFERROR(__xludf.DUMMYFUNCTION("""COMPUTED_VALUE"""),"     71.558")</f>
        <v>     71.558</v>
      </c>
    </row>
    <row r="336">
      <c r="A336" s="2" t="str">
        <f>IFERROR(__xludf.DUMMYFUNCTION("""COMPUTED_VALUE"""),"Fernando Haddad")</f>
        <v>Fernando Haddad</v>
      </c>
      <c r="B336" s="2" t="str">
        <f>IFERROR(__xludf.DUMMYFUNCTION("""COMPUTED_VALUE"""),"haddad_fernando")</f>
        <v>haddad_fernando</v>
      </c>
      <c r="C336" s="2" t="str">
        <f>IFERROR(__xludf.DUMMYFUNCTION("""COMPUTED_VALUE"""),"Ministro da Fazenda de Lula,  Ex-Ministro da Educação, Ex-Prefeito de São Paulo,  Professor da USP")</f>
        <v>Ministro da Fazenda de Lula,  Ex-Ministro da Educação, Ex-Prefeito de São Paulo,  Professor da USP</v>
      </c>
      <c r="D336" s="2">
        <f>IFERROR(__xludf.DUMMYFUNCTION("""COMPUTED_VALUE"""),1.855185100130526E-4)</f>
        <v>0.00018551851</v>
      </c>
      <c r="E336" s="2" t="str">
        <f>IFERROR(__xludf.DUMMYFUNCTION("""COMPUTED_VALUE"""),"  2.858.031")</f>
        <v>  2.858.031</v>
      </c>
    </row>
    <row r="337">
      <c r="A337" s="2" t="str">
        <f>IFERROR(__xludf.DUMMYFUNCTION("""COMPUTED_VALUE"""),"Marcelo Claure")</f>
        <v>Marcelo Claure</v>
      </c>
      <c r="B337" s="2" t="str">
        <f>IFERROR(__xludf.DUMMYFUNCTION("""COMPUTED_VALUE"""),"marceloclaure")</f>
        <v>marceloclaure</v>
      </c>
      <c r="C337" s="2" t="str">
        <f>IFERROR(__xludf.DUMMYFUNCTION("""COMPUTED_VALUE"""),"Husband, Father of 6, Entrepreneur &amp; Investor. ♥️Latam🇧🇷🇦🇷🇲🇽🇨🇴🇧🇴. ⚽️@GironaFC &amp; @bolivar_oficial. @bicyclevc🚴 @SHEIN_official, Claure Group, @tmobile")</f>
        <v>Husband, Father of 6, Entrepreneur &amp; Investor. ♥️Latam🇧🇷🇦🇷🇲🇽🇨🇴🇧🇴. ⚽️@GironaFC &amp; @bolivar_oficial. @bicyclevc🚴 @SHEIN_official, Claure Group, @tmobile</v>
      </c>
      <c r="D337" s="2">
        <f>IFERROR(__xludf.DUMMYFUNCTION("""COMPUTED_VALUE"""),1.855185100130526E-4)</f>
        <v>0.00018551851</v>
      </c>
      <c r="E337" s="2" t="str">
        <f>IFERROR(__xludf.DUMMYFUNCTION("""COMPUTED_VALUE"""),"    303.669")</f>
        <v>    303.669</v>
      </c>
    </row>
    <row r="338">
      <c r="A338" s="2" t="str">
        <f>IFERROR(__xludf.DUMMYFUNCTION("""COMPUTED_VALUE"""),"Frederico Krepe 🇧🇷")</f>
        <v>Frederico Krepe 🇧🇷</v>
      </c>
      <c r="B338" s="2" t="str">
        <f>IFERROR(__xludf.DUMMYFUNCTION("""COMPUTED_VALUE"""),"fredkrepe")</f>
        <v>fredkrepe</v>
      </c>
      <c r="C338" s="2" t="str">
        <f>IFERROR(__xludf.DUMMYFUNCTION("""COMPUTED_VALUE"""),"Um nanico em busca de justiça, democracia e liberdade. 
YouTube: 
https://t.co/NKL0RiIcmz")</f>
        <v>Um nanico em busca de justiça, democracia e liberdade. 
YouTube: 
https://t.co/NKL0RiIcmz</v>
      </c>
      <c r="D338" s="2">
        <f>IFERROR(__xludf.DUMMYFUNCTION("""COMPUTED_VALUE"""),1.855185100130526E-4)</f>
        <v>0.00018551851</v>
      </c>
      <c r="E338" s="2" t="str">
        <f>IFERROR(__xludf.DUMMYFUNCTION("""COMPUTED_VALUE"""),"     10.018")</f>
        <v>     10.018</v>
      </c>
    </row>
    <row r="339">
      <c r="A339" s="2" t="str">
        <f>IFERROR(__xludf.DUMMYFUNCTION("""COMPUTED_VALUE"""),"Leonardo Dias")</f>
        <v>Leonardo Dias</v>
      </c>
      <c r="B339" s="2" t="str">
        <f>IFERROR(__xludf.DUMMYFUNCTION("""COMPUTED_VALUE"""),"leonardodias")</f>
        <v>leonardodias</v>
      </c>
      <c r="C339" s="2" t="str">
        <f>IFERROR(__xludf.DUMMYFUNCTION("""COMPUTED_VALUE"""),"Entrepreneur, data scientist, professor, investor, journalist and writer. Culture, politics, AI. Founder of Semantix. Go $STIX! ∴⛪️⚔️🥋 🇧🇷 leonardodias.eth")</f>
        <v>Entrepreneur, data scientist, professor, investor, journalist and writer. Culture, politics, AI. Founder of Semantix. Go $STIX! ∴⛪️⚔️🥋 🇧🇷 leonardodias.eth</v>
      </c>
      <c r="D339" s="2">
        <f>IFERROR(__xludf.DUMMYFUNCTION("""COMPUTED_VALUE"""),1.855185100130526E-4)</f>
        <v>0.00018551851</v>
      </c>
      <c r="E339" s="2" t="str">
        <f>IFERROR(__xludf.DUMMYFUNCTION("""COMPUTED_VALUE"""),"     29.422")</f>
        <v>     29.422</v>
      </c>
    </row>
    <row r="340">
      <c r="A340" s="2" t="str">
        <f>IFERROR(__xludf.DUMMYFUNCTION("""COMPUTED_VALUE"""),"Lialí")</f>
        <v>Lialí</v>
      </c>
      <c r="B340" s="2" t="str">
        <f>IFERROR(__xludf.DUMMYFUNCTION("""COMPUTED_VALUE"""),"lipafacunda")</f>
        <v>lipafacunda</v>
      </c>
      <c r="C340" s="2" t="str">
        <f>IFERROR(__xludf.DUMMYFUNCTION("""COMPUTED_VALUE"""),"Membro da Seita EK 🇹🇷")</f>
        <v>Membro da Seita EK 🇹🇷</v>
      </c>
      <c r="D340" s="2">
        <f>IFERROR(__xludf.DUMMYFUNCTION("""COMPUTED_VALUE"""),1.855185100130526E-4)</f>
        <v>0.00018551851</v>
      </c>
      <c r="E340" s="2" t="str">
        <f>IFERROR(__xludf.DUMMYFUNCTION("""COMPUTED_VALUE"""),"      1.072")</f>
        <v>      1.072</v>
      </c>
    </row>
    <row r="341">
      <c r="A341" s="2" t="str">
        <f>IFERROR(__xludf.DUMMYFUNCTION("""COMPUTED_VALUE"""),"Luiz Müller")</f>
        <v>Luiz Müller</v>
      </c>
      <c r="B341" s="2" t="str">
        <f>IFERROR(__xludf.DUMMYFUNCTION("""COMPUTED_VALUE"""),"luizmuller")</f>
        <v>luizmuller</v>
      </c>
      <c r="C341" s="2" t="str">
        <f>IFERROR(__xludf.DUMMYFUNCTION("""COMPUTED_VALUE"""),"Orgulho de ser BRASILEIRO
https://t.co/w8mvkwQAMJ")</f>
        <v>Orgulho de ser BRASILEIRO
https://t.co/w8mvkwQAMJ</v>
      </c>
      <c r="D341" s="2">
        <f>IFERROR(__xludf.DUMMYFUNCTION("""COMPUTED_VALUE"""),1.855185100130526E-4)</f>
        <v>0.00018551851</v>
      </c>
      <c r="E341" s="2" t="str">
        <f>IFERROR(__xludf.DUMMYFUNCTION("""COMPUTED_VALUE"""),"     30.555")</f>
        <v>     30.555</v>
      </c>
    </row>
    <row r="342">
      <c r="A342" s="2" t="str">
        <f>IFERROR(__xludf.DUMMYFUNCTION("""COMPUTED_VALUE"""),"Croce Rossa Italiana")</f>
        <v>Croce Rossa Italiana</v>
      </c>
      <c r="B342" s="2" t="str">
        <f>IFERROR(__xludf.DUMMYFUNCTION("""COMPUTED_VALUE"""),"crocerossa")</f>
        <v>crocerossa</v>
      </c>
      <c r="C342" s="2" t="str">
        <f>IFERROR(__xludf.DUMMYFUNCTION("""COMPUTED_VALUE"""),"Account ufficiale della #CroceRossa Italiana. Le richieste di aiuto sono ovunque. Piccole o grandi, noi le ascoltiamo tutte. #UnItaliaCheAiuta")</f>
        <v>Account ufficiale della #CroceRossa Italiana. Le richieste di aiuto sono ovunque. Piccole o grandi, noi le ascoltiamo tutte. #UnItaliaCheAiuta</v>
      </c>
      <c r="D342" s="2">
        <f>IFERROR(__xludf.DUMMYFUNCTION("""COMPUTED_VALUE"""),1.855185100130526E-4)</f>
        <v>0.00018551851</v>
      </c>
      <c r="E342" s="2" t="str">
        <f>IFERROR(__xludf.DUMMYFUNCTION("""COMPUTED_VALUE"""),"    118.607")</f>
        <v>    118.607</v>
      </c>
    </row>
    <row r="343">
      <c r="A343" s="2" t="str">
        <f>IFERROR(__xludf.DUMMYFUNCTION("""COMPUTED_VALUE"""),"Sergin")</f>
        <v>Sergin</v>
      </c>
      <c r="B343" s="2" t="str">
        <f>IFERROR(__xludf.DUMMYFUNCTION("""COMPUTED_VALUE"""),"serginsfc")</f>
        <v>serginsfc</v>
      </c>
      <c r="C343" s="2" t="str">
        <f>IFERROR(__xludf.DUMMYFUNCTION("""COMPUTED_VALUE"""),"AMIGO DO DONO DO TWITTER
Não sou o Chulapa, mas sou quase.")</f>
        <v>AMIGO DO DONO DO TWITTER
Não sou o Chulapa, mas sou quase.</v>
      </c>
      <c r="D343" s="2">
        <f>IFERROR(__xludf.DUMMYFUNCTION("""COMPUTED_VALUE"""),1.855185100130526E-4)</f>
        <v>0.00018551851</v>
      </c>
      <c r="E343" s="2" t="str">
        <f>IFERROR(__xludf.DUMMYFUNCTION("""COMPUTED_VALUE"""),"      6.522")</f>
        <v>      6.522</v>
      </c>
    </row>
    <row r="344">
      <c r="A344" s="2" t="str">
        <f>IFERROR(__xludf.DUMMYFUNCTION("""COMPUTED_VALUE"""),"Everton Extra")</f>
        <v>Everton Extra</v>
      </c>
      <c r="B344" s="2" t="str">
        <f>IFERROR(__xludf.DUMMYFUNCTION("""COMPUTED_VALUE"""),"everton_extra")</f>
        <v>everton_extra</v>
      </c>
      <c r="C344" s="2" t="str">
        <f>IFERROR(__xludf.DUMMYFUNCTION("""COMPUTED_VALUE"""),"Complete #Everton coverage: Match commentary, transfers, news and updates. A home for all blues. 💙")</f>
        <v>Complete #Everton coverage: Match commentary, transfers, news and updates. A home for all blues. 💙</v>
      </c>
      <c r="D344" s="2">
        <f>IFERROR(__xludf.DUMMYFUNCTION("""COMPUTED_VALUE"""),1.855185100130526E-4)</f>
        <v>0.00018551851</v>
      </c>
      <c r="E344" s="2" t="str">
        <f>IFERROR(__xludf.DUMMYFUNCTION("""COMPUTED_VALUE"""),"     12.688")</f>
        <v>     12.688</v>
      </c>
    </row>
    <row r="345">
      <c r="A345" s="2" t="str">
        <f>IFERROR(__xludf.DUMMYFUNCTION("""COMPUTED_VALUE"""),"GPRobespierre")</f>
        <v>GPRobespierre</v>
      </c>
      <c r="B345" s="2" t="str">
        <f>IFERROR(__xludf.DUMMYFUNCTION("""COMPUTED_VALUE"""),"matoupouco")</f>
        <v>matoupouco</v>
      </c>
      <c r="C345" s="2" t="str">
        <f>IFERROR(__xludf.DUMMYFUNCTION("""COMPUTED_VALUE"""),"O quê Robespierre fez de errado?
política sem economia é espiritualismo. economia sem política é contabilidade
@RepublicPijamas @shifterpt
header: @artevillar1")</f>
        <v>O quê Robespierre fez de errado?
política sem economia é espiritualismo. economia sem política é contabilidade
@RepublicPijamas @shifterpt
header: @artevillar1</v>
      </c>
      <c r="D345" s="2">
        <f>IFERROR(__xludf.DUMMYFUNCTION("""COMPUTED_VALUE"""),1.855185100130526E-4)</f>
        <v>0.00018551851</v>
      </c>
      <c r="E345" s="2" t="str">
        <f>IFERROR(__xludf.DUMMYFUNCTION("""COMPUTED_VALUE"""),"      1.550")</f>
        <v>      1.550</v>
      </c>
    </row>
    <row r="346">
      <c r="A346" s="2" t="str">
        <f>IFERROR(__xludf.DUMMYFUNCTION("""COMPUTED_VALUE"""),"# Igor")</f>
        <v># Igor</v>
      </c>
      <c r="B346" s="2" t="str">
        <f>IFERROR(__xludf.DUMMYFUNCTION("""COMPUTED_VALUE"""),"igormendesx")</f>
        <v>igormendesx</v>
      </c>
      <c r="C346" s="2" t="str">
        <f>IFERROR(__xludf.DUMMYFUNCTION("""COMPUTED_VALUE"""),"Is there a place where I can hide away?")</f>
        <v>Is there a place where I can hide away?</v>
      </c>
      <c r="D346" s="2">
        <f>IFERROR(__xludf.DUMMYFUNCTION("""COMPUTED_VALUE"""),1.855185100130526E-4)</f>
        <v>0.00018551851</v>
      </c>
      <c r="E346" s="2" t="str">
        <f>IFERROR(__xludf.DUMMYFUNCTION("""COMPUTED_VALUE"""),"      2.715")</f>
        <v>      2.715</v>
      </c>
    </row>
    <row r="347">
      <c r="A347" s="2" t="str">
        <f>IFERROR(__xludf.DUMMYFUNCTION("""COMPUTED_VALUE"""),"LÚCYA LIMA ↔️🇺🇦🇧🇷🏳️ COM MORO .")</f>
        <v>LÚCYA LIMA ↔️🇺🇦🇧🇷🏳️ COM MORO .</v>
      </c>
      <c r="B347" s="2" t="str">
        <f>IFERROR(__xludf.DUMMYFUNCTION("""COMPUTED_VALUE"""),"lcyalima")</f>
        <v>lcyalima</v>
      </c>
      <c r="C347" s="2" t="str">
        <f>IFERROR(__xludf.DUMMYFUNCTION("""COMPUTED_VALUE"""),"MORO Presidente , LAVAJATISTA .
🇧🇷.
Nascida em 21 de Abril 
Criminalizar comunismo .")</f>
        <v>MORO Presidente , LAVAJATISTA .
🇧🇷.
Nascida em 21 de Abril 
Criminalizar comunismo .</v>
      </c>
      <c r="D347" s="2">
        <f>IFERROR(__xludf.DUMMYFUNCTION("""COMPUTED_VALUE"""),1.855185100130526E-4)</f>
        <v>0.00018551851</v>
      </c>
      <c r="E347" s="2" t="str">
        <f>IFERROR(__xludf.DUMMYFUNCTION("""COMPUTED_VALUE"""),"      2.399")</f>
        <v>      2.399</v>
      </c>
    </row>
    <row r="348">
      <c r="A348" s="2" t="str">
        <f>IFERROR(__xludf.DUMMYFUNCTION("""COMPUTED_VALUE"""),"Jose de Abreu")</f>
        <v>Jose de Abreu</v>
      </c>
      <c r="B348" s="2" t="str">
        <f>IFERROR(__xludf.DUMMYFUNCTION("""COMPUTED_VALUE"""),"zehdeabreu")</f>
        <v>zehdeabreu</v>
      </c>
      <c r="C348" s="2" t="str">
        <f>IFERROR(__xludf.DUMMYFUNCTION("""COMPUTED_VALUE"""),"Ator, iniciou sua carreira em 1967 no TUCA, grupo da PUC-SP. Depois de premiado em Gramado foi contratado pela Globo em 1981, onde está até hoje. Sem DM.")</f>
        <v>Ator, iniciou sua carreira em 1967 no TUCA, grupo da PUC-SP. Depois de premiado em Gramado foi contratado pela Globo em 1981, onde está até hoje. Sem DM.</v>
      </c>
      <c r="D348" s="2">
        <f>IFERROR(__xludf.DUMMYFUNCTION("""COMPUTED_VALUE"""),1.855185100130526E-4)</f>
        <v>0.00018551851</v>
      </c>
      <c r="E348" s="2" t="str">
        <f>IFERROR(__xludf.DUMMYFUNCTION("""COMPUTED_VALUE"""),"    553.416")</f>
        <v>    553.416</v>
      </c>
    </row>
    <row r="349">
      <c r="A349" s="2" t="str">
        <f>IFERROR(__xludf.DUMMYFUNCTION("""COMPUTED_VALUE"""),"Orestes 🇧🇷🇻🇳🇨🇺")</f>
        <v>Orestes 🇧🇷🇻🇳🇨🇺</v>
      </c>
      <c r="B349" s="2" t="str">
        <f>IFERROR(__xludf.DUMMYFUNCTION("""COMPUTED_VALUE"""),"somenteorestes")</f>
        <v>somenteorestes</v>
      </c>
      <c r="C349" s="2" t="str">
        <f>IFERROR(__xludf.DUMMYFUNCTION("""COMPUTED_VALUE"""),"Política e informação socializada! Thread: @ComunaOrestes Koo: @SomenteOrestes BlueSky: Orestes")</f>
        <v>Política e informação socializada! Thread: @ComunaOrestes Koo: @SomenteOrestes BlueSky: Orestes</v>
      </c>
      <c r="D349" s="2">
        <f>IFERROR(__xludf.DUMMYFUNCTION("""COMPUTED_VALUE"""),1.855185100130526E-4)</f>
        <v>0.00018551851</v>
      </c>
      <c r="E349" s="2" t="str">
        <f>IFERROR(__xludf.DUMMYFUNCTION("""COMPUTED_VALUE"""),"     36.594")</f>
        <v>     36.594</v>
      </c>
    </row>
    <row r="350">
      <c r="A350" s="2" t="str">
        <f>IFERROR(__xludf.DUMMYFUNCTION("""COMPUTED_VALUE"""),"O Camila lançou O Chamado de Ifá 🏳️‍⚧️")</f>
        <v>O Camila lançou O Chamado de Ifá 🏳️‍⚧️</v>
      </c>
      <c r="B350" s="2" t="str">
        <f>IFERROR(__xludf.DUMMYFUNCTION("""COMPUTED_VALUE"""),"camilaangel")</f>
        <v>camilaangel</v>
      </c>
      <c r="C350" s="2" t="str">
        <f>IFERROR(__xludf.DUMMYFUNCTION("""COMPUTED_VALUE"""),"Pronomes Ele/Dele. Fotografo,escritor e produtor de conteúdo. Cearense. Autor de A Noite Cai e outros títulos. Aos domingos vendo tapioca
camila.natv@gmail.com")</f>
        <v>Pronomes Ele/Dele. Fotografo,escritor e produtor de conteúdo. Cearense. Autor de A Noite Cai e outros títulos. Aos domingos vendo tapioca
camila.natv@gmail.com</v>
      </c>
      <c r="D350" s="2">
        <f>IFERROR(__xludf.DUMMYFUNCTION("""COMPUTED_VALUE"""),1.855185100130526E-4)</f>
        <v>0.00018551851</v>
      </c>
      <c r="E350" s="2" t="str">
        <f>IFERROR(__xludf.DUMMYFUNCTION("""COMPUTED_VALUE"""),"      3.886")</f>
        <v>      3.886</v>
      </c>
    </row>
    <row r="351">
      <c r="A351" s="2" t="str">
        <f>IFERROR(__xludf.DUMMYFUNCTION("""COMPUTED_VALUE"""),"Fred Caldeira")</f>
        <v>Fred Caldeira</v>
      </c>
      <c r="B351" s="2" t="str">
        <f>IFERROR(__xludf.DUMMYFUNCTION("""COMPUTED_VALUE"""),"fredcaldeira")</f>
        <v>fredcaldeira</v>
      </c>
      <c r="C351" s="2" t="str">
        <f>IFERROR(__xludf.DUMMYFUNCTION("""COMPUTED_VALUE"""),"🎤 correspondente da @tntsportsbr na Inglaterra
🫰🏼 embaixador @pagbet na Europa
🏠 Ouro Preto, Rio de Janeiro, Manchester
Ele/he/him.")</f>
        <v>🎤 correspondente da @tntsportsbr na Inglaterra
🫰🏼 embaixador @pagbet na Europa
🏠 Ouro Preto, Rio de Janeiro, Manchester
Ele/he/him.</v>
      </c>
      <c r="D351" s="2">
        <f>IFERROR(__xludf.DUMMYFUNCTION("""COMPUTED_VALUE"""),1.855185100130526E-4)</f>
        <v>0.00018551851</v>
      </c>
      <c r="E351" s="2" t="str">
        <f>IFERROR(__xludf.DUMMYFUNCTION("""COMPUTED_VALUE"""),"    214.536")</f>
        <v>    214.536</v>
      </c>
    </row>
    <row r="352">
      <c r="A352" s="2" t="str">
        <f>IFERROR(__xludf.DUMMYFUNCTION("""COMPUTED_VALUE"""),"olhaoquete2igo")</f>
        <v>olhaoquete2igo</v>
      </c>
      <c r="B352" s="2" t="str">
        <f>IFERROR(__xludf.DUMMYFUNCTION("""COMPUTED_VALUE"""),"olhaoquete2igo")</f>
        <v>olhaoquete2igo</v>
      </c>
      <c r="C352" s="2" t="str">
        <f>IFERROR(__xludf.DUMMYFUNCTION("""COMPUTED_VALUE"""),"#delícia ®")</f>
        <v>#delícia ®</v>
      </c>
      <c r="D352" s="2">
        <f>IFERROR(__xludf.DUMMYFUNCTION("""COMPUTED_VALUE"""),1.855185100130526E-4)</f>
        <v>0.00018551851</v>
      </c>
      <c r="E352" s="2" t="str">
        <f>IFERROR(__xludf.DUMMYFUNCTION("""COMPUTED_VALUE"""),"     16.857")</f>
        <v>     16.857</v>
      </c>
    </row>
    <row r="353">
      <c r="A353" s="2" t="str">
        <f>IFERROR(__xludf.DUMMYFUNCTION("""COMPUTED_VALUE"""),"OPrimoDev")</f>
        <v>OPrimoDev</v>
      </c>
      <c r="B353" s="2" t="str">
        <f>IFERROR(__xludf.DUMMYFUNCTION("""COMPUTED_VALUE"""),"lucianodiisouza")</f>
        <v>lucianodiisouza</v>
      </c>
      <c r="C353" s="2" t="str">
        <f>IFERROR(__xludf.DUMMYFUNCTION("""COMPUTED_VALUE"""),"Sou dev, não mexo com Java, fiz proerd. Speaks English, learning mandarin 你好👋 Gasto meu dinheiro com teclados e afins.")</f>
        <v>Sou dev, não mexo com Java, fiz proerd. Speaks English, learning mandarin 你好👋 Gasto meu dinheiro com teclados e afins.</v>
      </c>
      <c r="D353" s="2">
        <f>IFERROR(__xludf.DUMMYFUNCTION("""COMPUTED_VALUE"""),1.855185100130526E-4)</f>
        <v>0.00018551851</v>
      </c>
      <c r="E353" s="2" t="str">
        <f>IFERROR(__xludf.DUMMYFUNCTION("""COMPUTED_VALUE"""),"     13.091")</f>
        <v>     13.091</v>
      </c>
    </row>
    <row r="354">
      <c r="A354" s="2" t="str">
        <f>IFERROR(__xludf.DUMMYFUNCTION("""COMPUTED_VALUE"""),"Adnkronos")</f>
        <v>Adnkronos</v>
      </c>
      <c r="B354" s="2" t="str">
        <f>IFERROR(__xludf.DUMMYFUNCTION("""COMPUTED_VALUE"""),"adnkronos")</f>
        <v>adnkronos</v>
      </c>
      <c r="C354" s="2" t="str">
        <f>IFERROR(__xludf.DUMMYFUNCTION("""COMPUTED_VALUE"""),"Vuoi leggere altre notizie? Vieni sul nostro sito https://t.co/jN4nKICZMN")</f>
        <v>Vuoi leggere altre notizie? Vieni sul nostro sito https://t.co/jN4nKICZMN</v>
      </c>
      <c r="D354" s="2">
        <f>IFERROR(__xludf.DUMMYFUNCTION("""COMPUTED_VALUE"""),1.855185100130526E-4)</f>
        <v>0.00018551851</v>
      </c>
      <c r="E354" s="2" t="str">
        <f>IFERROR(__xludf.DUMMYFUNCTION("""COMPUTED_VALUE"""),"    617.184")</f>
        <v>    617.184</v>
      </c>
    </row>
    <row r="355">
      <c r="A355" s="2" t="str">
        <f>IFERROR(__xludf.DUMMYFUNCTION("""COMPUTED_VALUE"""),"Central do Braga")</f>
        <v>Central do Braga</v>
      </c>
      <c r="B355" s="2" t="str">
        <f>IFERROR(__xludf.DUMMYFUNCTION("""COMPUTED_VALUE"""),"centraldobrega")</f>
        <v>centraldobrega</v>
      </c>
      <c r="C355" s="2" t="str">
        <f>IFERROR(__xludf.DUMMYFUNCTION("""COMPUTED_VALUE"""),"Perfil (FAN ACCOUNT) humorístico que cobre o Bragantino. | Parceiro Oficial @KTO_Brasil I Parceria/publicidade: Contato somente via DM. 📨")</f>
        <v>Perfil (FAN ACCOUNT) humorístico que cobre o Bragantino. | Parceiro Oficial @KTO_Brasil I Parceria/publicidade: Contato somente via DM. 📨</v>
      </c>
      <c r="D355" s="2">
        <f>IFERROR(__xludf.DUMMYFUNCTION("""COMPUTED_VALUE"""),1.855185100130526E-4)</f>
        <v>0.00018551851</v>
      </c>
      <c r="E355" s="2" t="str">
        <f>IFERROR(__xludf.DUMMYFUNCTION("""COMPUTED_VALUE"""),"    188.736")</f>
        <v>    188.736</v>
      </c>
    </row>
    <row r="356">
      <c r="A356" s="2" t="str">
        <f>IFERROR(__xludf.DUMMYFUNCTION("""COMPUTED_VALUE"""),"Luisa Nardi")</f>
        <v>Luisa Nardi</v>
      </c>
      <c r="B356" s="2" t="str">
        <f>IFERROR(__xludf.DUMMYFUNCTION("""COMPUTED_VALUE"""),"nardiluisa")</f>
        <v>nardiluisa</v>
      </c>
      <c r="C356" s="2" t="str">
        <f>IFERROR(__xludf.DUMMYFUNCTION("""COMPUTED_VALUE"""),"avvocato, nativa spritz")</f>
        <v>avvocato, nativa spritz</v>
      </c>
      <c r="D356" s="2">
        <f>IFERROR(__xludf.DUMMYFUNCTION("""COMPUTED_VALUE"""),1.855185100130526E-4)</f>
        <v>0.00018551851</v>
      </c>
      <c r="E356" s="2" t="str">
        <f>IFERROR(__xludf.DUMMYFUNCTION("""COMPUTED_VALUE"""),"      2.654")</f>
        <v>      2.654</v>
      </c>
    </row>
    <row r="357">
      <c r="A357" s="2" t="str">
        <f>IFERROR(__xludf.DUMMYFUNCTION("""COMPUTED_VALUE"""),"MerDarte (insanidades)")</f>
        <v>MerDarte (insanidades)</v>
      </c>
      <c r="B357" s="2" t="str">
        <f>IFERROR(__xludf.DUMMYFUNCTION("""COMPUTED_VALUE"""),"merdarte")</f>
        <v>merdarte</v>
      </c>
      <c r="C357" s="2" t="str">
        <f>IFERROR(__xludf.DUMMYFUNCTION("""COMPUTED_VALUE"""),"INTANKAAAAAAAAAAAVEL")</f>
        <v>INTANKAAAAAAAAAAAVEL</v>
      </c>
      <c r="D357" s="2">
        <f>IFERROR(__xludf.DUMMYFUNCTION("""COMPUTED_VALUE"""),1.855185100130526E-4)</f>
        <v>0.00018551851</v>
      </c>
      <c r="E357" s="2" t="str">
        <f>IFERROR(__xludf.DUMMYFUNCTION("""COMPUTED_VALUE"""),"    323.149")</f>
        <v>    323.149</v>
      </c>
    </row>
    <row r="358">
      <c r="A358" s="2" t="str">
        <f>IFERROR(__xludf.DUMMYFUNCTION("""COMPUTED_VALUE"""),"ACERVO")</f>
        <v>ACERVO</v>
      </c>
      <c r="B358" s="2" t="str">
        <f>IFERROR(__xludf.DUMMYFUNCTION("""COMPUTED_VALUE"""),"acervocharts")</f>
        <v>acervocharts</v>
      </c>
      <c r="C358" s="2" t="str">
        <f>IFERROR(__xludf.DUMMYFUNCTION("""COMPUTED_VALUE"""),"Sua fonte de informação do seu artista favorito, entretenimento, política e atualidade. Comercial: contato@portalacervo.com.br")</f>
        <v>Sua fonte de informação do seu artista favorito, entretenimento, política e atualidade. Comercial: contato@portalacervo.com.br</v>
      </c>
      <c r="D358" s="2">
        <f>IFERROR(__xludf.DUMMYFUNCTION("""COMPUTED_VALUE"""),1.855185100130526E-4)</f>
        <v>0.00018551851</v>
      </c>
      <c r="E358" s="2" t="str">
        <f>IFERROR(__xludf.DUMMYFUNCTION("""COMPUTED_VALUE"""),"     97.048")</f>
        <v>     97.048</v>
      </c>
    </row>
    <row r="359">
      <c r="A359" s="2" t="str">
        <f>IFERROR(__xludf.DUMMYFUNCTION("""COMPUTED_VALUE"""),"Volodymyr Zelenskyy / Володимир Зеленський")</f>
        <v>Volodymyr Zelenskyy / Володимир Зеленський</v>
      </c>
      <c r="B359" s="2" t="str">
        <f>IFERROR(__xludf.DUMMYFUNCTION("""COMPUTED_VALUE"""),"zelenskyyua")</f>
        <v>zelenskyyua</v>
      </c>
      <c r="C359" s="2" t="str">
        <f>IFERROR(__xludf.DUMMYFUNCTION("""COMPUTED_VALUE"""),"President of Ukraine / Президент України")</f>
        <v>President of Ukraine / Президент України</v>
      </c>
      <c r="D359" s="2">
        <f>IFERROR(__xludf.DUMMYFUNCTION("""COMPUTED_VALUE"""),1.855185100130526E-4)</f>
        <v>0.00018551851</v>
      </c>
      <c r="E359" s="2" t="str">
        <f>IFERROR(__xludf.DUMMYFUNCTION("""COMPUTED_VALUE"""),"  7.377.986")</f>
        <v>  7.377.986</v>
      </c>
    </row>
    <row r="360">
      <c r="A360" s="2" t="str">
        <f>IFERROR(__xludf.DUMMYFUNCTION("""COMPUTED_VALUE"""),"nathalia")</f>
        <v>nathalia</v>
      </c>
      <c r="B360" s="2" t="str">
        <f>IFERROR(__xludf.DUMMYFUNCTION("""COMPUTED_VALUE"""),"nathiica")</f>
        <v>nathiica</v>
      </c>
      <c r="C360" s="2" t="str">
        <f>IFERROR(__xludf.DUMMYFUNCTION("""COMPUTED_VALUE"""),"sommelier de rolê")</f>
        <v>sommelier de rolê</v>
      </c>
      <c r="D360" s="2">
        <f>IFERROR(__xludf.DUMMYFUNCTION("""COMPUTED_VALUE"""),1.855185100130526E-4)</f>
        <v>0.00018551851</v>
      </c>
      <c r="E360" s="2" t="str">
        <f>IFERROR(__xludf.DUMMYFUNCTION("""COMPUTED_VALUE"""),"      1.110")</f>
        <v>      1.110</v>
      </c>
    </row>
    <row r="361">
      <c r="A361" s="2" t="str">
        <f>IFERROR(__xludf.DUMMYFUNCTION("""COMPUTED_VALUE"""),"O FISCAL do IBAMA 🌎")</f>
        <v>O FISCAL do IBAMA 🌎</v>
      </c>
      <c r="B361" s="2" t="str">
        <f>IFERROR(__xludf.DUMMYFUNCTION("""COMPUTED_VALUE"""),"fiscaldoibama")</f>
        <v>fiscaldoibama</v>
      </c>
      <c r="C361" s="2" t="str">
        <f>IFERROR(__xludf.DUMMYFUNCTION("""COMPUTED_VALUE"""),"FISCALIZANDO O MEIO AMBIENTE E SEUS GESTORES.
PERFIL COLABORATIVO.
(NÃO REPRESENTA O INSTITUTO BRASILEIRO DE MEIO AMBIENTE E DOS RECURSOS NATURAIS RENOVÁVEIS)")</f>
        <v>FISCALIZANDO O MEIO AMBIENTE E SEUS GESTORES.
PERFIL COLABORATIVO.
(NÃO REPRESENTA O INSTITUTO BRASILEIRO DE MEIO AMBIENTE E DOS RECURSOS NATURAIS RENOVÁVEIS)</v>
      </c>
      <c r="D361" s="2">
        <f>IFERROR(__xludf.DUMMYFUNCTION("""COMPUTED_VALUE"""),1.855185100130526E-4)</f>
        <v>0.00018551851</v>
      </c>
      <c r="E361" s="2" t="str">
        <f>IFERROR(__xludf.DUMMYFUNCTION("""COMPUTED_VALUE"""),"    189.405")</f>
        <v>    189.405</v>
      </c>
    </row>
    <row r="362">
      <c r="A362" s="2" t="str">
        <f>IFERROR(__xludf.DUMMYFUNCTION("""COMPUTED_VALUE"""),"Henrique Carneiro")</f>
        <v>Henrique Carneiro</v>
      </c>
      <c r="B362" s="2" t="str">
        <f>IFERROR(__xludf.DUMMYFUNCTION("""COMPUTED_VALUE"""),"henricarneiro")</f>
        <v>henricarneiro</v>
      </c>
      <c r="C362" s="2" t="str">
        <f>IFERROR(__xludf.DUMMYFUNCTION("""COMPUTED_VALUE"""),"historiador, pesquisa alimentação, drogas e bebidas.")</f>
        <v>historiador, pesquisa alimentação, drogas e bebidas.</v>
      </c>
      <c r="D362" s="2">
        <f>IFERROR(__xludf.DUMMYFUNCTION("""COMPUTED_VALUE"""),1.855185100130526E-4)</f>
        <v>0.00018551851</v>
      </c>
      <c r="E362" s="2" t="str">
        <f>IFERROR(__xludf.DUMMYFUNCTION("""COMPUTED_VALUE"""),"     10.936")</f>
        <v>     10.936</v>
      </c>
    </row>
    <row r="363">
      <c r="A363" s="2" t="str">
        <f>IFERROR(__xludf.DUMMYFUNCTION("""COMPUTED_VALUE"""),"mat")</f>
        <v>mat</v>
      </c>
      <c r="B363" s="2" t="str">
        <f>IFERROR(__xludf.DUMMYFUNCTION("""COMPUTED_VALUE"""),"mateonitter")</f>
        <v>mateonitter</v>
      </c>
      <c r="C363" s="2" t="str">
        <f>IFERROR(__xludf.DUMMYFUNCTION("""COMPUTED_VALUE"""),"fan account | Anitta &amp; Veigh 🍏")</f>
        <v>fan account | Anitta &amp; Veigh 🍏</v>
      </c>
      <c r="D363" s="2">
        <f>IFERROR(__xludf.DUMMYFUNCTION("""COMPUTED_VALUE"""),1.855185100130526E-4)</f>
        <v>0.00018551851</v>
      </c>
      <c r="E363" s="2" t="str">
        <f>IFERROR(__xludf.DUMMYFUNCTION("""COMPUTED_VALUE"""),"      1.023")</f>
        <v>      1.023</v>
      </c>
    </row>
    <row r="364">
      <c r="A364" s="2" t="str">
        <f>IFERROR(__xludf.DUMMYFUNCTION("""COMPUTED_VALUE"""),"Rakku 水")</f>
        <v>Rakku 水</v>
      </c>
      <c r="B364" s="2" t="str">
        <f>IFERROR(__xludf.DUMMYFUNCTION("""COMPUTED_VALUE"""),"rakku_7k")</f>
        <v>rakku_7k</v>
      </c>
      <c r="C364" s="2" t="str">
        <f>IFERROR(__xludf.DUMMYFUNCTION("""COMPUTED_VALUE"""),"Autista bissexual que só faz post genérico e é fã da Aqua | #Lows Sanity | banner by @vinsmokerival |")</f>
        <v>Autista bissexual que só faz post genérico e é fã da Aqua | #Lows Sanity | banner by @vinsmokerival |</v>
      </c>
      <c r="D364" s="2">
        <f>IFERROR(__xludf.DUMMYFUNCTION("""COMPUTED_VALUE"""),1.855185100130526E-4)</f>
        <v>0.00018551851</v>
      </c>
      <c r="E364" s="2" t="str">
        <f>IFERROR(__xludf.DUMMYFUNCTION("""COMPUTED_VALUE"""),"      5.423")</f>
        <v>      5.423</v>
      </c>
    </row>
    <row r="365">
      <c r="A365" s="2" t="str">
        <f>IFERROR(__xludf.DUMMYFUNCTION("""COMPUTED_VALUE"""),"conselhos de coito 💕")</f>
        <v>conselhos de coito 💕</v>
      </c>
      <c r="B365" s="2" t="str">
        <f>IFERROR(__xludf.DUMMYFUNCTION("""COMPUTED_VALUE"""),"conselhodecoito")</f>
        <v>conselhodecoito</v>
      </c>
      <c r="C365" s="2" t="str">
        <f>IFERROR(__xludf.DUMMYFUNCTION("""COMPUTED_VALUE"""),"envie suas dúvidas sobre coito ou relacionamento e você será respondido • sigilo total • sim, eu sou o @RelatosDeCoito")</f>
        <v>envie suas dúvidas sobre coito ou relacionamento e você será respondido • sigilo total • sim, eu sou o @RelatosDeCoito</v>
      </c>
      <c r="D365" s="2">
        <f>IFERROR(__xludf.DUMMYFUNCTION("""COMPUTED_VALUE"""),1.855185100130526E-4)</f>
        <v>0.00018551851</v>
      </c>
      <c r="E365" s="2" t="str">
        <f>IFERROR(__xludf.DUMMYFUNCTION("""COMPUTED_VALUE"""),"     39.816")</f>
        <v>     39.816</v>
      </c>
    </row>
    <row r="366">
      <c r="A366" s="2" t="str">
        <f>IFERROR(__xludf.DUMMYFUNCTION("""COMPUTED_VALUE"""),"Fred Ribeiro")</f>
        <v>Fred Ribeiro</v>
      </c>
      <c r="B366" s="2" t="str">
        <f>IFERROR(__xludf.DUMMYFUNCTION("""COMPUTED_VALUE"""),"fredfrm")</f>
        <v>fredfrm</v>
      </c>
      <c r="C366" s="2" t="str">
        <f>IFERROR(__xludf.DUMMYFUNCTION("""COMPUTED_VALUE"""),"Jornalista esportivo | Setorista do Atlético-MG no https://t.co/D9sGMmzd89
https://t.co/9NjoxMuwh3")</f>
        <v>Jornalista esportivo | Setorista do Atlético-MG no https://t.co/D9sGMmzd89
https://t.co/9NjoxMuwh3</v>
      </c>
      <c r="D366" s="2">
        <f>IFERROR(__xludf.DUMMYFUNCTION("""COMPUTED_VALUE"""),1.855185100130526E-4)</f>
        <v>0.00018551851</v>
      </c>
      <c r="E366" s="2" t="str">
        <f>IFERROR(__xludf.DUMMYFUNCTION("""COMPUTED_VALUE"""),"     27.580")</f>
        <v>     27.580</v>
      </c>
    </row>
    <row r="367">
      <c r="A367" s="2" t="str">
        <f>IFERROR(__xludf.DUMMYFUNCTION("""COMPUTED_VALUE"""),"Carlo Cottarelli")</f>
        <v>Carlo Cottarelli</v>
      </c>
      <c r="B367" s="2" t="str">
        <f>IFERROR(__xludf.DUMMYFUNCTION("""COMPUTED_VALUE"""),"cottarellicpi")</f>
        <v>cottarellicpi</v>
      </c>
      <c r="C367" s="2" t="str">
        <f>IFERROR(__xludf.DUMMYFUNCTION("""COMPUTED_VALUE"""),"Direttore Peses UniCatt
Ex Senatore della Repubblica Italiana
Ex Commissario per la revisione della spesa
Ex Direttore Dipartimento Finanza Pubblica FMI")</f>
        <v>Direttore Peses UniCatt
Ex Senatore della Repubblica Italiana
Ex Commissario per la revisione della spesa
Ex Direttore Dipartimento Finanza Pubblica FMI</v>
      </c>
      <c r="D367" s="2">
        <f>IFERROR(__xludf.DUMMYFUNCTION("""COMPUTED_VALUE"""),1.855185100130526E-4)</f>
        <v>0.00018551851</v>
      </c>
      <c r="E367" s="2" t="str">
        <f>IFERROR(__xludf.DUMMYFUNCTION("""COMPUTED_VALUE"""),"    346.495")</f>
        <v>    346.495</v>
      </c>
    </row>
    <row r="368">
      <c r="A368" s="2" t="str">
        <f>IFERROR(__xludf.DUMMYFUNCTION("""COMPUTED_VALUE"""),"convenhamos")</f>
        <v>convenhamos</v>
      </c>
      <c r="B368" s="2" t="str">
        <f>IFERROR(__xludf.DUMMYFUNCTION("""COMPUTED_VALUE"""),"vegetacil")</f>
        <v>vegetacil</v>
      </c>
      <c r="C368" s="13" t="str">
        <f>IFERROR(__xludf.DUMMYFUNCTION("""COMPUTED_VALUE"""),"https://t.co/vSjF693gRa")</f>
        <v>https://t.co/vSjF693gRa</v>
      </c>
      <c r="D368" s="2">
        <f>IFERROR(__xludf.DUMMYFUNCTION("""COMPUTED_VALUE"""),1.855185100130526E-4)</f>
        <v>0.00018551851</v>
      </c>
      <c r="E368" s="2" t="str">
        <f>IFERROR(__xludf.DUMMYFUNCTION("""COMPUTED_VALUE"""),"     18.323")</f>
        <v>     18.323</v>
      </c>
    </row>
    <row r="369">
      <c r="A369" s="2" t="str">
        <f>IFERROR(__xludf.DUMMYFUNCTION("""COMPUTED_VALUE"""),"Dr. Sunita Etwaroo Hines")</f>
        <v>Dr. Sunita Etwaroo Hines</v>
      </c>
      <c r="B369" s="2" t="str">
        <f>IFERROR(__xludf.DUMMYFUNCTION("""COMPUTED_VALUE"""),"sunitahines")</f>
        <v>sunitahines</v>
      </c>
      <c r="C369" s="2" t="str">
        <f>IFERROR(__xludf.DUMMYFUNCTION("""COMPUTED_VALUE"""),"I'm all about #Jesus ❤️ #Pray ❤️ #Jesuslovesyou ❤️ #Economics ❤️ #Leadership ❤️ #Writing ❤️
#NoDM ❤️ #NoPorn❤️ Instagram: drsunitaetwaroo")</f>
        <v>I'm all about #Jesus ❤️ #Pray ❤️ #Jesuslovesyou ❤️ #Economics ❤️ #Leadership ❤️ #Writing ❤️
#NoDM ❤️ #NoPorn❤️ Instagram: drsunitaetwaroo</v>
      </c>
      <c r="D369" s="2">
        <f>IFERROR(__xludf.DUMMYFUNCTION("""COMPUTED_VALUE"""),1.855185100130526E-4)</f>
        <v>0.00018551851</v>
      </c>
      <c r="E369" s="2" t="str">
        <f>IFERROR(__xludf.DUMMYFUNCTION("""COMPUTED_VALUE"""),"     36.181")</f>
        <v>     36.181</v>
      </c>
    </row>
    <row r="370">
      <c r="A370" s="2" t="str">
        <f>IFERROR(__xludf.DUMMYFUNCTION("""COMPUTED_VALUE"""),"Pinguço")</f>
        <v>Pinguço</v>
      </c>
      <c r="B370" s="2" t="str">
        <f>IFERROR(__xludf.DUMMYFUNCTION("""COMPUTED_VALUE"""),"pingucopinga")</f>
        <v>pingucopinga</v>
      </c>
      <c r="C370" s="2"/>
      <c r="D370" s="2">
        <f>IFERROR(__xludf.DUMMYFUNCTION("""COMPUTED_VALUE"""),1.855185100130526E-4)</f>
        <v>0.00018551851</v>
      </c>
      <c r="E370" s="2" t="str">
        <f>IFERROR(__xludf.DUMMYFUNCTION("""COMPUTED_VALUE"""),"     19.639")</f>
        <v>     19.639</v>
      </c>
    </row>
    <row r="371">
      <c r="A371" s="2" t="str">
        <f>IFERROR(__xludf.DUMMYFUNCTION("""COMPUTED_VALUE"""),"Thallys Bruno Almeida")</f>
        <v>Thallys Bruno Almeida</v>
      </c>
      <c r="B371" s="2" t="str">
        <f>IFERROR(__xludf.DUMMYFUNCTION("""COMPUTED_VALUE"""),"thallysbalm")</f>
        <v>thallysbalm</v>
      </c>
      <c r="C371" s="2" t="str">
        <f>IFERROR(__xludf.DUMMYFUNCTION("""COMPUTED_VALUE"""),"Fã de televisão, novelas, música, jogos antigos, Fórmula 1, defensor da democracia e do bom senso. Bolsonarismo não é bem-vindo aqui.")</f>
        <v>Fã de televisão, novelas, música, jogos antigos, Fórmula 1, defensor da democracia e do bom senso. Bolsonarismo não é bem-vindo aqui.</v>
      </c>
      <c r="D371" s="2">
        <f>IFERROR(__xludf.DUMMYFUNCTION("""COMPUTED_VALUE"""),1.855185100130526E-4)</f>
        <v>0.00018551851</v>
      </c>
      <c r="E371" s="2" t="str">
        <f>IFERROR(__xludf.DUMMYFUNCTION("""COMPUTED_VALUE"""),"      2.684")</f>
        <v>      2.684</v>
      </c>
    </row>
    <row r="372">
      <c r="A372" s="2" t="str">
        <f>IFERROR(__xludf.DUMMYFUNCTION("""COMPUTED_VALUE"""),"Andrea Giuricin")</f>
        <v>Andrea Giuricin</v>
      </c>
      <c r="B372" s="2" t="str">
        <f>IFERROR(__xludf.DUMMYFUNCTION("""COMPUTED_VALUE"""),"andreagiuricin")</f>
        <v>andreagiuricin</v>
      </c>
      <c r="C372" s="2" t="str">
        <f>IFERROR(__xludf.DUMMYFUNCTION("""COMPUTED_VALUE"""),"CEO TRA consulting, Senior advisor for Investment funds, Senior Consult.  World Bank, Transport economist at CESISP-Unimib, Fellow Ibl, board member GBTA Italy.")</f>
        <v>CEO TRA consulting, Senior advisor for Investment funds, Senior Consult.  World Bank, Transport economist at CESISP-Unimib, Fellow Ibl, board member GBTA Italy.</v>
      </c>
      <c r="D372" s="2">
        <f>IFERROR(__xludf.DUMMYFUNCTION("""COMPUTED_VALUE"""),1.855185100130526E-4)</f>
        <v>0.00018551851</v>
      </c>
      <c r="E372" s="2" t="str">
        <f>IFERROR(__xludf.DUMMYFUNCTION("""COMPUTED_VALUE"""),"     19.979")</f>
        <v>     19.979</v>
      </c>
    </row>
    <row r="373">
      <c r="A373" s="13" t="str">
        <f>IFERROR(__xludf.DUMMYFUNCTION("""COMPUTED_VALUE"""),"esquerda.net")</f>
        <v>esquerda.net</v>
      </c>
      <c r="B373" s="2" t="str">
        <f>IFERROR(__xludf.DUMMYFUNCTION("""COMPUTED_VALUE"""),"esquerdanet")</f>
        <v>esquerdanet</v>
      </c>
      <c r="C373" s="2" t="str">
        <f>IFERROR(__xludf.DUMMYFUNCTION("""COMPUTED_VALUE"""),"Portal de informação de todas as lutas.
Contacto: esquerda@esquerda.net")</f>
        <v>Portal de informação de todas as lutas.
Contacto: esquerda@esquerda.net</v>
      </c>
      <c r="D373" s="2">
        <f>IFERROR(__xludf.DUMMYFUNCTION("""COMPUTED_VALUE"""),1.855185100130526E-4)</f>
        <v>0.00018551851</v>
      </c>
      <c r="E373" s="2" t="str">
        <f>IFERROR(__xludf.DUMMYFUNCTION("""COMPUTED_VALUE"""),"     44.919")</f>
        <v>     44.919</v>
      </c>
    </row>
    <row r="374">
      <c r="A374" s="2" t="str">
        <f>IFERROR(__xludf.DUMMYFUNCTION("""COMPUTED_VALUE"""),"Luana Couto")</f>
        <v>Luana Couto</v>
      </c>
      <c r="B374" s="2" t="str">
        <f>IFERROR(__xludf.DUMMYFUNCTION("""COMPUTED_VALUE"""),"luanav_cout0")</f>
        <v>luanav_cout0</v>
      </c>
      <c r="C374" s="2" t="str">
        <f>IFERROR(__xludf.DUMMYFUNCTION("""COMPUTED_VALUE"""),"Brazilian Girl 🇧🇷")</f>
        <v>Brazilian Girl 🇧🇷</v>
      </c>
      <c r="D374" s="2">
        <f>IFERROR(__xludf.DUMMYFUNCTION("""COMPUTED_VALUE"""),1.855185100130526E-4)</f>
        <v>0.00018551851</v>
      </c>
      <c r="E374" s="2" t="str">
        <f>IFERROR(__xludf.DUMMYFUNCTION("""COMPUTED_VALUE"""),"     14.151")</f>
        <v>     14.151</v>
      </c>
    </row>
    <row r="375">
      <c r="A375" s="2" t="str">
        <f>IFERROR(__xludf.DUMMYFUNCTION("""COMPUTED_VALUE"""),"Flavio Biondo")</f>
        <v>Flavio Biondo</v>
      </c>
      <c r="B375" s="2" t="str">
        <f>IFERROR(__xludf.DUMMYFUNCTION("""COMPUTED_VALUE"""),"biondo4_biondo")</f>
        <v>biondo4_biondo</v>
      </c>
      <c r="C375" s="2" t="str">
        <f>IFERROR(__xludf.DUMMYFUNCTION("""COMPUTED_VALUE"""),"Pescador. Deus, pátria e família. Anti vacinas. Fora esquerdalhas maltrapilhas.
Get out of Facebook and Instagram. They are communists.")</f>
        <v>Pescador. Deus, pátria e família. Anti vacinas. Fora esquerdalhas maltrapilhas.
Get out of Facebook and Instagram. They are communists.</v>
      </c>
      <c r="D375" s="2">
        <f>IFERROR(__xludf.DUMMYFUNCTION("""COMPUTED_VALUE"""),1.855185100130526E-4)</f>
        <v>0.00018551851</v>
      </c>
      <c r="E375" s="2" t="str">
        <f>IFERROR(__xludf.DUMMYFUNCTION("""COMPUTED_VALUE"""),"      3.428")</f>
        <v>      3.428</v>
      </c>
    </row>
    <row r="376">
      <c r="A376" s="2" t="str">
        <f>IFERROR(__xludf.DUMMYFUNCTION("""COMPUTED_VALUE"""),"Lark 🐦‍⬛")</f>
        <v>Lark 🐦‍⬛</v>
      </c>
      <c r="B376" s="2" t="str">
        <f>IFERROR(__xludf.DUMMYFUNCTION("""COMPUTED_VALUE"""),"larknessart")</f>
        <v>larknessart</v>
      </c>
      <c r="C376" s="2" t="str">
        <f>IFERROR(__xludf.DUMMYFUNCTION("""COMPUTED_VALUE"""),"Quadrinista e ilustradora brasileira")</f>
        <v>Quadrinista e ilustradora brasileira</v>
      </c>
      <c r="D376" s="2">
        <f>IFERROR(__xludf.DUMMYFUNCTION("""COMPUTED_VALUE"""),1.855185100130526E-4)</f>
        <v>0.00018551851</v>
      </c>
      <c r="E376" s="2" t="str">
        <f>IFERROR(__xludf.DUMMYFUNCTION("""COMPUTED_VALUE"""),"     43.571")</f>
        <v>     43.571</v>
      </c>
    </row>
    <row r="377">
      <c r="A377" s="2" t="str">
        <f>IFERROR(__xludf.DUMMYFUNCTION("""COMPUTED_VALUE"""),"BT Mais")</f>
        <v>BT Mais</v>
      </c>
      <c r="B377" s="2" t="str">
        <f>IFERROR(__xludf.DUMMYFUNCTION("""COMPUTED_VALUE"""),"belemtransito")</f>
        <v>belemtransito</v>
      </c>
      <c r="C377" s="2" t="str">
        <f>IFERROR(__xludf.DUMMYFUNCTION("""COMPUTED_VALUE"""),"Mídia multiplataforma de informação e entretenimento")</f>
        <v>Mídia multiplataforma de informação e entretenimento</v>
      </c>
      <c r="D377" s="2">
        <f>IFERROR(__xludf.DUMMYFUNCTION("""COMPUTED_VALUE"""),1.855185100130526E-4)</f>
        <v>0.00018551851</v>
      </c>
      <c r="E377" s="2" t="str">
        <f>IFERROR(__xludf.DUMMYFUNCTION("""COMPUTED_VALUE"""),"    294.252")</f>
        <v>    294.252</v>
      </c>
    </row>
    <row r="378">
      <c r="A378" s="2" t="str">
        <f>IFERROR(__xludf.DUMMYFUNCTION("""COMPUTED_VALUE"""),"ElisabettaPiccolotti")</f>
        <v>ElisabettaPiccolotti</v>
      </c>
      <c r="B378" s="2" t="str">
        <f>IFERROR(__xludf.DUMMYFUNCTION("""COMPUTED_VALUE"""),"bettapiccolotti")</f>
        <v>bettapiccolotti</v>
      </c>
      <c r="C378" s="2" t="str">
        <f>IFERROR(__xludf.DUMMYFUNCTION("""COMPUTED_VALUE"""),"Invitatemi a teatro o regalatemi un libro e sarò felice. Coordinatrice Segreteria Nazionale Sinistra Italiana - Deputata Alleanza Verdi e Sinistra")</f>
        <v>Invitatemi a teatro o regalatemi un libro e sarò felice. Coordinatrice Segreteria Nazionale Sinistra Italiana - Deputata Alleanza Verdi e Sinistra</v>
      </c>
      <c r="D378" s="2">
        <f>IFERROR(__xludf.DUMMYFUNCTION("""COMPUTED_VALUE"""),1.855185100130526E-4)</f>
        <v>0.00018551851</v>
      </c>
      <c r="E378" s="2" t="str">
        <f>IFERROR(__xludf.DUMMYFUNCTION("""COMPUTED_VALUE"""),"      9.315")</f>
        <v>      9.315</v>
      </c>
    </row>
    <row r="379">
      <c r="A379" s="2" t="str">
        <f>IFERROR(__xludf.DUMMYFUNCTION("""COMPUTED_VALUE"""),"Grande Fratello")</f>
        <v>Grande Fratello</v>
      </c>
      <c r="B379" s="2" t="str">
        <f>IFERROR(__xludf.DUMMYFUNCTION("""COMPUTED_VALUE"""),"grandefratello")</f>
        <v>grandefratello</v>
      </c>
      <c r="C379" s="2" t="str">
        <f>IFERROR(__xludf.DUMMYFUNCTION("""COMPUTED_VALUE"""),"Tutti i lunedì e venerdì in prima serata su #Canale5 e Mediaset Infinity 👁️")</f>
        <v>Tutti i lunedì e venerdì in prima serata su #Canale5 e Mediaset Infinity 👁️</v>
      </c>
      <c r="D379" s="2">
        <f>IFERROR(__xludf.DUMMYFUNCTION("""COMPUTED_VALUE"""),1.855185100130526E-4)</f>
        <v>0.00018551851</v>
      </c>
      <c r="E379" s="2" t="str">
        <f>IFERROR(__xludf.DUMMYFUNCTION("""COMPUTED_VALUE"""),"    689.747")</f>
        <v>    689.747</v>
      </c>
    </row>
    <row r="380">
      <c r="A380" s="2" t="str">
        <f>IFERROR(__xludf.DUMMYFUNCTION("""COMPUTED_VALUE"""),"Governo do Amapá")</f>
        <v>Governo do Amapá</v>
      </c>
      <c r="B380" s="2" t="str">
        <f>IFERROR(__xludf.DUMMYFUNCTION("""COMPUTED_VALUE"""),"governodoamapa")</f>
        <v>governodoamapa</v>
      </c>
      <c r="C380" s="2" t="str">
        <f>IFERROR(__xludf.DUMMYFUNCTION("""COMPUTED_VALUE"""),"Perfil oficial do Governo do Estado do Amapá.")</f>
        <v>Perfil oficial do Governo do Estado do Amapá.</v>
      </c>
      <c r="D380" s="2">
        <f>IFERROR(__xludf.DUMMYFUNCTION("""COMPUTED_VALUE"""),1.855185100130526E-4)</f>
        <v>0.00018551851</v>
      </c>
      <c r="E380" s="2" t="str">
        <f>IFERROR(__xludf.DUMMYFUNCTION("""COMPUTED_VALUE"""),"     35.396")</f>
        <v>     35.396</v>
      </c>
    </row>
    <row r="381">
      <c r="A381" s="2" t="str">
        <f>IFERROR(__xludf.DUMMYFUNCTION("""COMPUTED_VALUE"""),"O Casca Grossa")</f>
        <v>O Casca Grossa</v>
      </c>
      <c r="B381" s="2" t="str">
        <f>IFERROR(__xludf.DUMMYFUNCTION("""COMPUTED_VALUE"""),"cascagrossareal")</f>
        <v>cascagrossareal</v>
      </c>
      <c r="C381" s="2" t="str">
        <f>IFERROR(__xludf.DUMMYFUNCTION("""COMPUTED_VALUE"""),"Simplesmente um cara muito foda.")</f>
        <v>Simplesmente um cara muito foda.</v>
      </c>
      <c r="D381" s="2">
        <f>IFERROR(__xludf.DUMMYFUNCTION("""COMPUTED_VALUE"""),1.855185100130526E-4)</f>
        <v>0.00018551851</v>
      </c>
      <c r="E381" s="2" t="str">
        <f>IFERROR(__xludf.DUMMYFUNCTION("""COMPUTED_VALUE"""),"     47.919")</f>
        <v>     47.919</v>
      </c>
    </row>
    <row r="382">
      <c r="A382" s="2" t="str">
        <f>IFERROR(__xludf.DUMMYFUNCTION("""COMPUTED_VALUE"""),"Corneta Suns 🇧🇷")</f>
        <v>Corneta Suns 🇧🇷</v>
      </c>
      <c r="B382" s="2" t="str">
        <f>IFERROR(__xludf.DUMMYFUNCTION("""COMPUTED_VALUE"""),"cornetasuns")</f>
        <v>cornetasuns</v>
      </c>
      <c r="C382" s="2" t="str">
        <f>IFERROR(__xludf.DUMMYFUNCTION("""COMPUTED_VALUE"""),"Opiniões e cornetas sobre a NBA em geral vindo de um fã do Suns// #Wearethevalley//
not affiliated with @suns// Falo sobre futebol no @vitoriadabad99")</f>
        <v>Opiniões e cornetas sobre a NBA em geral vindo de um fã do Suns// #Wearethevalley//
not affiliated with @suns// Falo sobre futebol no @vitoriadabad99</v>
      </c>
      <c r="D382" s="2">
        <f>IFERROR(__xludf.DUMMYFUNCTION("""COMPUTED_VALUE"""),1.855185100130526E-4)</f>
        <v>0.00018551851</v>
      </c>
      <c r="E382" s="2" t="str">
        <f>IFERROR(__xludf.DUMMYFUNCTION("""COMPUTED_VALUE"""),"      2.464")</f>
        <v>      2.464</v>
      </c>
    </row>
    <row r="383">
      <c r="A383" s="2" t="str">
        <f>IFERROR(__xludf.DUMMYFUNCTION("""COMPUTED_VALUE"""),"Gustavo Pedro")</f>
        <v>Gustavo Pedro</v>
      </c>
      <c r="B383" s="2" t="str">
        <f>IFERROR(__xludf.DUMMYFUNCTION("""COMPUTED_VALUE"""),"gustavopedropcb")</f>
        <v>gustavopedropcb</v>
      </c>
      <c r="C383" s="2" t="str">
        <f>IFERROR(__xludf.DUMMYFUNCTION("""COMPUTED_VALUE"""),"Cientista político e educador popular no Pré-Vest Popular Lima Barreto - ZO/RJ. 🚩 Marxista-Leninista (@pcb_rr) ✊️")</f>
        <v>Cientista político e educador popular no Pré-Vest Popular Lima Barreto - ZO/RJ. 🚩 Marxista-Leninista (@pcb_rr) ✊️</v>
      </c>
      <c r="D383" s="2">
        <f>IFERROR(__xludf.DUMMYFUNCTION("""COMPUTED_VALUE"""),1.855185100130526E-4)</f>
        <v>0.00018551851</v>
      </c>
      <c r="E383" s="2" t="str">
        <f>IFERROR(__xludf.DUMMYFUNCTION("""COMPUTED_VALUE"""),"      4.772")</f>
        <v>      4.772</v>
      </c>
    </row>
    <row r="384">
      <c r="A384" s="2" t="str">
        <f>IFERROR(__xludf.DUMMYFUNCTION("""COMPUTED_VALUE"""),"FONTANA")</f>
        <v>FONTANA</v>
      </c>
      <c r="B384" s="2" t="str">
        <f>IFERROR(__xludf.DUMMYFUNCTION("""COMPUTED_VALUE"""),"itsfontana")</f>
        <v>itsfontana</v>
      </c>
      <c r="C384" s="2" t="str">
        <f>IFERROR(__xludf.DUMMYFUNCTION("""COMPUTED_VALUE"""),"#DragRaceSverige Runner-up / vice-campeã! 🏁✨ BE A STAR OUT NOW ⭐️✨💘")</f>
        <v>#DragRaceSverige Runner-up / vice-campeã! 🏁✨ BE A STAR OUT NOW ⭐️✨💘</v>
      </c>
      <c r="D384" s="2">
        <f>IFERROR(__xludf.DUMMYFUNCTION("""COMPUTED_VALUE"""),1.855185100130526E-4)</f>
        <v>0.00018551851</v>
      </c>
      <c r="E384" s="2" t="str">
        <f>IFERROR(__xludf.DUMMYFUNCTION("""COMPUTED_VALUE"""),"     13.134")</f>
        <v>     13.134</v>
      </c>
    </row>
    <row r="385">
      <c r="A385" s="2" t="str">
        <f>IFERROR(__xludf.DUMMYFUNCTION("""COMPUTED_VALUE"""),"Jornal GGN")</f>
        <v>Jornal GGN</v>
      </c>
      <c r="B385" s="2" t="str">
        <f>IFERROR(__xludf.DUMMYFUNCTION("""COMPUTED_VALUE"""),"jornalggn")</f>
        <v>jornalggn</v>
      </c>
      <c r="C385" s="2" t="str">
        <f>IFERROR(__xludf.DUMMYFUNCTION("""COMPUTED_VALUE"""),"10 anos de jornalismo independente.
Criado por @luisnassif
Acesse: https://t.co/McMGfNZs6r
Assista: https://t.co/vGDooVsQpy
Apoie: https://t.co/gtxlYBit1W")</f>
        <v>10 anos de jornalismo independente.
Criado por @luisnassif
Acesse: https://t.co/McMGfNZs6r
Assista: https://t.co/vGDooVsQpy
Apoie: https://t.co/gtxlYBit1W</v>
      </c>
      <c r="D385" s="2">
        <f>IFERROR(__xludf.DUMMYFUNCTION("""COMPUTED_VALUE"""),1.855185100130526E-4)</f>
        <v>0.00018551851</v>
      </c>
      <c r="E385" s="2" t="str">
        <f>IFERROR(__xludf.DUMMYFUNCTION("""COMPUTED_VALUE"""),"     98.330")</f>
        <v>     98.330</v>
      </c>
    </row>
    <row r="386">
      <c r="A386" s="2" t="str">
        <f>IFERROR(__xludf.DUMMYFUNCTION("""COMPUTED_VALUE"""),"Rodrigo Baltar")</f>
        <v>Rodrigo Baltar</v>
      </c>
      <c r="B386" s="2" t="str">
        <f>IFERROR(__xludf.DUMMYFUNCTION("""COMPUTED_VALUE"""),"locobaltar")</f>
        <v>locobaltar</v>
      </c>
      <c r="C386" s="2" t="str">
        <f>IFERROR(__xludf.DUMMYFUNCTION("""COMPUTED_VALUE"""),"Youtuber e Streamer de renome.
Dono da https://t.co/qe0TXOZFMH
Minhas Redes - https://t.co/PrO8khPHYL")</f>
        <v>Youtuber e Streamer de renome.
Dono da https://t.co/qe0TXOZFMH
Minhas Redes - https://t.co/PrO8khPHYL</v>
      </c>
      <c r="D386" s="2">
        <f>IFERROR(__xludf.DUMMYFUNCTION("""COMPUTED_VALUE"""),1.855185100130526E-4)</f>
        <v>0.00018551851</v>
      </c>
      <c r="E386" s="2" t="str">
        <f>IFERROR(__xludf.DUMMYFUNCTION("""COMPUTED_VALUE"""),"     15.090")</f>
        <v>     15.090</v>
      </c>
    </row>
    <row r="387">
      <c r="A387" s="2" t="str">
        <f>IFERROR(__xludf.DUMMYFUNCTION("""COMPUTED_VALUE"""),"Conexão Planeta")</f>
        <v>Conexão Planeta</v>
      </c>
      <c r="B387" s="2" t="str">
        <f>IFERROR(__xludf.DUMMYFUNCTION("""COMPUTED_VALUE"""),"conexaoplaneta")</f>
        <v>conexaoplaneta</v>
      </c>
      <c r="C387" s="2" t="str">
        <f>IFERROR(__xludf.DUMMYFUNCTION("""COMPUTED_VALUE"""),"Site que reúne jornalistas e especialistas com ampla experiência e credibilidade em temas que abordam as questões das sustentabilidades ambiental e social.")</f>
        <v>Site que reúne jornalistas e especialistas com ampla experiência e credibilidade em temas que abordam as questões das sustentabilidades ambiental e social.</v>
      </c>
      <c r="D387" s="2">
        <f>IFERROR(__xludf.DUMMYFUNCTION("""COMPUTED_VALUE"""),1.855185100130526E-4)</f>
        <v>0.00018551851</v>
      </c>
      <c r="E387" s="2" t="str">
        <f>IFERROR(__xludf.DUMMYFUNCTION("""COMPUTED_VALUE"""),"      6.725")</f>
        <v>      6.725</v>
      </c>
    </row>
    <row r="388">
      <c r="A388" s="2" t="str">
        <f>IFERROR(__xludf.DUMMYFUNCTION("""COMPUTED_VALUE"""),"FBI Bahia City 🇳🇱")</f>
        <v>FBI Bahia City 🇳🇱</v>
      </c>
      <c r="B388" s="2" t="str">
        <f>IFERROR(__xludf.DUMMYFUNCTION("""COMPUTED_VALUE"""),"fbi_bahiacity")</f>
        <v>fbi_bahiacity</v>
      </c>
      <c r="C388" s="2" t="str">
        <f>IFERROR(__xludf.DUMMYFUNCTION("""COMPUTED_VALUE"""),"Não somos uma conta do FBI | Perfil de resenha e Infos sobre o esquadrão de aço! 🕵️‍♂️ Siga nossas redes sociais ⬇️")</f>
        <v>Não somos uma conta do FBI | Perfil de resenha e Infos sobre o esquadrão de aço! 🕵️‍♂️ Siga nossas redes sociais ⬇️</v>
      </c>
      <c r="D388" s="2">
        <f>IFERROR(__xludf.DUMMYFUNCTION("""COMPUTED_VALUE"""),1.855185100130526E-4)</f>
        <v>0.00018551851</v>
      </c>
      <c r="E388" s="2" t="str">
        <f>IFERROR(__xludf.DUMMYFUNCTION("""COMPUTED_VALUE"""),"      8.751")</f>
        <v>      8.751</v>
      </c>
    </row>
    <row r="389">
      <c r="A389" s="2" t="str">
        <f>IFERROR(__xludf.DUMMYFUNCTION("""COMPUTED_VALUE"""),"La Stampa")</f>
        <v>La Stampa</v>
      </c>
      <c r="B389" s="2" t="str">
        <f>IFERROR(__xludf.DUMMYFUNCTION("""COMPUTED_VALUE"""),"lastampa")</f>
        <v>lastampa</v>
      </c>
      <c r="C389" s="2" t="str">
        <f>IFERROR(__xludf.DUMMYFUNCTION("""COMPUTED_VALUE"""),"📰 Raccontiamo il senso delle cose. Ogni giorno, dal 1867
🌎 Da Torino al mondo")</f>
        <v>📰 Raccontiamo il senso delle cose. Ogni giorno, dal 1867
🌎 Da Torino al mondo</v>
      </c>
      <c r="D389" s="2">
        <f>IFERROR(__xludf.DUMMYFUNCTION("""COMPUTED_VALUE"""),1.855185100130526E-4)</f>
        <v>0.00018551851</v>
      </c>
      <c r="E389" s="2" t="str">
        <f>IFERROR(__xludf.DUMMYFUNCTION("""COMPUTED_VALUE"""),"  1.373.872")</f>
        <v>  1.373.872</v>
      </c>
    </row>
    <row r="390">
      <c r="A390" s="2" t="str">
        <f>IFERROR(__xludf.DUMMYFUNCTION("""COMPUTED_VALUE"""),"CORONEL SIQUEIRA 🇺🇦🇱🇷🇮🇱🐂🐃🐄")</f>
        <v>CORONEL SIQUEIRA 🇺🇦🇱🇷🇮🇱🐂🐃🐄</v>
      </c>
      <c r="B390" s="2" t="str">
        <f>IFERROR(__xludf.DUMMYFUNCTION("""COMPUTED_VALUE"""),"direitasiqueira")</f>
        <v>direitasiqueira</v>
      </c>
      <c r="C390" s="2" t="str">
        <f>IFERROR(__xludf.DUMMYFUNCTION("""COMPUTED_VALUE"""),"CIDADÃO DE BEM, PATRIOTA, VIÚVO, CRISTÃO, CONSERVADOR, HÉTERO CONVICTO, DE ASCENDÊNCIA EUROPEIA, ANTI-CORRUPÇÃO E VIVO.
SR. MUSK, ESTE É UM PERFIL PARÓDIA")</f>
        <v>CIDADÃO DE BEM, PATRIOTA, VIÚVO, CRISTÃO, CONSERVADOR, HÉTERO CONVICTO, DE ASCENDÊNCIA EUROPEIA, ANTI-CORRUPÇÃO E VIVO.
SR. MUSK, ESTE É UM PERFIL PARÓDIA</v>
      </c>
      <c r="D390" s="2">
        <f>IFERROR(__xludf.DUMMYFUNCTION("""COMPUTED_VALUE"""),1.855185100130526E-4)</f>
        <v>0.00018551851</v>
      </c>
      <c r="E390" s="2" t="str">
        <f>IFERROR(__xludf.DUMMYFUNCTION("""COMPUTED_VALUE"""),"    385.066")</f>
        <v>    385.066</v>
      </c>
    </row>
    <row r="391">
      <c r="A391" s="2" t="str">
        <f>IFERROR(__xludf.DUMMYFUNCTION("""COMPUTED_VALUE"""),"Teco")</f>
        <v>Teco</v>
      </c>
      <c r="B391" s="2" t="str">
        <f>IFERROR(__xludf.DUMMYFUNCTION("""COMPUTED_VALUE"""),"tecomedina")</f>
        <v>tecomedina</v>
      </c>
      <c r="C391" s="2" t="str">
        <f>IFERROR(__xludf.DUMMYFUNCTION("""COMPUTED_VALUE"""),"Hora de Expediente, Fim de Expediente e agora também no O assunto é dinheiro, sempre na CBN. Economia é o nosso esporte !")</f>
        <v>Hora de Expediente, Fim de Expediente e agora também no O assunto é dinheiro, sempre na CBN. Economia é o nosso esporte !</v>
      </c>
      <c r="D391" s="2">
        <f>IFERROR(__xludf.DUMMYFUNCTION("""COMPUTED_VALUE"""),1.855185100130526E-4)</f>
        <v>0.00018551851</v>
      </c>
      <c r="E391" s="2" t="str">
        <f>IFERROR(__xludf.DUMMYFUNCTION("""COMPUTED_VALUE"""),"     51.520")</f>
        <v>     51.520</v>
      </c>
    </row>
    <row r="392">
      <c r="A392" s="2" t="str">
        <f>IFERROR(__xludf.DUMMYFUNCTION("""COMPUTED_VALUE"""),"たてはま / CGBeginner @趣味独学映像クリエイター")</f>
        <v>たてはま / CGBeginner @趣味独学映像クリエイター</v>
      </c>
      <c r="B392" s="2" t="str">
        <f>IFERROR(__xludf.DUMMYFUNCTION("""COMPUTED_VALUE"""),"cgbeginner")</f>
        <v>cgbeginner</v>
      </c>
      <c r="C392" s="2" t="str">
        <f>IFERROR(__xludf.DUMMYFUNCTION("""COMPUTED_VALUE"""),"#映像制作 #3DCG #VFX #自作PC #ハイテク が好き。趣味で映像制作してます。#映画 好きでSF、アクション、スターウォーズ、MCU、クリストファー・ノーラン作品 が好きです。
映画解説やCG解説、ガジェットレビューのYouTubeをやってます→https://t.co/psXbT7CvG3")</f>
        <v>#映像制作 #3DCG #VFX #自作PC #ハイテク が好き。趣味で映像制作してます。#映画 好きでSF、アクション、スターウォーズ、MCU、クリストファー・ノーラン作品 が好きです。
映画解説やCG解説、ガジェットレビューのYouTubeをやってます→https://t.co/psXbT7CvG3</v>
      </c>
      <c r="D392" s="2">
        <f>IFERROR(__xludf.DUMMYFUNCTION("""COMPUTED_VALUE"""),1.855185100130526E-4)</f>
        <v>0.00018551851</v>
      </c>
      <c r="E392" s="2" t="str">
        <f>IFERROR(__xludf.DUMMYFUNCTION("""COMPUTED_VALUE"""),"      7.576")</f>
        <v>      7.576</v>
      </c>
    </row>
    <row r="393">
      <c r="A393" s="2" t="str">
        <f>IFERROR(__xludf.DUMMYFUNCTION("""COMPUTED_VALUE"""),"Rap World")</f>
        <v>Rap World</v>
      </c>
      <c r="B393" s="2" t="str">
        <f>IFERROR(__xludf.DUMMYFUNCTION("""COMPUTED_VALUE"""),"rapworldbr")</f>
        <v>rapworldbr</v>
      </c>
      <c r="C393" s="2" t="str">
        <f>IFERROR(__xludf.DUMMYFUNCTION("""COMPUTED_VALUE"""),"Informações e uma viagem cultural pelo Hip Hop de todo o mundo acompanhadas da opinião de um ADM Informal
Parcerias/Publicidades: contato.rapworldbr@gmail.com")</f>
        <v>Informações e uma viagem cultural pelo Hip Hop de todo o mundo acompanhadas da opinião de um ADM Informal
Parcerias/Publicidades: contato.rapworldbr@gmail.com</v>
      </c>
      <c r="D393" s="2">
        <f>IFERROR(__xludf.DUMMYFUNCTION("""COMPUTED_VALUE"""),1.855185100130526E-4)</f>
        <v>0.00018551851</v>
      </c>
      <c r="E393" s="2" t="str">
        <f>IFERROR(__xludf.DUMMYFUNCTION("""COMPUTED_VALUE"""),"     26.843")</f>
        <v>     26.843</v>
      </c>
    </row>
    <row r="394">
      <c r="A394" s="2" t="str">
        <f>IFERROR(__xludf.DUMMYFUNCTION("""COMPUTED_VALUE"""),"Eleições em Pauta")</f>
        <v>Eleições em Pauta</v>
      </c>
      <c r="B394" s="2" t="str">
        <f>IFERROR(__xludf.DUMMYFUNCTION("""COMPUTED_VALUE"""),"eleicoesempauta")</f>
        <v>eleicoesempauta</v>
      </c>
      <c r="C394" s="2" t="str">
        <f>IFERROR(__xludf.DUMMYFUNCTION("""COMPUTED_VALUE"""),"A cobertura das eleições municipais brasileiras e das eleições gerais americanas de 2024. Vem com a gente! A disputa já começou.")</f>
        <v>A cobertura das eleições municipais brasileiras e das eleições gerais americanas de 2024. Vem com a gente! A disputa já começou.</v>
      </c>
      <c r="D394" s="2">
        <f>IFERROR(__xludf.DUMMYFUNCTION("""COMPUTED_VALUE"""),1.855185100130526E-4)</f>
        <v>0.00018551851</v>
      </c>
      <c r="E394" s="2" t="str">
        <f>IFERROR(__xludf.DUMMYFUNCTION("""COMPUTED_VALUE"""),"      1.487")</f>
        <v>      1.487</v>
      </c>
    </row>
    <row r="395">
      <c r="A395" s="2" t="str">
        <f>IFERROR(__xludf.DUMMYFUNCTION("""COMPUTED_VALUE"""),"Little Marcos")</f>
        <v>Little Marcos</v>
      </c>
      <c r="B395" s="2" t="str">
        <f>IFERROR(__xludf.DUMMYFUNCTION("""COMPUTED_VALUE"""),"marcosooliv")</f>
        <v>marcosooliv</v>
      </c>
      <c r="C395" s="2" t="str">
        <f>IFERROR(__xludf.DUMMYFUNCTION("""COMPUTED_VALUE"""),"NÃO USO GRINDR!")</f>
        <v>NÃO USO GRINDR!</v>
      </c>
      <c r="D395" s="2">
        <f>IFERROR(__xludf.DUMMYFUNCTION("""COMPUTED_VALUE"""),1.855185100130526E-4)</f>
        <v>0.00018551851</v>
      </c>
      <c r="E395" s="2" t="str">
        <f>IFERROR(__xludf.DUMMYFUNCTION("""COMPUTED_VALUE"""),"     28.017")</f>
        <v>     28.017</v>
      </c>
    </row>
    <row r="396">
      <c r="A396" s="2" t="str">
        <f>IFERROR(__xludf.DUMMYFUNCTION("""COMPUTED_VALUE"""),"ceci")</f>
        <v>ceci</v>
      </c>
      <c r="B396" s="2" t="str">
        <f>IFERROR(__xludf.DUMMYFUNCTION("""COMPUTED_VALUE"""),"_cedilia")</f>
        <v>_cedilia</v>
      </c>
      <c r="C396" s="2" t="str">
        <f>IFERROR(__xludf.DUMMYFUNCTION("""COMPUTED_VALUE"""),"gerador de lero lero")</f>
        <v>gerador de lero lero</v>
      </c>
      <c r="D396" s="2">
        <f>IFERROR(__xludf.DUMMYFUNCTION("""COMPUTED_VALUE"""),1.855185100130526E-4)</f>
        <v>0.00018551851</v>
      </c>
      <c r="E396" s="2" t="str">
        <f>IFERROR(__xludf.DUMMYFUNCTION("""COMPUTED_VALUE"""),"      1.662")</f>
        <v>      1.662</v>
      </c>
    </row>
    <row r="397">
      <c r="A397" s="2" t="str">
        <f>IFERROR(__xludf.DUMMYFUNCTION("""COMPUTED_VALUE"""),"Arthur do Val - Mamaefalei")</f>
        <v>Arthur do Val - Mamaefalei</v>
      </c>
      <c r="B397" s="2" t="str">
        <f>IFERROR(__xludf.DUMMYFUNCTION("""COMPUTED_VALUE"""),"arthurmoledoval")</f>
        <v>arthurmoledoval</v>
      </c>
      <c r="C397" s="2" t="str">
        <f>IFERROR(__xludf.DUMMYFUNCTION("""COMPUTED_VALUE"""),"Empresário, Youtuber;
10% p/ prefeitura de São Paulo;
2⁰ Dep. Estadual mais votado de SP;
Eleito por meio milhão de paulistas, cassado pelo sistema")</f>
        <v>Empresário, Youtuber;
10% p/ prefeitura de São Paulo;
2⁰ Dep. Estadual mais votado de SP;
Eleito por meio milhão de paulistas, cassado pelo sistema</v>
      </c>
      <c r="D397" s="2">
        <f>IFERROR(__xludf.DUMMYFUNCTION("""COMPUTED_VALUE"""),1.855185100130526E-4)</f>
        <v>0.00018551851</v>
      </c>
      <c r="E397" s="2" t="str">
        <f>IFERROR(__xludf.DUMMYFUNCTION("""COMPUTED_VALUE"""),"    581.958")</f>
        <v>    581.958</v>
      </c>
    </row>
    <row r="398">
      <c r="A398" s="2" t="str">
        <f>IFERROR(__xludf.DUMMYFUNCTION("""COMPUTED_VALUE"""),"Sidney")</f>
        <v>Sidney</v>
      </c>
      <c r="B398" s="2" t="str">
        <f>IFERROR(__xludf.DUMMYFUNCTION("""COMPUTED_VALUE"""),"sihdney")</f>
        <v>sihdney</v>
      </c>
      <c r="C398" s="2" t="str">
        <f>IFERROR(__xludf.DUMMYFUNCTION("""COMPUTED_VALUE"""),"Hallelujah")</f>
        <v>Hallelujah</v>
      </c>
      <c r="D398" s="2">
        <f>IFERROR(__xludf.DUMMYFUNCTION("""COMPUTED_VALUE"""),1.855185100130526E-4)</f>
        <v>0.00018551851</v>
      </c>
      <c r="E398" s="2" t="str">
        <f>IFERROR(__xludf.DUMMYFUNCTION("""COMPUTED_VALUE"""),"     52.161")</f>
        <v>     52.161</v>
      </c>
    </row>
    <row r="399">
      <c r="A399" s="2" t="str">
        <f>IFERROR(__xludf.DUMMYFUNCTION("""COMPUTED_VALUE"""),"CNN Economia")</f>
        <v>CNN Economia</v>
      </c>
      <c r="B399" s="2" t="str">
        <f>IFERROR(__xludf.DUMMYFUNCTION("""COMPUTED_VALUE"""),"cnneconomia")</f>
        <v>cnneconomia</v>
      </c>
      <c r="C399" s="2" t="str">
        <f>IFERROR(__xludf.DUMMYFUNCTION("""COMPUTED_VALUE"""),"Você por dentro de tudo o que move a economia. Agora.
@CNNBrasil")</f>
        <v>Você por dentro de tudo o que move a economia. Agora.
@CNNBrasil</v>
      </c>
      <c r="D399" s="2">
        <f>IFERROR(__xludf.DUMMYFUNCTION("""COMPUTED_VALUE"""),1.855185100130526E-4)</f>
        <v>0.00018551851</v>
      </c>
      <c r="E399" s="2" t="str">
        <f>IFERROR(__xludf.DUMMYFUNCTION("""COMPUTED_VALUE"""),"    199.596")</f>
        <v>    199.596</v>
      </c>
    </row>
    <row r="400">
      <c r="A400" s="2" t="str">
        <f>IFERROR(__xludf.DUMMYFUNCTION("""COMPUTED_VALUE"""),"Câmara Municipal do Funchal")</f>
        <v>Câmara Municipal do Funchal</v>
      </c>
      <c r="B400" s="2" t="str">
        <f>IFERROR(__xludf.DUMMYFUNCTION("""COMPUTED_VALUE"""),"munfunchal")</f>
        <v>munfunchal</v>
      </c>
      <c r="C400" s="2" t="str">
        <f>IFERROR(__xludf.DUMMYFUNCTION("""COMPUTED_VALUE"""),"Página oficial de Twitter da Câmara Municipal do Funchal")</f>
        <v>Página oficial de Twitter da Câmara Municipal do Funchal</v>
      </c>
      <c r="D400" s="2">
        <f>IFERROR(__xludf.DUMMYFUNCTION("""COMPUTED_VALUE"""),1.855185100130526E-4)</f>
        <v>0.00018551851</v>
      </c>
      <c r="E400" s="2" t="str">
        <f>IFERROR(__xludf.DUMMYFUNCTION("""COMPUTED_VALUE"""),"      3.692")</f>
        <v>      3.692</v>
      </c>
    </row>
    <row r="401">
      <c r="A401" s="2" t="str">
        <f>IFERROR(__xludf.DUMMYFUNCTION("""COMPUTED_VALUE"""),"maria jurídico leighton murray")</f>
        <v>maria jurídico leighton murray</v>
      </c>
      <c r="B401" s="2" t="str">
        <f>IFERROR(__xludf.DUMMYFUNCTION("""COMPUTED_VALUE"""),"blystreet")</f>
        <v>blystreet</v>
      </c>
      <c r="C401" s="2" t="str">
        <f>IFERROR(__xludf.DUMMYFUNCTION("""COMPUTED_VALUE"""),"- evelyn, who was your great love?                      
      - 𝘤𝘦𝘭𝘪𝘢 𝘴𝘵. 𝘫𝘢𝘮𝘦𝘴.")</f>
        <v>- evelyn, who was your great love?                      
      - 𝘤𝘦𝘭𝘪𝘢 𝘴𝘵. 𝘫𝘢𝘮𝘦𝘴.</v>
      </c>
      <c r="D401" s="2">
        <f>IFERROR(__xludf.DUMMYFUNCTION("""COMPUTED_VALUE"""),1.855185100130526E-4)</f>
        <v>0.00018551851</v>
      </c>
      <c r="E401" s="2" t="str">
        <f>IFERROR(__xludf.DUMMYFUNCTION("""COMPUTED_VALUE"""),"     40.930")</f>
        <v>     40.930</v>
      </c>
    </row>
    <row r="402">
      <c r="A402" s="2" t="str">
        <f>IFERROR(__xludf.DUMMYFUNCTION("""COMPUTED_VALUE"""),"Aline Dias ⭕️✨")</f>
        <v>Aline Dias ⭕️✨</v>
      </c>
      <c r="B402" s="2" t="str">
        <f>IFERROR(__xludf.DUMMYFUNCTION("""COMPUTED_VALUE"""),"alinezitadias")</f>
        <v>alinezitadias</v>
      </c>
      <c r="C402" s="2" t="str">
        <f>IFERROR(__xludf.DUMMYFUNCTION("""COMPUTED_VALUE"""),"Investing and Party Campo Grande-MS *cuidado com fakes, nao vendo conteúdos*")</f>
        <v>Investing and Party Campo Grande-MS *cuidado com fakes, nao vendo conteúdos*</v>
      </c>
      <c r="D402" s="2">
        <f>IFERROR(__xludf.DUMMYFUNCTION("""COMPUTED_VALUE"""),1.855185100130526E-4)</f>
        <v>0.00018551851</v>
      </c>
      <c r="E402" s="2" t="str">
        <f>IFERROR(__xludf.DUMMYFUNCTION("""COMPUTED_VALUE"""),"    414.478")</f>
        <v>    414.478</v>
      </c>
    </row>
    <row r="403">
      <c r="A403" s="2" t="str">
        <f>IFERROR(__xludf.DUMMYFUNCTION("""COMPUTED_VALUE"""),"Análise de Ações")</f>
        <v>Análise de Ações</v>
      </c>
      <c r="B403" s="2" t="str">
        <f>IFERROR(__xludf.DUMMYFUNCTION("""COMPUTED_VALUE"""),"analisedeacoes")</f>
        <v>analisedeacoes</v>
      </c>
      <c r="C403" s="2" t="str">
        <f>IFERROR(__xludf.DUMMYFUNCTION("""COMPUTED_VALUE"""),"Investimentos com foco no longo prazo e investidor da bolsa desde 2010. ‼️ baixe o app “Análise de Ações”")</f>
        <v>Investimentos com foco no longo prazo e investidor da bolsa desde 2010. ‼️ baixe o app “Análise de Ações”</v>
      </c>
      <c r="D403" s="2">
        <f>IFERROR(__xludf.DUMMYFUNCTION("""COMPUTED_VALUE"""),1.855185100130526E-4)</f>
        <v>0.00018551851</v>
      </c>
      <c r="E403" s="2" t="str">
        <f>IFERROR(__xludf.DUMMYFUNCTION("""COMPUTED_VALUE"""),"      2.663")</f>
        <v>      2.663</v>
      </c>
    </row>
    <row r="404">
      <c r="A404" s="2" t="str">
        <f>IFERROR(__xludf.DUMMYFUNCTION("""COMPUTED_VALUE"""),"Diário do Transporte")</f>
        <v>Diário do Transporte</v>
      </c>
      <c r="B404" s="2" t="str">
        <f>IFERROR(__xludf.DUMMYFUNCTION("""COMPUTED_VALUE"""),"d_dotransporte")</f>
        <v>d_dotransporte</v>
      </c>
      <c r="C404" s="2" t="str">
        <f>IFERROR(__xludf.DUMMYFUNCTION("""COMPUTED_VALUE"""),"Informações sobre Transportes. Por Adamo Bazani")</f>
        <v>Informações sobre Transportes. Por Adamo Bazani</v>
      </c>
      <c r="D404" s="2">
        <f>IFERROR(__xludf.DUMMYFUNCTION("""COMPUTED_VALUE"""),1.855185100130526E-4)</f>
        <v>0.00018551851</v>
      </c>
      <c r="E404" s="2" t="str">
        <f>IFERROR(__xludf.DUMMYFUNCTION("""COMPUTED_VALUE"""),"      9.111")</f>
        <v>      9.111</v>
      </c>
    </row>
    <row r="405">
      <c r="A405" s="2" t="str">
        <f>IFERROR(__xludf.DUMMYFUNCTION("""COMPUTED_VALUE"""),"Αntonio Nogueira Leite")</f>
        <v>Αntonio Nogueira Leite</v>
      </c>
      <c r="B405" s="2" t="str">
        <f>IFERROR(__xludf.DUMMYFUNCTION("""COMPUTED_VALUE"""),"al_antdp")</f>
        <v>al_antdp</v>
      </c>
      <c r="C405" s="2" t="str">
        <f>IFERROR(__xludf.DUMMYFUNCTION("""COMPUTED_VALUE"""),"Professor Catedrático @novasbe. Chairman of the Board, https://t.co/REY1BwCqff. I am the sole responsible for my tweets. Sic Transit Gloria Mundi")</f>
        <v>Professor Catedrático @novasbe. Chairman of the Board, https://t.co/REY1BwCqff. I am the sole responsible for my tweets. Sic Transit Gloria Mundi</v>
      </c>
      <c r="D405" s="2">
        <f>IFERROR(__xludf.DUMMYFUNCTION("""COMPUTED_VALUE"""),1.855185100130526E-4)</f>
        <v>0.00018551851</v>
      </c>
      <c r="E405" s="2" t="str">
        <f>IFERROR(__xludf.DUMMYFUNCTION("""COMPUTED_VALUE"""),"     56.445")</f>
        <v>     56.445</v>
      </c>
    </row>
    <row r="406">
      <c r="A406" s="2" t="str">
        <f>IFERROR(__xludf.DUMMYFUNCTION("""COMPUTED_VALUE"""),"Stefano Bonaccini")</f>
        <v>Stefano Bonaccini</v>
      </c>
      <c r="B406" s="2" t="str">
        <f>IFERROR(__xludf.DUMMYFUNCTION("""COMPUTED_VALUE"""),"sbonaccini")</f>
        <v>sbonaccini</v>
      </c>
      <c r="C406" s="2" t="str">
        <f>IFERROR(__xludf.DUMMYFUNCTION("""COMPUTED_VALUE"""),"Presidente della Regione Emilia-Romagna")</f>
        <v>Presidente della Regione Emilia-Romagna</v>
      </c>
      <c r="D406" s="2">
        <f>IFERROR(__xludf.DUMMYFUNCTION("""COMPUTED_VALUE"""),1.855185100130526E-4)</f>
        <v>0.00018551851</v>
      </c>
      <c r="E406" s="2" t="str">
        <f>IFERROR(__xludf.DUMMYFUNCTION("""COMPUTED_VALUE"""),"    163.119")</f>
        <v>    163.119</v>
      </c>
    </row>
    <row r="407">
      <c r="A407" s="2" t="str">
        <f>IFERROR(__xludf.DUMMYFUNCTION("""COMPUTED_VALUE"""),"Maria Laura Assis")</f>
        <v>Maria Laura Assis</v>
      </c>
      <c r="B407" s="2" t="str">
        <f>IFERROR(__xludf.DUMMYFUNCTION("""COMPUTED_VALUE"""),"mlauraassis")</f>
        <v>mlauraassis</v>
      </c>
      <c r="C407" s="2" t="str">
        <f>IFERROR(__xludf.DUMMYFUNCTION("""COMPUTED_VALUE"""),"🇧🇷🇦🇷 | Comunicación Social (UBA) | Periodista/Jornalista | IG: mmassisok | Canal de YT 👇")</f>
        <v>🇧🇷🇦🇷 | Comunicación Social (UBA) | Periodista/Jornalista | IG: mmassisok | Canal de YT 👇</v>
      </c>
      <c r="D407" s="2">
        <f>IFERROR(__xludf.DUMMYFUNCTION("""COMPUTED_VALUE"""),1.855185100130526E-4)</f>
        <v>0.00018551851</v>
      </c>
      <c r="E407" s="2" t="str">
        <f>IFERROR(__xludf.DUMMYFUNCTION("""COMPUTED_VALUE"""),"    145.616")</f>
        <v>    145.616</v>
      </c>
    </row>
    <row r="408">
      <c r="A408" s="2" t="str">
        <f>IFERROR(__xludf.DUMMYFUNCTION("""COMPUTED_VALUE"""),"Raphaela")</f>
        <v>Raphaela</v>
      </c>
      <c r="B408" s="2" t="str">
        <f>IFERROR(__xludf.DUMMYFUNCTION("""COMPUTED_VALUE"""),"ops_raphaela")</f>
        <v>ops_raphaela</v>
      </c>
      <c r="C408" s="2" t="str">
        <f>IFERROR(__xludf.DUMMYFUNCTION("""COMPUTED_VALUE"""),"Botafogo 🤍🖤🔥    ✨Pode chegar e não encha o saco✨")</f>
        <v>Botafogo 🤍🖤🔥    ✨Pode chegar e não encha o saco✨</v>
      </c>
      <c r="D408" s="2">
        <f>IFERROR(__xludf.DUMMYFUNCTION("""COMPUTED_VALUE"""),1.855185100130526E-4)</f>
        <v>0.00018551851</v>
      </c>
      <c r="E408" s="2" t="str">
        <f>IFERROR(__xludf.DUMMYFUNCTION("""COMPUTED_VALUE"""),"      1.404")</f>
        <v>      1.404</v>
      </c>
    </row>
    <row r="409">
      <c r="A409" s="2" t="str">
        <f>IFERROR(__xludf.DUMMYFUNCTION("""COMPUTED_VALUE"""),"S.S.Lazio")</f>
        <v>S.S.Lazio</v>
      </c>
      <c r="B409" s="2" t="str">
        <f>IFERROR(__xludf.DUMMYFUNCTION("""COMPUTED_VALUE"""),"officialsslazio")</f>
        <v>officialsslazio</v>
      </c>
      <c r="C409" s="2" t="str">
        <f>IFERROR(__xludf.DUMMYFUNCTION("""COMPUTED_VALUE"""),"Profilo ufficiale della Società Sportiva Lazio | Esplora Lazio Fan Token ➡️ https://t.co/XaeVocsHP5")</f>
        <v>Profilo ufficiale della Società Sportiva Lazio | Esplora Lazio Fan Token ➡️ https://t.co/XaeVocsHP5</v>
      </c>
      <c r="D409" s="2">
        <f>IFERROR(__xludf.DUMMYFUNCTION("""COMPUTED_VALUE"""),1.855185100130526E-4)</f>
        <v>0.00018551851</v>
      </c>
      <c r="E409" s="2" t="str">
        <f>IFERROR(__xludf.DUMMYFUNCTION("""COMPUTED_VALUE"""),"    686.487")</f>
        <v>    686.487</v>
      </c>
    </row>
    <row r="410">
      <c r="A410" s="2" t="str">
        <f>IFERROR(__xludf.DUMMYFUNCTION("""COMPUTED_VALUE"""),"lari | sccp | jb | potterhead |")</f>
        <v>lari | sccp | jb | potterhead |</v>
      </c>
      <c r="B410" s="2" t="str">
        <f>IFERROR(__xludf.DUMMYFUNCTION("""COMPUTED_VALUE"""),"laresenhajb")</f>
        <v>laresenhajb</v>
      </c>
      <c r="C410" s="2" t="str">
        <f>IFERROR(__xludf.DUMMYFUNCTION("""COMPUTED_VALUE"""),"nesse perfil servimos ao @corinthians e ao @justinbieber e ao meu lindo e gostoso namorado")</f>
        <v>nesse perfil servimos ao @corinthians e ao @justinbieber e ao meu lindo e gostoso namorado</v>
      </c>
      <c r="D410" s="2">
        <f>IFERROR(__xludf.DUMMYFUNCTION("""COMPUTED_VALUE"""),1.855185100130526E-4)</f>
        <v>0.00018551851</v>
      </c>
      <c r="E410" s="2" t="str">
        <f>IFERROR(__xludf.DUMMYFUNCTION("""COMPUTED_VALUE"""),"      1.122")</f>
        <v>      1.122</v>
      </c>
    </row>
    <row r="411">
      <c r="A411" s="2" t="str">
        <f>IFERROR(__xludf.DUMMYFUNCTION("""COMPUTED_VALUE"""),"Roger Rocha Moreira")</f>
        <v>Roger Rocha Moreira</v>
      </c>
      <c r="B411" s="2" t="str">
        <f>IFERROR(__xludf.DUMMYFUNCTION("""COMPUTED_VALUE"""),"roxmo")</f>
        <v>roxmo</v>
      </c>
      <c r="C411" s="2" t="str">
        <f>IFERROR(__xludf.DUMMYFUNCTION("""COMPUTED_VALUE"""),"Rock and roller")</f>
        <v>Rock and roller</v>
      </c>
      <c r="D411" s="2">
        <f>IFERROR(__xludf.DUMMYFUNCTION("""COMPUTED_VALUE"""),1.855185100130526E-4)</f>
        <v>0.00018551851</v>
      </c>
      <c r="E411" s="2" t="str">
        <f>IFERROR(__xludf.DUMMYFUNCTION("""COMPUTED_VALUE"""),"  1.478.455")</f>
        <v>  1.478.455</v>
      </c>
    </row>
    <row r="412">
      <c r="A412" s="2" t="str">
        <f>IFERROR(__xludf.DUMMYFUNCTION("""COMPUTED_VALUE"""),"Jornal O Globo")</f>
        <v>Jornal O Globo</v>
      </c>
      <c r="B412" s="2" t="str">
        <f>IFERROR(__xludf.DUMMYFUNCTION("""COMPUTED_VALUE"""),"jornaloglobo")</f>
        <v>jornaloglobo</v>
      </c>
      <c r="C412" s="2" t="str">
        <f>IFERROR(__xludf.DUMMYFUNCTION("""COMPUTED_VALUE"""),"Assine nossas newsletters: https://t.co/mbfuWOnkaW
Instagram: https://t.co/7A96TSSm5K
TikTok:  https://t.co/rSYWwvU5jf
Facebook: https://t.co/5N9PnRl0am")</f>
        <v>Assine nossas newsletters: https://t.co/mbfuWOnkaW
Instagram: https://t.co/7A96TSSm5K
TikTok:  https://t.co/rSYWwvU5jf
Facebook: https://t.co/5N9PnRl0am</v>
      </c>
      <c r="D412" s="2">
        <f>IFERROR(__xludf.DUMMYFUNCTION("""COMPUTED_VALUE"""),1.855185100130526E-4)</f>
        <v>0.00018551851</v>
      </c>
      <c r="E412" s="2" t="str">
        <f>IFERROR(__xludf.DUMMYFUNCTION("""COMPUTED_VALUE"""),"  7.372.952")</f>
        <v>  7.372.952</v>
      </c>
    </row>
    <row r="413">
      <c r="A413" s="2" t="str">
        <f>IFERROR(__xludf.DUMMYFUNCTION("""COMPUTED_VALUE"""),"Bia Kunze 📱")</f>
        <v>Bia Kunze 📱</v>
      </c>
      <c r="B413" s="2" t="str">
        <f>IFERROR(__xludf.DUMMYFUNCTION("""COMPUTED_VALUE"""),"garotasemfio")</f>
        <v>garotasemfio</v>
      </c>
      <c r="C413" s="2" t="str">
        <f>IFERROR(__xludf.DUMMYFUNCTION("""COMPUTED_VALUE"""),"Falo sobre tecnologia móvel desde 2002, hoje na @cbnoficial. Telecom, bioinformática e biotecnologia. Amo café, gatos e sequenciamento de nucleotídeos.")</f>
        <v>Falo sobre tecnologia móvel desde 2002, hoje na @cbnoficial. Telecom, bioinformática e biotecnologia. Amo café, gatos e sequenciamento de nucleotídeos.</v>
      </c>
      <c r="D413" s="2">
        <f>IFERROR(__xludf.DUMMYFUNCTION("""COMPUTED_VALUE"""),1.855185100130526E-4)</f>
        <v>0.00018551851</v>
      </c>
      <c r="E413" s="2" t="str">
        <f>IFERROR(__xludf.DUMMYFUNCTION("""COMPUTED_VALUE"""),"    313.282")</f>
        <v>    313.282</v>
      </c>
    </row>
    <row r="414">
      <c r="A414" s="2" t="str">
        <f>IFERROR(__xludf.DUMMYFUNCTION("""COMPUTED_VALUE"""),"ABC Futebol Clube")</f>
        <v>ABC Futebol Clube</v>
      </c>
      <c r="B414" s="2" t="str">
        <f>IFERROR(__xludf.DUMMYFUNCTION("""COMPUTED_VALUE"""),"abcfc")</f>
        <v>abcfc</v>
      </c>
      <c r="C414" s="2" t="str">
        <f>IFERROR(__xludf.DUMMYFUNCTION("""COMPUTED_VALUE"""),"Twitter oficial do ABC Futebol Clube - #OMaiorCampeãoDoMundo 🌍 | Campeão Brasileiro da Série C 2010 - Desde 1915 https://t.co/Y1vEYeShBj")</f>
        <v>Twitter oficial do ABC Futebol Clube - #OMaiorCampeãoDoMundo 🌍 | Campeão Brasileiro da Série C 2010 - Desde 1915 https://t.co/Y1vEYeShBj</v>
      </c>
      <c r="D414" s="2">
        <f>IFERROR(__xludf.DUMMYFUNCTION("""COMPUTED_VALUE"""),1.855185100130526E-4)</f>
        <v>0.00018551851</v>
      </c>
      <c r="E414" s="2" t="str">
        <f>IFERROR(__xludf.DUMMYFUNCTION("""COMPUTED_VALUE"""),"    139.774")</f>
        <v>    139.774</v>
      </c>
    </row>
    <row r="415">
      <c r="A415" s="2" t="str">
        <f>IFERROR(__xludf.DUMMYFUNCTION("""COMPUTED_VALUE"""),"Janaina Paschoal")</f>
        <v>Janaina Paschoal</v>
      </c>
      <c r="B415" s="2" t="str">
        <f>IFERROR(__xludf.DUMMYFUNCTION("""COMPUTED_VALUE"""),"janainadobrasil")</f>
        <v>janainadobrasil</v>
      </c>
      <c r="C415" s="2" t="str">
        <f>IFERROR(__xludf.DUMMYFUNCTION("""COMPUTED_VALUE"""),"Prof. Livre Docente de D. Penal na USP e Advogada; ex-Deputada Estadual por São Paulo.")</f>
        <v>Prof. Livre Docente de D. Penal na USP e Advogada; ex-Deputada Estadual por São Paulo.</v>
      </c>
      <c r="D415" s="2">
        <f>IFERROR(__xludf.DUMMYFUNCTION("""COMPUTED_VALUE"""),1.855185100130526E-4)</f>
        <v>0.00018551851</v>
      </c>
      <c r="E415" s="2" t="str">
        <f>IFERROR(__xludf.DUMMYFUNCTION("""COMPUTED_VALUE"""),"  1.180.499")</f>
        <v>  1.180.499</v>
      </c>
    </row>
    <row r="416">
      <c r="A416" s="2" t="str">
        <f>IFERROR(__xludf.DUMMYFUNCTION("""COMPUTED_VALUE"""),"Mateus Fazeno Rock")</f>
        <v>Mateus Fazeno Rock</v>
      </c>
      <c r="B416" s="2" t="str">
        <f>IFERROR(__xludf.DUMMYFUNCTION("""COMPUTED_VALUE"""),"fazenorock")</f>
        <v>fazenorock</v>
      </c>
      <c r="C416" s="2" t="str">
        <f>IFERROR(__xludf.DUMMYFUNCTION("""COMPUTED_VALUE"""),"#ROCKDEFAVELA | Ouça Jesus Ñ Voltará https://t.co/KmfU6QOgjw")</f>
        <v>#ROCKDEFAVELA | Ouça Jesus Ñ Voltará https://t.co/KmfU6QOgjw</v>
      </c>
      <c r="D416" s="2">
        <f>IFERROR(__xludf.DUMMYFUNCTION("""COMPUTED_VALUE"""),1.855185100130526E-4)</f>
        <v>0.00018551851</v>
      </c>
      <c r="E416" s="2" t="str">
        <f>IFERROR(__xludf.DUMMYFUNCTION("""COMPUTED_VALUE"""),"      3.639")</f>
        <v>      3.639</v>
      </c>
    </row>
    <row r="417">
      <c r="A417" s="2" t="str">
        <f>IFERROR(__xludf.DUMMYFUNCTION("""COMPUTED_VALUE"""),"Jim Ferguson")</f>
        <v>Jim Ferguson</v>
      </c>
      <c r="B417" s="2" t="str">
        <f>IFERROR(__xludf.DUMMYFUNCTION("""COMPUTED_VALUE"""),"jimfergusonuk")</f>
        <v>jimfergusonuk</v>
      </c>
      <c r="C417" s="2" t="str">
        <f>IFERROR(__xludf.DUMMYFUNCTION("""COMPUTED_VALUE"""),"Former Parliamentary candidate with The Brexit Party Barnsley. Businessman entrepreneur. Standing up for the people and our communities. 🇺🇸🇨🇦🇦🇺🇳🇿")</f>
        <v>Former Parliamentary candidate with The Brexit Party Barnsley. Businessman entrepreneur. Standing up for the people and our communities. 🇺🇸🇨🇦🇦🇺🇳🇿</v>
      </c>
      <c r="D417" s="2">
        <f>IFERROR(__xludf.DUMMYFUNCTION("""COMPUTED_VALUE"""),1.855185100130526E-4)</f>
        <v>0.00018551851</v>
      </c>
      <c r="E417" s="2" t="str">
        <f>IFERROR(__xludf.DUMMYFUNCTION("""COMPUTED_VALUE"""),"     96.581")</f>
        <v>     96.581</v>
      </c>
    </row>
    <row r="418">
      <c r="A418" s="2" t="str">
        <f>IFERROR(__xludf.DUMMYFUNCTION("""COMPUTED_VALUE"""),"Marlon Noronha")</f>
        <v>Marlon Noronha</v>
      </c>
      <c r="B418" s="2" t="str">
        <f>IFERROR(__xludf.DUMMYFUNCTION("""COMPUTED_VALUE"""),"marlonnoronha9")</f>
        <v>marlonnoronha9</v>
      </c>
      <c r="C418" s="2" t="str">
        <f>IFERROR(__xludf.DUMMYFUNCTION("""COMPUTED_VALUE"""),"Santista, sonhador, feliz e criador da SantosPlay!")</f>
        <v>Santista, sonhador, feliz e criador da SantosPlay!</v>
      </c>
      <c r="D418" s="2">
        <f>IFERROR(__xludf.DUMMYFUNCTION("""COMPUTED_VALUE"""),1.855185100130526E-4)</f>
        <v>0.00018551851</v>
      </c>
      <c r="E418" s="2" t="str">
        <f>IFERROR(__xludf.DUMMYFUNCTION("""COMPUTED_VALUE"""),"      4.241")</f>
        <v>      4.241</v>
      </c>
    </row>
    <row r="419">
      <c r="A419" s="2" t="str">
        <f>IFERROR(__xludf.DUMMYFUNCTION("""COMPUTED_VALUE"""),"Gustav 🚩")</f>
        <v>Gustav 🚩</v>
      </c>
      <c r="B419" s="2" t="str">
        <f>IFERROR(__xludf.DUMMYFUNCTION("""COMPUTED_VALUE"""),"gustavramski")</f>
        <v>gustavramski</v>
      </c>
      <c r="C419" s="2" t="str">
        <f>IFERROR(__xludf.DUMMYFUNCTION("""COMPUTED_VALUE"""),"Xô fascistas, bolsonaristas, racistas, moristas, fdp's e afins.")</f>
        <v>Xô fascistas, bolsonaristas, racistas, moristas, fdp's e afins.</v>
      </c>
      <c r="D419" s="2">
        <f>IFERROR(__xludf.DUMMYFUNCTION("""COMPUTED_VALUE"""),1.855185100130526E-4)</f>
        <v>0.00018551851</v>
      </c>
      <c r="E419" s="2" t="str">
        <f>IFERROR(__xludf.DUMMYFUNCTION("""COMPUTED_VALUE"""),"     38.864")</f>
        <v>     38.864</v>
      </c>
    </row>
    <row r="420">
      <c r="A420" s="2" t="str">
        <f>IFERROR(__xludf.DUMMYFUNCTION("""COMPUTED_VALUE"""),"TeleLigados Na Tv")</f>
        <v>TeleLigados Na Tv</v>
      </c>
      <c r="B420" s="2" t="str">
        <f>IFERROR(__xludf.DUMMYFUNCTION("""COMPUTED_VALUE"""),"teleligadosnatv")</f>
        <v>teleligadosnatv</v>
      </c>
      <c r="C420" s="2" t="str">
        <f>IFERROR(__xludf.DUMMYFUNCTION("""COMPUTED_VALUE"""),"🚨Página informativa sobre tudo que acontece na Televisão brasileira| Contato: teleligadosnatv@gmail.com")</f>
        <v>🚨Página informativa sobre tudo que acontece na Televisão brasileira| Contato: teleligadosnatv@gmail.com</v>
      </c>
      <c r="D420" s="2">
        <f>IFERROR(__xludf.DUMMYFUNCTION("""COMPUTED_VALUE"""),1.855185100130526E-4)</f>
        <v>0.00018551851</v>
      </c>
      <c r="E420" s="2" t="str">
        <f>IFERROR(__xludf.DUMMYFUNCTION("""COMPUTED_VALUE"""),"      9.544")</f>
        <v>      9.544</v>
      </c>
    </row>
    <row r="421">
      <c r="A421" s="2" t="str">
        <f>IFERROR(__xludf.DUMMYFUNCTION("""COMPUTED_VALUE"""),"Kátia Abreu")</f>
        <v>Kátia Abreu</v>
      </c>
      <c r="B421" s="2" t="str">
        <f>IFERROR(__xludf.DUMMYFUNCTION("""COMPUTED_VALUE"""),"katiaabreu")</f>
        <v>katiaabreu</v>
      </c>
      <c r="C421" s="2" t="str">
        <f>IFERROR(__xludf.DUMMYFUNCTION("""COMPUTED_VALUE"""),"Uma vida dedicada as pessoas .https://t.co/ck4Tg0mVsg…")</f>
        <v>Uma vida dedicada as pessoas .https://t.co/ck4Tg0mVsg…</v>
      </c>
      <c r="D421" s="2">
        <f>IFERROR(__xludf.DUMMYFUNCTION("""COMPUTED_VALUE"""),1.855185100130526E-4)</f>
        <v>0.00018551851</v>
      </c>
      <c r="E421" s="2" t="str">
        <f>IFERROR(__xludf.DUMMYFUNCTION("""COMPUTED_VALUE"""),"    181.228")</f>
        <v>    181.228</v>
      </c>
    </row>
    <row r="422">
      <c r="A422" s="2" t="str">
        <f>IFERROR(__xludf.DUMMYFUNCTION("""COMPUTED_VALUE"""),"Matteo Salvini")</f>
        <v>Matteo Salvini</v>
      </c>
      <c r="B422" s="2" t="str">
        <f>IFERROR(__xludf.DUMMYFUNCTION("""COMPUTED_VALUE"""),"matteosalvinimi")</f>
        <v>matteosalvinimi</v>
      </c>
      <c r="C422" s="2" t="str">
        <f>IFERROR(__xludf.DUMMYFUNCTION("""COMPUTED_VALUE"""),"Vicepremier e ministro delle Infrastrutture e dei Trasporti. Leader della Lega 🇮🇹")</f>
        <v>Vicepremier e ministro delle Infrastrutture e dei Trasporti. Leader della Lega 🇮🇹</v>
      </c>
      <c r="D422" s="2">
        <f>IFERROR(__xludf.DUMMYFUNCTION("""COMPUTED_VALUE"""),1.855185100130526E-4)</f>
        <v>0.00018551851</v>
      </c>
      <c r="E422" s="2" t="str">
        <f>IFERROR(__xludf.DUMMYFUNCTION("""COMPUTED_VALUE"""),"  1.514.525")</f>
        <v>  1.514.525</v>
      </c>
    </row>
    <row r="423">
      <c r="A423" s="2" t="str">
        <f>IFERROR(__xludf.DUMMYFUNCTION("""COMPUTED_VALUE"""),"buck ☯")</f>
        <v>buck ☯</v>
      </c>
      <c r="B423" s="2" t="str">
        <f>IFERROR(__xludf.DUMMYFUNCTION("""COMPUTED_VALUE"""),"buuckz")</f>
        <v>buuckz</v>
      </c>
      <c r="C423" s="2" t="str">
        <f>IFERROR(__xludf.DUMMYFUNCTION("""COMPUTED_VALUE"""),"eles sempre tao falando meu nome mas eu digo #fuck eu nao ligo pra isso")</f>
        <v>eles sempre tao falando meu nome mas eu digo #fuck eu nao ligo pra isso</v>
      </c>
      <c r="D423" s="2">
        <f>IFERROR(__xludf.DUMMYFUNCTION("""COMPUTED_VALUE"""),1.855185100130526E-4)</f>
        <v>0.00018551851</v>
      </c>
      <c r="E423" s="2" t="str">
        <f>IFERROR(__xludf.DUMMYFUNCTION("""COMPUTED_VALUE"""),"      3.126")</f>
        <v>      3.126</v>
      </c>
    </row>
    <row r="424">
      <c r="A424" s="2" t="str">
        <f>IFERROR(__xludf.DUMMYFUNCTION("""COMPUTED_VALUE"""),"Ramiro Rosário")</f>
        <v>Ramiro Rosário</v>
      </c>
      <c r="B424" s="2" t="str">
        <f>IFERROR(__xludf.DUMMYFUNCTION("""COMPUTED_VALUE"""),"curtaramiro")</f>
        <v>curtaramiro</v>
      </c>
      <c r="C424" s="2" t="str">
        <f>IFERROR(__xludf.DUMMYFUNCTION("""COMPUTED_VALUE"""),"Vereador reeleito e autor do Pacote Contra Corrupção de Porto Alegre. Luto por mais liberdade e menos Estado. Marido da Aline e orgulhoso pai da Lavínia.")</f>
        <v>Vereador reeleito e autor do Pacote Contra Corrupção de Porto Alegre. Luto por mais liberdade e menos Estado. Marido da Aline e orgulhoso pai da Lavínia.</v>
      </c>
      <c r="D424" s="2">
        <f>IFERROR(__xludf.DUMMYFUNCTION("""COMPUTED_VALUE"""),1.855185100130526E-4)</f>
        <v>0.00018551851</v>
      </c>
      <c r="E424" s="2" t="str">
        <f>IFERROR(__xludf.DUMMYFUNCTION("""COMPUTED_VALUE"""),"     28.185")</f>
        <v>     28.185</v>
      </c>
    </row>
    <row r="425">
      <c r="A425" s="2" t="str">
        <f>IFERROR(__xludf.DUMMYFUNCTION("""COMPUTED_VALUE"""),"Não é o vitao")</f>
        <v>Não é o vitao</v>
      </c>
      <c r="B425" s="2" t="str">
        <f>IFERROR(__xludf.DUMMYFUNCTION("""COMPUTED_VALUE"""),"gorilacore")</f>
        <v>gorilacore</v>
      </c>
      <c r="C425" s="2" t="str">
        <f>IFERROR(__xludf.DUMMYFUNCTION("""COMPUTED_VALUE"""),"Modo Gorila //
MandiCore (≧◡≦) ♡ //
Real delinquents live fast and die young")</f>
        <v>Modo Gorila //
MandiCore (≧◡≦) ♡ //
Real delinquents live fast and die young</v>
      </c>
      <c r="D425" s="2">
        <f>IFERROR(__xludf.DUMMYFUNCTION("""COMPUTED_VALUE"""),1.855185100130526E-4)</f>
        <v>0.00018551851</v>
      </c>
      <c r="E425" s="2" t="str">
        <f>IFERROR(__xludf.DUMMYFUNCTION("""COMPUTED_VALUE"""),"      2.376")</f>
        <v>      2.376</v>
      </c>
    </row>
    <row r="426">
      <c r="A426" s="2" t="str">
        <f>IFERROR(__xludf.DUMMYFUNCTION("""COMPUTED_VALUE"""),"SEJA SÁBIO 🧠")</f>
        <v>SEJA SÁBIO 🧠</v>
      </c>
      <c r="B426" s="2" t="str">
        <f>IFERROR(__xludf.DUMMYFUNCTION("""COMPUTED_VALUE"""),"sejasabiio")</f>
        <v>sejasabiio</v>
      </c>
      <c r="C426" s="2" t="str">
        <f>IFERROR(__xludf.DUMMYFUNCTION("""COMPUTED_VALUE"""),"MELHORES FOTOS E FRASES VOCÊS SÓ ENCONTRAM AQUI 🔥, PARCERIA SÓ CHAMAR NA DM!!")</f>
        <v>MELHORES FOTOS E FRASES VOCÊS SÓ ENCONTRAM AQUI 🔥, PARCERIA SÓ CHAMAR NA DM!!</v>
      </c>
      <c r="D426" s="2">
        <f>IFERROR(__xludf.DUMMYFUNCTION("""COMPUTED_VALUE"""),1.855185100130526E-4)</f>
        <v>0.00018551851</v>
      </c>
      <c r="E426" s="2" t="str">
        <f>IFERROR(__xludf.DUMMYFUNCTION("""COMPUTED_VALUE"""),"     35.750")</f>
        <v>     35.750</v>
      </c>
    </row>
    <row r="427">
      <c r="A427" s="2" t="str">
        <f>IFERROR(__xludf.DUMMYFUNCTION("""COMPUTED_VALUE"""),"Fernando Campos")</f>
        <v>Fernando Campos</v>
      </c>
      <c r="B427" s="2" t="str">
        <f>IFERROR(__xludf.DUMMYFUNCTION("""COMPUTED_VALUE"""),"donancampos")</f>
        <v>donancampos</v>
      </c>
      <c r="C427" s="2" t="str">
        <f>IFERROR(__xludf.DUMMYFUNCTION("""COMPUTED_VALUE"""),"O Donan. Jornalista e Comentarista nos canais Disney. @ESPNBrasil e @STARPLUSBR.")</f>
        <v>O Donan. Jornalista e Comentarista nos canais Disney. @ESPNBrasil e @STARPLUSBR.</v>
      </c>
      <c r="D427" s="2">
        <f>IFERROR(__xludf.DUMMYFUNCTION("""COMPUTED_VALUE"""),1.855185100130526E-4)</f>
        <v>0.00018551851</v>
      </c>
      <c r="E427" s="2" t="str">
        <f>IFERROR(__xludf.DUMMYFUNCTION("""COMPUTED_VALUE"""),"    162.005")</f>
        <v>    162.005</v>
      </c>
    </row>
    <row r="428">
      <c r="A428" s="2" t="str">
        <f>IFERROR(__xludf.DUMMYFUNCTION("""COMPUTED_VALUE"""),"gio")</f>
        <v>gio</v>
      </c>
      <c r="B428" s="2" t="str">
        <f>IFERROR(__xludf.DUMMYFUNCTION("""COMPUTED_VALUE"""),"giova1nna")</f>
        <v>giova1nna</v>
      </c>
      <c r="C428" s="2" t="str">
        <f>IFERROR(__xludf.DUMMYFUNCTION("""COMPUTED_VALUE"""),"odeio canecas com frase")</f>
        <v>odeio canecas com frase</v>
      </c>
      <c r="D428" s="2">
        <f>IFERROR(__xludf.DUMMYFUNCTION("""COMPUTED_VALUE"""),1.855185100130526E-4)</f>
        <v>0.00018551851</v>
      </c>
      <c r="E428" s="2" t="str">
        <f>IFERROR(__xludf.DUMMYFUNCTION("""COMPUTED_VALUE"""),"      1.137")</f>
        <v>      1.137</v>
      </c>
    </row>
    <row r="429">
      <c r="A429" s="2" t="str">
        <f>IFERROR(__xludf.DUMMYFUNCTION("""COMPUTED_VALUE"""),"paiN Gaming")</f>
        <v>paiN Gaming</v>
      </c>
      <c r="B429" s="2" t="str">
        <f>IFERROR(__xludf.DUMMYFUNCTION("""COMPUTED_VALUE"""),"paingamingbr")</f>
        <v>paingamingbr</v>
      </c>
      <c r="C429" s="2" t="str">
        <f>IFERROR(__xludf.DUMMYFUNCTION("""COMPUTED_VALUE"""),"🌍 Biggest Esports Organization in Latin America | 🏆 LoL; Free Fire; CS:GO | 🛒 Store 👇")</f>
        <v>🌍 Biggest Esports Organization in Latin America | 🏆 LoL; Free Fire; CS:GO | 🛒 Store 👇</v>
      </c>
      <c r="D429" s="2">
        <f>IFERROR(__xludf.DUMMYFUNCTION("""COMPUTED_VALUE"""),1.855185100130526E-4)</f>
        <v>0.00018551851</v>
      </c>
      <c r="E429" s="2" t="str">
        <f>IFERROR(__xludf.DUMMYFUNCTION("""COMPUTED_VALUE"""),"    690.440")</f>
        <v>    690.440</v>
      </c>
    </row>
    <row r="430">
      <c r="A430" s="2" t="str">
        <f>IFERROR(__xludf.DUMMYFUNCTION("""COMPUTED_VALUE"""),"LOUD RIQUE")</f>
        <v>LOUD RIQUE</v>
      </c>
      <c r="B430" s="2" t="str">
        <f>IFERROR(__xludf.DUMMYFUNCTION("""COMPUTED_VALUE"""),"tnoise")</f>
        <v>tnoise</v>
      </c>
      <c r="C430" s="2" t="str">
        <f>IFERROR(__xludf.DUMMYFUNCTION("""COMPUTED_VALUE"""),"Rique da Noise")</f>
        <v>Rique da Noise</v>
      </c>
      <c r="D430" s="2">
        <f>IFERROR(__xludf.DUMMYFUNCTION("""COMPUTED_VALUE"""),1.855185100130526E-4)</f>
        <v>0.00018551851</v>
      </c>
      <c r="E430" s="2" t="str">
        <f>IFERROR(__xludf.DUMMYFUNCTION("""COMPUTED_VALUE"""),"      4.423")</f>
        <v>      4.423</v>
      </c>
    </row>
    <row r="431">
      <c r="A431" s="2" t="str">
        <f>IFERROR(__xludf.DUMMYFUNCTION("""COMPUTED_VALUE"""),"Il Fatto Quotidiano")</f>
        <v>Il Fatto Quotidiano</v>
      </c>
      <c r="B431" s="2" t="str">
        <f>IFERROR(__xludf.DUMMYFUNCTION("""COMPUTED_VALUE"""),"fattoquotidiano")</f>
        <v>fattoquotidiano</v>
      </c>
      <c r="C431" s="13" t="str">
        <f>IFERROR(__xludf.DUMMYFUNCTION("""COMPUTED_VALUE"""),"https://t.co/5lWcvi4IJR")</f>
        <v>https://t.co/5lWcvi4IJR</v>
      </c>
      <c r="D431" s="2">
        <f>IFERROR(__xludf.DUMMYFUNCTION("""COMPUTED_VALUE"""),1.855185100130526E-4)</f>
        <v>0.00018551851</v>
      </c>
      <c r="E431" s="2" t="str">
        <f>IFERROR(__xludf.DUMMYFUNCTION("""COMPUTED_VALUE"""),"  2.218.786")</f>
        <v>  2.218.786</v>
      </c>
    </row>
    <row r="432">
      <c r="A432" s="2" t="str">
        <f>IFERROR(__xludf.DUMMYFUNCTION("""COMPUTED_VALUE"""),"𝕸 𝖆 𝖙 𝖙 🪬")</f>
        <v>𝕸 𝖆 𝖙 𝖙 🪬</v>
      </c>
      <c r="B432" s="2" t="str">
        <f>IFERROR(__xludf.DUMMYFUNCTION("""COMPUTED_VALUE"""),"mattheusmarque7")</f>
        <v>mattheusmarque7</v>
      </c>
      <c r="C432" s="2" t="str">
        <f>IFERROR(__xludf.DUMMYFUNCTION("""COMPUTED_VALUE"""),"Drogas ✦ Alcoolismo ✦ sexo ✦ depressão ✦ Música ✦ Anitta ✦ Lil Peep ✦ e outras coisas mais...")</f>
        <v>Drogas ✦ Alcoolismo ✦ sexo ✦ depressão ✦ Música ✦ Anitta ✦ Lil Peep ✦ e outras coisas mais...</v>
      </c>
      <c r="D432" s="2">
        <f>IFERROR(__xludf.DUMMYFUNCTION("""COMPUTED_VALUE"""),1.855185100130526E-4)</f>
        <v>0.00018551851</v>
      </c>
      <c r="E432" s="2" t="str">
        <f>IFERROR(__xludf.DUMMYFUNCTION("""COMPUTED_VALUE"""),"      1.165")</f>
        <v>      1.165</v>
      </c>
    </row>
    <row r="433">
      <c r="A433" s="2" t="str">
        <f>IFERROR(__xludf.DUMMYFUNCTION("""COMPUTED_VALUE"""),"Romeu Zema")</f>
        <v>Romeu Zema</v>
      </c>
      <c r="B433" s="2" t="str">
        <f>IFERROR(__xludf.DUMMYFUNCTION("""COMPUTED_VALUE"""),"romeuzema")</f>
        <v>romeuzema</v>
      </c>
      <c r="C433" s="2" t="str">
        <f>IFERROR(__xludf.DUMMYFUNCTION("""COMPUTED_VALUE"""),"Governador de Minas Gerais pelo Partido Novo e administrador com mais de 30 anos de experiência.")</f>
        <v>Governador de Minas Gerais pelo Partido Novo e administrador com mais de 30 anos de experiência.</v>
      </c>
      <c r="D433" s="2">
        <f>IFERROR(__xludf.DUMMYFUNCTION("""COMPUTED_VALUE"""),1.855185100130526E-4)</f>
        <v>0.00018551851</v>
      </c>
      <c r="E433" s="2" t="str">
        <f>IFERROR(__xludf.DUMMYFUNCTION("""COMPUTED_VALUE"""),"    543.113")</f>
        <v>    543.113</v>
      </c>
    </row>
    <row r="434">
      <c r="A434" s="2" t="str">
        <f>IFERROR(__xludf.DUMMYFUNCTION("""COMPUTED_VALUE"""),"Luís Santana")</f>
        <v>Luís Santana</v>
      </c>
      <c r="B434" s="2" t="str">
        <f>IFERROR(__xludf.DUMMYFUNCTION("""COMPUTED_VALUE"""),"luisshowtana")</f>
        <v>luisshowtana</v>
      </c>
      <c r="C434" s="2" t="str">
        <f>IFERROR(__xludf.DUMMYFUNCTION("""COMPUTED_VALUE"""),"Jornalista | Esports no @maisesportsbr | contato: luissantanastz10@gmail.com | tweets são meus | @norxiana 🩷")</f>
        <v>Jornalista | Esports no @maisesportsbr | contato: luissantanastz10@gmail.com | tweets são meus | @norxiana 🩷</v>
      </c>
      <c r="D434" s="2">
        <f>IFERROR(__xludf.DUMMYFUNCTION("""COMPUTED_VALUE"""),1.855185100130526E-4)</f>
        <v>0.00018551851</v>
      </c>
      <c r="E434" s="2" t="str">
        <f>IFERROR(__xludf.DUMMYFUNCTION("""COMPUTED_VALUE"""),"     67.550")</f>
        <v>     67.550</v>
      </c>
    </row>
    <row r="435">
      <c r="A435" s="2" t="str">
        <f>IFERROR(__xludf.DUMMYFUNCTION("""COMPUTED_VALUE"""),"Raphaël Lima")</f>
        <v>Raphaël Lima</v>
      </c>
      <c r="B435" s="2" t="str">
        <f>IFERROR(__xludf.DUMMYFUNCTION("""COMPUTED_VALUE"""),"ideias_radicais")</f>
        <v>ideias_radicais</v>
      </c>
      <c r="C435" s="2" t="str">
        <f>IFERROR(__xludf.DUMMYFUNCTION("""COMPUTED_VALUE"""),"Libertário. Bardo do capitalismo.
Fundador do Ideias Radicais, Co-Fundador da @setteeio. Sim, tem trema no e.")</f>
        <v>Libertário. Bardo do capitalismo.
Fundador do Ideias Radicais, Co-Fundador da @setteeio. Sim, tem trema no e.</v>
      </c>
      <c r="D435" s="2">
        <f>IFERROR(__xludf.DUMMYFUNCTION("""COMPUTED_VALUE"""),1.855185100130526E-4)</f>
        <v>0.00018551851</v>
      </c>
      <c r="E435" s="2" t="str">
        <f>IFERROR(__xludf.DUMMYFUNCTION("""COMPUTED_VALUE"""),"    161.786")</f>
        <v>    161.786</v>
      </c>
    </row>
    <row r="436">
      <c r="A436" s="2" t="str">
        <f>IFERROR(__xludf.DUMMYFUNCTION("""COMPUTED_VALUE"""),"Paulinha Casada Hotwife")</f>
        <v>Paulinha Casada Hotwife</v>
      </c>
      <c r="B436" s="2" t="str">
        <f>IFERROR(__xludf.DUMMYFUNCTION("""COMPUTED_VALUE"""),"paulinhacasada1")</f>
        <v>paulinhacasada1</v>
      </c>
      <c r="C436" s="2" t="str">
        <f>IFERROR(__xludf.DUMMYFUNCTION("""COMPUTED_VALUE"""),"NFSW🔞|Casal Cuckold |Hotwife que adora transar na frente do seu corno|Exibição |Menage Masc |Top 0.14% Privacy🔥|Filmes completos no meu Privacy⬇️")</f>
        <v>NFSW🔞|Casal Cuckold |Hotwife que adora transar na frente do seu corno|Exibição |Menage Masc |Top 0.14% Privacy🔥|Filmes completos no meu Privacy⬇️</v>
      </c>
      <c r="D436" s="2">
        <f>IFERROR(__xludf.DUMMYFUNCTION("""COMPUTED_VALUE"""),1.855185100130526E-4)</f>
        <v>0.00018551851</v>
      </c>
      <c r="E436" s="2" t="str">
        <f>IFERROR(__xludf.DUMMYFUNCTION("""COMPUTED_VALUE"""),"     66.672")</f>
        <v>     66.672</v>
      </c>
    </row>
    <row r="437">
      <c r="A437" s="2" t="str">
        <f>IFERROR(__xludf.DUMMYFUNCTION("""COMPUTED_VALUE"""),"Pepe Vargas")</f>
        <v>Pepe Vargas</v>
      </c>
      <c r="B437" s="2" t="str">
        <f>IFERROR(__xludf.DUMMYFUNCTION("""COMPUTED_VALUE"""),"sigapepevargas")</f>
        <v>sigapepevargas</v>
      </c>
      <c r="C437" s="2" t="str">
        <f>IFERROR(__xludf.DUMMYFUNCTION("""COMPUTED_VALUE"""),"Médico, Deputado Estadual, foi Ministro do Desenvolv. Agrário e Deputado Federal, foi Prefeito de Caxias do Sul
https://t.co/5aNqxStb1O")</f>
        <v>Médico, Deputado Estadual, foi Ministro do Desenvolv. Agrário e Deputado Federal, foi Prefeito de Caxias do Sul
https://t.co/5aNqxStb1O</v>
      </c>
      <c r="D437" s="2">
        <f>IFERROR(__xludf.DUMMYFUNCTION("""COMPUTED_VALUE"""),1.855185100130526E-4)</f>
        <v>0.00018551851</v>
      </c>
      <c r="E437" s="2" t="str">
        <f>IFERROR(__xludf.DUMMYFUNCTION("""COMPUTED_VALUE"""),"     19.314")</f>
        <v>     19.314</v>
      </c>
    </row>
    <row r="438">
      <c r="A438" s="2" t="str">
        <f>IFERROR(__xludf.DUMMYFUNCTION("""COMPUTED_VALUE"""),"Portal R7.com")</f>
        <v>Portal R7.com</v>
      </c>
      <c r="B438" s="2" t="str">
        <f>IFERROR(__xludf.DUMMYFUNCTION("""COMPUTED_VALUE"""),"portalr7")</f>
        <v>portalr7</v>
      </c>
      <c r="C438" s="2" t="str">
        <f>IFERROR(__xludf.DUMMYFUNCTION("""COMPUTED_VALUE"""),"Fique bem informado sobre as principais notícias do Brasil e do mundo no #PortalR7!")</f>
        <v>Fique bem informado sobre as principais notícias do Brasil e do mundo no #PortalR7!</v>
      </c>
      <c r="D438" s="2">
        <f>IFERROR(__xludf.DUMMYFUNCTION("""COMPUTED_VALUE"""),1.855185100130526E-4)</f>
        <v>0.00018551851</v>
      </c>
      <c r="E438" s="2" t="str">
        <f>IFERROR(__xludf.DUMMYFUNCTION("""COMPUTED_VALUE"""),"  5.147.197")</f>
        <v>  5.147.197</v>
      </c>
    </row>
    <row r="439">
      <c r="A439" s="2" t="str">
        <f>IFERROR(__xludf.DUMMYFUNCTION("""COMPUTED_VALUE"""),"ABB Italia")</f>
        <v>ABB Italia</v>
      </c>
      <c r="B439" s="2" t="str">
        <f>IFERROR(__xludf.DUMMYFUNCTION("""COMPUTED_VALUE"""),"abbitalia")</f>
        <v>abbitalia</v>
      </c>
      <c r="C439" s="2" t="str">
        <f>IFERROR(__xludf.DUMMYFUNCTION("""COMPUTED_VALUE"""),"Leader tecnologico globale che dà energia alla trasformazione della società e delle industrie per un futuro più sostenibile e più produttivo.")</f>
        <v>Leader tecnologico globale che dà energia alla trasformazione della società e delle industrie per un futuro più sostenibile e più produttivo.</v>
      </c>
      <c r="D439" s="2">
        <f>IFERROR(__xludf.DUMMYFUNCTION("""COMPUTED_VALUE"""),1.855185100130526E-4)</f>
        <v>0.00018551851</v>
      </c>
      <c r="E439" s="2" t="str">
        <f>IFERROR(__xludf.DUMMYFUNCTION("""COMPUTED_VALUE"""),"      5.566")</f>
        <v>      5.566</v>
      </c>
    </row>
    <row r="440">
      <c r="A440" s="2" t="str">
        <f>IFERROR(__xludf.DUMMYFUNCTION("""COMPUTED_VALUE"""),"Polvo das Antas - Em Defesa do SL Benfica")</f>
        <v>Polvo das Antas - Em Defesa do SL Benfica</v>
      </c>
      <c r="B440" s="2" t="str">
        <f>IFERROR(__xludf.DUMMYFUNCTION("""COMPUTED_VALUE"""),"moluscodasantas")</f>
        <v>moluscodasantas</v>
      </c>
      <c r="C440" s="2" t="str">
        <f>IFERROR(__xludf.DUMMYFUNCTION("""COMPUTED_VALUE"""),"Molusco, Cephalopoda e Octopoda. Espécime encontrado a norte de Portugal, juntamente com os restantes cefalópodes.")</f>
        <v>Molusco, Cephalopoda e Octopoda. Espécime encontrado a norte de Portugal, juntamente com os restantes cefalópodes.</v>
      </c>
      <c r="D440" s="2">
        <f>IFERROR(__xludf.DUMMYFUNCTION("""COMPUTED_VALUE"""),1.855185100130526E-4)</f>
        <v>0.00018551851</v>
      </c>
      <c r="E440" s="2" t="str">
        <f>IFERROR(__xludf.DUMMYFUNCTION("""COMPUTED_VALUE"""),"     13.227")</f>
        <v>     13.227</v>
      </c>
    </row>
    <row r="441">
      <c r="A441" s="2" t="str">
        <f>IFERROR(__xludf.DUMMYFUNCTION("""COMPUTED_VALUE"""),"Rafael Fonteles")</f>
        <v>Rafael Fonteles</v>
      </c>
      <c r="B441" s="2" t="str">
        <f>IFERROR(__xludf.DUMMYFUNCTION("""COMPUTED_VALUE"""),"rafaelfonteles_")</f>
        <v>rafaelfonteles_</v>
      </c>
      <c r="C441" s="2" t="str">
        <f>IFERROR(__xludf.DUMMYFUNCTION("""COMPUTED_VALUE"""),"Governador do Piauí. 38 anos. Professor, empreendedor, ex-presidente do Comsefaz (2019/2021). Esposo de Isabel. Pai de Teresa, Thomaz e Elisa.")</f>
        <v>Governador do Piauí. 38 anos. Professor, empreendedor, ex-presidente do Comsefaz (2019/2021). Esposo de Isabel. Pai de Teresa, Thomaz e Elisa.</v>
      </c>
      <c r="D441" s="2">
        <f>IFERROR(__xludf.DUMMYFUNCTION("""COMPUTED_VALUE"""),1.855185100130526E-4)</f>
        <v>0.00018551851</v>
      </c>
      <c r="E441" s="2" t="str">
        <f>IFERROR(__xludf.DUMMYFUNCTION("""COMPUTED_VALUE"""),"     15.454")</f>
        <v>     15.454</v>
      </c>
    </row>
    <row r="442">
      <c r="A442" s="2" t="str">
        <f>IFERROR(__xludf.DUMMYFUNCTION("""COMPUTED_VALUE"""),"Amom Mandel")</f>
        <v>Amom Mandel</v>
      </c>
      <c r="B442" s="2" t="str">
        <f>IFERROR(__xludf.DUMMYFUNCTION("""COMPUTED_VALUE"""),"eusouamom")</f>
        <v>eusouamom</v>
      </c>
      <c r="C442" s="2" t="str">
        <f>IFERROR(__xludf.DUMMYFUNCTION("""COMPUTED_VALUE"""),"Ativismo e parlamento, tudo junto e misturado | Dep. Fed. mais votado do Brasil proporcionalmente | Manaus, AM 📍")</f>
        <v>Ativismo e parlamento, tudo junto e misturado | Dep. Fed. mais votado do Brasil proporcionalmente | Manaus, AM 📍</v>
      </c>
      <c r="D442" s="2">
        <f>IFERROR(__xludf.DUMMYFUNCTION("""COMPUTED_VALUE"""),1.855185100130526E-4)</f>
        <v>0.00018551851</v>
      </c>
      <c r="E442" s="2" t="str">
        <f>IFERROR(__xludf.DUMMYFUNCTION("""COMPUTED_VALUE"""),"     28.219")</f>
        <v>     28.219</v>
      </c>
    </row>
    <row r="443">
      <c r="A443" s="2" t="str">
        <f>IFERROR(__xludf.DUMMYFUNCTION("""COMPUTED_VALUE"""),"Upload Ludmilla")</f>
        <v>Upload Ludmilla</v>
      </c>
      <c r="B443" s="2" t="str">
        <f>IFERROR(__xludf.DUMMYFUNCTION("""COMPUTED_VALUE"""),"uploadludmilla")</f>
        <v>uploadludmilla</v>
      </c>
      <c r="C443" s="2" t="str">
        <f>IFERROR(__xludf.DUMMYFUNCTION("""COMPUTED_VALUE"""),"Sua fonte de notícias, charts e atualizações sobre a cantora, compositora, atriz e Grammy Winner @Ludmilla")</f>
        <v>Sua fonte de notícias, charts e atualizações sobre a cantora, compositora, atriz e Grammy Winner @Ludmilla</v>
      </c>
      <c r="D443" s="2">
        <f>IFERROR(__xludf.DUMMYFUNCTION("""COMPUTED_VALUE"""),1.855185100130526E-4)</f>
        <v>0.00018551851</v>
      </c>
      <c r="E443" s="2" t="str">
        <f>IFERROR(__xludf.DUMMYFUNCTION("""COMPUTED_VALUE"""),"      2.317")</f>
        <v>      2.317</v>
      </c>
    </row>
    <row r="444">
      <c r="A444" s="2" t="str">
        <f>IFERROR(__xludf.DUMMYFUNCTION("""COMPUTED_VALUE"""),"Antes de dar merda games")</f>
        <v>Antes de dar merda games</v>
      </c>
      <c r="B444" s="2" t="str">
        <f>IFERROR(__xludf.DUMMYFUNCTION("""COMPUTED_VALUE"""),"antesmerdagame")</f>
        <v>antesmerdagame</v>
      </c>
      <c r="C444" s="2" t="str">
        <f>IFERROR(__xludf.DUMMYFUNCTION("""COMPUTED_VALUE"""),"Pagina dedicada a momentos de antes da desgraça acontecer no mundo dos games | Sugestões na DM | ADM: @Senhor_Destino_")</f>
        <v>Pagina dedicada a momentos de antes da desgraça acontecer no mundo dos games | Sugestões na DM | ADM: @Senhor_Destino_</v>
      </c>
      <c r="D444" s="2">
        <f>IFERROR(__xludf.DUMMYFUNCTION("""COMPUTED_VALUE"""),1.855185100130526E-4)</f>
        <v>0.00018551851</v>
      </c>
      <c r="E444" s="2" t="str">
        <f>IFERROR(__xludf.DUMMYFUNCTION("""COMPUTED_VALUE"""),"     46.502")</f>
        <v>     46.502</v>
      </c>
    </row>
    <row r="445">
      <c r="A445" s="2" t="str">
        <f>IFERROR(__xludf.DUMMYFUNCTION("""COMPUTED_VALUE"""),"Lolo Belato")</f>
        <v>Lolo Belato</v>
      </c>
      <c r="B445" s="2" t="str">
        <f>IFERROR(__xludf.DUMMYFUNCTION("""COMPUTED_VALUE"""),"lorranebelato")</f>
        <v>lorranebelato</v>
      </c>
      <c r="C445" s="2" t="str">
        <f>IFERROR(__xludf.DUMMYFUNCTION("""COMPUTED_VALUE"""),"Talvez até confusa, mas real e intensa.")</f>
        <v>Talvez até confusa, mas real e intensa.</v>
      </c>
      <c r="D445" s="2">
        <f>IFERROR(__xludf.DUMMYFUNCTION("""COMPUTED_VALUE"""),1.855185100130526E-4)</f>
        <v>0.00018551851</v>
      </c>
      <c r="E445" s="2" t="str">
        <f>IFERROR(__xludf.DUMMYFUNCTION("""COMPUTED_VALUE"""),"      2.235")</f>
        <v>      2.235</v>
      </c>
    </row>
    <row r="446">
      <c r="A446" s="2" t="str">
        <f>IFERROR(__xludf.DUMMYFUNCTION("""COMPUTED_VALUE"""),"Simon Lédo")</f>
        <v>Simon Lédo</v>
      </c>
      <c r="B446" s="2" t="str">
        <f>IFERROR(__xludf.DUMMYFUNCTION("""COMPUTED_VALUE"""),"ledosimon")</f>
        <v>ledosimon</v>
      </c>
      <c r="C446" s="2" t="str">
        <f>IFERROR(__xludf.DUMMYFUNCTION("""COMPUTED_VALUE"""),"Jornalista esportivo e CEO do @ColunadoFla, o maior site de futebol do Brasil https://t.co/VAG9BKvDwv")</f>
        <v>Jornalista esportivo e CEO do @ColunadoFla, o maior site de futebol do Brasil https://t.co/VAG9BKvDwv</v>
      </c>
      <c r="D446" s="2">
        <f>IFERROR(__xludf.DUMMYFUNCTION("""COMPUTED_VALUE"""),1.855185100130526E-4)</f>
        <v>0.00018551851</v>
      </c>
      <c r="E446" s="2" t="str">
        <f>IFERROR(__xludf.DUMMYFUNCTION("""COMPUTED_VALUE"""),"      8.877")</f>
        <v>      8.877</v>
      </c>
    </row>
    <row r="447">
      <c r="A447" s="2" t="str">
        <f>IFERROR(__xludf.DUMMYFUNCTION("""COMPUTED_VALUE"""),"André Ventura")</f>
        <v>André Ventura</v>
      </c>
      <c r="B447" s="2" t="str">
        <f>IFERROR(__xludf.DUMMYFUNCTION("""COMPUTED_VALUE"""),"andrecventura")</f>
        <v>andrecventura</v>
      </c>
      <c r="C447" s="2" t="str">
        <f>IFERROR(__xludf.DUMMYFUNCTION("""COMPUTED_VALUE"""),"Incansável no propósito de mudar Portugal.")</f>
        <v>Incansável no propósito de mudar Portugal.</v>
      </c>
      <c r="D447" s="2">
        <f>IFERROR(__xludf.DUMMYFUNCTION("""COMPUTED_VALUE"""),1.855185100130526E-4)</f>
        <v>0.00018551851</v>
      </c>
      <c r="E447" s="2" t="str">
        <f>IFERROR(__xludf.DUMMYFUNCTION("""COMPUTED_VALUE"""),"    133.196")</f>
        <v>    133.196</v>
      </c>
    </row>
    <row r="448">
      <c r="A448" s="2" t="str">
        <f>IFERROR(__xludf.DUMMYFUNCTION("""COMPUTED_VALUE"""),"Esquerda Diário")</f>
        <v>Esquerda Diário</v>
      </c>
      <c r="B448" s="2" t="str">
        <f>IFERROR(__xludf.DUMMYFUNCTION("""COMPUTED_VALUE"""),"esquerdadiario")</f>
        <v>esquerdadiario</v>
      </c>
      <c r="C448" s="2" t="str">
        <f>IFERROR(__xludf.DUMMYFUNCTION("""COMPUTED_VALUE"""),"Parte da rede internacional de diários digitais de esquerda, anticapitalistas, socialistas e revolucionários, que no Brasil é impulsionado pelo MRT.")</f>
        <v>Parte da rede internacional de diários digitais de esquerda, anticapitalistas, socialistas e revolucionários, que no Brasil é impulsionado pelo MRT.</v>
      </c>
      <c r="D448" s="2">
        <f>IFERROR(__xludf.DUMMYFUNCTION("""COMPUTED_VALUE"""),1.855185100130526E-4)</f>
        <v>0.00018551851</v>
      </c>
      <c r="E448" s="2" t="str">
        <f>IFERROR(__xludf.DUMMYFUNCTION("""COMPUTED_VALUE"""),"     16.099")</f>
        <v>     16.099</v>
      </c>
    </row>
    <row r="449">
      <c r="A449" s="2" t="str">
        <f>IFERROR(__xludf.DUMMYFUNCTION("""COMPUTED_VALUE"""),"Alex Silva")</f>
        <v>Alex Silva</v>
      </c>
      <c r="B449" s="2" t="str">
        <f>IFERROR(__xludf.DUMMYFUNCTION("""COMPUTED_VALUE"""),"alexsilva_prof")</f>
        <v>alexsilva_prof</v>
      </c>
      <c r="C449" s="2" t="str">
        <f>IFERROR(__xludf.DUMMYFUNCTION("""COMPUTED_VALUE"""),"Professor e Palestrante; Doutorando em Teologia; Ciência Política e Gestão Pública; Inovar, em busca do novo!")</f>
        <v>Professor e Palestrante; Doutorando em Teologia; Ciência Política e Gestão Pública; Inovar, em busca do novo!</v>
      </c>
      <c r="D449" s="2">
        <f>IFERROR(__xludf.DUMMYFUNCTION("""COMPUTED_VALUE"""),1.855185100130526E-4)</f>
        <v>0.00018551851</v>
      </c>
      <c r="E449" s="2" t="str">
        <f>IFERROR(__xludf.DUMMYFUNCTION("""COMPUTED_VALUE"""),"     61.803")</f>
        <v>     61.803</v>
      </c>
    </row>
    <row r="450">
      <c r="A450" s="2" t="str">
        <f>IFERROR(__xludf.DUMMYFUNCTION("""COMPUTED_VALUE"""),"Online SIM")</f>
        <v>Online SIM</v>
      </c>
      <c r="B450" s="2" t="str">
        <f>IFERROR(__xludf.DUMMYFUNCTION("""COMPUTED_VALUE"""),"onlinesim")</f>
        <v>onlinesim</v>
      </c>
      <c r="C450" s="2" t="str">
        <f>IFERROR(__xludf.DUMMYFUNCTION("""COMPUTED_VALUE"""),"Online Sim è dal 2000 la piattaforma italiana per i tuoi investimenti. Online Sim è una società del Gruppo Bancario Ersel.")</f>
        <v>Online Sim è dal 2000 la piattaforma italiana per i tuoi investimenti. Online Sim è una società del Gruppo Bancario Ersel.</v>
      </c>
      <c r="D450" s="2">
        <f>IFERROR(__xludf.DUMMYFUNCTION("""COMPUTED_VALUE"""),1.855185100130526E-4)</f>
        <v>0.00018551851</v>
      </c>
      <c r="E450" s="2" t="str">
        <f>IFERROR(__xludf.DUMMYFUNCTION("""COMPUTED_VALUE"""),"     12.350")</f>
        <v>     12.350</v>
      </c>
    </row>
    <row r="451">
      <c r="A451" s="2" t="str">
        <f>IFERROR(__xludf.DUMMYFUNCTION("""COMPUTED_VALUE"""),"Van Patriota // Van Liberdade")</f>
        <v>Van Patriota // Van Liberdade</v>
      </c>
      <c r="B451" s="2" t="str">
        <f>IFERROR(__xludf.DUMMYFUNCTION("""COMPUTED_VALUE"""),"vanpatriota")</f>
        <v>vanpatriota</v>
      </c>
      <c r="C451" s="2" t="str">
        <f>IFERROR(__xludf.DUMMYFUNCTION("""COMPUTED_VALUE"""),"101% PATRIOTA || PERFIL DE SÁTIRA || HUMOR || Trago verdades cabeludas igual sovaco de Militante.👀🌪️")</f>
        <v>101% PATRIOTA || PERFIL DE SÁTIRA || HUMOR || Trago verdades cabeludas igual sovaco de Militante.👀🌪️</v>
      </c>
      <c r="D451" s="2">
        <f>IFERROR(__xludf.DUMMYFUNCTION("""COMPUTED_VALUE"""),1.855185100130526E-4)</f>
        <v>0.00018551851</v>
      </c>
      <c r="E451" s="2" t="str">
        <f>IFERROR(__xludf.DUMMYFUNCTION("""COMPUTED_VALUE"""),"     32.049")</f>
        <v>     32.049</v>
      </c>
    </row>
    <row r="452">
      <c r="A452" s="2" t="str">
        <f>IFERROR(__xludf.DUMMYFUNCTION("""COMPUTED_VALUE"""),"Elon Musk (Parody)")</f>
        <v>Elon Musk (Parody)</v>
      </c>
      <c r="B452" s="2" t="str">
        <f>IFERROR(__xludf.DUMMYFUNCTION("""COMPUTED_VALUE"""),"elonmuskaoc")</f>
        <v>elonmuskaoc</v>
      </c>
      <c r="C452" s="2" t="str">
        <f>IFERROR(__xludf.DUMMYFUNCTION("""COMPUTED_VALUE"""),"I’m on a quest to bang AOC on Mars. (Parody Account)")</f>
        <v>I’m on a quest to bang AOC on Mars. (Parody Account)</v>
      </c>
      <c r="D452" s="2">
        <f>IFERROR(__xludf.DUMMYFUNCTION("""COMPUTED_VALUE"""),1.855185100130526E-4)</f>
        <v>0.00018551851</v>
      </c>
      <c r="E452" s="2" t="str">
        <f>IFERROR(__xludf.DUMMYFUNCTION("""COMPUTED_VALUE"""),"    956.363")</f>
        <v>    956.363</v>
      </c>
    </row>
    <row r="453">
      <c r="A453" s="2" t="str">
        <f>IFERROR(__xludf.DUMMYFUNCTION("""COMPUTED_VALUE"""),"𝒞𝒶𝓇𝓁𝒶 𝑀𝒶𝓁𝓀𝓋 𝓁𝒾🇨🇳❤️‍🔥🇷🇺")</f>
        <v>𝒞𝒶𝓇𝓁𝒶 𝑀𝒶𝓁𝓀𝓋 𝓁𝒾🇨🇳❤️‍🔥🇷🇺</v>
      </c>
      <c r="B453" s="2" t="str">
        <f>IFERROR(__xludf.DUMMYFUNCTION("""COMPUTED_VALUE"""),"camalkov")</f>
        <v>camalkov</v>
      </c>
      <c r="C453" s="2" t="str">
        <f>IFERROR(__xludf.DUMMYFUNCTION("""COMPUTED_VALUE"""),"♀️💪🏻𝐌𝐮𝐥𝐡𝐞𝐫 é 𝐟𝐢𝐛𝐫𝐚,é 𝐫𝐚ç𝐚 é 𝐚ç𝐨!Cirurgiã ⚕ Dentista🦷Empresária 💻 𝙂𝙈𝙆
   @Flamengo  @pfc_cska")</f>
        <v>♀️💪🏻𝐌𝐮𝐥𝐡𝐞𝐫 é 𝐟𝐢𝐛𝐫𝐚,é 𝐫𝐚ç𝐚 é 𝐚ç𝐨!Cirurgiã ⚕ Dentista🦷Empresária 💻 𝙂𝙈𝙆
   @Flamengo  @pfc_cska</v>
      </c>
      <c r="D453" s="2">
        <f>IFERROR(__xludf.DUMMYFUNCTION("""COMPUTED_VALUE"""),1.855185100130526E-4)</f>
        <v>0.00018551851</v>
      </c>
      <c r="E453" s="2" t="str">
        <f>IFERROR(__xludf.DUMMYFUNCTION("""COMPUTED_VALUE"""),"     34.645")</f>
        <v>     34.645</v>
      </c>
    </row>
    <row r="454">
      <c r="A454" s="2" t="str">
        <f>IFERROR(__xludf.DUMMYFUNCTION("""COMPUTED_VALUE"""),"BAILARINA 🇧🇷🇺🇦")</f>
        <v>BAILARINA 🇧🇷🇺🇦</v>
      </c>
      <c r="B454" s="2" t="str">
        <f>IFERROR(__xludf.DUMMYFUNCTION("""COMPUTED_VALUE"""),"meaballerina")</f>
        <v>meaballerina</v>
      </c>
      <c r="C454" s="2" t="str">
        <f>IFERROR(__xludf.DUMMYFUNCTION("""COMPUTED_VALUE"""),"Elegância é empatia. Coragem, cães e ballet, sempre.")</f>
        <v>Elegância é empatia. Coragem, cães e ballet, sempre.</v>
      </c>
      <c r="D454" s="2">
        <f>IFERROR(__xludf.DUMMYFUNCTION("""COMPUTED_VALUE"""),1.855185100130526E-4)</f>
        <v>0.00018551851</v>
      </c>
      <c r="E454" s="2" t="str">
        <f>IFERROR(__xludf.DUMMYFUNCTION("""COMPUTED_VALUE"""),"      1.201")</f>
        <v>      1.201</v>
      </c>
    </row>
    <row r="455">
      <c r="A455" s="2" t="str">
        <f>IFERROR(__xludf.DUMMYFUNCTION("""COMPUTED_VALUE"""),"salto cunty da beyoncé 🪩🐝")</f>
        <v>salto cunty da beyoncé 🪩🐝</v>
      </c>
      <c r="B455" s="2" t="str">
        <f>IFERROR(__xludf.DUMMYFUNCTION("""COMPUTED_VALUE"""),"byungerking")</f>
        <v>byungerking</v>
      </c>
      <c r="C455" s="2" t="str">
        <f>IFERROR(__xludf.DUMMYFUNCTION("""COMPUTED_VALUE"""),"apenas uma fã de livros, Beyoncé e coisas engraçadas / 📖: o príncipe corvo • A Razão do Amor")</f>
        <v>apenas uma fã de livros, Beyoncé e coisas engraçadas / 📖: o príncipe corvo • A Razão do Amor</v>
      </c>
      <c r="D455" s="2">
        <f>IFERROR(__xludf.DUMMYFUNCTION("""COMPUTED_VALUE"""),1.855185100130526E-4)</f>
        <v>0.00018551851</v>
      </c>
      <c r="E455" s="2" t="str">
        <f>IFERROR(__xludf.DUMMYFUNCTION("""COMPUTED_VALUE"""),"     15.821")</f>
        <v>     15.821</v>
      </c>
    </row>
    <row r="456">
      <c r="A456" s="2" t="str">
        <f>IFERROR(__xludf.DUMMYFUNCTION("""COMPUTED_VALUE"""),"Stella Hott | +18 Contents")</f>
        <v>Stella Hott | +18 Contents</v>
      </c>
      <c r="B456" s="2" t="str">
        <f>IFERROR(__xludf.DUMMYFUNCTION("""COMPUTED_VALUE"""),"stellaxhott")</f>
        <v>stellaxhott</v>
      </c>
      <c r="C456" s="2" t="str">
        <f>IFERROR(__xludf.DUMMYFUNCTION("""COMPUTED_VALUE"""),"20y • Casada | Hotwife • Squirt • Cuckold • Exibicionismo • FTM • Hotfitness • Fetiches • 😈 - 🚨50% OFF PRIVACY, PACKS E MAIS👇🏻🚨")</f>
        <v>20y • Casada | Hotwife • Squirt • Cuckold • Exibicionismo • FTM • Hotfitness • Fetiches • 😈 - 🚨50% OFF PRIVACY, PACKS E MAIS👇🏻🚨</v>
      </c>
      <c r="D456" s="2">
        <f>IFERROR(__xludf.DUMMYFUNCTION("""COMPUTED_VALUE"""),1.855185100130526E-4)</f>
        <v>0.00018551851</v>
      </c>
      <c r="E456" s="2" t="str">
        <f>IFERROR(__xludf.DUMMYFUNCTION("""COMPUTED_VALUE"""),"      1.353")</f>
        <v>      1.353</v>
      </c>
    </row>
    <row r="457">
      <c r="A457" s="2" t="str">
        <f>IFERROR(__xludf.DUMMYFUNCTION("""COMPUTED_VALUE"""),"Felipe Hartmann")</f>
        <v>Felipe Hartmann</v>
      </c>
      <c r="B457" s="2" t="str">
        <f>IFERROR(__xludf.DUMMYFUNCTION("""COMPUTED_VALUE"""),"felipewhartmann")</f>
        <v>felipewhartmann</v>
      </c>
      <c r="C457" s="2" t="str">
        <f>IFERROR(__xludf.DUMMYFUNCTION("""COMPUTED_VALUE"""),"⚖ Advogado ⠀⠀⠀⠀⠀⠀⠀⠀⠀⠀⠀⠀⠀⠀⠀⠀
⠀⠀⠀⠀⠀💚 Coritiba Foot Ball Club⠀⠀⠀⠀⠀⠀⠀⠀⠀
⠀⠀⠀⠀🤍 FC Bayern München")</f>
        <v>⚖ Advogado ⠀⠀⠀⠀⠀⠀⠀⠀⠀⠀⠀⠀⠀⠀⠀⠀
⠀⠀⠀⠀⠀💚 Coritiba Foot Ball Club⠀⠀⠀⠀⠀⠀⠀⠀⠀
⠀⠀⠀⠀🤍 FC Bayern München</v>
      </c>
      <c r="D457" s="2">
        <f>IFERROR(__xludf.DUMMYFUNCTION("""COMPUTED_VALUE"""),1.855185100130526E-4)</f>
        <v>0.00018551851</v>
      </c>
      <c r="E457" s="2" t="str">
        <f>IFERROR(__xludf.DUMMYFUNCTION("""COMPUTED_VALUE"""),"      2.050")</f>
        <v>      2.050</v>
      </c>
    </row>
    <row r="458">
      <c r="A458" s="2" t="str">
        <f>IFERROR(__xludf.DUMMYFUNCTION("""COMPUTED_VALUE"""),"Dan")</f>
        <v>Dan</v>
      </c>
      <c r="B458" s="2" t="str">
        <f>IFERROR(__xludf.DUMMYFUNCTION("""COMPUTED_VALUE"""),"danielsmarconn")</f>
        <v>danielsmarconn</v>
      </c>
      <c r="C458" s="2" t="str">
        <f>IFERROR(__xludf.DUMMYFUNCTION("""COMPUTED_VALUE"""),"https://t.co/LsdHPuE0Zl Riot Partner              Jogando @hok_br")</f>
        <v>https://t.co/LsdHPuE0Zl Riot Partner              Jogando @hok_br</v>
      </c>
      <c r="D458" s="2">
        <f>IFERROR(__xludf.DUMMYFUNCTION("""COMPUTED_VALUE"""),1.855185100130526E-4)</f>
        <v>0.00018551851</v>
      </c>
      <c r="E458" s="2" t="str">
        <f>IFERROR(__xludf.DUMMYFUNCTION("""COMPUTED_VALUE"""),"    184.462")</f>
        <v>    184.462</v>
      </c>
    </row>
    <row r="459">
      <c r="A459" s="2" t="str">
        <f>IFERROR(__xludf.DUMMYFUNCTION("""COMPUTED_VALUE"""),"Antonio Vitiello")</f>
        <v>Antonio Vitiello</v>
      </c>
      <c r="B459" s="2" t="str">
        <f>IFERROR(__xludf.DUMMYFUNCTION("""COMPUTED_VALUE"""),"antovitiello")</f>
        <v>antovitiello</v>
      </c>
      <c r="C459" s="2" t="str">
        <f>IFERROR(__xludf.DUMMYFUNCTION("""COMPUTED_VALUE"""),"Direttore Responsabile @MilanNewsit, collaboro con il @corsport, @Tuttomercatoweb, @7goldsport. Canale YouTube https://t.co/dcEPppzhFT")</f>
        <v>Direttore Responsabile @MilanNewsit, collaboro con il @corsport, @Tuttomercatoweb, @7goldsport. Canale YouTube https://t.co/dcEPppzhFT</v>
      </c>
      <c r="D459" s="2">
        <f>IFERROR(__xludf.DUMMYFUNCTION("""COMPUTED_VALUE"""),1.855185100130526E-4)</f>
        <v>0.00018551851</v>
      </c>
      <c r="E459" s="2" t="str">
        <f>IFERROR(__xludf.DUMMYFUNCTION("""COMPUTED_VALUE"""),"    135.349")</f>
        <v>    135.349</v>
      </c>
    </row>
    <row r="460">
      <c r="A460" s="2" t="str">
        <f>IFERROR(__xludf.DUMMYFUNCTION("""COMPUTED_VALUE"""),"Pedro Cerize")</f>
        <v>Pedro Cerize</v>
      </c>
      <c r="B460" s="2" t="str">
        <f>IFERROR(__xludf.DUMMYFUNCTION("""COMPUTED_VALUE"""),"pedrocerize")</f>
        <v>pedrocerize</v>
      </c>
      <c r="C460" s="2" t="str">
        <f>IFERROR(__xludf.DUMMYFUNCTION("""COMPUTED_VALUE"""),"O Antagonista   Inv Streaming Skopos &amp; outras coisas por aí")</f>
        <v>O Antagonista   Inv Streaming Skopos &amp; outras coisas por aí</v>
      </c>
      <c r="D460" s="2">
        <f>IFERROR(__xludf.DUMMYFUNCTION("""COMPUTED_VALUE"""),1.855185100130526E-4)</f>
        <v>0.00018551851</v>
      </c>
      <c r="E460" s="2" t="str">
        <f>IFERROR(__xludf.DUMMYFUNCTION("""COMPUTED_VALUE"""),"     23.877")</f>
        <v>     23.877</v>
      </c>
    </row>
    <row r="461">
      <c r="A461" s="2" t="str">
        <f>IFERROR(__xludf.DUMMYFUNCTION("""COMPUTED_VALUE"""),"Integrity Council for the Voluntary Carbon Market")</f>
        <v>Integrity Council for the Voluntary Carbon Market</v>
      </c>
      <c r="B461" s="2" t="str">
        <f>IFERROR(__xludf.DUMMYFUNCTION("""COMPUTED_VALUE"""),"ic_vcm")</f>
        <v>ic_vcm</v>
      </c>
      <c r="C461" s="2" t="str">
        <f>IFERROR(__xludf.DUMMYFUNCTION("""COMPUTED_VALUE"""),"An independent governance body responsible for the voluntary carbon market. Our purpose is to ensure the VCM accelerates a just transition to 1.5° C")</f>
        <v>An independent governance body responsible for the voluntary carbon market. Our purpose is to ensure the VCM accelerates a just transition to 1.5° C</v>
      </c>
      <c r="D461" s="2">
        <f>IFERROR(__xludf.DUMMYFUNCTION("""COMPUTED_VALUE"""),1.855185100130526E-4)</f>
        <v>0.00018551851</v>
      </c>
      <c r="E461" s="2" t="str">
        <f>IFERROR(__xludf.DUMMYFUNCTION("""COMPUTED_VALUE"""),"      1.943")</f>
        <v>      1.943</v>
      </c>
    </row>
    <row r="462">
      <c r="A462" s="2" t="str">
        <f>IFERROR(__xludf.DUMMYFUNCTION("""COMPUTED_VALUE"""),"José Norberto Flesch")</f>
        <v>José Norberto Flesch</v>
      </c>
      <c r="B462" s="2" t="str">
        <f>IFERROR(__xludf.DUMMYFUNCTION("""COMPUTED_VALUE"""),"jnflesch")</f>
        <v>jnflesch</v>
      </c>
      <c r="C462" s="2" t="str">
        <f>IFERROR(__xludf.DUMMYFUNCTION("""COMPUTED_VALUE"""),"Jornalista, mas tem gente que identifica como “o cara que anuncia shows”. 
Instagram: jnflesch 
https://t.co/BGS9OjAtlS   
Para contato: jnflesch@gmail")</f>
        <v>Jornalista, mas tem gente que identifica como “o cara que anuncia shows”. 
Instagram: jnflesch 
https://t.co/BGS9OjAtlS   
Para contato: jnflesch@gmail</v>
      </c>
      <c r="D462" s="2">
        <f>IFERROR(__xludf.DUMMYFUNCTION("""COMPUTED_VALUE"""),1.855185100130526E-4)</f>
        <v>0.00018551851</v>
      </c>
      <c r="E462" s="2" t="str">
        <f>IFERROR(__xludf.DUMMYFUNCTION("""COMPUTED_VALUE"""),"    470.211")</f>
        <v>    470.211</v>
      </c>
    </row>
    <row r="463">
      <c r="A463" s="2" t="str">
        <f>IFERROR(__xludf.DUMMYFUNCTION("""COMPUTED_VALUE"""),"Ouriço de cartola")</f>
        <v>Ouriço de cartola</v>
      </c>
      <c r="B463" s="2" t="str">
        <f>IFERROR(__xludf.DUMMYFUNCTION("""COMPUTED_VALUE"""),"cegadede")</f>
        <v>cegadede</v>
      </c>
      <c r="C463" s="2" t="str">
        <f>IFERROR(__xludf.DUMMYFUNCTION("""COMPUTED_VALUE"""),"Aqui se fala de atracação de navio a zurro de mula. 
links Amazon são afiliados e geram comissão para mim.
links para outras redes: https://t.co/jyBnNN3VNH")</f>
        <v>Aqui se fala de atracação de navio a zurro de mula. 
links Amazon são afiliados e geram comissão para mim.
links para outras redes: https://t.co/jyBnNN3VNH</v>
      </c>
      <c r="D463" s="2">
        <f>IFERROR(__xludf.DUMMYFUNCTION("""COMPUTED_VALUE"""),1.855185100130526E-4)</f>
        <v>0.00018551851</v>
      </c>
      <c r="E463" s="2" t="str">
        <f>IFERROR(__xludf.DUMMYFUNCTION("""COMPUTED_VALUE"""),"     51.975")</f>
        <v>     51.975</v>
      </c>
    </row>
    <row r="464">
      <c r="A464" s="2" t="str">
        <f>IFERROR(__xludf.DUMMYFUNCTION("""COMPUTED_VALUE"""),"CNN Brasil")</f>
        <v>CNN Brasil</v>
      </c>
      <c r="B464" s="2" t="str">
        <f>IFERROR(__xludf.DUMMYFUNCTION("""COMPUTED_VALUE"""),"cnnbrasil")</f>
        <v>cnnbrasil</v>
      </c>
      <c r="C464" s="2" t="str">
        <f>IFERROR(__xludf.DUMMYFUNCTION("""COMPUTED_VALUE"""),"CNN Brasil. Você por dentro de tudo.
Acompanhe também pelo canal 577, app ou site. 
⚽ @esportescnn
⚡️ @cnnpop
💰 @cnneconomia
💵 @nolucrocnn")</f>
        <v>CNN Brasil. Você por dentro de tudo.
Acompanhe também pelo canal 577, app ou site. 
⚽ @esportescnn
⚡️ @cnnpop
💰 @cnneconomia
💵 @nolucrocnn</v>
      </c>
      <c r="D464" s="2">
        <f>IFERROR(__xludf.DUMMYFUNCTION("""COMPUTED_VALUE"""),1.855185100130526E-4)</f>
        <v>0.00018551851</v>
      </c>
      <c r="E464" s="2" t="str">
        <f>IFERROR(__xludf.DUMMYFUNCTION("""COMPUTED_VALUE"""),"  2.664.120")</f>
        <v>  2.664.120</v>
      </c>
    </row>
    <row r="465">
      <c r="A465" s="2" t="str">
        <f>IFERROR(__xludf.DUMMYFUNCTION("""COMPUTED_VALUE"""),"nikola 3")</f>
        <v>nikola 3</v>
      </c>
      <c r="B465" s="2" t="str">
        <f>IFERROR(__xludf.DUMMYFUNCTION("""COMPUTED_VALUE"""),"ronin19217435")</f>
        <v>ronin19217435</v>
      </c>
      <c r="C465" s="2" t="str">
        <f>IFERROR(__xludf.DUMMYFUNCTION("""COMPUTED_VALUE"""),"Svasta")</f>
        <v>Svasta</v>
      </c>
      <c r="D465" s="2">
        <f>IFERROR(__xludf.DUMMYFUNCTION("""COMPUTED_VALUE"""),1.855185100130526E-4)</f>
        <v>0.00018551851</v>
      </c>
      <c r="E465" s="2" t="str">
        <f>IFERROR(__xludf.DUMMYFUNCTION("""COMPUTED_VALUE"""),"    277.205")</f>
        <v>    277.205</v>
      </c>
    </row>
    <row r="466">
      <c r="A466" s="2" t="str">
        <f>IFERROR(__xludf.DUMMYFUNCTION("""COMPUTED_VALUE"""),"Lenio Luiz Streck")</f>
        <v>Lenio Luiz Streck</v>
      </c>
      <c r="B466" s="2" t="str">
        <f>IFERROR(__xludf.DUMMYFUNCTION("""COMPUTED_VALUE"""),"leniostreck")</f>
        <v>leniostreck</v>
      </c>
      <c r="C466" s="2" t="str">
        <f>IFERROR(__xludf.DUMMYFUNCTION("""COMPUTED_VALUE"""),"Professor titular da Unisinos/RS e da UNESA/RJ. Catedrático da ABDConst. Procurador de Justiça aposentado (RS). Advogado e parecerista.")</f>
        <v>Professor titular da Unisinos/RS e da UNESA/RJ. Catedrático da ABDConst. Procurador de Justiça aposentado (RS). Advogado e parecerista.</v>
      </c>
      <c r="D466" s="2">
        <f>IFERROR(__xludf.DUMMYFUNCTION("""COMPUTED_VALUE"""),1.855185100130526E-4)</f>
        <v>0.00018551851</v>
      </c>
      <c r="E466" s="2" t="str">
        <f>IFERROR(__xludf.DUMMYFUNCTION("""COMPUTED_VALUE"""),"    105.020")</f>
        <v>    105.020</v>
      </c>
    </row>
    <row r="467">
      <c r="A467" s="2" t="str">
        <f>IFERROR(__xludf.DUMMYFUNCTION("""COMPUTED_VALUE"""),"aimee")</f>
        <v>aimee</v>
      </c>
      <c r="B467" s="2" t="str">
        <f>IFERROR(__xludf.DUMMYFUNCTION("""COMPUTED_VALUE"""),"aimeewaughan")</f>
        <v>aimeewaughan</v>
      </c>
      <c r="C467" s="2" t="str">
        <f>IFERROR(__xludf.DUMMYFUNCTION("""COMPUTED_VALUE"""),"THE PINKPRINT - track 1. | barbz. 💍 @its_gugaun")</f>
        <v>THE PINKPRINT - track 1. | barbz. 💍 @its_gugaun</v>
      </c>
      <c r="D467" s="2">
        <f>IFERROR(__xludf.DUMMYFUNCTION("""COMPUTED_VALUE"""),1.855185100130526E-4)</f>
        <v>0.00018551851</v>
      </c>
      <c r="E467" s="2" t="str">
        <f>IFERROR(__xludf.DUMMYFUNCTION("""COMPUTED_VALUE"""),"      2.034")</f>
        <v>      2.034</v>
      </c>
    </row>
    <row r="468">
      <c r="A468" s="2" t="str">
        <f>IFERROR(__xludf.DUMMYFUNCTION("""COMPUTED_VALUE"""),"Rosane de Oliveira")</f>
        <v>Rosane de Oliveira</v>
      </c>
      <c r="B468" s="2" t="str">
        <f>IFERROR(__xludf.DUMMYFUNCTION("""COMPUTED_VALUE"""),"rosaneoliveira")</f>
        <v>rosaneoliveira</v>
      </c>
      <c r="C468" s="2" t="str">
        <f>IFERROR(__xludf.DUMMYFUNCTION("""COMPUTED_VALUE"""),"Jornalista em @gzhdigital")</f>
        <v>Jornalista em @gzhdigital</v>
      </c>
      <c r="D468" s="2">
        <f>IFERROR(__xludf.DUMMYFUNCTION("""COMPUTED_VALUE"""),1.855185100130526E-4)</f>
        <v>0.00018551851</v>
      </c>
      <c r="E468" s="2" t="str">
        <f>IFERROR(__xludf.DUMMYFUNCTION("""COMPUTED_VALUE"""),"    215.726")</f>
        <v>    215.726</v>
      </c>
    </row>
    <row r="469">
      <c r="A469" s="2" t="str">
        <f>IFERROR(__xludf.DUMMYFUNCTION("""COMPUTED_VALUE"""),"Choquei Do Trap🎗️")</f>
        <v>Choquei Do Trap🎗️</v>
      </c>
      <c r="B469" s="2" t="str">
        <f>IFERROR(__xludf.DUMMYFUNCTION("""COMPUTED_VALUE"""),"choquei_trap")</f>
        <v>choquei_trap</v>
      </c>
      <c r="C469" s="2" t="str">
        <f>IFERROR(__xludf.DUMMYFUNCTION("""COMPUTED_VALUE"""),"Todas as notícias do Trap/Rap e qualquer outra coisa em 1° mão, é só na CHOQUEI DO TRAP. divulgação:monacoassesoria@gmail.com perfil de humor")</f>
        <v>Todas as notícias do Trap/Rap e qualquer outra coisa em 1° mão, é só na CHOQUEI DO TRAP. divulgação:monacoassesoria@gmail.com perfil de humor</v>
      </c>
      <c r="D469" s="2">
        <f>IFERROR(__xludf.DUMMYFUNCTION("""COMPUTED_VALUE"""),1.855185100130526E-4)</f>
        <v>0.00018551851</v>
      </c>
      <c r="E469" s="2" t="str">
        <f>IFERROR(__xludf.DUMMYFUNCTION("""COMPUTED_VALUE"""),"     65.272")</f>
        <v>     65.272</v>
      </c>
    </row>
    <row r="470">
      <c r="A470" s="2" t="str">
        <f>IFERROR(__xludf.DUMMYFUNCTION("""COMPUTED_VALUE"""),"Daniel Salomão - Rational Investor")</f>
        <v>Daniel Salomão - Rational Investor</v>
      </c>
      <c r="B470" s="2" t="str">
        <f>IFERROR(__xludf.DUMMYFUNCTION("""COMPUTED_VALUE"""),"danielsalomaob")</f>
        <v>danielsalomaob</v>
      </c>
      <c r="C470" s="2" t="str">
        <f>IFERROR(__xludf.DUMMYFUNCTION("""COMPUTED_VALUE"""),"Investments can become really risky when we get emotionally involved.
Focus on what's important. Time is a scarce asset with incomparable value.")</f>
        <v>Investments can become really risky when we get emotionally involved.
Focus on what's important. Time is a scarce asset with incomparable value.</v>
      </c>
      <c r="D470" s="2">
        <f>IFERROR(__xludf.DUMMYFUNCTION("""COMPUTED_VALUE"""),1.855185100130526E-4)</f>
        <v>0.00018551851</v>
      </c>
      <c r="E470" s="2" t="str">
        <f>IFERROR(__xludf.DUMMYFUNCTION("""COMPUTED_VALUE"""),"      1.229")</f>
        <v>      1.229</v>
      </c>
    </row>
    <row r="471">
      <c r="A471" s="2" t="str">
        <f>IFERROR(__xludf.DUMMYFUNCTION("""COMPUTED_VALUE"""),"Central do Galo")</f>
        <v>Central do Galo</v>
      </c>
      <c r="B471" s="2" t="str">
        <f>IFERROR(__xludf.DUMMYFUNCTION("""COMPUTED_VALUE"""),"centraldocam")</f>
        <v>centraldocam</v>
      </c>
      <c r="C471" s="2" t="str">
        <f>IFERROR(__xludf.DUMMYFUNCTION("""COMPUTED_VALUE"""),"Notícias e opiniões atualizadas sobre o Clube Atlético Mineiro. De torcedor para torcedor. Publicidades/Parcerias: via DM 📩")</f>
        <v>Notícias e opiniões atualizadas sobre o Clube Atlético Mineiro. De torcedor para torcedor. Publicidades/Parcerias: via DM 📩</v>
      </c>
      <c r="D471" s="2">
        <f>IFERROR(__xludf.DUMMYFUNCTION("""COMPUTED_VALUE"""),1.855185100130526E-4)</f>
        <v>0.00018551851</v>
      </c>
      <c r="E471" s="2" t="str">
        <f>IFERROR(__xludf.DUMMYFUNCTION("""COMPUTED_VALUE"""),"     67.403")</f>
        <v>     67.403</v>
      </c>
    </row>
    <row r="472">
      <c r="A472" s="2" t="str">
        <f>IFERROR(__xludf.DUMMYFUNCTION("""COMPUTED_VALUE"""),"Omar")</f>
        <v>Omar</v>
      </c>
      <c r="B472" s="2" t="str">
        <f>IFERROR(__xludf.DUMMYFUNCTION("""COMPUTED_VALUE"""),"omardeideais")</f>
        <v>omardeideais</v>
      </c>
      <c r="C472" s="2" t="str">
        <f>IFERROR(__xludf.DUMMYFUNCTION("""COMPUTED_VALUE"""),"Do Morro, do Samba e do Bar.")</f>
        <v>Do Morro, do Samba e do Bar.</v>
      </c>
      <c r="D472" s="2">
        <f>IFERROR(__xludf.DUMMYFUNCTION("""COMPUTED_VALUE"""),1.855185100130526E-4)</f>
        <v>0.00018551851</v>
      </c>
      <c r="E472" s="2" t="str">
        <f>IFERROR(__xludf.DUMMYFUNCTION("""COMPUTED_VALUE"""),"    111.370")</f>
        <v>    111.370</v>
      </c>
    </row>
    <row r="473">
      <c r="A473" s="2" t="str">
        <f>IFERROR(__xludf.DUMMYFUNCTION("""COMPUTED_VALUE"""),"Teles")</f>
        <v>Teles</v>
      </c>
      <c r="B473" s="2" t="str">
        <f>IFERROR(__xludf.DUMMYFUNCTION("""COMPUTED_VALUE"""),"mteles91")</f>
        <v>mteles91</v>
      </c>
      <c r="C473" s="2" t="str">
        <f>IFERROR(__xludf.DUMMYFUNCTION("""COMPUTED_VALUE"""),"LOUD, Lakers, Athletico Paranaense e Milan")</f>
        <v>LOUD, Lakers, Athletico Paranaense e Milan</v>
      </c>
      <c r="D473" s="2">
        <f>IFERROR(__xludf.DUMMYFUNCTION("""COMPUTED_VALUE"""),1.855185100130526E-4)</f>
        <v>0.00018551851</v>
      </c>
      <c r="E473" s="2" t="str">
        <f>IFERROR(__xludf.DUMMYFUNCTION("""COMPUTED_VALUE"""),"     23.022")</f>
        <v>     23.022</v>
      </c>
    </row>
    <row r="474">
      <c r="A474" s="2" t="str">
        <f>IFERROR(__xludf.DUMMYFUNCTION("""COMPUTED_VALUE"""),"European Commission")</f>
        <v>European Commission</v>
      </c>
      <c r="B474" s="2" t="str">
        <f>IFERROR(__xludf.DUMMYFUNCTION("""COMPUTED_VALUE"""),"eu_commission")</f>
        <v>eu_commission</v>
      </c>
      <c r="C474" s="2" t="str">
        <f>IFERROR(__xludf.DUMMYFUNCTION("""COMPUTED_VALUE"""),"News and information from the European Commission. Social media and data protection policy: https://t.co/Gz53Net1PO")</f>
        <v>News and information from the European Commission. Social media and data protection policy: https://t.co/Gz53Net1PO</v>
      </c>
      <c r="D474" s="2">
        <f>IFERROR(__xludf.DUMMYFUNCTION("""COMPUTED_VALUE"""),1.855185100130526E-4)</f>
        <v>0.00018551851</v>
      </c>
      <c r="E474" s="2" t="str">
        <f>IFERROR(__xludf.DUMMYFUNCTION("""COMPUTED_VALUE"""),"  1.828.206")</f>
        <v>  1.828.206</v>
      </c>
    </row>
    <row r="475">
      <c r="A475" s="2" t="str">
        <f>IFERROR(__xludf.DUMMYFUNCTION("""COMPUTED_VALUE"""),"Tio Wilson")</f>
        <v>Tio Wilson</v>
      </c>
      <c r="B475" s="2" t="str">
        <f>IFERROR(__xludf.DUMMYFUNCTION("""COMPUTED_VALUE"""),"tiowilson_coxa")</f>
        <v>tiowilson_coxa</v>
      </c>
      <c r="C475" s="2" t="str">
        <f>IFERROR(__xludf.DUMMYFUNCTION("""COMPUTED_VALUE"""),"Sou eu, o Tio Wilson, não sou o ex-goleiro Wilson!
Piadas de tiozão e notícias nem tão verídicas do @Coritiba
//Fakes Originais //Conta humorística")</f>
        <v>Sou eu, o Tio Wilson, não sou o ex-goleiro Wilson!
Piadas de tiozão e notícias nem tão verídicas do @Coritiba
//Fakes Originais //Conta humorística</v>
      </c>
      <c r="D475" s="2">
        <f>IFERROR(__xludf.DUMMYFUNCTION("""COMPUTED_VALUE"""),1.855185100130526E-4)</f>
        <v>0.00018551851</v>
      </c>
      <c r="E475" s="2" t="str">
        <f>IFERROR(__xludf.DUMMYFUNCTION("""COMPUTED_VALUE"""),"      2.376")</f>
        <v>      2.376</v>
      </c>
    </row>
    <row r="476">
      <c r="A476" s="2" t="str">
        <f>IFERROR(__xludf.DUMMYFUNCTION("""COMPUTED_VALUE"""),"psocialista")</f>
        <v>psocialista</v>
      </c>
      <c r="B476" s="2" t="str">
        <f>IFERROR(__xludf.DUMMYFUNCTION("""COMPUTED_VALUE"""),"psocialista")</f>
        <v>psocialista</v>
      </c>
      <c r="C476" s="2" t="str">
        <f>IFERROR(__xludf.DUMMYFUNCTION("""COMPUTED_VALUE"""),"Lado a Lado com os Portugueses desde 1973. #GovernarAPensarNasPessoas #PartidoSocialista")</f>
        <v>Lado a Lado com os Portugueses desde 1973. #GovernarAPensarNasPessoas #PartidoSocialista</v>
      </c>
      <c r="D476" s="2">
        <f>IFERROR(__xludf.DUMMYFUNCTION("""COMPUTED_VALUE"""),1.855185100130526E-4)</f>
        <v>0.00018551851</v>
      </c>
      <c r="E476" s="2" t="str">
        <f>IFERROR(__xludf.DUMMYFUNCTION("""COMPUTED_VALUE"""),"     60.533")</f>
        <v>     60.533</v>
      </c>
    </row>
    <row r="477">
      <c r="A477" s="2" t="str">
        <f>IFERROR(__xludf.DUMMYFUNCTION("""COMPUTED_VALUE"""),"Márcia Silveira")</f>
        <v>Márcia Silveira</v>
      </c>
      <c r="B477" s="2" t="str">
        <f>IFERROR(__xludf.DUMMYFUNCTION("""COMPUTED_VALUE"""),"marciasalmeida")</f>
        <v>marciasalmeida</v>
      </c>
      <c r="C477" s="2" t="str">
        <f>IFERROR(__xludf.DUMMYFUNCTION("""COMPUTED_VALUE"""),"Brasil 🇧🇷 , o melhor país do mundo. Dou BLOCK em quem defende Lulaladrao e outros ditadores, ceifadores de sonhos e vidas.")</f>
        <v>Brasil 🇧🇷 , o melhor país do mundo. Dou BLOCK em quem defende Lulaladrao e outros ditadores, ceifadores de sonhos e vidas.</v>
      </c>
      <c r="D477" s="2">
        <f>IFERROR(__xludf.DUMMYFUNCTION("""COMPUTED_VALUE"""),1.855185100130526E-4)</f>
        <v>0.00018551851</v>
      </c>
      <c r="E477" s="2" t="str">
        <f>IFERROR(__xludf.DUMMYFUNCTION("""COMPUTED_VALUE"""),"     14.343")</f>
        <v>     14.343</v>
      </c>
    </row>
    <row r="478">
      <c r="A478" s="2" t="str">
        <f>IFERROR(__xludf.DUMMYFUNCTION("""COMPUTED_VALUE"""),"Adry.W.2 Россия-Твиттер")</f>
        <v>Adry.W.2 Россия-Твиттер</v>
      </c>
      <c r="B478" s="2" t="str">
        <f>IFERROR(__xludf.DUMMYFUNCTION("""COMPUTED_VALUE"""),"liliaragnar")</f>
        <v>liliaragnar</v>
      </c>
      <c r="C478" s="2" t="str">
        <f>IFERROR(__xludf.DUMMYFUNCTION("""COMPUTED_VALUE"""),"GLI ITALIANI NON VOGLIONO ZELENS'KYJ")</f>
        <v>GLI ITALIANI NON VOGLIONO ZELENS'KYJ</v>
      </c>
      <c r="D478" s="2">
        <f>IFERROR(__xludf.DUMMYFUNCTION("""COMPUTED_VALUE"""),1.855185100130526E-4)</f>
        <v>0.00018551851</v>
      </c>
      <c r="E478" s="2" t="str">
        <f>IFERROR(__xludf.DUMMYFUNCTION("""COMPUTED_VALUE"""),"     11.194")</f>
        <v>     11.194</v>
      </c>
    </row>
    <row r="479">
      <c r="A479" s="2" t="str">
        <f>IFERROR(__xludf.DUMMYFUNCTION("""COMPUTED_VALUE"""),"GK InfoStore")</f>
        <v>GK InfoStore</v>
      </c>
      <c r="B479" s="2" t="str">
        <f>IFERROR(__xludf.DUMMYFUNCTION("""COMPUTED_VALUE"""),"gkinfostore")</f>
        <v>gkinfostore</v>
      </c>
      <c r="C479" s="13" t="str">
        <f>IFERROR(__xludf.DUMMYFUNCTION("""COMPUTED_VALUE"""),"https://t.co/NOZXkGwvoG")</f>
        <v>https://t.co/NOZXkGwvoG</v>
      </c>
      <c r="D479" s="2">
        <f>IFERROR(__xludf.DUMMYFUNCTION("""COMPUTED_VALUE"""),1.855185100130526E-4)</f>
        <v>0.00018551851</v>
      </c>
      <c r="E479" s="2" t="str">
        <f>IFERROR(__xludf.DUMMYFUNCTION("""COMPUTED_VALUE"""),"     19.316")</f>
        <v>     19.316</v>
      </c>
    </row>
    <row r="480">
      <c r="A480" s="2" t="str">
        <f>IFERROR(__xludf.DUMMYFUNCTION("""COMPUTED_VALUE"""),"Komutan A. Katsura (14/50) 🇹🇷🇻🇦")</f>
        <v>Komutan A. Katsura (14/50) 🇹🇷🇻🇦</v>
      </c>
      <c r="B480" s="2" t="str">
        <f>IFERROR(__xludf.DUMMYFUNCTION("""COMPUTED_VALUE"""),"tncleft1776")</f>
        <v>tncleft1776</v>
      </c>
      <c r="C480" s="2" t="str">
        <f>IFERROR(__xludf.DUMMYFUNCTION("""COMPUTED_VALUE"""),"Inimigo não se bajula, se combate
🏹 @Coritiba / 🐍 @Inter / 🦁 @SportingCP / 👑 @RealSociedad / 🦁🦁🦁  @England // 🏎️ @McLarenF1
Secundária : @tncleft1984")</f>
        <v>Inimigo não se bajula, se combate
🏹 @Coritiba / 🐍 @Inter / 🦁 @SportingCP / 👑 @RealSociedad / 🦁🦁🦁  @England // 🏎️ @McLarenF1
Secundária : @tncleft1984</v>
      </c>
      <c r="D480" s="2">
        <f>IFERROR(__xludf.DUMMYFUNCTION("""COMPUTED_VALUE"""),1.855185100130526E-4)</f>
        <v>0.00018551851</v>
      </c>
      <c r="E480" s="2" t="str">
        <f>IFERROR(__xludf.DUMMYFUNCTION("""COMPUTED_VALUE"""),"      2.010")</f>
        <v>      2.010</v>
      </c>
    </row>
    <row r="481">
      <c r="A481" s="2" t="str">
        <f>IFERROR(__xludf.DUMMYFUNCTION("""COMPUTED_VALUE"""),"Fernando Gogóddad 💰")</f>
        <v>Fernando Gogóddad 💰</v>
      </c>
      <c r="B481" s="2" t="str">
        <f>IFERROR(__xludf.DUMMYFUNCTION("""COMPUTED_VALUE"""),"gla_diado")</f>
        <v>gla_diado</v>
      </c>
      <c r="C481" s="2" t="str">
        <f>IFERROR(__xludf.DUMMYFUNCTION("""COMPUTED_VALUE"""),"Fintwit my ass")</f>
        <v>Fintwit my ass</v>
      </c>
      <c r="D481" s="2">
        <f>IFERROR(__xludf.DUMMYFUNCTION("""COMPUTED_VALUE"""),1.855185100130526E-4)</f>
        <v>0.00018551851</v>
      </c>
      <c r="E481" s="2" t="str">
        <f>IFERROR(__xludf.DUMMYFUNCTION("""COMPUTED_VALUE"""),"      1.977")</f>
        <v>      1.977</v>
      </c>
    </row>
    <row r="482">
      <c r="A482" s="2" t="str">
        <f>IFERROR(__xludf.DUMMYFUNCTION("""COMPUTED_VALUE"""),"We Are Liverpool")</f>
        <v>We Are Liverpool</v>
      </c>
      <c r="B482" s="2" t="str">
        <f>IFERROR(__xludf.DUMMYFUNCTION("""COMPUTED_VALUE"""),"wearelivpool")</f>
        <v>wearelivpool</v>
      </c>
      <c r="C482" s="2" t="str">
        <f>IFERROR(__xludf.DUMMYFUNCTION("""COMPUTED_VALUE"""),"Equipe masculina, feminina, cobertura de jogos, notícias, história e tudo sobre Liverpool FC! | We Are Liverpool • This Means More.")</f>
        <v>Equipe masculina, feminina, cobertura de jogos, notícias, história e tudo sobre Liverpool FC! | We Are Liverpool • This Means More.</v>
      </c>
      <c r="D482" s="2">
        <f>IFERROR(__xludf.DUMMYFUNCTION("""COMPUTED_VALUE"""),1.855185100130526E-4)</f>
        <v>0.00018551851</v>
      </c>
      <c r="E482" s="2" t="str">
        <f>IFERROR(__xludf.DUMMYFUNCTION("""COMPUTED_VALUE"""),"     10.057")</f>
        <v>     10.057</v>
      </c>
    </row>
    <row r="483">
      <c r="A483" s="2" t="str">
        <f>IFERROR(__xludf.DUMMYFUNCTION("""COMPUTED_VALUE"""),"Cleomilson Lima 🇧🇷")</f>
        <v>Cleomilson Lima 🇧🇷</v>
      </c>
      <c r="B483" s="2" t="str">
        <f>IFERROR(__xludf.DUMMYFUNCTION("""COMPUTED_VALUE"""),"cleomilsonn")</f>
        <v>cleomilsonn</v>
      </c>
      <c r="C483" s="2" t="str">
        <f>IFERROR(__xludf.DUMMYFUNCTION("""COMPUTED_VALUE"""),"Conservador e Patriota")</f>
        <v>Conservador e Patriota</v>
      </c>
      <c r="D483" s="2">
        <f>IFERROR(__xludf.DUMMYFUNCTION("""COMPUTED_VALUE"""),1.855185100130526E-4)</f>
        <v>0.00018551851</v>
      </c>
      <c r="E483" s="2" t="str">
        <f>IFERROR(__xludf.DUMMYFUNCTION("""COMPUTED_VALUE"""),"      4.964")</f>
        <v>      4.964</v>
      </c>
    </row>
    <row r="484">
      <c r="A484" s="2" t="str">
        <f>IFERROR(__xludf.DUMMYFUNCTION("""COMPUTED_VALUE"""),"Camilla")</f>
        <v>Camilla</v>
      </c>
      <c r="B484" s="2" t="str">
        <f>IFERROR(__xludf.DUMMYFUNCTION("""COMPUTED_VALUE"""),"camillamariani4")</f>
        <v>camillamariani4</v>
      </c>
      <c r="C484" s="2"/>
      <c r="D484" s="2">
        <f>IFERROR(__xludf.DUMMYFUNCTION("""COMPUTED_VALUE"""),1.855185100130526E-4)</f>
        <v>0.00018551851</v>
      </c>
      <c r="E484" s="2" t="str">
        <f>IFERROR(__xludf.DUMMYFUNCTION("""COMPUTED_VALUE"""),"      9.160")</f>
        <v>      9.160</v>
      </c>
    </row>
    <row r="485">
      <c r="A485" s="2" t="str">
        <f>IFERROR(__xludf.DUMMYFUNCTION("""COMPUTED_VALUE"""),"Miguel Fortunato")</f>
        <v>Miguel Fortunato</v>
      </c>
      <c r="B485" s="2" t="str">
        <f>IFERROR(__xludf.DUMMYFUNCTION("""COMPUTED_VALUE"""),"miguelfortunato")</f>
        <v>miguelfortunato</v>
      </c>
      <c r="C485" s="2" t="str">
        <f>IFERROR(__xludf.DUMMYFUNCTION("""COMPUTED_VALUE"""),"Jornalista, apresentador do Arquibancada SP na Rádio Arquibancada e do podcast The Playoffs. Aqui dou minhas opiniões sobre carnaval e esportes em geral.")</f>
        <v>Jornalista, apresentador do Arquibancada SP na Rádio Arquibancada e do podcast The Playoffs. Aqui dou minhas opiniões sobre carnaval e esportes em geral.</v>
      </c>
      <c r="D485" s="2">
        <f>IFERROR(__xludf.DUMMYFUNCTION("""COMPUTED_VALUE"""),1.855185100130526E-4)</f>
        <v>0.00018551851</v>
      </c>
      <c r="E485" s="2" t="str">
        <f>IFERROR(__xludf.DUMMYFUNCTION("""COMPUTED_VALUE"""),"      1.047")</f>
        <v>      1.047</v>
      </c>
    </row>
    <row r="486">
      <c r="A486" s="2" t="str">
        <f>IFERROR(__xludf.DUMMYFUNCTION("""COMPUTED_VALUE"""),"BByong 🎡 EL7Z UP")</f>
        <v>BByong 🎡 EL7Z UP</v>
      </c>
      <c r="B486" s="2" t="str">
        <f>IFERROR(__xludf.DUMMYFUNCTION("""COMPUTED_VALUE"""),"byebyedumb")</f>
        <v>byebyedumb</v>
      </c>
      <c r="C486" s="2" t="str">
        <f>IFERROR(__xludf.DUMMYFUNCTION("""COMPUTED_VALUE"""),"plorystay •ela/dela• 
Han Seobin Supporter")</f>
        <v>plorystay •ela/dela• 
Han Seobin Supporter</v>
      </c>
      <c r="D486" s="2">
        <f>IFERROR(__xludf.DUMMYFUNCTION("""COMPUTED_VALUE"""),1.855185100130526E-4)</f>
        <v>0.00018551851</v>
      </c>
      <c r="E486" s="2" t="str">
        <f>IFERROR(__xludf.DUMMYFUNCTION("""COMPUTED_VALUE"""),"      1.506")</f>
        <v>      1.506</v>
      </c>
    </row>
    <row r="487">
      <c r="A487" s="2" t="str">
        <f>IFERROR(__xludf.DUMMYFUNCTION("""COMPUTED_VALUE"""),"Marcelo Marques 🚩 13🚩")</f>
        <v>Marcelo Marques 🚩 13🚩</v>
      </c>
      <c r="B487" s="2" t="str">
        <f>IFERROR(__xludf.DUMMYFUNCTION("""COMPUTED_VALUE"""),"marcelombob28")</f>
        <v>marcelombob28</v>
      </c>
      <c r="C487" s="2" t="str">
        <f>IFERROR(__xludf.DUMMYFUNCTION("""COMPUTED_VALUE"""),"Historia⏳️ UEMA/ 🚩Aqui membros da seita Bolsonazist4s não se criam ✊️
conta nova 1️⃣3️⃣ conta antiga derrubada pelos Bolsonazist4s")</f>
        <v>Historia⏳️ UEMA/ 🚩Aqui membros da seita Bolsonazist4s não se criam ✊️
conta nova 1️⃣3️⃣ conta antiga derrubada pelos Bolsonazist4s</v>
      </c>
      <c r="D487" s="2">
        <f>IFERROR(__xludf.DUMMYFUNCTION("""COMPUTED_VALUE"""),1.855185100130526E-4)</f>
        <v>0.00018551851</v>
      </c>
      <c r="E487" s="2" t="str">
        <f>IFERROR(__xludf.DUMMYFUNCTION("""COMPUTED_VALUE"""),"      1.794")</f>
        <v>      1.794</v>
      </c>
    </row>
    <row r="488">
      <c r="A488" s="2" t="str">
        <f>IFERROR(__xludf.DUMMYFUNCTION("""COMPUTED_VALUE"""),"Hoje tem em João Pessoa")</f>
        <v>Hoje tem em João Pessoa</v>
      </c>
      <c r="B488" s="2" t="str">
        <f>IFERROR(__xludf.DUMMYFUNCTION("""COMPUTED_VALUE"""),"hojetemjp")</f>
        <v>hojetemjp</v>
      </c>
      <c r="C488" s="2" t="str">
        <f>IFERROR(__xludf.DUMMYFUNCTION("""COMPUTED_VALUE"""),"Informações de João Pessoa")</f>
        <v>Informações de João Pessoa</v>
      </c>
      <c r="D488" s="2">
        <f>IFERROR(__xludf.DUMMYFUNCTION("""COMPUTED_VALUE"""),1.855185100130526E-4)</f>
        <v>0.00018551851</v>
      </c>
      <c r="E488" s="2" t="str">
        <f>IFERROR(__xludf.DUMMYFUNCTION("""COMPUTED_VALUE"""),"      5.422")</f>
        <v>      5.422</v>
      </c>
    </row>
    <row r="489">
      <c r="A489" s="2" t="str">
        <f>IFERROR(__xludf.DUMMYFUNCTION("""COMPUTED_VALUE"""),"InvestSP")</f>
        <v>InvestSP</v>
      </c>
      <c r="B489" s="2" t="str">
        <f>IFERROR(__xludf.DUMMYFUNCTION("""COMPUTED_VALUE"""),"investsp")</f>
        <v>investsp</v>
      </c>
      <c r="C489" s="2" t="str">
        <f>IFERROR(__xludf.DUMMYFUNCTION("""COMPUTED_VALUE"""),"InvestSP é a Agência Paulista de Promoção de Investimentos e Competitividade do Estado de São Paulo.  Investment Promotion Agency of the State of São Paulo.")</f>
        <v>InvestSP é a Agência Paulista de Promoção de Investimentos e Competitividade do Estado de São Paulo.  Investment Promotion Agency of the State of São Paulo.</v>
      </c>
      <c r="D489" s="2">
        <f>IFERROR(__xludf.DUMMYFUNCTION("""COMPUTED_VALUE"""),1.855185100130526E-4)</f>
        <v>0.00018551851</v>
      </c>
      <c r="E489" s="2" t="str">
        <f>IFERROR(__xludf.DUMMYFUNCTION("""COMPUTED_VALUE"""),"      8.392")</f>
        <v>      8.392</v>
      </c>
    </row>
    <row r="490">
      <c r="A490" s="2" t="str">
        <f>IFERROR(__xludf.DUMMYFUNCTION("""COMPUTED_VALUE"""),"Bru mas não a Marquezine")</f>
        <v>Bru mas não a Marquezine</v>
      </c>
      <c r="B490" s="2" t="str">
        <f>IFERROR(__xludf.DUMMYFUNCTION("""COMPUTED_VALUE"""),"meraaprendiz")</f>
        <v>meraaprendiz</v>
      </c>
      <c r="C490" s="2" t="str">
        <f>IFERROR(__xludf.DUMMYFUNCTION("""COMPUTED_VALUE"""),"Acho que se for honesto na maior parte do tempo com você mesmo sobre o que quer da sua vida, a vida te dá.")</f>
        <v>Acho que se for honesto na maior parte do tempo com você mesmo sobre o que quer da sua vida, a vida te dá.</v>
      </c>
      <c r="D490" s="2">
        <f>IFERROR(__xludf.DUMMYFUNCTION("""COMPUTED_VALUE"""),1.855185100130526E-4)</f>
        <v>0.00018551851</v>
      </c>
      <c r="E490" s="2" t="str">
        <f>IFERROR(__xludf.DUMMYFUNCTION("""COMPUTED_VALUE"""),"      2.679")</f>
        <v>      2.679</v>
      </c>
    </row>
    <row r="491">
      <c r="A491" s="2" t="str">
        <f>IFERROR(__xludf.DUMMYFUNCTION("""COMPUTED_VALUE"""),"escriba do umbral")</f>
        <v>escriba do umbral</v>
      </c>
      <c r="B491" s="2" t="str">
        <f>IFERROR(__xludf.DUMMYFUNCTION("""COMPUTED_VALUE"""),"gobackto505")</f>
        <v>gobackto505</v>
      </c>
      <c r="C491" s="2" t="str">
        <f>IFERROR(__xludf.DUMMYFUNCTION("""COMPUTED_VALUE"""),"Uma Ilze Scamparini só que direto dos telhados do inferno. Descreva imagens | ela/dela")</f>
        <v>Uma Ilze Scamparini só que direto dos telhados do inferno. Descreva imagens | ela/dela</v>
      </c>
      <c r="D491" s="2">
        <f>IFERROR(__xludf.DUMMYFUNCTION("""COMPUTED_VALUE"""),1.855185100130526E-4)</f>
        <v>0.00018551851</v>
      </c>
      <c r="E491" s="2" t="str">
        <f>IFERROR(__xludf.DUMMYFUNCTION("""COMPUTED_VALUE"""),"     68.293")</f>
        <v>     68.293</v>
      </c>
    </row>
    <row r="492">
      <c r="A492" s="2" t="str">
        <f>IFERROR(__xludf.DUMMYFUNCTION("""COMPUTED_VALUE"""),"General Hamilton Mourão")</f>
        <v>General Hamilton Mourão</v>
      </c>
      <c r="B492" s="2" t="str">
        <f>IFERROR(__xludf.DUMMYFUNCTION("""COMPUTED_VALUE"""),"generalmourao")</f>
        <v>generalmourao</v>
      </c>
      <c r="C492" s="2" t="str">
        <f>IFERROR(__xludf.DUMMYFUNCTION("""COMPUTED_VALUE"""),"Gaúcho | Militar | Marido da Paula | Pai do Antônio e da Renata | Avô de cinco netos | Senador pelo Republicanos/RS")</f>
        <v>Gaúcho | Militar | Marido da Paula | Pai do Antônio e da Renata | Avô de cinco netos | Senador pelo Republicanos/RS</v>
      </c>
      <c r="D492" s="2">
        <f>IFERROR(__xludf.DUMMYFUNCTION("""COMPUTED_VALUE"""),1.855185100130526E-4)</f>
        <v>0.00018551851</v>
      </c>
      <c r="E492" s="2" t="str">
        <f>IFERROR(__xludf.DUMMYFUNCTION("""COMPUTED_VALUE"""),"  2.760.226")</f>
        <v>  2.760.226</v>
      </c>
    </row>
    <row r="493">
      <c r="A493" s="2" t="str">
        <f>IFERROR(__xludf.DUMMYFUNCTION("""COMPUTED_VALUE"""),"NewsColina")</f>
        <v>NewsColina</v>
      </c>
      <c r="B493" s="2" t="str">
        <f>IFERROR(__xludf.DUMMYFUNCTION("""COMPUTED_VALUE"""),"newscolina")</f>
        <v>newscolina</v>
      </c>
      <c r="C493" s="2" t="str">
        <f>IFERROR(__xludf.DUMMYFUNCTION("""COMPUTED_VALUE"""),"O maior portal do Twitter sobre o Vasco da Gama | Contato e publicidade: newscolina@gmail.com 📨 | Parceiro @KTO_Brasil 🤝")</f>
        <v>O maior portal do Twitter sobre o Vasco da Gama | Contato e publicidade: newscolina@gmail.com 📨 | Parceiro @KTO_Brasil 🤝</v>
      </c>
      <c r="D493" s="2">
        <f>IFERROR(__xludf.DUMMYFUNCTION("""COMPUTED_VALUE"""),1.855185100130526E-4)</f>
        <v>0.00018551851</v>
      </c>
      <c r="E493" s="2" t="str">
        <f>IFERROR(__xludf.DUMMYFUNCTION("""COMPUTED_VALUE"""),"    202.017")</f>
        <v>    202.017</v>
      </c>
    </row>
    <row r="494">
      <c r="A494" s="2" t="str">
        <f>IFERROR(__xludf.DUMMYFUNCTION("""COMPUTED_VALUE"""),"Byanu")</f>
        <v>Byanu</v>
      </c>
      <c r="B494" s="2" t="str">
        <f>IFERROR(__xludf.DUMMYFUNCTION("""COMPUTED_VALUE"""),"byanu")</f>
        <v>byanu</v>
      </c>
      <c r="C494" s="2" t="str">
        <f>IFERROR(__xludf.DUMMYFUNCTION("""COMPUTED_VALUE"""),"Primeiramente eu não Baiano, baiano é o Koo da sua mãe
💻 Programador | 📊 Investidor | 🎮 Gamer
GT: byanu #Xbox")</f>
        <v>Primeiramente eu não Baiano, baiano é o Koo da sua mãe
💻 Programador | 📊 Investidor | 🎮 Gamer
GT: byanu #Xbox</v>
      </c>
      <c r="D494" s="2">
        <f>IFERROR(__xludf.DUMMYFUNCTION("""COMPUTED_VALUE"""),1.855185100130526E-4)</f>
        <v>0.00018551851</v>
      </c>
      <c r="E494" s="2" t="str">
        <f>IFERROR(__xludf.DUMMYFUNCTION("""COMPUTED_VALUE"""),"      7.092")</f>
        <v>      7.092</v>
      </c>
    </row>
    <row r="495">
      <c r="A495" s="2" t="str">
        <f>IFERROR(__xludf.DUMMYFUNCTION("""COMPUTED_VALUE"""),"Município de Setúbal")</f>
        <v>Município de Setúbal</v>
      </c>
      <c r="B495" s="2" t="str">
        <f>IFERROR(__xludf.DUMMYFUNCTION("""COMPUTED_VALUE"""),"munsetubal")</f>
        <v>munsetubal</v>
      </c>
      <c r="C495" s="2" t="str">
        <f>IFERROR(__xludf.DUMMYFUNCTION("""COMPUTED_VALUE"""),"Acompanhe todas as notícias essenciais sobre Setúbal.")</f>
        <v>Acompanhe todas as notícias essenciais sobre Setúbal.</v>
      </c>
      <c r="D495" s="2">
        <f>IFERROR(__xludf.DUMMYFUNCTION("""COMPUTED_VALUE"""),1.855185100130526E-4)</f>
        <v>0.00018551851</v>
      </c>
      <c r="E495" s="2" t="str">
        <f>IFERROR(__xludf.DUMMYFUNCTION("""COMPUTED_VALUE"""),"      1.729")</f>
        <v>      1.729</v>
      </c>
    </row>
    <row r="496">
      <c r="A496" s="2" t="str">
        <f>IFERROR(__xludf.DUMMYFUNCTION("""COMPUTED_VALUE"""),"Sr. Pedro")</f>
        <v>Sr. Pedro</v>
      </c>
      <c r="B496" s="2" t="str">
        <f>IFERROR(__xludf.DUMMYFUNCTION("""COMPUTED_VALUE"""),"peuzfn")</f>
        <v>peuzfn</v>
      </c>
      <c r="C496" s="2"/>
      <c r="D496" s="2">
        <f>IFERROR(__xludf.DUMMYFUNCTION("""COMPUTED_VALUE"""),1.855185100130526E-4)</f>
        <v>0.00018551851</v>
      </c>
      <c r="E496" s="2" t="str">
        <f>IFERROR(__xludf.DUMMYFUNCTION("""COMPUTED_VALUE"""),"     11.955")</f>
        <v>     11.955</v>
      </c>
    </row>
    <row r="497">
      <c r="A497" s="2" t="str">
        <f>IFERROR(__xludf.DUMMYFUNCTION("""COMPUTED_VALUE"""),"Luca Ansevini")</f>
        <v>Luca Ansevini</v>
      </c>
      <c r="B497" s="2" t="str">
        <f>IFERROR(__xludf.DUMMYFUNCTION("""COMPUTED_VALUE"""),"anse1987")</f>
        <v>anse1987</v>
      </c>
      <c r="C497" s="2" t="str">
        <f>IFERROR(__xludf.DUMMYFUNCTION("""COMPUTED_VALUE"""),"🌈 Podcaster per @iPhone_Italia e @9e41podcast, Tech Content Creator, Gamer &amp; Nerd,")</f>
        <v>🌈 Podcaster per @iPhone_Italia e @9e41podcast, Tech Content Creator, Gamer &amp; Nerd,</v>
      </c>
      <c r="D497" s="2">
        <f>IFERROR(__xludf.DUMMYFUNCTION("""COMPUTED_VALUE"""),1.855185100130526E-4)</f>
        <v>0.00018551851</v>
      </c>
      <c r="E497" s="2" t="str">
        <f>IFERROR(__xludf.DUMMYFUNCTION("""COMPUTED_VALUE"""),"      1.990")</f>
        <v>      1.990</v>
      </c>
    </row>
    <row r="498">
      <c r="A498" s="2" t="str">
        <f>IFERROR(__xludf.DUMMYFUNCTION("""COMPUTED_VALUE"""),"Willian Justen")</f>
        <v>Willian Justen</v>
      </c>
      <c r="B498" s="2" t="str">
        <f>IFERROR(__xludf.DUMMYFUNCTION("""COMPUTED_VALUE"""),"willian_justen")</f>
        <v>willian_justen</v>
      </c>
      <c r="C498" s="2" t="str">
        <f>IFERROR(__xludf.DUMMYFUNCTION("""COMPUTED_VALUE"""),"Staff Engineer at Appcues 💻 | GitHub Star 🌟 | Udemy Instructor 🎓
https://t.co/jb6LcOSlsh")</f>
        <v>Staff Engineer at Appcues 💻 | GitHub Star 🌟 | Udemy Instructor 🎓
https://t.co/jb6LcOSlsh</v>
      </c>
      <c r="D498" s="2">
        <f>IFERROR(__xludf.DUMMYFUNCTION("""COMPUTED_VALUE"""),1.855185100130526E-4)</f>
        <v>0.00018551851</v>
      </c>
      <c r="E498" s="2" t="str">
        <f>IFERROR(__xludf.DUMMYFUNCTION("""COMPUTED_VALUE"""),"     24.196")</f>
        <v>     24.196</v>
      </c>
    </row>
    <row r="499">
      <c r="A499" s="2" t="str">
        <f>IFERROR(__xludf.DUMMYFUNCTION("""COMPUTED_VALUE"""),"Pignottone - E.Racalbuti 🐝🧱")</f>
        <v>Pignottone - E.Racalbuti 🐝🧱</v>
      </c>
      <c r="B499" s="2" t="str">
        <f>IFERROR(__xludf.DUMMYFUNCTION("""COMPUTED_VALUE"""),"pignottone")</f>
        <v>pignottone</v>
      </c>
      <c r="C499" s="2" t="str">
        <f>IFERROR(__xludf.DUMMYFUNCTION("""COMPUTED_VALUE"""),"Il mattone è d'obbligo visto che faccio la mezza cucchiaia x hobby.")</f>
        <v>Il mattone è d'obbligo visto che faccio la mezza cucchiaia x hobby.</v>
      </c>
      <c r="D499" s="2">
        <f>IFERROR(__xludf.DUMMYFUNCTION("""COMPUTED_VALUE"""),1.855185100130526E-4)</f>
        <v>0.00018551851</v>
      </c>
      <c r="E499" s="2" t="str">
        <f>IFERROR(__xludf.DUMMYFUNCTION("""COMPUTED_VALUE"""),"      1.835")</f>
        <v>      1.835</v>
      </c>
    </row>
    <row r="500">
      <c r="A500" s="2" t="str">
        <f>IFERROR(__xludf.DUMMYFUNCTION("""COMPUTED_VALUE"""),"Ministério do Meio Ambiente e Mudança do Clima")</f>
        <v>Ministério do Meio Ambiente e Mudança do Clima</v>
      </c>
      <c r="B500" s="2" t="str">
        <f>IFERROR(__xludf.DUMMYFUNCTION("""COMPUTED_VALUE"""),"mmeioambiente")</f>
        <v>mmeioambiente</v>
      </c>
      <c r="C500" s="2"/>
      <c r="D500" s="2">
        <f>IFERROR(__xludf.DUMMYFUNCTION("""COMPUTED_VALUE"""),1.855185100130526E-4)</f>
        <v>0.00018551851</v>
      </c>
      <c r="E500" s="2" t="str">
        <f>IFERROR(__xludf.DUMMYFUNCTION("""COMPUTED_VALUE"""),"    276.793")</f>
        <v>    276.793</v>
      </c>
    </row>
    <row r="501">
      <c r="A501" s="2" t="str">
        <f>IFERROR(__xludf.DUMMYFUNCTION("""COMPUTED_VALUE"""),"Jornal Correio")</f>
        <v>Jornal Correio</v>
      </c>
      <c r="B501" s="2" t="str">
        <f>IFERROR(__xludf.DUMMYFUNCTION("""COMPUTED_VALUE"""),"correio24horas")</f>
        <v>correio24horas</v>
      </c>
      <c r="C501" s="2" t="str">
        <f>IFERROR(__xludf.DUMMYFUNCTION("""COMPUTED_VALUE"""),"Portal baiano de maior audiência digital no Nordeste")</f>
        <v>Portal baiano de maior audiência digital no Nordeste</v>
      </c>
      <c r="D501" s="2">
        <f>IFERROR(__xludf.DUMMYFUNCTION("""COMPUTED_VALUE"""),1.855185100130526E-4)</f>
        <v>0.00018551851</v>
      </c>
      <c r="E501" s="2" t="str">
        <f>IFERROR(__xludf.DUMMYFUNCTION("""COMPUTED_VALUE"""),"    563.685")</f>
        <v>    563.685</v>
      </c>
    </row>
    <row r="502">
      <c r="A502" s="2" t="str">
        <f>IFERROR(__xludf.DUMMYFUNCTION("""COMPUTED_VALUE"""),"Pb_WakeBrasil")</f>
        <v>Pb_WakeBrasil</v>
      </c>
      <c r="B502" s="2" t="str">
        <f>IFERROR(__xludf.DUMMYFUNCTION("""COMPUTED_VALUE"""),"costa__oi")</f>
        <v>costa__oi</v>
      </c>
      <c r="C502" s="2" t="str">
        <f>IFERROR(__xludf.DUMMYFUNCTION("""COMPUTED_VALUE"""),"Uma Nação adormecida morre ou acordará escravizada.")</f>
        <v>Uma Nação adormecida morre ou acordará escravizada.</v>
      </c>
      <c r="D502" s="2">
        <f>IFERROR(__xludf.DUMMYFUNCTION("""COMPUTED_VALUE"""),1.855185100130526E-4)</f>
        <v>0.00018551851</v>
      </c>
      <c r="E502" s="2" t="str">
        <f>IFERROR(__xludf.DUMMYFUNCTION("""COMPUTED_VALUE"""),"      1.458")</f>
        <v>      1.458</v>
      </c>
    </row>
    <row r="503">
      <c r="A503" s="2" t="str">
        <f>IFERROR(__xludf.DUMMYFUNCTION("""COMPUTED_VALUE"""),"Luís Evangelista")</f>
        <v>Luís Evangelista</v>
      </c>
      <c r="B503" s="2" t="str">
        <f>IFERROR(__xludf.DUMMYFUNCTION("""COMPUTED_VALUE"""),"drzodiacus_v2")</f>
        <v>drzodiacus_v2</v>
      </c>
      <c r="C503" s="2" t="str">
        <f>IFERROR(__xludf.DUMMYFUNCTION("""COMPUTED_VALUE"""),"Prof numa Faculdade, ex-Prof noutra (estrangeira), noutra já falida, investigador ainda noutra. Eng. Civil por formação, sátiro por vocação")</f>
        <v>Prof numa Faculdade, ex-Prof noutra (estrangeira), noutra já falida, investigador ainda noutra. Eng. Civil por formação, sátiro por vocação</v>
      </c>
      <c r="D503" s="2">
        <f>IFERROR(__xludf.DUMMYFUNCTION("""COMPUTED_VALUE"""),1.855185100130526E-4)</f>
        <v>0.00018551851</v>
      </c>
      <c r="E503" s="2" t="str">
        <f>IFERROR(__xludf.DUMMYFUNCTION("""COMPUTED_VALUE"""),"      2.213")</f>
        <v>      2.213</v>
      </c>
    </row>
    <row r="504">
      <c r="A504" s="2" t="str">
        <f>IFERROR(__xludf.DUMMYFUNCTION("""COMPUTED_VALUE"""),"Renato Breia, CFP®")</f>
        <v>Renato Breia, CFP®</v>
      </c>
      <c r="B504" s="2" t="str">
        <f>IFERROR(__xludf.DUMMYFUNCTION("""COMPUTED_VALUE"""),"rbreia")</f>
        <v>rbreia</v>
      </c>
      <c r="C504" s="2" t="str">
        <f>IFERROR(__xludf.DUMMYFUNCTION("""COMPUTED_VALUE"""),"Sócio Fundador da Nord Research e Nord Wealth / 18 anos de mercado financeiro /Insta https://t.co/kDDRwAaECN")</f>
        <v>Sócio Fundador da Nord Research e Nord Wealth / 18 anos de mercado financeiro /Insta https://t.co/kDDRwAaECN</v>
      </c>
      <c r="D504" s="2">
        <f>IFERROR(__xludf.DUMMYFUNCTION("""COMPUTED_VALUE"""),1.855185100130526E-4)</f>
        <v>0.00018551851</v>
      </c>
      <c r="E504" s="2" t="str">
        <f>IFERROR(__xludf.DUMMYFUNCTION("""COMPUTED_VALUE"""),"    112.578")</f>
        <v>    112.578</v>
      </c>
    </row>
    <row r="505">
      <c r="A505" s="2" t="str">
        <f>IFERROR(__xludf.DUMMYFUNCTION("""COMPUTED_VALUE"""),"Leandro Demori")</f>
        <v>Leandro Demori</v>
      </c>
      <c r="B505" s="2" t="str">
        <f>IFERROR(__xludf.DUMMYFUNCTION("""COMPUTED_VALUE"""),"demori")</f>
        <v>demori</v>
      </c>
      <c r="C505" s="2" t="str">
        <f>IFERROR(__xludf.DUMMYFUNCTION("""COMPUTED_VALUE"""),"Vem comigo! ➡️https://t.co/DOLRqJCSu3⬅️ newsletter GRÁTIS. Contato: assessoria@leandrodemori.com.br")</f>
        <v>Vem comigo! ➡️https://t.co/DOLRqJCSu3⬅️ newsletter GRÁTIS. Contato: assessoria@leandrodemori.com.br</v>
      </c>
      <c r="D505" s="2">
        <f>IFERROR(__xludf.DUMMYFUNCTION("""COMPUTED_VALUE"""),1.855185100130526E-4)</f>
        <v>0.00018551851</v>
      </c>
      <c r="E505" s="2" t="str">
        <f>IFERROR(__xludf.DUMMYFUNCTION("""COMPUTED_VALUE"""),"    412.075")</f>
        <v>    412.075</v>
      </c>
    </row>
    <row r="506">
      <c r="A506" s="2" t="str">
        <f>IFERROR(__xludf.DUMMYFUNCTION("""COMPUTED_VALUE"""),"Tracklist")</f>
        <v>Tracklist</v>
      </c>
      <c r="B506" s="2" t="str">
        <f>IFERROR(__xludf.DUMMYFUNCTION("""COMPUTED_VALUE"""),"tracklist")</f>
        <v>tracklist</v>
      </c>
      <c r="C506" s="2" t="str">
        <f>IFERROR(__xludf.DUMMYFUNCTION("""COMPUTED_VALUE"""),"O melhor do entretenimento está aqui! | Comercial 📩 contato@tracklist.com.br")</f>
        <v>O melhor do entretenimento está aqui! | Comercial 📩 contato@tracklist.com.br</v>
      </c>
      <c r="D506" s="2">
        <f>IFERROR(__xludf.DUMMYFUNCTION("""COMPUTED_VALUE"""),1.855185100130526E-4)</f>
        <v>0.00018551851</v>
      </c>
      <c r="E506" s="2" t="str">
        <f>IFERROR(__xludf.DUMMYFUNCTION("""COMPUTED_VALUE"""),"  1.279.699")</f>
        <v>  1.279.699</v>
      </c>
    </row>
    <row r="507">
      <c r="A507" s="2" t="str">
        <f>IFERROR(__xludf.DUMMYFUNCTION("""COMPUTED_VALUE"""),"Ramiro Gomes Ferreira, CFP®")</f>
        <v>Ramiro Gomes Ferreira, CFP®</v>
      </c>
      <c r="B507" s="2" t="str">
        <f>IFERROR(__xludf.DUMMYFUNCTION("""COMPUTED_VALUE"""),"ramirogferreira")</f>
        <v>ramirogferreira</v>
      </c>
      <c r="C507" s="2" t="str">
        <f>IFERROR(__xludf.DUMMYFUNCTION("""COMPUTED_VALUE"""),"Aprendendo a viver uma vida rica, tranquila e feliz, enquanto compartilho um pouco do que descobri sobre como fazer bons investimentos nessa jornada")</f>
        <v>Aprendendo a viver uma vida rica, tranquila e feliz, enquanto compartilho um pouco do que descobri sobre como fazer bons investimentos nessa jornada</v>
      </c>
      <c r="D507" s="2">
        <f>IFERROR(__xludf.DUMMYFUNCTION("""COMPUTED_VALUE"""),1.855185100130526E-4)</f>
        <v>0.00018551851</v>
      </c>
      <c r="E507" s="2" t="str">
        <f>IFERROR(__xludf.DUMMYFUNCTION("""COMPUTED_VALUE"""),"      4.685")</f>
        <v>      4.685</v>
      </c>
    </row>
    <row r="508">
      <c r="A508" s="2" t="str">
        <f>IFERROR(__xludf.DUMMYFUNCTION("""COMPUTED_VALUE"""),"Tiago Guitián Reis")</f>
        <v>Tiago Guitián Reis</v>
      </c>
      <c r="B508" s="2" t="str">
        <f>IFERROR(__xludf.DUMMYFUNCTION("""COMPUTED_VALUE"""),"tiagogreis")</f>
        <v>tiagogreis</v>
      </c>
      <c r="C508" s="2" t="str">
        <f>IFERROR(__xludf.DUMMYFUNCTION("""COMPUTED_VALUE"""),"📈@SunoResearch
⚙️@StatusInvestBR
🏢 Recomendações de FIIs com 30% OFF 👇")</f>
        <v>📈@SunoResearch
⚙️@StatusInvestBR
🏢 Recomendações de FIIs com 30% OFF 👇</v>
      </c>
      <c r="D508" s="2">
        <f>IFERROR(__xludf.DUMMYFUNCTION("""COMPUTED_VALUE"""),1.855185100130526E-4)</f>
        <v>0.00018551851</v>
      </c>
      <c r="E508" s="2" t="str">
        <f>IFERROR(__xludf.DUMMYFUNCTION("""COMPUTED_VALUE"""),"    224.184")</f>
        <v>    224.184</v>
      </c>
    </row>
    <row r="509">
      <c r="A509" s="2" t="str">
        <f>IFERROR(__xludf.DUMMYFUNCTION("""COMPUTED_VALUE"""),"🖖🏼 Dimitra Vulcana, a Doutora Drag")</f>
        <v>🖖🏼 Dimitra Vulcana, a Doutora Drag</v>
      </c>
      <c r="B509" s="2" t="str">
        <f>IFERROR(__xludf.DUMMYFUNCTION("""COMPUTED_VALUE"""),"dimitravulcana")</f>
        <v>dimitravulcana</v>
      </c>
      <c r="C509" s="2" t="str">
        <f>IFERROR(__xludf.DUMMYFUNCTION("""COMPUTED_VALUE"""),"Produtora de conteúdo, Drag Queen, Marxista, prof e palestrante, Doutora em ciências da saúde Contato: doutoradrag@gmail.com : talents@nmadigital.com")</f>
        <v>Produtora de conteúdo, Drag Queen, Marxista, prof e palestrante, Doutora em ciências da saúde Contato: doutoradrag@gmail.com : talents@nmadigital.com</v>
      </c>
      <c r="D509" s="2">
        <f>IFERROR(__xludf.DUMMYFUNCTION("""COMPUTED_VALUE"""),1.855185100130526E-4)</f>
        <v>0.00018551851</v>
      </c>
      <c r="E509" s="2" t="str">
        <f>IFERROR(__xludf.DUMMYFUNCTION("""COMPUTED_VALUE"""),"     70.726")</f>
        <v>     70.726</v>
      </c>
    </row>
    <row r="510">
      <c r="A510" s="2" t="str">
        <f>IFERROR(__xludf.DUMMYFUNCTION("""COMPUTED_VALUE"""),"Rodrigo De Morais")</f>
        <v>Rodrigo De Morais</v>
      </c>
      <c r="B510" s="2" t="str">
        <f>IFERROR(__xludf.DUMMYFUNCTION("""COMPUTED_VALUE"""),"rodrigomoraisof")</f>
        <v>rodrigomoraisof</v>
      </c>
      <c r="C510" s="2" t="str">
        <f>IFERROR(__xludf.DUMMYFUNCTION("""COMPUTED_VALUE"""),"Militante nas causas sociais e trabalhistas. 
Educador Físico e Bacharel em Ciência do Trabalho
Dirigente Sindical no sindicato dos Metalúrgicos de SP e Mogi")</f>
        <v>Militante nas causas sociais e trabalhistas. 
Educador Físico e Bacharel em Ciência do Trabalho
Dirigente Sindical no sindicato dos Metalúrgicos de SP e Mogi</v>
      </c>
      <c r="D510" s="2">
        <f>IFERROR(__xludf.DUMMYFUNCTION("""COMPUTED_VALUE"""),1.855185100130526E-4)</f>
        <v>0.00018551851</v>
      </c>
      <c r="E510" s="2" t="str">
        <f>IFERROR(__xludf.DUMMYFUNCTION("""COMPUTED_VALUE"""),"      1.022")</f>
        <v>      1.022</v>
      </c>
    </row>
    <row r="511">
      <c r="A511" s="2" t="str">
        <f>IFERROR(__xludf.DUMMYFUNCTION("""COMPUTED_VALUE"""),"Marcelo Semer")</f>
        <v>Marcelo Semer</v>
      </c>
      <c r="B511" s="2" t="str">
        <f>IFERROR(__xludf.DUMMYFUNCTION("""COMPUTED_VALUE"""),"marcelo_semer")</f>
        <v>marcelo_semer</v>
      </c>
      <c r="C511" s="2" t="str">
        <f>IFERROR(__xludf.DUMMYFUNCTION("""COMPUTED_VALUE"""),"Escritor. Membro e ex-presidente da Associação Juízes para a Democracia. Entre Salas e Celas, Sentenciando Tráfico e Os Paradoxos da Justiça (novo).")</f>
        <v>Escritor. Membro e ex-presidente da Associação Juízes para a Democracia. Entre Salas e Celas, Sentenciando Tráfico e Os Paradoxos da Justiça (novo).</v>
      </c>
      <c r="D511" s="2">
        <f>IFERROR(__xludf.DUMMYFUNCTION("""COMPUTED_VALUE"""),1.855185100130526E-4)</f>
        <v>0.00018551851</v>
      </c>
      <c r="E511" s="2" t="str">
        <f>IFERROR(__xludf.DUMMYFUNCTION("""COMPUTED_VALUE"""),"     79.630")</f>
        <v>     79.630</v>
      </c>
    </row>
    <row r="512">
      <c r="A512" s="2" t="str">
        <f>IFERROR(__xludf.DUMMYFUNCTION("""COMPUTED_VALUE"""),"Raquel Gamer")</f>
        <v>Raquel Gamer</v>
      </c>
      <c r="B512" s="2" t="str">
        <f>IFERROR(__xludf.DUMMYFUNCTION("""COMPUTED_VALUE"""),"raquelgamer_rj")</f>
        <v>raquelgamer_rj</v>
      </c>
      <c r="C512" s="2" t="str">
        <f>IFERROR(__xludf.DUMMYFUNCTION("""COMPUTED_VALUE"""),"Gamer | Nerd | Tech | Crossfiteira e Yogi nas horas vagas
Vídeo Novo Toda Semana: https://t.co/4TC46npO14")</f>
        <v>Gamer | Nerd | Tech | Crossfiteira e Yogi nas horas vagas
Vídeo Novo Toda Semana: https://t.co/4TC46npO14</v>
      </c>
      <c r="D512" s="2">
        <f>IFERROR(__xludf.DUMMYFUNCTION("""COMPUTED_VALUE"""),1.855185100130526E-4)</f>
        <v>0.00018551851</v>
      </c>
      <c r="E512" s="2" t="str">
        <f>IFERROR(__xludf.DUMMYFUNCTION("""COMPUTED_VALUE"""),"     21.110")</f>
        <v>     21.110</v>
      </c>
    </row>
    <row r="513">
      <c r="A513" s="2" t="str">
        <f>IFERROR(__xludf.DUMMYFUNCTION("""COMPUTED_VALUE"""),"Gus")</f>
        <v>Gus</v>
      </c>
      <c r="B513" s="2" t="str">
        <f>IFERROR(__xludf.DUMMYFUNCTION("""COMPUTED_VALUE"""),"goulartastudio")</f>
        <v>goulartastudio</v>
      </c>
      <c r="C513" s="2" t="str">
        <f>IFERROR(__xludf.DUMMYFUNCTION("""COMPUTED_VALUE"""),"Monstros bem alimentados nunca vão embora. 🍃
Psicólogo, cantor em hiato, compositor, produtor musical, e estudante de Filosofia.")</f>
        <v>Monstros bem alimentados nunca vão embora. 🍃
Psicólogo, cantor em hiato, compositor, produtor musical, e estudante de Filosofia.</v>
      </c>
      <c r="D513" s="2">
        <f>IFERROR(__xludf.DUMMYFUNCTION("""COMPUTED_VALUE"""),1.855185100130526E-4)</f>
        <v>0.00018551851</v>
      </c>
      <c r="E513" s="2" t="str">
        <f>IFERROR(__xludf.DUMMYFUNCTION("""COMPUTED_VALUE"""),"      1.422")</f>
        <v>      1.422</v>
      </c>
    </row>
    <row r="514">
      <c r="A514" s="2" t="str">
        <f>IFERROR(__xludf.DUMMYFUNCTION("""COMPUTED_VALUE"""),"The Crypto Gateway")</f>
        <v>The Crypto Gateway</v>
      </c>
      <c r="B514" s="2" t="str">
        <f>IFERROR(__xludf.DUMMYFUNCTION("""COMPUTED_VALUE"""),"crypto_gateway")</f>
        <v>crypto_gateway</v>
      </c>
      <c r="C514" s="2" t="str">
        <f>IFERROR(__xludf.DUMMYFUNCTION("""COMPUTED_VALUE"""),"$ETH fanboy | Laurea in clickbait, master in shitposting e License to Shill | 🚫🐰🏦: qui non troverai nulla di serio | https://t.co/1UWDW84KLx")</f>
        <v>$ETH fanboy | Laurea in clickbait, master in shitposting e License to Shill | 🚫🐰🏦: qui non troverai nulla di serio | https://t.co/1UWDW84KLx</v>
      </c>
      <c r="D514" s="2">
        <f>IFERROR(__xludf.DUMMYFUNCTION("""COMPUTED_VALUE"""),1.855185100130526E-4)</f>
        <v>0.00018551851</v>
      </c>
      <c r="E514" s="2" t="str">
        <f>IFERROR(__xludf.DUMMYFUNCTION("""COMPUTED_VALUE"""),"    120.501")</f>
        <v>    120.501</v>
      </c>
    </row>
    <row r="515">
      <c r="A515" s="2" t="str">
        <f>IFERROR(__xludf.DUMMYFUNCTION("""COMPUTED_VALUE"""),"Robert O'Kersevan")</f>
        <v>Robert O'Kersevan</v>
      </c>
      <c r="B515" s="2" t="str">
        <f>IFERROR(__xludf.DUMMYFUNCTION("""COMPUTED_VALUE"""),"kersevanroberto")</f>
        <v>kersevanroberto</v>
      </c>
      <c r="C515" s="2" t="str">
        <f>IFERROR(__xludf.DUMMYFUNCTION("""COMPUTED_VALUE"""),"NON PARLO A NOME DEL MIO DATORE DI LAVORO! CHIARO??")</f>
        <v>NON PARLO A NOME DEL MIO DATORE DI LAVORO! CHIARO??</v>
      </c>
      <c r="D515" s="2">
        <f>IFERROR(__xludf.DUMMYFUNCTION("""COMPUTED_VALUE"""),1.855185100130526E-4)</f>
        <v>0.00018551851</v>
      </c>
      <c r="E515" s="2" t="str">
        <f>IFERROR(__xludf.DUMMYFUNCTION("""COMPUTED_VALUE"""),"      2.576")</f>
        <v>      2.576</v>
      </c>
    </row>
    <row r="516">
      <c r="A516" s="2" t="str">
        <f>IFERROR(__xludf.DUMMYFUNCTION("""COMPUTED_VALUE"""),"Scout Vasco")</f>
        <v>Scout Vasco</v>
      </c>
      <c r="B516" s="2" t="str">
        <f>IFERROR(__xludf.DUMMYFUNCTION("""COMPUTED_VALUE"""),"scoutvasco")</f>
        <v>scoutvasco</v>
      </c>
      <c r="C516" s="2" t="str">
        <f>IFERROR(__xludf.DUMMYFUNCTION("""COMPUTED_VALUE"""),"Aqui você encontra análises táticas, individuais e coletivas sobre nosso clube de coração.")</f>
        <v>Aqui você encontra análises táticas, individuais e coletivas sobre nosso clube de coração.</v>
      </c>
      <c r="D516" s="2">
        <f>IFERROR(__xludf.DUMMYFUNCTION("""COMPUTED_VALUE"""),1.855185100130526E-4)</f>
        <v>0.00018551851</v>
      </c>
      <c r="E516" s="2" t="str">
        <f>IFERROR(__xludf.DUMMYFUNCTION("""COMPUTED_VALUE"""),"     10.703")</f>
        <v>     10.703</v>
      </c>
    </row>
    <row r="517">
      <c r="A517" s="2" t="str">
        <f>IFERROR(__xludf.DUMMYFUNCTION("""COMPUTED_VALUE"""),"𝕴𝖌𝖔𝖗 𝕸𝖔𝖚𝖗𝖆")</f>
        <v>𝕴𝖌𝖔𝖗 𝕸𝖔𝖚𝖗𝖆</v>
      </c>
      <c r="B517" s="2" t="str">
        <f>IFERROR(__xludf.DUMMYFUNCTION("""COMPUTED_VALUE"""),"i_mouraa")</f>
        <v>i_mouraa</v>
      </c>
      <c r="C517" s="2" t="str">
        <f>IFERROR(__xludf.DUMMYFUNCTION("""COMPUTED_VALUE"""),"Livrai-me de todo mal, Amém!")</f>
        <v>Livrai-me de todo mal, Amém!</v>
      </c>
      <c r="D517" s="2">
        <f>IFERROR(__xludf.DUMMYFUNCTION("""COMPUTED_VALUE"""),1.855185100130526E-4)</f>
        <v>0.00018551851</v>
      </c>
      <c r="E517" s="2" t="str">
        <f>IFERROR(__xludf.DUMMYFUNCTION("""COMPUTED_VALUE"""),"      2.282")</f>
        <v>      2.282</v>
      </c>
    </row>
    <row r="518">
      <c r="A518" s="2" t="str">
        <f>IFERROR(__xludf.DUMMYFUNCTION("""COMPUTED_VALUE"""),"Medo e Delírio em Brasília")</f>
        <v>Medo e Delírio em Brasília</v>
      </c>
      <c r="B518" s="2" t="str">
        <f>IFERROR(__xludf.DUMMYFUNCTION("""COMPUTED_VALUE"""),"medoedeliriobr")</f>
        <v>medoedeliriobr</v>
      </c>
      <c r="C518" s="2" t="str">
        <f>IFERROR(__xludf.DUMMYFUNCTION("""COMPUTED_VALUE"""),"Um podcast sobre essa quadra miserável da história, essa bad trip escrota do caralho. https://t.co/Y7lByyLGlE")</f>
        <v>Um podcast sobre essa quadra miserável da história, essa bad trip escrota do caralho. https://t.co/Y7lByyLGlE</v>
      </c>
      <c r="D518" s="2">
        <f>IFERROR(__xludf.DUMMYFUNCTION("""COMPUTED_VALUE"""),1.855185100130526E-4)</f>
        <v>0.00018551851</v>
      </c>
      <c r="E518" s="2" t="str">
        <f>IFERROR(__xludf.DUMMYFUNCTION("""COMPUTED_VALUE"""),"    203.981")</f>
        <v>    203.981</v>
      </c>
    </row>
    <row r="519">
      <c r="A519" s="2" t="str">
        <f>IFERROR(__xludf.DUMMYFUNCTION("""COMPUTED_VALUE"""),"Kenon ☣︎")</f>
        <v>Kenon ☣︎</v>
      </c>
      <c r="B519" s="2" t="str">
        <f>IFERROR(__xludf.DUMMYFUNCTION("""COMPUTED_VALUE"""),"kenon_wang")</f>
        <v>kenon_wang</v>
      </c>
      <c r="C519" s="2" t="str">
        <f>IFERROR(__xludf.DUMMYFUNCTION("""COMPUTED_VALUE"""),"𝖥𝖼 | 𝖩𝗐 . 𝖧𝗐 . 𝖳𝗇")</f>
        <v>𝖥𝖼 | 𝖩𝗐 . 𝖧𝗐 . 𝖳𝗇</v>
      </c>
      <c r="D519" s="2">
        <f>IFERROR(__xludf.DUMMYFUNCTION("""COMPUTED_VALUE"""),1.855185100130526E-4)</f>
        <v>0.00018551851</v>
      </c>
      <c r="E519" s="2" t="str">
        <f>IFERROR(__xludf.DUMMYFUNCTION("""COMPUTED_VALUE"""),"      2.070")</f>
        <v>      2.070</v>
      </c>
    </row>
    <row r="520">
      <c r="A520" s="2" t="str">
        <f>IFERROR(__xludf.DUMMYFUNCTION("""COMPUTED_VALUE"""),"Felipe Ruiz")</f>
        <v>Felipe Ruiz</v>
      </c>
      <c r="B520" s="2" t="str">
        <f>IFERROR(__xludf.DUMMYFUNCTION("""COMPUTED_VALUE"""),"felipe__ruiz")</f>
        <v>felipe__ruiz</v>
      </c>
      <c r="C520" s="2" t="str">
        <f>IFERROR(__xludf.DUMMYFUNCTION("""COMPUTED_VALUE"""),"Investidor e fundador AGF | Conselheiro | Engenheiro, MIT MBA | VP MIT Alumni Club | IBGC")</f>
        <v>Investidor e fundador AGF | Conselheiro | Engenheiro, MIT MBA | VP MIT Alumni Club | IBGC</v>
      </c>
      <c r="D520" s="2">
        <f>IFERROR(__xludf.DUMMYFUNCTION("""COMPUTED_VALUE"""),1.855185100130526E-4)</f>
        <v>0.00018551851</v>
      </c>
      <c r="E520" s="2" t="str">
        <f>IFERROR(__xludf.DUMMYFUNCTION("""COMPUTED_VALUE"""),"     13.654")</f>
        <v>     13.654</v>
      </c>
    </row>
    <row r="521">
      <c r="A521" s="2" t="str">
        <f>IFERROR(__xludf.DUMMYFUNCTION("""COMPUTED_VALUE"""),"Plantão Baixada RJ")</f>
        <v>Plantão Baixada RJ</v>
      </c>
      <c r="B521" s="2" t="str">
        <f>IFERROR(__xludf.DUMMYFUNCTION("""COMPUTED_VALUE"""),"plantaobaixadaa")</f>
        <v>plantaobaixadaa</v>
      </c>
      <c r="C521" s="2" t="str">
        <f>IFERROR(__xludf.DUMMYFUNCTION("""COMPUTED_VALUE"""),"Jornal do Povo !!")</f>
        <v>Jornal do Povo !!</v>
      </c>
      <c r="D521" s="2">
        <f>IFERROR(__xludf.DUMMYFUNCTION("""COMPUTED_VALUE"""),1.855185100130526E-4)</f>
        <v>0.00018551851</v>
      </c>
      <c r="E521" s="2" t="str">
        <f>IFERROR(__xludf.DUMMYFUNCTION("""COMPUTED_VALUE"""),"    275.390")</f>
        <v>    275.390</v>
      </c>
    </row>
    <row r="522">
      <c r="A522" s="2" t="str">
        <f>IFERROR(__xludf.DUMMYFUNCTION("""COMPUTED_VALUE"""),"Gabriel Luiz")</f>
        <v>Gabriel Luiz</v>
      </c>
      <c r="B522" s="2" t="str">
        <f>IFERROR(__xludf.DUMMYFUNCTION("""COMPUTED_VALUE"""),"pseudogabs")</f>
        <v>pseudogabs</v>
      </c>
      <c r="C522" s="2" t="str">
        <f>IFERROR(__xludf.DUMMYFUNCTION("""COMPUTED_VALUE"""),"Jornalista e usuário apenas recreativo deste saite")</f>
        <v>Jornalista e usuário apenas recreativo deste saite</v>
      </c>
      <c r="D522" s="2">
        <f>IFERROR(__xludf.DUMMYFUNCTION("""COMPUTED_VALUE"""),1.855185100130526E-4)</f>
        <v>0.00018551851</v>
      </c>
      <c r="E522" s="2" t="str">
        <f>IFERROR(__xludf.DUMMYFUNCTION("""COMPUTED_VALUE"""),"     44.122")</f>
        <v>     44.122</v>
      </c>
    </row>
    <row r="523">
      <c r="A523" s="2" t="str">
        <f>IFERROR(__xludf.DUMMYFUNCTION("""COMPUTED_VALUE"""),"Estrela Serrano")</f>
        <v>Estrela Serrano</v>
      </c>
      <c r="B523" s="2" t="str">
        <f>IFERROR(__xludf.DUMMYFUNCTION("""COMPUTED_VALUE"""),"estrelaserrano")</f>
        <v>estrelaserrano</v>
      </c>
      <c r="C523" s="2" t="str">
        <f>IFERROR(__xludf.DUMMYFUNCTION("""COMPUTED_VALUE"""),"professora,investigadora de média, jornalismo,  comunicação institucional, comunicação política")</f>
        <v>professora,investigadora de média, jornalismo,  comunicação institucional, comunicação política</v>
      </c>
      <c r="D523" s="2">
        <f>IFERROR(__xludf.DUMMYFUNCTION("""COMPUTED_VALUE"""),1.855185100130526E-4)</f>
        <v>0.00018551851</v>
      </c>
      <c r="E523" s="2" t="str">
        <f>IFERROR(__xludf.DUMMYFUNCTION("""COMPUTED_VALUE"""),"      7.396")</f>
        <v>      7.396</v>
      </c>
    </row>
    <row r="524">
      <c r="A524" s="2" t="str">
        <f>IFERROR(__xludf.DUMMYFUNCTION("""COMPUTED_VALUE"""),"Ana ♥️🚩📕🦑♥️♥️🇧🇷🦑")</f>
        <v>Ana ♥️🚩📕🦑♥️♥️🇧🇷🦑</v>
      </c>
      <c r="B524" s="2" t="str">
        <f>IFERROR(__xludf.DUMMYFUNCTION("""COMPUTED_VALUE"""),"anapaul41531863")</f>
        <v>anapaul41531863</v>
      </c>
      <c r="C524" s="2" t="str">
        <f>IFERROR(__xludf.DUMMYFUNCTION("""COMPUTED_VALUE"""),"Mãe, esposa, avó e acima de tudo mulher. Sem religião, mas com muita fé. PETISTA! A bandeira do Brasil é do povo!#ForaBolsonaro #LulaPresidente13")</f>
        <v>Mãe, esposa, avó e acima de tudo mulher. Sem religião, mas com muita fé. PETISTA! A bandeira do Brasil é do povo!#ForaBolsonaro #LulaPresidente13</v>
      </c>
      <c r="D524" s="2">
        <f>IFERROR(__xludf.DUMMYFUNCTION("""COMPUTED_VALUE"""),1.855185100130526E-4)</f>
        <v>0.00018551851</v>
      </c>
      <c r="E524" s="2" t="str">
        <f>IFERROR(__xludf.DUMMYFUNCTION("""COMPUTED_VALUE"""),"     13.155")</f>
        <v>     13.155</v>
      </c>
    </row>
    <row r="525">
      <c r="A525" s="2" t="str">
        <f>IFERROR(__xludf.DUMMYFUNCTION("""COMPUTED_VALUE"""),"Mônica Bergamo")</f>
        <v>Mônica Bergamo</v>
      </c>
      <c r="B525" s="2" t="str">
        <f>IFERROR(__xludf.DUMMYFUNCTION("""COMPUTED_VALUE"""),"monicabergamo")</f>
        <v>monicabergamo</v>
      </c>
      <c r="C525" s="2" t="str">
        <f>IFERROR(__xludf.DUMMYFUNCTION("""COMPUTED_VALUE"""),"jornalista")</f>
        <v>jornalista</v>
      </c>
      <c r="D525" s="2">
        <f>IFERROR(__xludf.DUMMYFUNCTION("""COMPUTED_VALUE"""),1.855185100130526E-4)</f>
        <v>0.00018551851</v>
      </c>
      <c r="E525" s="2" t="str">
        <f>IFERROR(__xludf.DUMMYFUNCTION("""COMPUTED_VALUE"""),"  1.890.066")</f>
        <v>  1.890.066</v>
      </c>
    </row>
    <row r="526">
      <c r="A526" s="2" t="str">
        <f>IFERROR(__xludf.DUMMYFUNCTION("""COMPUTED_VALUE"""),"Guel Maraj")</f>
        <v>Guel Maraj</v>
      </c>
      <c r="B526" s="2" t="str">
        <f>IFERROR(__xludf.DUMMYFUNCTION("""COMPUTED_VALUE"""),"guelmaraj")</f>
        <v>guelmaraj</v>
      </c>
      <c r="C526" s="2" t="str">
        <f>IFERROR(__xludf.DUMMYFUNCTION("""COMPUTED_VALUE"""),"🪐RIDE WITH MINAJ👑")</f>
        <v>🪐RIDE WITH MINAJ👑</v>
      </c>
      <c r="D526" s="2">
        <f>IFERROR(__xludf.DUMMYFUNCTION("""COMPUTED_VALUE"""),1.855185100130526E-4)</f>
        <v>0.00018551851</v>
      </c>
      <c r="E526" s="2" t="str">
        <f>IFERROR(__xludf.DUMMYFUNCTION("""COMPUTED_VALUE"""),"      1.087")</f>
        <v>      1.087</v>
      </c>
    </row>
    <row r="527">
      <c r="A527" s="2" t="str">
        <f>IFERROR(__xludf.DUMMYFUNCTION("""COMPUTED_VALUE"""),"País do Futebol ( de 🏡)")</f>
        <v>País do Futebol ( de 🏡)</v>
      </c>
      <c r="B527" s="2" t="str">
        <f>IFERROR(__xludf.DUMMYFUNCTION("""COMPUTED_VALUE"""),"futebol_pais")</f>
        <v>futebol_pais</v>
      </c>
      <c r="C527" s="2" t="str">
        <f>IFERROR(__xludf.DUMMYFUNCTION("""COMPUTED_VALUE"""),"⚽️: O seu melhor Portal de Notícias 
🚩: Bem Vindos / Bienvenidos
📸: Instagram: paisdofutebollf2
🐦: Twitter : futebol_pais")</f>
        <v>⚽️: O seu melhor Portal de Notícias 
🚩: Bem Vindos / Bienvenidos
📸: Instagram: paisdofutebollf2
🐦: Twitter : futebol_pais</v>
      </c>
      <c r="D527" s="2">
        <f>IFERROR(__xludf.DUMMYFUNCTION("""COMPUTED_VALUE"""),1.855185100130526E-4)</f>
        <v>0.00018551851</v>
      </c>
      <c r="E527" s="2" t="str">
        <f>IFERROR(__xludf.DUMMYFUNCTION("""COMPUTED_VALUE"""),"     14.909")</f>
        <v>     14.909</v>
      </c>
    </row>
    <row r="528">
      <c r="A528" s="2" t="str">
        <f>IFERROR(__xludf.DUMMYFUNCTION("""COMPUTED_VALUE"""),"kazekage vacanja winits")</f>
        <v>kazekage vacanja winits</v>
      </c>
      <c r="B528" s="2" t="str">
        <f>IFERROR(__xludf.DUMMYFUNCTION("""COMPUTED_VALUE"""),"kiiierbea")</f>
        <v>kiiierbea</v>
      </c>
      <c r="C528" s="2" t="str">
        <f>IFERROR(__xludf.DUMMYFUNCTION("""COMPUTED_VALUE"""),"pop e otakice | 📺: jujutsu kaisen")</f>
        <v>pop e otakice | 📺: jujutsu kaisen</v>
      </c>
      <c r="D528" s="2">
        <f>IFERROR(__xludf.DUMMYFUNCTION("""COMPUTED_VALUE"""),1.855185100130526E-4)</f>
        <v>0.00018551851</v>
      </c>
      <c r="E528" s="2" t="str">
        <f>IFERROR(__xludf.DUMMYFUNCTION("""COMPUTED_VALUE"""),"     15.797")</f>
        <v>     15.797</v>
      </c>
    </row>
    <row r="529">
      <c r="A529" s="2" t="str">
        <f>IFERROR(__xludf.DUMMYFUNCTION("""COMPUTED_VALUE"""),"psicanalista da classe trabalhadora")</f>
        <v>psicanalista da classe trabalhadora</v>
      </c>
      <c r="B529" s="2" t="str">
        <f>IFERROR(__xludf.DUMMYFUNCTION("""COMPUTED_VALUE"""),"psicanalistarj")</f>
        <v>psicanalistarj</v>
      </c>
      <c r="C529" s="2" t="str">
        <f>IFERROR(__xludf.DUMMYFUNCTION("""COMPUTED_VALUE"""),"Psicóloga, psicanalista, supervisora, atriz e mestranda pesquisadora de teatro e psicanálise. 🚩 Como me disse uma grande amiga, meu Twitter é meu caderno.")</f>
        <v>Psicóloga, psicanalista, supervisora, atriz e mestranda pesquisadora de teatro e psicanálise. 🚩 Como me disse uma grande amiga, meu Twitter é meu caderno.</v>
      </c>
      <c r="D529" s="2">
        <f>IFERROR(__xludf.DUMMYFUNCTION("""COMPUTED_VALUE"""),1.855185100130526E-4)</f>
        <v>0.00018551851</v>
      </c>
      <c r="E529" s="2" t="str">
        <f>IFERROR(__xludf.DUMMYFUNCTION("""COMPUTED_VALUE"""),"      4.813")</f>
        <v>      4.813</v>
      </c>
    </row>
    <row r="530">
      <c r="A530" s="2" t="str">
        <f>IFERROR(__xludf.DUMMYFUNCTION("""COMPUTED_VALUE"""),"HUNOR 🔱")</f>
        <v>HUNOR 🔱</v>
      </c>
      <c r="B530" s="2" t="str">
        <f>IFERROR(__xludf.DUMMYFUNCTION("""COMPUTED_VALUE"""),"vaevictis")</f>
        <v>vaevictis</v>
      </c>
      <c r="C530" s="2" t="str">
        <f>IFERROR(__xludf.DUMMYFUNCTION("""COMPUTED_VALUE"""),"Qui solo scienza. Conservatore, identitario, tradizionalista. Allergico al pensiero acritico, semplicistico e fuori contesto. NO liberalismo e disumanizzazione.")</f>
        <v>Qui solo scienza. Conservatore, identitario, tradizionalista. Allergico al pensiero acritico, semplicistico e fuori contesto. NO liberalismo e disumanizzazione.</v>
      </c>
      <c r="D530" s="2">
        <f>IFERROR(__xludf.DUMMYFUNCTION("""COMPUTED_VALUE"""),1.855185100130526E-4)</f>
        <v>0.00018551851</v>
      </c>
      <c r="E530" s="2" t="str">
        <f>IFERROR(__xludf.DUMMYFUNCTION("""COMPUTED_VALUE"""),"      9.716")</f>
        <v>      9.716</v>
      </c>
    </row>
    <row r="531">
      <c r="A531" s="2" t="str">
        <f>IFERROR(__xludf.DUMMYFUNCTION("""COMPUTED_VALUE"""),"Amazon Sat")</f>
        <v>Amazon Sat</v>
      </c>
      <c r="B531" s="2" t="str">
        <f>IFERROR(__xludf.DUMMYFUNCTION("""COMPUTED_VALUE"""),"amazonsat")</f>
        <v>amazonsat</v>
      </c>
      <c r="C531" s="2" t="str">
        <f>IFERROR(__xludf.DUMMYFUNCTION("""COMPUTED_VALUE"""),"🎥📺 O canal que é a cara e a voz da Amazônia!")</f>
        <v>🎥📺 O canal que é a cara e a voz da Amazônia!</v>
      </c>
      <c r="D531" s="2">
        <f>IFERROR(__xludf.DUMMYFUNCTION("""COMPUTED_VALUE"""),1.855185100130526E-4)</f>
        <v>0.00018551851</v>
      </c>
      <c r="E531" s="2" t="str">
        <f>IFERROR(__xludf.DUMMYFUNCTION("""COMPUTED_VALUE"""),"     27.715")</f>
        <v>     27.715</v>
      </c>
    </row>
    <row r="532">
      <c r="A532" s="2" t="str">
        <f>IFERROR(__xludf.DUMMYFUNCTION("""COMPUTED_VALUE"""),"Casalhotwifecuckoldd")</f>
        <v>Casalhotwifecuckoldd</v>
      </c>
      <c r="B532" s="2" t="str">
        <f>IFERROR(__xludf.DUMMYFUNCTION("""COMPUTED_VALUE"""),"casalgostosoro2")</f>
        <v>casalgostosoro2</v>
      </c>
      <c r="C532" s="2" t="str">
        <f>IFERROR(__xludf.DUMMYFUNCTION("""COMPUTED_VALUE"""),"Casal. Relacionamento aberto. Buscamos muito sexo, amizade, cumplicidade, safadeza, voyeurismo, exibição.
https://t.co/duvc07ItpS…")</f>
        <v>Casal. Relacionamento aberto. Buscamos muito sexo, amizade, cumplicidade, safadeza, voyeurismo, exibição.
https://t.co/duvc07ItpS…</v>
      </c>
      <c r="D532" s="2">
        <f>IFERROR(__xludf.DUMMYFUNCTION("""COMPUTED_VALUE"""),1.855185100130526E-4)</f>
        <v>0.00018551851</v>
      </c>
      <c r="E532" s="2" t="str">
        <f>IFERROR(__xludf.DUMMYFUNCTION("""COMPUTED_VALUE"""),"      6.620")</f>
        <v>      6.620</v>
      </c>
    </row>
    <row r="533">
      <c r="A533" s="2" t="str">
        <f>IFERROR(__xludf.DUMMYFUNCTION("""COMPUTED_VALUE"""),"diogomainardi")</f>
        <v>diogomainardi</v>
      </c>
      <c r="B533" s="2" t="str">
        <f>IFERROR(__xludf.DUMMYFUNCTION("""COMPUTED_VALUE"""),"diogomainardi")</f>
        <v>diogomainardi</v>
      </c>
      <c r="C533" s="2" t="str">
        <f>IFERROR(__xludf.DUMMYFUNCTION("""COMPUTED_VALUE"""),"A Arte de Ressuscitar")</f>
        <v>A Arte de Ressuscitar</v>
      </c>
      <c r="D533" s="2">
        <f>IFERROR(__xludf.DUMMYFUNCTION("""COMPUTED_VALUE"""),1.855185100130526E-4)</f>
        <v>0.00018551851</v>
      </c>
      <c r="E533" s="2" t="str">
        <f>IFERROR(__xludf.DUMMYFUNCTION("""COMPUTED_VALUE"""),"  1.114.668")</f>
        <v>  1.114.668</v>
      </c>
    </row>
    <row r="534">
      <c r="A534" s="2" t="str">
        <f>IFERROR(__xludf.DUMMYFUNCTION("""COMPUTED_VALUE"""),"pardo branco™")</f>
        <v>pardo branco™</v>
      </c>
      <c r="B534" s="2" t="str">
        <f>IFERROR(__xludf.DUMMYFUNCTION("""COMPUTED_VALUE"""),"juarez__42")</f>
        <v>juarez__42</v>
      </c>
      <c r="C534" s="2" t="str">
        <f>IFERROR(__xludf.DUMMYFUNCTION("""COMPUTED_VALUE"""),"ele / dele
não mono
de esquerda-anti liberal.")</f>
        <v>ele / dele
não mono
de esquerda-anti liberal.</v>
      </c>
      <c r="D534" s="2">
        <f>IFERROR(__xludf.DUMMYFUNCTION("""COMPUTED_VALUE"""),1.855185100130526E-4)</f>
        <v>0.00018551851</v>
      </c>
      <c r="E534" s="2" t="str">
        <f>IFERROR(__xludf.DUMMYFUNCTION("""COMPUTED_VALUE"""),"      2.404")</f>
        <v>      2.404</v>
      </c>
    </row>
    <row r="535">
      <c r="A535" s="2" t="str">
        <f>IFERROR(__xludf.DUMMYFUNCTION("""COMPUTED_VALUE"""),"Cambiacasacca")</f>
        <v>Cambiacasacca</v>
      </c>
      <c r="B535" s="2" t="str">
        <f>IFERROR(__xludf.DUMMYFUNCTION("""COMPUTED_VALUE"""),"cambiacasacca")</f>
        <v>cambiacasacca</v>
      </c>
      <c r="C535" s="2" t="str">
        <f>IFERROR(__xludf.DUMMYFUNCTION("""COMPUTED_VALUE"""),"In politica sono ambidestro, almeno finché non pubblicano i risultati. Tutti in fondo hanno una parte di ragione, quindi son le mie ragioni a far la differenza.")</f>
        <v>In politica sono ambidestro, almeno finché non pubblicano i risultati. Tutti in fondo hanno una parte di ragione, quindi son le mie ragioni a far la differenza.</v>
      </c>
      <c r="D535" s="2">
        <f>IFERROR(__xludf.DUMMYFUNCTION("""COMPUTED_VALUE"""),1.855185100130526E-4)</f>
        <v>0.00018551851</v>
      </c>
      <c r="E535" s="2" t="str">
        <f>IFERROR(__xludf.DUMMYFUNCTION("""COMPUTED_VALUE"""),"     34.737")</f>
        <v>     34.737</v>
      </c>
    </row>
    <row r="536">
      <c r="A536" s="2" t="str">
        <f>IFERROR(__xludf.DUMMYFUNCTION("""COMPUTED_VALUE"""),"Vanessa 🇧🇷")</f>
        <v>Vanessa 🇧🇷</v>
      </c>
      <c r="B536" s="2" t="str">
        <f>IFERROR(__xludf.DUMMYFUNCTION("""COMPUTED_VALUE"""),"van_mto")</f>
        <v>van_mto</v>
      </c>
      <c r="C536" s="2" t="str">
        <f>IFERROR(__xludf.DUMMYFUNCTION("""COMPUTED_VALUE"""),"Feminina. Economia, administração e negócios. Família, natureza e fé.")</f>
        <v>Feminina. Economia, administração e negócios. Família, natureza e fé.</v>
      </c>
      <c r="D536" s="2">
        <f>IFERROR(__xludf.DUMMYFUNCTION("""COMPUTED_VALUE"""),1.855185100130526E-4)</f>
        <v>0.00018551851</v>
      </c>
      <c r="E536" s="2" t="str">
        <f>IFERROR(__xludf.DUMMYFUNCTION("""COMPUTED_VALUE"""),"     10.009")</f>
        <v>     10.009</v>
      </c>
    </row>
    <row r="537">
      <c r="A537" s="2" t="str">
        <f>IFERROR(__xludf.DUMMYFUNCTION("""COMPUTED_VALUE"""),"NÍCOLAS LIMA")</f>
        <v>NÍCOLAS LIMA</v>
      </c>
      <c r="B537" s="2" t="str">
        <f>IFERROR(__xludf.DUMMYFUNCTION("""COMPUTED_VALUE"""),"nicolaslima_ofi")</f>
        <v>nicolaslima_ofi</v>
      </c>
      <c r="C537" s="2" t="str">
        <f>IFERROR(__xludf.DUMMYFUNCTION("""COMPUTED_VALUE"""),"Canal: Acesse⤵️")</f>
        <v>Canal: Acesse⤵️</v>
      </c>
      <c r="D537" s="2">
        <f>IFERROR(__xludf.DUMMYFUNCTION("""COMPUTED_VALUE"""),1.855185100130526E-4)</f>
        <v>0.00018551851</v>
      </c>
      <c r="E537" s="2" t="str">
        <f>IFERROR(__xludf.DUMMYFUNCTION("""COMPUTED_VALUE"""),"      2.494")</f>
        <v>      2.494</v>
      </c>
    </row>
    <row r="538">
      <c r="A538" s="2" t="str">
        <f>IFERROR(__xludf.DUMMYFUNCTION("""COMPUTED_VALUE"""),"AC Milan Brasil")</f>
        <v>AC Milan Brasil</v>
      </c>
      <c r="B538" s="2" t="str">
        <f>IFERROR(__xludf.DUMMYFUNCTION("""COMPUTED_VALUE"""),"acmilan_brasil")</f>
        <v>acmilan_brasil</v>
      </c>
      <c r="C538" s="2" t="str">
        <f>IFERROR(__xludf.DUMMYFUNCTION("""COMPUTED_VALUE"""),"Perfil da primeira e única torcida oficial do #ACMilan no Brasil | Milan Club desde 2017 | Informação, opinião e cobertura de jogos em português 🔴⚫️🇧🇷")</f>
        <v>Perfil da primeira e única torcida oficial do #ACMilan no Brasil | Milan Club desde 2017 | Informação, opinião e cobertura de jogos em português 🔴⚫️🇧🇷</v>
      </c>
      <c r="D538" s="2">
        <f>IFERROR(__xludf.DUMMYFUNCTION("""COMPUTED_VALUE"""),1.855185100130526E-4)</f>
        <v>0.00018551851</v>
      </c>
      <c r="E538" s="2" t="str">
        <f>IFERROR(__xludf.DUMMYFUNCTION("""COMPUTED_VALUE"""),"     50.167")</f>
        <v>     50.167</v>
      </c>
    </row>
    <row r="539">
      <c r="A539" s="2" t="str">
        <f>IFERROR(__xludf.DUMMYFUNCTION("""COMPUTED_VALUE"""),"Felipe Leme 🇯🇴")</f>
        <v>Felipe Leme 🇯🇴</v>
      </c>
      <c r="B539" s="2" t="str">
        <f>IFERROR(__xludf.DUMMYFUNCTION("""COMPUTED_VALUE"""),"leme12")</f>
        <v>leme12</v>
      </c>
      <c r="C539" s="2" t="str">
        <f>IFERROR(__xludf.DUMMYFUNCTION("""COMPUTED_VALUE"""),"Jornalista independente premiado 3 vezes pela fundação Ford. Assessoria: @cabaladecabalo / Parody page.")</f>
        <v>Jornalista independente premiado 3 vezes pela fundação Ford. Assessoria: @cabaladecabalo / Parody page.</v>
      </c>
      <c r="D539" s="2">
        <f>IFERROR(__xludf.DUMMYFUNCTION("""COMPUTED_VALUE"""),1.855185100130526E-4)</f>
        <v>0.00018551851</v>
      </c>
      <c r="E539" s="2" t="str">
        <f>IFERROR(__xludf.DUMMYFUNCTION("""COMPUTED_VALUE"""),"     15.491")</f>
        <v>     15.491</v>
      </c>
    </row>
    <row r="540">
      <c r="A540" s="2" t="str">
        <f>IFERROR(__xludf.DUMMYFUNCTION("""COMPUTED_VALUE"""),"Mano X")</f>
        <v>Mano X</v>
      </c>
      <c r="B540" s="2" t="str">
        <f>IFERROR(__xludf.DUMMYFUNCTION("""COMPUTED_VALUE"""),"manox_png")</f>
        <v>manox_png</v>
      </c>
      <c r="C540" s="2" t="str">
        <f>IFERROR(__xludf.DUMMYFUNCTION("""COMPUTED_VALUE"""),"🇧🇷 faço desenhos, torço pro Corinthians, sou apaixonado por tenis. 20 anos 👍")</f>
        <v>🇧🇷 faço desenhos, torço pro Corinthians, sou apaixonado por tenis. 20 anos 👍</v>
      </c>
      <c r="D540" s="2">
        <f>IFERROR(__xludf.DUMMYFUNCTION("""COMPUTED_VALUE"""),1.855185100130526E-4)</f>
        <v>0.00018551851</v>
      </c>
      <c r="E540" s="2" t="str">
        <f>IFERROR(__xludf.DUMMYFUNCTION("""COMPUTED_VALUE"""),"      2.747")</f>
        <v>      2.747</v>
      </c>
    </row>
    <row r="541">
      <c r="A541" s="2" t="str">
        <f>IFERROR(__xludf.DUMMYFUNCTION("""COMPUTED_VALUE"""),"luisera")</f>
        <v>luisera</v>
      </c>
      <c r="B541" s="2" t="str">
        <f>IFERROR(__xludf.DUMMYFUNCTION("""COMPUTED_VALUE"""),"itsluisaalmeida")</f>
        <v>itsluisaalmeida</v>
      </c>
      <c r="C541" s="2" t="str">
        <f>IFERROR(__xludf.DUMMYFUNCTION("""COMPUTED_VALUE"""),"amo el fútbol pero me está consumiendo | in my pesquisadora acadêmica era")</f>
        <v>amo el fútbol pero me está consumiendo | in my pesquisadora acadêmica era</v>
      </c>
      <c r="D541" s="2">
        <f>IFERROR(__xludf.DUMMYFUNCTION("""COMPUTED_VALUE"""),1.855185100130526E-4)</f>
        <v>0.00018551851</v>
      </c>
      <c r="E541" s="2" t="str">
        <f>IFERROR(__xludf.DUMMYFUNCTION("""COMPUTED_VALUE"""),"      1.523")</f>
        <v>      1.523</v>
      </c>
    </row>
    <row r="542">
      <c r="A542" s="2" t="str">
        <f>IFERROR(__xludf.DUMMYFUNCTION("""COMPUTED_VALUE"""),"Cissa Bailey 🇺🇸🇧🇷")</f>
        <v>Cissa Bailey 🇺🇸🇧🇷</v>
      </c>
      <c r="B542" s="2" t="str">
        <f>IFERROR(__xludf.DUMMYFUNCTION("""COMPUTED_VALUE"""),"cissabailey")</f>
        <v>cissabailey</v>
      </c>
      <c r="C542" s="2" t="str">
        <f>IFERROR(__xludf.DUMMYFUNCTION("""COMPUTED_VALUE"""),"Political Commentator, Wine Enthusiast, Shadow Banned")</f>
        <v>Political Commentator, Wine Enthusiast, Shadow Banned</v>
      </c>
      <c r="D542" s="2">
        <f>IFERROR(__xludf.DUMMYFUNCTION("""COMPUTED_VALUE"""),1.855185100130526E-4)</f>
        <v>0.00018551851</v>
      </c>
      <c r="E542" s="2" t="str">
        <f>IFERROR(__xludf.DUMMYFUNCTION("""COMPUTED_VALUE"""),"     34.217")</f>
        <v>     34.217</v>
      </c>
    </row>
    <row r="543">
      <c r="A543" s="2" t="str">
        <f>IFERROR(__xludf.DUMMYFUNCTION("""COMPUTED_VALUE"""),"GZH")</f>
        <v>GZH</v>
      </c>
      <c r="B543" s="2" t="str">
        <f>IFERROR(__xludf.DUMMYFUNCTION("""COMPUTED_VALUE"""),"gzhdigital")</f>
        <v>gzhdigital</v>
      </c>
      <c r="C543" s="2" t="str">
        <f>IFERROR(__xludf.DUMMYFUNCTION("""COMPUTED_VALUE"""),"Somos um jornal digital, que reúne o melhor de Rádio Gaúcha e Zero Hora em um só lugar. Notícias, análises, opinião e muito mais! 📲https://t.co/wINWTuRZGY")</f>
        <v>Somos um jornal digital, que reúne o melhor de Rádio Gaúcha e Zero Hora em um só lugar. Notícias, análises, opinião e muito mais! 📲https://t.co/wINWTuRZGY</v>
      </c>
      <c r="D543" s="2">
        <f>IFERROR(__xludf.DUMMYFUNCTION("""COMPUTED_VALUE"""),1.855185100130526E-4)</f>
        <v>0.00018551851</v>
      </c>
      <c r="E543" s="2" t="str">
        <f>IFERROR(__xludf.DUMMYFUNCTION("""COMPUTED_VALUE"""),"  1.166.862")</f>
        <v>  1.166.862</v>
      </c>
    </row>
    <row r="544">
      <c r="A544" s="2" t="str">
        <f>IFERROR(__xludf.DUMMYFUNCTION("""COMPUTED_VALUE"""),"Autoracing")</f>
        <v>Autoracing</v>
      </c>
      <c r="B544" s="2" t="str">
        <f>IFERROR(__xludf.DUMMYFUNCTION("""COMPUTED_VALUE"""),"adautoracing")</f>
        <v>adautoracing</v>
      </c>
      <c r="C544" s="2" t="str">
        <f>IFERROR(__xludf.DUMMYFUNCTION("""COMPUTED_VALUE"""),"Autoracing, tudo sobre Formula 1, Indy, Stock, MotoGP. E o maior Podcast sobre automobilismo do Brasil, o Loucos por Automobilismo")</f>
        <v>Autoracing, tudo sobre Formula 1, Indy, Stock, MotoGP. E o maior Podcast sobre automobilismo do Brasil, o Loucos por Automobilismo</v>
      </c>
      <c r="D544" s="2">
        <f>IFERROR(__xludf.DUMMYFUNCTION("""COMPUTED_VALUE"""),1.855185100130526E-4)</f>
        <v>0.00018551851</v>
      </c>
      <c r="E544" s="2" t="str">
        <f>IFERROR(__xludf.DUMMYFUNCTION("""COMPUTED_VALUE"""),"      7.495")</f>
        <v>      7.495</v>
      </c>
    </row>
    <row r="545">
      <c r="A545" s="2" t="str">
        <f>IFERROR(__xludf.DUMMYFUNCTION("""COMPUTED_VALUE"""),"Italo Marsinho")</f>
        <v>Italo Marsinho</v>
      </c>
      <c r="B545" s="2" t="str">
        <f>IFERROR(__xludf.DUMMYFUNCTION("""COMPUTED_VALUE"""),"italomarsinho")</f>
        <v>italomarsinho</v>
      </c>
      <c r="C545" s="2" t="str">
        <f>IFERROR(__xludf.DUMMYFUNCTION("""COMPUTED_VALUE"""),"Jornalista
Político
Perfil Paródia
Trabalhe, sirva, seja forte e não encha o saco
IG: https://t.co/2pz4nDuL6W")</f>
        <v>Jornalista
Político
Perfil Paródia
Trabalhe, sirva, seja forte e não encha o saco
IG: https://t.co/2pz4nDuL6W</v>
      </c>
      <c r="D545" s="2">
        <f>IFERROR(__xludf.DUMMYFUNCTION("""COMPUTED_VALUE"""),1.855185100130526E-4)</f>
        <v>0.00018551851</v>
      </c>
      <c r="E545" s="2" t="str">
        <f>IFERROR(__xludf.DUMMYFUNCTION("""COMPUTED_VALUE"""),"     25.943")</f>
        <v>     25.943</v>
      </c>
    </row>
    <row r="546">
      <c r="A546" s="2" t="str">
        <f>IFERROR(__xludf.DUMMYFUNCTION("""COMPUTED_VALUE"""),"Lupo")</f>
        <v>Lupo</v>
      </c>
      <c r="B546" s="2" t="str">
        <f>IFERROR(__xludf.DUMMYFUNCTION("""COMPUTED_VALUE"""),"lupooficial")</f>
        <v>lupooficial</v>
      </c>
      <c r="C546" s="2" t="str">
        <f>IFERROR(__xludf.DUMMYFUNCTION("""COMPUTED_VALUE"""),"Dê seu melhor.")</f>
        <v>Dê seu melhor.</v>
      </c>
      <c r="D546" s="2">
        <f>IFERROR(__xludf.DUMMYFUNCTION("""COMPUTED_VALUE"""),1.855185100130526E-4)</f>
        <v>0.00018551851</v>
      </c>
      <c r="E546" s="2" t="str">
        <f>IFERROR(__xludf.DUMMYFUNCTION("""COMPUTED_VALUE"""),"     16.669")</f>
        <v>     16.669</v>
      </c>
    </row>
    <row r="547">
      <c r="A547" s="2" t="str">
        <f>IFERROR(__xludf.DUMMYFUNCTION("""COMPUTED_VALUE"""),"Chainz of the Dead.")</f>
        <v>Chainz of the Dead.</v>
      </c>
      <c r="B547" s="2" t="str">
        <f>IFERROR(__xludf.DUMMYFUNCTION("""COMPUTED_VALUE"""),"thezerochainz")</f>
        <v>thezerochainz</v>
      </c>
      <c r="C547" s="2" t="str">
        <f>IFERROR(__xludf.DUMMYFUNCTION("""COMPUTED_VALUE"""),"Caçador de mãe gostosa, nós rapa panela velha. Compra carro importado no cartão do marido dela. Corno liga e reclama, nós manda logo a real. Comedor de casada.")</f>
        <v>Caçador de mãe gostosa, nós rapa panela velha. Compra carro importado no cartão do marido dela. Corno liga e reclama, nós manda logo a real. Comedor de casada.</v>
      </c>
      <c r="D547" s="2">
        <f>IFERROR(__xludf.DUMMYFUNCTION("""COMPUTED_VALUE"""),1.855185100130526E-4)</f>
        <v>0.00018551851</v>
      </c>
      <c r="E547" s="2" t="str">
        <f>IFERROR(__xludf.DUMMYFUNCTION("""COMPUTED_VALUE"""),"      2.650")</f>
        <v>      2.650</v>
      </c>
    </row>
    <row r="548">
      <c r="A548" s="2" t="str">
        <f>IFERROR(__xludf.DUMMYFUNCTION("""COMPUTED_VALUE"""),"PerolasdoXbox🦠")</f>
        <v>PerolasdoXbox🦠</v>
      </c>
      <c r="B548" s="2" t="str">
        <f>IFERROR(__xludf.DUMMYFUNCTION("""COMPUTED_VALUE"""),"perolasdoxbox")</f>
        <v>perolasdoxbox</v>
      </c>
      <c r="C548" s="2" t="str">
        <f>IFERROR(__xludf.DUMMYFUNCTION("""COMPUTED_VALUE"""),"🤡Esse será o ANO DO XBOX https://t.co/GV1CdOCCWp")</f>
        <v>🤡Esse será o ANO DO XBOX https://t.co/GV1CdOCCWp</v>
      </c>
      <c r="D548" s="2">
        <f>IFERROR(__xludf.DUMMYFUNCTION("""COMPUTED_VALUE"""),1.855185100130526E-4)</f>
        <v>0.00018551851</v>
      </c>
      <c r="E548" s="2" t="str">
        <f>IFERROR(__xludf.DUMMYFUNCTION("""COMPUTED_VALUE"""),"      1.585")</f>
        <v>      1.585</v>
      </c>
    </row>
    <row r="549">
      <c r="A549" s="2" t="str">
        <f>IFERROR(__xludf.DUMMYFUNCTION("""COMPUTED_VALUE"""),"𝐋𝐚𝐮𝐫𝐚ᶜʳᶠ 🦁🦉🚩")</f>
        <v>𝐋𝐚𝐮𝐫𝐚ᶜʳᶠ 🦁🦉🚩</v>
      </c>
      <c r="B549" s="2" t="str">
        <f>IFERROR(__xludf.DUMMYFUNCTION("""COMPUTED_VALUE"""),"lauraxs15")</f>
        <v>lauraxs15</v>
      </c>
      <c r="C549" s="2" t="str">
        <f>IFERROR(__xludf.DUMMYFUNCTION("""COMPUTED_VALUE"""),"𝘼𝙢𝙤 𝙖 𝙢𝙪𝙡𝙝𝙚𝙧 𝙦𝙪𝙚 𝙢𝙚 𝙩𝙤𝙧𝙣𝙚𝙞,𝙥𝙤𝙧𝙦𝙪𝙚 𝙚𝙪 𝙡𝙪𝙩𝙚𝙞 𝙥𝗮𝗿𝗮 𝙨𝙚𝙧 𝙚𝙡𝙖.𝗦𝗲𝗷𝗮𝗺 𝘁𝗼𝗱𝗼𝘀 𝗯𝗲𝗺 𝘃𝗶𝗻𝗱𝗼𝘀. Não respondo DM🚫")</f>
        <v>𝘼𝙢𝙤 𝙖 𝙢𝙪𝙡𝙝𝙚𝙧 𝙦𝙪𝙚 𝙢𝙚 𝙩𝙤𝙧𝙣𝙚𝙞,𝙥𝙤𝙧𝙦𝙪𝙚 𝙚𝙪 𝙡𝙪𝙩𝙚𝙞 𝙥𝗮𝗿𝗮 𝙨𝙚𝙧 𝙚𝙡𝙖.𝗦𝗲𝗷𝗮𝗺 𝘁𝗼𝗱𝗼𝘀 𝗯𝗲𝗺 𝘃𝗶𝗻𝗱𝗼𝘀. Não respondo DM🚫</v>
      </c>
      <c r="D549" s="2">
        <f>IFERROR(__xludf.DUMMYFUNCTION("""COMPUTED_VALUE"""),1.855185100130526E-4)</f>
        <v>0.00018551851</v>
      </c>
      <c r="E549" s="2" t="str">
        <f>IFERROR(__xludf.DUMMYFUNCTION("""COMPUTED_VALUE"""),"     15.197")</f>
        <v>     15.197</v>
      </c>
    </row>
    <row r="550">
      <c r="A550" s="2" t="str">
        <f>IFERROR(__xludf.DUMMYFUNCTION("""COMPUTED_VALUE"""),"bad lucas")</f>
        <v>bad lucas</v>
      </c>
      <c r="B550" s="2" t="str">
        <f>IFERROR(__xludf.DUMMYFUNCTION("""COMPUTED_VALUE"""),"badlucas_")</f>
        <v>badlucas_</v>
      </c>
      <c r="C550" s="2" t="str">
        <f>IFERROR(__xludf.DUMMYFUNCTION("""COMPUTED_VALUE"""),"Fan Account | @anitta")</f>
        <v>Fan Account | @anitta</v>
      </c>
      <c r="D550" s="2">
        <f>IFERROR(__xludf.DUMMYFUNCTION("""COMPUTED_VALUE"""),1.855185100130526E-4)</f>
        <v>0.00018551851</v>
      </c>
      <c r="E550" s="2" t="str">
        <f>IFERROR(__xludf.DUMMYFUNCTION("""COMPUTED_VALUE"""),"      1.611")</f>
        <v>      1.611</v>
      </c>
    </row>
    <row r="551">
      <c r="A551" s="2" t="str">
        <f>IFERROR(__xludf.DUMMYFUNCTION("""COMPUTED_VALUE"""),"𝗙𝗟𝗨𝗖𝗢𝗡𝗢M𝗶𝗖𝗦")</f>
        <v>𝗙𝗟𝗨𝗖𝗢𝗡𝗢M𝗶𝗖𝗦</v>
      </c>
      <c r="B551" s="2" t="str">
        <f>IFERROR(__xludf.DUMMYFUNCTION("""COMPUTED_VALUE"""),"fluconomics")</f>
        <v>fluconomics</v>
      </c>
      <c r="C551" s="2" t="str">
        <f>IFERROR(__xludf.DUMMYFUNCTION("""COMPUTED_VALUE"""),"Financial analysis of the Football Industry. And a lot of everything else. Only on 𝕏!")</f>
        <v>Financial analysis of the Football Industry. And a lot of everything else. Only on 𝕏!</v>
      </c>
      <c r="D551" s="2">
        <f>IFERROR(__xludf.DUMMYFUNCTION("""COMPUTED_VALUE"""),1.855185100130526E-4)</f>
        <v>0.00018551851</v>
      </c>
      <c r="E551" s="2" t="str">
        <f>IFERROR(__xludf.DUMMYFUNCTION("""COMPUTED_VALUE"""),"      1.958")</f>
        <v>      1.958</v>
      </c>
    </row>
    <row r="552">
      <c r="A552" s="2" t="str">
        <f>IFERROR(__xludf.DUMMYFUNCTION("""COMPUTED_VALUE"""),"AllDomains")</f>
        <v>AllDomains</v>
      </c>
      <c r="B552" s="2" t="str">
        <f>IFERROR(__xludf.DUMMYFUNCTION("""COMPUTED_VALUE"""),"alldomains_")</f>
        <v>alldomains_</v>
      </c>
      <c r="C552" s="2" t="str">
        <f>IFERROR(__xludf.DUMMYFUNCTION("""COMPUTED_VALUE"""),"AllDomains: domains for the community
Built by @onsol_labs
Home of $ALL and .everything
https://t.co/EKHZvz94nk
https://t.co/RAP675K6hx")</f>
        <v>AllDomains: domains for the community
Built by @onsol_labs
Home of $ALL and .everything
https://t.co/EKHZvz94nk
https://t.co/RAP675K6hx</v>
      </c>
      <c r="D552" s="2">
        <f>IFERROR(__xludf.DUMMYFUNCTION("""COMPUTED_VALUE"""),1.855185100130526E-4)</f>
        <v>0.00018551851</v>
      </c>
      <c r="E552" s="2" t="str">
        <f>IFERROR(__xludf.DUMMYFUNCTION("""COMPUTED_VALUE"""),"      3.545")</f>
        <v>      3.545</v>
      </c>
    </row>
    <row r="553">
      <c r="A553" s="2" t="str">
        <f>IFERROR(__xludf.DUMMYFUNCTION("""COMPUTED_VALUE"""),"mm's")</f>
        <v>mm's</v>
      </c>
      <c r="B553" s="2" t="str">
        <f>IFERROR(__xludf.DUMMYFUNCTION("""COMPUTED_VALUE"""),"marciomiabreu")</f>
        <v>marciomiabreu</v>
      </c>
      <c r="C553" s="2" t="str">
        <f>IFERROR(__xludf.DUMMYFUNCTION("""COMPUTED_VALUE"""),"a arte é de viver da fé, só não se sabe fé em quê")</f>
        <v>a arte é de viver da fé, só não se sabe fé em quê</v>
      </c>
      <c r="D553" s="2">
        <f>IFERROR(__xludf.DUMMYFUNCTION("""COMPUTED_VALUE"""),1.855185100130526E-4)</f>
        <v>0.00018551851</v>
      </c>
      <c r="E553" s="2" t="str">
        <f>IFERROR(__xludf.DUMMYFUNCTION("""COMPUTED_VALUE"""),"      2.938")</f>
        <v>      2.938</v>
      </c>
    </row>
    <row r="554">
      <c r="A554" s="2" t="str">
        <f>IFERROR(__xludf.DUMMYFUNCTION("""COMPUTED_VALUE"""),"Bruno Francisco | Benfica em Análise 🔴⚪🦅")</f>
        <v>Bruno Francisco | Benfica em Análise 🔴⚪🦅</v>
      </c>
      <c r="B554" s="2" t="str">
        <f>IFERROR(__xludf.DUMMYFUNCTION("""COMPUTED_VALUE"""),"brunofrancisc89")</f>
        <v>brunofrancisc89</v>
      </c>
      <c r="C554" s="2" t="str">
        <f>IFERROR(__xludf.DUMMYFUNCTION("""COMPUTED_VALUE"""),"🎙️ Comentador Visão Vermelha 🦅 | 🚨 Visão Explica Host |🎙️ Comentador Bola na Rede ⚽ | @MetricaSports Partner | Parcerias DM")</f>
        <v>🎙️ Comentador Visão Vermelha 🦅 | 🚨 Visão Explica Host |🎙️ Comentador Bola na Rede ⚽ | @MetricaSports Partner | Parcerias DM</v>
      </c>
      <c r="D554" s="2">
        <f>IFERROR(__xludf.DUMMYFUNCTION("""COMPUTED_VALUE"""),1.855185100130526E-4)</f>
        <v>0.00018551851</v>
      </c>
      <c r="E554" s="2" t="str">
        <f>IFERROR(__xludf.DUMMYFUNCTION("""COMPUTED_VALUE"""),"      7.456")</f>
        <v>      7.456</v>
      </c>
    </row>
    <row r="555">
      <c r="A555" s="2" t="str">
        <f>IFERROR(__xludf.DUMMYFUNCTION("""COMPUTED_VALUE"""),"Laura Sabino")</f>
        <v>Laura Sabino</v>
      </c>
      <c r="B555" s="2" t="str">
        <f>IFERROR(__xludf.DUMMYFUNCTION("""COMPUTED_VALUE"""),"mylaura_m")</f>
        <v>mylaura_m</v>
      </c>
      <c r="C555" s="2" t="str">
        <f>IFERROR(__xludf.DUMMYFUNCTION("""COMPUTED_VALUE"""),"Meu trabalho é tirar o jovem do seio do liberalismo e jogar nas tetas de Marx . Sigam no youtube")</f>
        <v>Meu trabalho é tirar o jovem do seio do liberalismo e jogar nas tetas de Marx . Sigam no youtube</v>
      </c>
      <c r="D555" s="2">
        <f>IFERROR(__xludf.DUMMYFUNCTION("""COMPUTED_VALUE"""),1.855185100130526E-4)</f>
        <v>0.00018551851</v>
      </c>
      <c r="E555" s="2" t="str">
        <f>IFERROR(__xludf.DUMMYFUNCTION("""COMPUTED_VALUE"""),"    243.263")</f>
        <v>    243.263</v>
      </c>
    </row>
    <row r="556">
      <c r="A556" s="2" t="str">
        <f>IFERROR(__xludf.DUMMYFUNCTION("""COMPUTED_VALUE"""),"Roda Viva")</f>
        <v>Roda Viva</v>
      </c>
      <c r="B556" s="2" t="str">
        <f>IFERROR(__xludf.DUMMYFUNCTION("""COMPUTED_VALUE"""),"rodaviva")</f>
        <v>rodaviva</v>
      </c>
      <c r="C556" s="2" t="str">
        <f>IFERROR(__xludf.DUMMYFUNCTION("""COMPUTED_VALUE"""),"Um espaço plural para apresentação de ideias.
- Mais de 200 milhões de visualizações no Youtube.
- Toda segunda-feira, às 22h.
- Apresentado por @veramagalhaes")</f>
        <v>Um espaço plural para apresentação de ideias.
- Mais de 200 milhões de visualizações no Youtube.
- Toda segunda-feira, às 22h.
- Apresentado por @veramagalhaes</v>
      </c>
      <c r="D556" s="2">
        <f>IFERROR(__xludf.DUMMYFUNCTION("""COMPUTED_VALUE"""),1.855185100130526E-4)</f>
        <v>0.00018551851</v>
      </c>
      <c r="E556" s="2" t="str">
        <f>IFERROR(__xludf.DUMMYFUNCTION("""COMPUTED_VALUE"""),"    928.629")</f>
        <v>    928.629</v>
      </c>
    </row>
    <row r="557">
      <c r="A557" s="2" t="str">
        <f>IFERROR(__xludf.DUMMYFUNCTION("""COMPUTED_VALUE"""),"Juve a Tre Stelle")</f>
        <v>Juve a Tre Stelle</v>
      </c>
      <c r="B557" s="2" t="str">
        <f>IFERROR(__xludf.DUMMYFUNCTION("""COMPUTED_VALUE"""),"juveatrestelle")</f>
        <v>juveatrestelle</v>
      </c>
      <c r="C557" s="2" t="str">
        <f>IFERROR(__xludf.DUMMYFUNCTION("""COMPUTED_VALUE"""),"C'era una volta la Juventus - ci trovate nei nostri gruppi e sui social network 👋🖤🤍")</f>
        <v>C'era una volta la Juventus - ci trovate nei nostri gruppi e sui social network 👋🖤🤍</v>
      </c>
      <c r="D557" s="2">
        <f>IFERROR(__xludf.DUMMYFUNCTION("""COMPUTED_VALUE"""),1.855185100130526E-4)</f>
        <v>0.00018551851</v>
      </c>
      <c r="E557" s="2" t="str">
        <f>IFERROR(__xludf.DUMMYFUNCTION("""COMPUTED_VALUE"""),"      8.339")</f>
        <v>      8.339</v>
      </c>
    </row>
    <row r="558">
      <c r="A558" s="2" t="str">
        <f>IFERROR(__xludf.DUMMYFUNCTION("""COMPUTED_VALUE"""),"João Duarte - Dinheiro Investimento e Lazer")</f>
        <v>João Duarte - Dinheiro Investimento e Lazer</v>
      </c>
      <c r="B558" s="2" t="str">
        <f>IFERROR(__xludf.DUMMYFUNCTION("""COMPUTED_VALUE"""),"dinheiroinv")</f>
        <v>dinheiroinv</v>
      </c>
      <c r="C558" s="2" t="str">
        <f>IFERROR(__xludf.DUMMYFUNCTION("""COMPUTED_VALUE"""),"Português, Investidor, Educador Financeiro, Youtuber e blogueiro, Asset Allocation, Global Investing, Backtests.")</f>
        <v>Português, Investidor, Educador Financeiro, Youtuber e blogueiro, Asset Allocation, Global Investing, Backtests.</v>
      </c>
      <c r="D558" s="2">
        <f>IFERROR(__xludf.DUMMYFUNCTION("""COMPUTED_VALUE"""),1.8551851001305256E-4)</f>
        <v>0.00018551851</v>
      </c>
      <c r="E558" s="2" t="str">
        <f>IFERROR(__xludf.DUMMYFUNCTION("""COMPUTED_VALUE"""),"      5.033")</f>
        <v>      5.033</v>
      </c>
    </row>
    <row r="559">
      <c r="A559" s="2" t="str">
        <f>IFERROR(__xludf.DUMMYFUNCTION("""COMPUTED_VALUE"""),"Henrique Farinha 🇧🇷🇦🇴🇵🇹")</f>
        <v>Henrique Farinha 🇧🇷🇦🇴🇵🇹</v>
      </c>
      <c r="B559" s="2" t="str">
        <f>IFERROR(__xludf.DUMMYFUNCTION("""COMPUTED_VALUE"""),"henriquefarinha")</f>
        <v>henriquefarinha</v>
      </c>
      <c r="C559" s="2" t="str">
        <f>IFERROR(__xludf.DUMMYFUNCTION("""COMPUTED_VALUE"""),"Economista que se descobriu editor, ou editor que se achou economista em algum momento da vida... Geek por impulso, empreendedor por convicção.")</f>
        <v>Economista que se descobriu editor, ou editor que se achou economista em algum momento da vida... Geek por impulso, empreendedor por convicção.</v>
      </c>
      <c r="D559" s="2">
        <f>IFERROR(__xludf.DUMMYFUNCTION("""COMPUTED_VALUE"""),1.8551851001305256E-4)</f>
        <v>0.00018551851</v>
      </c>
      <c r="E559" s="2" t="str">
        <f>IFERROR(__xludf.DUMMYFUNCTION("""COMPUTED_VALUE"""),"      6.666")</f>
        <v>      6.666</v>
      </c>
    </row>
    <row r="560">
      <c r="A560" s="2" t="str">
        <f>IFERROR(__xludf.DUMMYFUNCTION("""COMPUTED_VALUE"""),"Movement")</f>
        <v>Movement</v>
      </c>
      <c r="B560" s="2" t="str">
        <f>IFERROR(__xludf.DUMMYFUNCTION("""COMPUTED_VALUE"""),"movementlabsxyz")</f>
        <v>movementlabsxyz</v>
      </c>
      <c r="C560" s="2" t="str">
        <f>IFERROR(__xludf.DUMMYFUNCTION("""COMPUTED_VALUE"""),"A Network of Modular Move-Based Blockchains
https://t.co/dZppySsjNT")</f>
        <v>A Network of Modular Move-Based Blockchains
https://t.co/dZppySsjNT</v>
      </c>
      <c r="D560" s="2">
        <f>IFERROR(__xludf.DUMMYFUNCTION("""COMPUTED_VALUE"""),1.8338755415479453E-4)</f>
        <v>0.0001833875542</v>
      </c>
      <c r="E560" s="2" t="str">
        <f>IFERROR(__xludf.DUMMYFUNCTION("""COMPUTED_VALUE"""),"      4.923")</f>
        <v>      4.923</v>
      </c>
    </row>
    <row r="561">
      <c r="A561" s="2" t="str">
        <f>IFERROR(__xludf.DUMMYFUNCTION("""COMPUTED_VALUE"""),"Blizzard Fund")</f>
        <v>Blizzard Fund</v>
      </c>
      <c r="B561" s="2" t="str">
        <f>IFERROR(__xludf.DUMMYFUNCTION("""COMPUTED_VALUE"""),"blizzardfund")</f>
        <v>blizzardfund</v>
      </c>
      <c r="C561" s="2" t="str">
        <f>IFERROR(__xludf.DUMMYFUNCTION("""COMPUTED_VALUE"""),"A $200M+ fund dedicated to accelerating development, growth, and innovation across the ecosystem of Avalanche and beyond")</f>
        <v>A $200M+ fund dedicated to accelerating development, growth, and innovation across the ecosystem of Avalanche and beyond</v>
      </c>
      <c r="D561" s="2">
        <f>IFERROR(__xludf.DUMMYFUNCTION("""COMPUTED_VALUE"""),1.8338755415479453E-4)</f>
        <v>0.0001833875542</v>
      </c>
      <c r="E561" s="2" t="str">
        <f>IFERROR(__xludf.DUMMYFUNCTION("""COMPUTED_VALUE"""),"      2.660")</f>
        <v>      2.660</v>
      </c>
    </row>
    <row r="562">
      <c r="A562" s="2" t="str">
        <f>IFERROR(__xludf.DUMMYFUNCTION("""COMPUTED_VALUE"""),"Claudio Gagliardini")</f>
        <v>Claudio Gagliardini</v>
      </c>
      <c r="B562" s="2" t="str">
        <f>IFERROR(__xludf.DUMMYFUNCTION("""COMPUTED_VALUE"""),"cla_gagliardini")</f>
        <v>cla_gagliardini</v>
      </c>
      <c r="C562" s="2" t="str">
        <f>IFERROR(__xludf.DUMMYFUNCTION("""COMPUTED_VALUE"""),"Socio @seidigitale Cremona e https://t.co/Y6eous07LF live streaming video. Marketing specialist, formatore e consulente in comunicazione online.  @gagliardini@masto")</f>
        <v>Socio @seidigitale Cremona e https://t.co/Y6eous07LF live streaming video. Marketing specialist, formatore e consulente in comunicazione online.  @gagliardini@masto</v>
      </c>
      <c r="D562" s="2">
        <f>IFERROR(__xludf.DUMMYFUNCTION("""COMPUTED_VALUE"""),1.8338755415479453E-4)</f>
        <v>0.0001833875542</v>
      </c>
      <c r="E562" s="2" t="str">
        <f>IFERROR(__xludf.DUMMYFUNCTION("""COMPUTED_VALUE"""),"     29.652")</f>
        <v>     29.652</v>
      </c>
    </row>
    <row r="563">
      <c r="A563" s="2" t="str">
        <f>IFERROR(__xludf.DUMMYFUNCTION("""COMPUTED_VALUE"""),"Eneva")</f>
        <v>Eneva</v>
      </c>
      <c r="B563" s="2" t="str">
        <f>IFERROR(__xludf.DUMMYFUNCTION("""COMPUTED_VALUE"""),"enevabrasil")</f>
        <v>enevabrasil</v>
      </c>
      <c r="C563" s="2" t="str">
        <f>IFERROR(__xludf.DUMMYFUNCTION("""COMPUTED_VALUE"""),"⚡ Somos uma das maiores operadoras integradas de energia do Brasil e também atuamos no fornecimento de soluções de #energia. (B3: #ENEV3). #EnevaUmaNovaEnergia")</f>
        <v>⚡ Somos uma das maiores operadoras integradas de energia do Brasil e também atuamos no fornecimento de soluções de #energia. (B3: #ENEV3). #EnevaUmaNovaEnergia</v>
      </c>
      <c r="D563" s="2">
        <f>IFERROR(__xludf.DUMMYFUNCTION("""COMPUTED_VALUE"""),1.8338755415479453E-4)</f>
        <v>0.0001833875542</v>
      </c>
      <c r="E563" s="2" t="str">
        <f>IFERROR(__xludf.DUMMYFUNCTION("""COMPUTED_VALUE"""),"      2.009")</f>
        <v>      2.009</v>
      </c>
    </row>
    <row r="564">
      <c r="A564" s="2" t="str">
        <f>IFERROR(__xludf.DUMMYFUNCTION("""COMPUTED_VALUE"""),"Governo do Maranhão")</f>
        <v>Governo do Maranhão</v>
      </c>
      <c r="B564" s="2" t="str">
        <f>IFERROR(__xludf.DUMMYFUNCTION("""COMPUTED_VALUE"""),"governoma")</f>
        <v>governoma</v>
      </c>
      <c r="C564" s="2" t="str">
        <f>IFERROR(__xludf.DUMMYFUNCTION("""COMPUTED_VALUE"""),"Twitter oficial do Governo do Estado do Maranhão. Link do canal no telegram: https://t.co/K8pMPHU0tt")</f>
        <v>Twitter oficial do Governo do Estado do Maranhão. Link do canal no telegram: https://t.co/K8pMPHU0tt</v>
      </c>
      <c r="D564" s="2">
        <f>IFERROR(__xludf.DUMMYFUNCTION("""COMPUTED_VALUE"""),1.8338755415479453E-4)</f>
        <v>0.0001833875542</v>
      </c>
      <c r="E564" s="2" t="str">
        <f>IFERROR(__xludf.DUMMYFUNCTION("""COMPUTED_VALUE"""),"    219.310")</f>
        <v>    219.310</v>
      </c>
    </row>
    <row r="565">
      <c r="A565" s="2" t="str">
        <f>IFERROR(__xludf.DUMMYFUNCTION("""COMPUTED_VALUE"""),"Jairme")</f>
        <v>Jairme</v>
      </c>
      <c r="B565" s="2" t="str">
        <f>IFERROR(__xludf.DUMMYFUNCTION("""COMPUTED_VALUE"""),"jairmearrependi")</f>
        <v>jairmearrependi</v>
      </c>
      <c r="C565" s="2" t="str">
        <f>IFERROR(__xludf.DUMMYFUNCTION("""COMPUTED_VALUE"""),"Castigat ridendo mores. |  oijairme@proton.me")</f>
        <v>Castigat ridendo mores. |  oijairme@proton.me</v>
      </c>
      <c r="D565" s="2">
        <f>IFERROR(__xludf.DUMMYFUNCTION("""COMPUTED_VALUE"""),1.7957165645507775E-4)</f>
        <v>0.0001795716565</v>
      </c>
      <c r="E565" s="2" t="str">
        <f>IFERROR(__xludf.DUMMYFUNCTION("""COMPUTED_VALUE"""),"    406.973")</f>
        <v>    406.973</v>
      </c>
    </row>
    <row r="566">
      <c r="A566" s="2" t="str">
        <f>IFERROR(__xludf.DUMMYFUNCTION("""COMPUTED_VALUE"""),"DIRETO DO MIOLO")</f>
        <v>DIRETO DO MIOLO</v>
      </c>
      <c r="B566" s="2" t="str">
        <f>IFERROR(__xludf.DUMMYFUNCTION("""COMPUTED_VALUE"""),"diretodomiolo")</f>
        <v>diretodomiolo</v>
      </c>
      <c r="C566" s="2" t="str">
        <f>IFERROR(__xludf.DUMMYFUNCTION("""COMPUTED_VALUE"""),"A sua fonte de notícias mais rápida sobre o que ocorre no Rio de Janeiro, Brasil e Mundo. Contato: comercial.diretodomiolo@gmail.com")</f>
        <v>A sua fonte de notícias mais rápida sobre o que ocorre no Rio de Janeiro, Brasil e Mundo. Contato: comercial.diretodomiolo@gmail.com</v>
      </c>
      <c r="D566" s="2">
        <f>IFERROR(__xludf.DUMMYFUNCTION("""COMPUTED_VALUE"""),1.7957165645507775E-4)</f>
        <v>0.0001795716565</v>
      </c>
      <c r="E566" s="2" t="str">
        <f>IFERROR(__xludf.DUMMYFUNCTION("""COMPUTED_VALUE"""),"    349.533")</f>
        <v>    349.533</v>
      </c>
    </row>
    <row r="567">
      <c r="A567" s="2" t="str">
        <f>IFERROR(__xludf.DUMMYFUNCTION("""COMPUTED_VALUE"""),"Edison News")</f>
        <v>Edison News</v>
      </c>
      <c r="B567" s="2" t="str">
        <f>IFERROR(__xludf.DUMMYFUNCTION("""COMPUTED_VALUE"""),"edisonnews")</f>
        <v>edisonnews</v>
      </c>
      <c r="C567" s="2" t="str">
        <f>IFERROR(__xludf.DUMMYFUNCTION("""COMPUTED_VALUE"""),"Diventiamo l’#energiachecambiatutto. Anche con i nostri e vostri Tweet.")</f>
        <v>Diventiamo l’#energiachecambiatutto. Anche con i nostri e vostri Tweet.</v>
      </c>
      <c r="D567" s="2">
        <f>IFERROR(__xludf.DUMMYFUNCTION("""COMPUTED_VALUE"""),1.7936241531141823E-4)</f>
        <v>0.0001793624153</v>
      </c>
      <c r="E567" s="2" t="str">
        <f>IFERROR(__xludf.DUMMYFUNCTION("""COMPUTED_VALUE"""),"      9.843")</f>
        <v>      9.843</v>
      </c>
    </row>
    <row r="568">
      <c r="A568" s="2" t="str">
        <f>IFERROR(__xludf.DUMMYFUNCTION("""COMPUTED_VALUE"""),"Tiago")</f>
        <v>Tiago</v>
      </c>
      <c r="B568" s="2" t="str">
        <f>IFERROR(__xludf.DUMMYFUNCTION("""COMPUTED_VALUE"""),"tigas68")</f>
        <v>tigas68</v>
      </c>
      <c r="C568" s="2" t="str">
        <f>IFERROR(__xludf.DUMMYFUNCTION("""COMPUTED_VALUE"""),"Fã de gelados e desporto. Sporting sempre.")</f>
        <v>Fã de gelados e desporto. Sporting sempre.</v>
      </c>
      <c r="D568" s="2">
        <f>IFERROR(__xludf.DUMMYFUNCTION("""COMPUTED_VALUE"""),1.791256424382785E-4)</f>
        <v>0.0001791256424</v>
      </c>
      <c r="E568" s="2" t="str">
        <f>IFERROR(__xludf.DUMMYFUNCTION("""COMPUTED_VALUE"""),"      4.017")</f>
        <v>      4.017</v>
      </c>
    </row>
    <row r="569">
      <c r="A569" s="2" t="str">
        <f>IFERROR(__xludf.DUMMYFUNCTION("""COMPUTED_VALUE"""),"Mítico FC Porto")</f>
        <v>Mítico FC Porto</v>
      </c>
      <c r="B569" s="2" t="str">
        <f>IFERROR(__xludf.DUMMYFUNCTION("""COMPUTED_VALUE"""),"miticofcporto")</f>
        <v>miticofcporto</v>
      </c>
      <c r="C569" s="2" t="str">
        <f>IFERROR(__xludf.DUMMYFUNCTION("""COMPUTED_VALUE"""),"De portistas, para portistas 🤝 Junta-te ao ᴍɪ́ᴛɪᴄᴏ 💙 #MíticoFCPorto")</f>
        <v>De portistas, para portistas 🤝 Junta-te ao ᴍɪ́ᴛɪᴄᴏ 💙 #MíticoFCPorto</v>
      </c>
      <c r="D569" s="2">
        <f>IFERROR(__xludf.DUMMYFUNCTION("""COMPUTED_VALUE"""),1.791256424382785E-4)</f>
        <v>0.0001791256424</v>
      </c>
      <c r="E569" s="2" t="str">
        <f>IFERROR(__xludf.DUMMYFUNCTION("""COMPUTED_VALUE"""),"      2.529")</f>
        <v>      2.529</v>
      </c>
    </row>
    <row r="570">
      <c r="A570" s="2" t="str">
        <f>IFERROR(__xludf.DUMMYFUNCTION("""COMPUTED_VALUE"""),"QED Investors")</f>
        <v>QED Investors</v>
      </c>
      <c r="B570" s="2" t="str">
        <f>IFERROR(__xludf.DUMMYFUNCTION("""COMPUTED_VALUE"""),"qedinvestors")</f>
        <v>qedinvestors</v>
      </c>
      <c r="C570" s="2" t="str">
        <f>IFERROR(__xludf.DUMMYFUNCTION("""COMPUTED_VALUE"""),"Global fintech venture capital firm providing the best advice in financial technology. 200+ investments and 28 unicorns, including @creditkarma @nubank @kavakmx")</f>
        <v>Global fintech venture capital firm providing the best advice in financial technology. 200+ investments and 28 unicorns, including @creditkarma @nubank @kavakmx</v>
      </c>
      <c r="D570" s="2">
        <f>IFERROR(__xludf.DUMMYFUNCTION("""COMPUTED_VALUE"""),1.791256424382785E-4)</f>
        <v>0.0001791256424</v>
      </c>
      <c r="E570" s="2" t="str">
        <f>IFERROR(__xludf.DUMMYFUNCTION("""COMPUTED_VALUE"""),"      6.593")</f>
        <v>      6.593</v>
      </c>
    </row>
    <row r="571">
      <c r="A571" s="2" t="str">
        <f>IFERROR(__xludf.DUMMYFUNCTION("""COMPUTED_VALUE"""),"Edu")</f>
        <v>Edu</v>
      </c>
      <c r="B571" s="2" t="str">
        <f>IFERROR(__xludf.DUMMYFUNCTION("""COMPUTED_VALUE"""),"consultor_void")</f>
        <v>consultor_void</v>
      </c>
      <c r="C571" s="2" t="str">
        <f>IFERROR(__xludf.DUMMYFUNCTION("""COMPUTED_VALUE"""),"Sei lá, gosto de joguinhos. Ainda estou tentando descobrir quem sou para além do meu trabalho mas sou da área de tecnologia.")</f>
        <v>Sei lá, gosto de joguinhos. Ainda estou tentando descobrir quem sou para além do meu trabalho mas sou da área de tecnologia.</v>
      </c>
      <c r="D571" s="2">
        <f>IFERROR(__xludf.DUMMYFUNCTION("""COMPUTED_VALUE"""),1.7440047944822806E-4)</f>
        <v>0.0001744004794</v>
      </c>
      <c r="E571" s="2" t="str">
        <f>IFERROR(__xludf.DUMMYFUNCTION("""COMPUTED_VALUE"""),"      3.296")</f>
        <v>      3.296</v>
      </c>
    </row>
    <row r="572">
      <c r="A572" s="2" t="str">
        <f>IFERROR(__xludf.DUMMYFUNCTION("""COMPUTED_VALUE"""),"Leo Bastos")</f>
        <v>Leo Bastos</v>
      </c>
      <c r="B572" s="2" t="str">
        <f>IFERROR(__xludf.DUMMYFUNCTION("""COMPUTED_VALUE"""),"leosbastos")</f>
        <v>leosbastos</v>
      </c>
      <c r="C572" s="2" t="str">
        <f>IFERROR(__xludf.DUMMYFUNCTION("""COMPUTED_VALUE"""),"Pesquisador Titular do PROCC/@Fiocruz na área de modelagem estatística de doenças infecciosas | bolsa de produtividade do CNPQ e JCNE da Faperj | pai de 3.")</f>
        <v>Pesquisador Titular do PROCC/@Fiocruz na área de modelagem estatística de doenças infecciosas | bolsa de produtividade do CNPQ e JCNE da Faperj | pai de 3.</v>
      </c>
      <c r="D572" s="2">
        <f>IFERROR(__xludf.DUMMYFUNCTION("""COMPUTED_VALUE"""),1.7440047944822806E-4)</f>
        <v>0.0001744004794</v>
      </c>
      <c r="E572" s="2" t="str">
        <f>IFERROR(__xludf.DUMMYFUNCTION("""COMPUTED_VALUE"""),"     14.211")</f>
        <v>     14.211</v>
      </c>
    </row>
    <row r="573">
      <c r="A573" s="2" t="str">
        <f>IFERROR(__xludf.DUMMYFUNCTION("""COMPUTED_VALUE"""),"VÍTOR")</f>
        <v>VÍTOR</v>
      </c>
      <c r="B573" s="2" t="str">
        <f>IFERROR(__xludf.DUMMYFUNCTION("""COMPUTED_VALUE"""),"vitortingz")</f>
        <v>vitortingz</v>
      </c>
      <c r="C573" s="2" t="str">
        <f>IFERROR(__xludf.DUMMYFUNCTION("""COMPUTED_VALUE"""),"Nicki Minaj, Anitta, DC e outras coisas do mundo pop. https://t.co/my6Qk78Txg insta: Vitor_queiroz3")</f>
        <v>Nicki Minaj, Anitta, DC e outras coisas do mundo pop. https://t.co/my6Qk78Txg insta: Vitor_queiroz3</v>
      </c>
      <c r="D573" s="2">
        <f>IFERROR(__xludf.DUMMYFUNCTION("""COMPUTED_VALUE"""),1.7440047944822806E-4)</f>
        <v>0.0001744004794</v>
      </c>
      <c r="E573" s="2" t="str">
        <f>IFERROR(__xludf.DUMMYFUNCTION("""COMPUTED_VALUE"""),"      4.695")</f>
        <v>      4.695</v>
      </c>
    </row>
    <row r="574">
      <c r="A574" s="2" t="str">
        <f>IFERROR(__xludf.DUMMYFUNCTION("""COMPUTED_VALUE"""),"Brasil 247")</f>
        <v>Brasil 247</v>
      </c>
      <c r="B574" s="2" t="str">
        <f>IFERROR(__xludf.DUMMYFUNCTION("""COMPUTED_VALUE"""),"brasil247")</f>
        <v>brasil247</v>
      </c>
      <c r="C574" s="2" t="str">
        <f>IFERROR(__xludf.DUMMYFUNCTION("""COMPUTED_VALUE"""),"Jornalismo independente, progressista, 24 horas por dia, 7 dias por semana. Assine: (https://t.co/9osqP6SbjD) Telegram: https://t.co/Hld10tstNN 📢")</f>
        <v>Jornalismo independente, progressista, 24 horas por dia, 7 dias por semana. Assine: (https://t.co/9osqP6SbjD) Telegram: https://t.co/Hld10tstNN 📢</v>
      </c>
      <c r="D574" s="2">
        <f>IFERROR(__xludf.DUMMYFUNCTION("""COMPUTED_VALUE"""),1.7440047944822806E-4)</f>
        <v>0.0001744004794</v>
      </c>
      <c r="E574" s="2" t="str">
        <f>IFERROR(__xludf.DUMMYFUNCTION("""COMPUTED_VALUE"""),"    683.414")</f>
        <v>    683.414</v>
      </c>
    </row>
    <row r="575">
      <c r="A575" s="2" t="str">
        <f>IFERROR(__xludf.DUMMYFUNCTION("""COMPUTED_VALUE"""),"érica")</f>
        <v>érica</v>
      </c>
      <c r="B575" s="2" t="str">
        <f>IFERROR(__xludf.DUMMYFUNCTION("""COMPUTED_VALUE"""),"027erica_")</f>
        <v>027erica_</v>
      </c>
      <c r="C575" s="2" t="str">
        <f>IFERROR(__xludf.DUMMYFUNCTION("""COMPUTED_VALUE"""),"027Capixaba  | Arrasta pra baixo e entenda como quiser")</f>
        <v>027Capixaba  | Arrasta pra baixo e entenda como quiser</v>
      </c>
      <c r="D575" s="2">
        <f>IFERROR(__xludf.DUMMYFUNCTION("""COMPUTED_VALUE"""),1.7440047944822806E-4)</f>
        <v>0.0001744004794</v>
      </c>
      <c r="E575" s="2" t="str">
        <f>IFERROR(__xludf.DUMMYFUNCTION("""COMPUTED_VALUE"""),"      1.720")</f>
        <v>      1.720</v>
      </c>
    </row>
    <row r="576">
      <c r="A576" s="2" t="str">
        <f>IFERROR(__xludf.DUMMYFUNCTION("""COMPUTED_VALUE"""),"Everton")</f>
        <v>Everton</v>
      </c>
      <c r="B576" s="2" t="str">
        <f>IFERROR(__xludf.DUMMYFUNCTION("""COMPUTED_VALUE"""),"everton")</f>
        <v>everton</v>
      </c>
      <c r="C576" s="2" t="str">
        <f>IFERROR(__xludf.DUMMYFUNCTION("""COMPUTED_VALUE"""),"1878 NSNO @EvertonWomen ⚽️ | @EFC_fanservices 💬 | @EvertonStadium 🏟 | @EITC 💙 | @EvertonAcademy 🎓 | @EvertonInUSA 🇺🇸 | @EvertonESP 🇪🇸 | @Everton_PT 🇵🇹")</f>
        <v>1878 NSNO @EvertonWomen ⚽️ | @EFC_fanservices 💬 | @EvertonStadium 🏟 | @EITC 💙 | @EvertonAcademy 🎓 | @EvertonInUSA 🇺🇸 | @EvertonESP 🇪🇸 | @Everton_PT 🇵🇹</v>
      </c>
      <c r="D576" s="2">
        <f>IFERROR(__xludf.DUMMYFUNCTION("""COMPUTED_VALUE"""),1.7440047944822806E-4)</f>
        <v>0.0001744004794</v>
      </c>
      <c r="E576" s="2" t="str">
        <f>IFERROR(__xludf.DUMMYFUNCTION("""COMPUTED_VALUE"""),"  3.038.494")</f>
        <v>  3.038.494</v>
      </c>
    </row>
    <row r="577">
      <c r="A577" s="2" t="str">
        <f>IFERROR(__xludf.DUMMYFUNCTION("""COMPUTED_VALUE"""),"Rodrigo Ianhez")</f>
        <v>Rodrigo Ianhez</v>
      </c>
      <c r="B577" s="2" t="str">
        <f>IFERROR(__xludf.DUMMYFUNCTION("""COMPUTED_VALUE"""),"rianhez")</f>
        <v>rianhez</v>
      </c>
      <c r="C577" s="2" t="str">
        <f>IFERROR(__xludf.DUMMYFUNCTION("""COMPUTED_VALUE"""),"Historiador brasileiro que trata do período soviético.
Instagram: @guiarussia")</f>
        <v>Historiador brasileiro que trata do período soviético.
Instagram: @guiarussia</v>
      </c>
      <c r="D577" s="2">
        <f>IFERROR(__xludf.DUMMYFUNCTION("""COMPUTED_VALUE"""),1.7440047944822806E-4)</f>
        <v>0.0001744004794</v>
      </c>
      <c r="E577" s="2" t="str">
        <f>IFERROR(__xludf.DUMMYFUNCTION("""COMPUTED_VALUE"""),"     64.679")</f>
        <v>     64.679</v>
      </c>
    </row>
    <row r="578">
      <c r="A578" s="2" t="str">
        <f>IFERROR(__xludf.DUMMYFUNCTION("""COMPUTED_VALUE"""),"Yago Martins (Dois Dedos de Teologia)")</f>
        <v>Yago Martins (Dois Dedos de Teologia)</v>
      </c>
      <c r="B578" s="2" t="str">
        <f>IFERROR(__xludf.DUMMYFUNCTION("""COMPUTED_VALUE"""),"doisdedosdeteo")</f>
        <v>doisdedosdeteo</v>
      </c>
      <c r="C578" s="2" t="str">
        <f>IFERROR(__xludf.DUMMYFUNCTION("""COMPUTED_VALUE"""),"Teólogo e pastor batista, mestre em teologia (Aubrey Clark), especialista nas áreas de economia política (Uniítalo) e neurociência (Mackenzie).")</f>
        <v>Teólogo e pastor batista, mestre em teologia (Aubrey Clark), especialista nas áreas de economia política (Uniítalo) e neurociência (Mackenzie).</v>
      </c>
      <c r="D578" s="2">
        <f>IFERROR(__xludf.DUMMYFUNCTION("""COMPUTED_VALUE"""),1.7440047944822806E-4)</f>
        <v>0.0001744004794</v>
      </c>
      <c r="E578" s="2" t="str">
        <f>IFERROR(__xludf.DUMMYFUNCTION("""COMPUTED_VALUE"""),"    103.863")</f>
        <v>    103.863</v>
      </c>
    </row>
    <row r="579">
      <c r="A579" s="2" t="str">
        <f>IFERROR(__xludf.DUMMYFUNCTION("""COMPUTED_VALUE"""),"Nísia Trindade Lima")</f>
        <v>Nísia Trindade Lima</v>
      </c>
      <c r="B579" s="2" t="str">
        <f>IFERROR(__xludf.DUMMYFUNCTION("""COMPUTED_VALUE"""),"nisia_trindade")</f>
        <v>nisia_trindade</v>
      </c>
      <c r="C579" s="2" t="str">
        <f>IFERROR(__xludf.DUMMYFUNCTION("""COMPUTED_VALUE"""),"Ministra da Saúde, ex-presidente da Fundação Oswaldo Cruz (Fiocruz), socióloga e professora")</f>
        <v>Ministra da Saúde, ex-presidente da Fundação Oswaldo Cruz (Fiocruz), socióloga e professora</v>
      </c>
      <c r="D579" s="2">
        <f>IFERROR(__xludf.DUMMYFUNCTION("""COMPUTED_VALUE"""),1.7440047944822806E-4)</f>
        <v>0.0001744004794</v>
      </c>
      <c r="E579" s="2" t="str">
        <f>IFERROR(__xludf.DUMMYFUNCTION("""COMPUTED_VALUE"""),"    110.935")</f>
        <v>    110.935</v>
      </c>
    </row>
    <row r="580">
      <c r="A580" s="2" t="str">
        <f>IFERROR(__xludf.DUMMYFUNCTION("""COMPUTED_VALUE"""),"𝔑𝔢𝔴𝔳𝔶𝔫𝔦")</f>
        <v>𝔑𝔢𝔴𝔳𝔶𝔫𝔦</v>
      </c>
      <c r="B580" s="2" t="str">
        <f>IFERROR(__xludf.DUMMYFUNCTION("""COMPUTED_VALUE"""),"newvyni")</f>
        <v>newvyni</v>
      </c>
      <c r="C580" s="2" t="str">
        <f>IFERROR(__xludf.DUMMYFUNCTION("""COMPUTED_VALUE"""),"Last Time I Saw You out 01.07")</f>
        <v>Last Time I Saw You out 01.07</v>
      </c>
      <c r="D580" s="2">
        <f>IFERROR(__xludf.DUMMYFUNCTION("""COMPUTED_VALUE"""),1.7440047944822806E-4)</f>
        <v>0.0001744004794</v>
      </c>
      <c r="E580" s="2" t="str">
        <f>IFERROR(__xludf.DUMMYFUNCTION("""COMPUTED_VALUE"""),"      1.189")</f>
        <v>      1.189</v>
      </c>
    </row>
    <row r="581">
      <c r="A581" s="13" t="str">
        <f>IFERROR(__xludf.DUMMYFUNCTION("""COMPUTED_VALUE"""),"Fanpage.it")</f>
        <v>Fanpage.it</v>
      </c>
      <c r="B581" s="2" t="str">
        <f>IFERROR(__xludf.DUMMYFUNCTION("""COMPUTED_VALUE"""),"fanpage")</f>
        <v>fanpage</v>
      </c>
      <c r="C581" s="2" t="str">
        <f>IFERROR(__xludf.DUMMYFUNCTION("""COMPUTED_VALUE"""),"Connettiti a fanpage. Segui i nostri live, reportage, inchieste, storie e video. Partecipa con noi all'informazione. https://t.co/2Z0xz9hfuG")</f>
        <v>Connettiti a fanpage. Segui i nostri live, reportage, inchieste, storie e video. Partecipa con noi all'informazione. https://t.co/2Z0xz9hfuG</v>
      </c>
      <c r="D581" s="2">
        <f>IFERROR(__xludf.DUMMYFUNCTION("""COMPUTED_VALUE"""),1.7440047944822806E-4)</f>
        <v>0.0001744004794</v>
      </c>
      <c r="E581" s="2" t="str">
        <f>IFERROR(__xludf.DUMMYFUNCTION("""COMPUTED_VALUE"""),"    787.036")</f>
        <v>    787.036</v>
      </c>
    </row>
    <row r="582">
      <c r="A582" s="2" t="str">
        <f>IFERROR(__xludf.DUMMYFUNCTION("""COMPUTED_VALUE"""),"vanessa gray")</f>
        <v>vanessa gray</v>
      </c>
      <c r="B582" s="2" t="str">
        <f>IFERROR(__xludf.DUMMYFUNCTION("""COMPUTED_VALUE"""),"vanessagray5")</f>
        <v>vanessagray5</v>
      </c>
      <c r="C582" s="2" t="str">
        <f>IFERROR(__xludf.DUMMYFUNCTION("""COMPUTED_VALUE"""),"Solo coloro che tentano l’assurdo raggiungeranno l’impossibile.
(M. E.)")</f>
        <v>Solo coloro che tentano l’assurdo raggiungeranno l’impossibile.
(M. E.)</v>
      </c>
      <c r="D582" s="2">
        <f>IFERROR(__xludf.DUMMYFUNCTION("""COMPUTED_VALUE"""),1.744004794481329E-4)</f>
        <v>0.0001744004794</v>
      </c>
      <c r="E582" s="2" t="str">
        <f>IFERROR(__xludf.DUMMYFUNCTION("""COMPUTED_VALUE"""),"      1.260")</f>
        <v>      1.260</v>
      </c>
    </row>
    <row r="583">
      <c r="A583" s="2" t="str">
        <f>IFERROR(__xludf.DUMMYFUNCTION("""COMPUTED_VALUE"""),"Ania🃏♠️")</f>
        <v>Ania🃏♠️</v>
      </c>
      <c r="B583" s="2" t="str">
        <f>IFERROR(__xludf.DUMMYFUNCTION("""COMPUTED_VALUE"""),"cannelladark")</f>
        <v>cannelladark</v>
      </c>
      <c r="C583" s="2" t="str">
        <f>IFERROR(__xludf.DUMMYFUNCTION("""COMPUTED_VALUE"""),"sulla pelle e nel cuore per sempre ...piccola strega nel corpo di donna...attenti il mio Lupo vi sbrana,un solo cuore nero e appartiene a lui🖤♠️")</f>
        <v>sulla pelle e nel cuore per sempre ...piccola strega nel corpo di donna...attenti il mio Lupo vi sbrana,un solo cuore nero e appartiene a lui🖤♠️</v>
      </c>
      <c r="D583" s="2">
        <f>IFERROR(__xludf.DUMMYFUNCTION("""COMPUTED_VALUE"""),1.7440047944800418E-4)</f>
        <v>0.0001744004794</v>
      </c>
      <c r="E583" s="2" t="str">
        <f>IFERROR(__xludf.DUMMYFUNCTION("""COMPUTED_VALUE"""),"     25.536")</f>
        <v>     25.536</v>
      </c>
    </row>
    <row r="584">
      <c r="A584" s="2" t="str">
        <f>IFERROR(__xludf.DUMMYFUNCTION("""COMPUTED_VALUE"""),"Orton BFR United⚽")</f>
        <v>Orton BFR United⚽</v>
      </c>
      <c r="B584" s="2" t="str">
        <f>IFERROR(__xludf.DUMMYFUNCTION("""COMPUTED_VALUE"""),"gabriel_bfr7")</f>
        <v>gabriel_bfr7</v>
      </c>
      <c r="C584" s="2" t="str">
        <f>IFERROR(__xludf.DUMMYFUNCTION("""COMPUTED_VALUE"""),"Deus ❤️🙏 , @Botafogo ⚫⚪⚽, @ManUtd 🔴⚪⚽, Futebol ⚽,SDV follow back.")</f>
        <v>Deus ❤️🙏 , @Botafogo ⚫⚪⚽, @ManUtd 🔴⚪⚽, Futebol ⚽,SDV follow back.</v>
      </c>
      <c r="D584" s="2">
        <f>IFERROR(__xludf.DUMMYFUNCTION("""COMPUTED_VALUE"""),1.7440047944800418E-4)</f>
        <v>0.0001744004794</v>
      </c>
      <c r="E584" s="2" t="str">
        <f>IFERROR(__xludf.DUMMYFUNCTION("""COMPUTED_VALUE"""),"      2.035")</f>
        <v>      2.035</v>
      </c>
    </row>
    <row r="585">
      <c r="A585" s="2" t="str">
        <f>IFERROR(__xludf.DUMMYFUNCTION("""COMPUTED_VALUE"""),"Lucas Musetti Perazolli")</f>
        <v>Lucas Musetti Perazolli</v>
      </c>
      <c r="B585" s="2" t="str">
        <f>IFERROR(__xludf.DUMMYFUNCTION("""COMPUTED_VALUE"""),"lucas_musetti")</f>
        <v>lucas_musetti</v>
      </c>
      <c r="C585" s="2" t="str">
        <f>IFERROR(__xludf.DUMMYFUNCTION("""COMPUTED_VALUE"""),"Jornalista formado em 2016 e atualmente repórter do UOL. Antes, Gazeta Esportiva, GE e Jornal A Tribuna 🇧🇷🇺🇾")</f>
        <v>Jornalista formado em 2016 e atualmente repórter do UOL. Antes, Gazeta Esportiva, GE e Jornal A Tribuna 🇧🇷🇺🇾</v>
      </c>
      <c r="D585" s="2">
        <f>IFERROR(__xludf.DUMMYFUNCTION("""COMPUTED_VALUE"""),1.7415341210234305E-4)</f>
        <v>0.0001741534121</v>
      </c>
      <c r="E585" s="2" t="str">
        <f>IFERROR(__xludf.DUMMYFUNCTION("""COMPUTED_VALUE"""),"    129.954")</f>
        <v>    129.954</v>
      </c>
    </row>
    <row r="586">
      <c r="A586" s="2" t="str">
        <f>IFERROR(__xludf.DUMMYFUNCTION("""COMPUTED_VALUE"""),"GOAT Br ™ 🏀🐐")</f>
        <v>GOAT Br ™ 🏀🐐</v>
      </c>
      <c r="B586" s="2" t="str">
        <f>IFERROR(__xludf.DUMMYFUNCTION("""COMPUTED_VALUE"""),"goat_br")</f>
        <v>goat_br</v>
      </c>
      <c r="C586" s="2" t="str">
        <f>IFERROR(__xludf.DUMMYFUNCTION("""COMPUTED_VALUE"""),"Apaixonados por basquete!")</f>
        <v>Apaixonados por basquete!</v>
      </c>
      <c r="D586" s="2">
        <f>IFERROR(__xludf.DUMMYFUNCTION("""COMPUTED_VALUE"""),1.7131213762466567E-4)</f>
        <v>0.0001713121376</v>
      </c>
      <c r="E586" s="2" t="str">
        <f>IFERROR(__xludf.DUMMYFUNCTION("""COMPUTED_VALUE"""),"      6.360")</f>
        <v>      6.360</v>
      </c>
    </row>
    <row r="587">
      <c r="A587" s="2" t="str">
        <f>IFERROR(__xludf.DUMMYFUNCTION("""COMPUTED_VALUE"""),"Truecaller")</f>
        <v>Truecaller</v>
      </c>
      <c r="B587" s="2" t="str">
        <f>IFERROR(__xludf.DUMMYFUNCTION("""COMPUTED_VALUE"""),"samuelsworld")</f>
        <v>samuelsworld</v>
      </c>
      <c r="C587" s="2" t="str">
        <f>IFERROR(__xludf.DUMMYFUNCTION("""COMPUTED_VALUE"""),"“Great minds discuss ideas. Average minds discuss events. Small minds discuss people.“
- Eleanor Roosevelt
Absolutamente nenhum post é recomendação!!!")</f>
        <v>“Great minds discuss ideas. Average minds discuss events. Small minds discuss people.“
- Eleanor Roosevelt
Absolutamente nenhum post é recomendação!!!</v>
      </c>
      <c r="D587" s="2">
        <f>IFERROR(__xludf.DUMMYFUNCTION("""COMPUTED_VALUE"""),1.7131213762466567E-4)</f>
        <v>0.0001713121376</v>
      </c>
      <c r="E587" s="2" t="str">
        <f>IFERROR(__xludf.DUMMYFUNCTION("""COMPUTED_VALUE"""),"     13.377")</f>
        <v>     13.377</v>
      </c>
    </row>
    <row r="588">
      <c r="A588" s="2" t="str">
        <f>IFERROR(__xludf.DUMMYFUNCTION("""COMPUTED_VALUE"""),"Leandro de Castro 🇧🇷🇺🇸🇬🇧")</f>
        <v>Leandro de Castro 🇧🇷🇺🇸🇬🇧</v>
      </c>
      <c r="B588" s="2" t="str">
        <f>IFERROR(__xludf.DUMMYFUNCTION("""COMPUTED_VALUE"""),"leandro2castro")</f>
        <v>leandro2castro</v>
      </c>
      <c r="C588" s="2" t="str">
        <f>IFERROR(__xludf.DUMMYFUNCTION("""COMPUTED_VALUE"""),"🇧🇷Cristão Conservador de Direita, Pró Bolsonaro, Trump e Armas para defender Pátria e Família, R2_FAB. 🇧🇷🇧🇷
🇧🇷Meus heróis não morreram de overdose🇧🇷")</f>
        <v>🇧🇷Cristão Conservador de Direita, Pró Bolsonaro, Trump e Armas para defender Pátria e Família, R2_FAB. 🇧🇷🇧🇷
🇧🇷Meus heróis não morreram de overdose🇧🇷</v>
      </c>
      <c r="D588" s="2">
        <f>IFERROR(__xludf.DUMMYFUNCTION("""COMPUTED_VALUE"""),1.7131213762466567E-4)</f>
        <v>0.0001713121376</v>
      </c>
      <c r="E588" s="2" t="str">
        <f>IFERROR(__xludf.DUMMYFUNCTION("""COMPUTED_VALUE"""),"     25.797")</f>
        <v>     25.797</v>
      </c>
    </row>
    <row r="589">
      <c r="A589" s="2" t="str">
        <f>IFERROR(__xludf.DUMMYFUNCTION("""COMPUTED_VALUE"""),"Luigi Marattin")</f>
        <v>Luigi Marattin</v>
      </c>
      <c r="B589" s="2" t="str">
        <f>IFERROR(__xludf.DUMMYFUNCTION("""COMPUTED_VALUE"""),"marattin")</f>
        <v>marattin</v>
      </c>
      <c r="C589" s="2" t="str">
        <f>IFERROR(__xludf.DUMMYFUNCTION("""COMPUTED_VALUE"""),"Deputato e Professore di Economia (ora in aspettativa obbligatoria) all’Universita’ di Bologna. Qui (https://t.co/E2qUAOMjxC) trovate tutto su di me.")</f>
        <v>Deputato e Professore di Economia (ora in aspettativa obbligatoria) all’Universita’ di Bologna. Qui (https://t.co/E2qUAOMjxC) trovate tutto su di me.</v>
      </c>
      <c r="D589" s="2">
        <f>IFERROR(__xludf.DUMMYFUNCTION("""COMPUTED_VALUE"""),1.6928265585489612E-4)</f>
        <v>0.0001692826559</v>
      </c>
      <c r="E589" s="2" t="str">
        <f>IFERROR(__xludf.DUMMYFUNCTION("""COMPUTED_VALUE"""),"    112.121")</f>
        <v>    112.121</v>
      </c>
    </row>
    <row r="590">
      <c r="A590" s="2" t="str">
        <f>IFERROR(__xludf.DUMMYFUNCTION("""COMPUTED_VALUE"""),"OpBNB Gems")</f>
        <v>OpBNB Gems</v>
      </c>
      <c r="B590" s="2" t="str">
        <f>IFERROR(__xludf.DUMMYFUNCTION("""COMPUTED_VALUE"""),"opbnbgem")</f>
        <v>opbnbgem</v>
      </c>
      <c r="C590" s="2" t="str">
        <f>IFERROR(__xludf.DUMMYFUNCTION("""COMPUTED_VALUE"""),"Find the gems on #opBNB  TG : https://t.co/53cyGW8uiW")</f>
        <v>Find the gems on #opBNB  TG : https://t.co/53cyGW8uiW</v>
      </c>
      <c r="D590" s="2">
        <f>IFERROR(__xludf.DUMMYFUNCTION("""COMPUTED_VALUE"""),1.6420895143047225E-4)</f>
        <v>0.0001642089514</v>
      </c>
      <c r="E590" s="2" t="str">
        <f>IFERROR(__xludf.DUMMYFUNCTION("""COMPUTED_VALUE"""),"     62.076")</f>
        <v>     62.076</v>
      </c>
    </row>
    <row r="591">
      <c r="A591" s="2" t="str">
        <f>IFERROR(__xludf.DUMMYFUNCTION("""COMPUTED_VALUE"""),"Fabio Dragoni")</f>
        <v>Fabio Dragoni</v>
      </c>
      <c r="B591" s="2" t="str">
        <f>IFERROR(__xludf.DUMMYFUNCTION("""COMPUTED_VALUE"""),"fdragoni")</f>
        <v>fdragoni</v>
      </c>
      <c r="C591" s="2" t="str">
        <f>IFERROR(__xludf.DUMMYFUNCTION("""COMPUTED_VALUE"""),"A man is not free unless government is limited. As government expands liberty contracts (RONALD REAGAN) - LA VERITÀ - IL TIMONE - #CULTURAIDENTITA'")</f>
        <v>A man is not free unless government is limited. As government expands liberty contracts (RONALD REAGAN) - LA VERITÀ - IL TIMONE - #CULTURAIDENTITA'</v>
      </c>
      <c r="D591" s="2">
        <f>IFERROR(__xludf.DUMMYFUNCTION("""COMPUTED_VALUE"""),1.6420895143047225E-4)</f>
        <v>0.0001642089514</v>
      </c>
      <c r="E591" s="2" t="str">
        <f>IFERROR(__xludf.DUMMYFUNCTION("""COMPUTED_VALUE"""),"     66.571")</f>
        <v>     66.571</v>
      </c>
    </row>
    <row r="592">
      <c r="A592" s="2" t="str">
        <f>IFERROR(__xludf.DUMMYFUNCTION("""COMPUTED_VALUE"""),"Elisa Brom")</f>
        <v>Elisa Brom</v>
      </c>
      <c r="B592" s="2" t="str">
        <f>IFERROR(__xludf.DUMMYFUNCTION("""COMPUTED_VALUE"""),"brom_elisa")</f>
        <v>brom_elisa</v>
      </c>
      <c r="C592" s="2" t="str">
        <f>IFERROR(__xludf.DUMMYFUNCTION("""COMPUTED_VALUE"""),"Não sou responsável pelos seus filmes mentais,suas suposições nem suas conclusões equivocadas.Sou responsável pelo que eu Falo,não pelo que você Entende.")</f>
        <v>Não sou responsável pelos seus filmes mentais,suas suposições nem suas conclusões equivocadas.Sou responsável pelo que eu Falo,não pelo que você Entende.</v>
      </c>
      <c r="D592" s="2">
        <f>IFERROR(__xludf.DUMMYFUNCTION("""COMPUTED_VALUE"""),1.6420895143047225E-4)</f>
        <v>0.0001642089514</v>
      </c>
      <c r="E592" s="2" t="str">
        <f>IFERROR(__xludf.DUMMYFUNCTION("""COMPUTED_VALUE"""),"    469.522")</f>
        <v>    469.522</v>
      </c>
    </row>
    <row r="593">
      <c r="A593" s="2" t="str">
        <f>IFERROR(__xludf.DUMMYFUNCTION("""COMPUTED_VALUE"""),"Caóli | FUNK GENERATION")</f>
        <v>Caóli | FUNK GENERATION</v>
      </c>
      <c r="B593" s="2" t="str">
        <f>IFERROR(__xludf.DUMMYFUNCTION("""COMPUTED_VALUE"""),"pactuei")</f>
        <v>pactuei</v>
      </c>
      <c r="C593" s="2" t="str">
        <f>IFERROR(__xludf.DUMMYFUNCTION("""COMPUTED_VALUE"""),"99'ss")</f>
        <v>99'ss</v>
      </c>
      <c r="D593" s="2">
        <f>IFERROR(__xludf.DUMMYFUNCTION("""COMPUTED_VALUE"""),1.626685014124427E-4)</f>
        <v>0.0001626685014</v>
      </c>
      <c r="E593" s="2" t="str">
        <f>IFERROR(__xludf.DUMMYFUNCTION("""COMPUTED_VALUE"""),"      3.748")</f>
        <v>      3.748</v>
      </c>
    </row>
    <row r="594">
      <c r="A594" s="2" t="str">
        <f>IFERROR(__xludf.DUMMYFUNCTION("""COMPUTED_VALUE"""),"Café do Setorista - Inscreva-se | Samir Carvalho")</f>
        <v>Café do Setorista - Inscreva-se | Samir Carvalho</v>
      </c>
      <c r="B594" s="2" t="str">
        <f>IFERROR(__xludf.DUMMYFUNCTION("""COMPUTED_VALUE"""),"samircarvalho")</f>
        <v>samircarvalho</v>
      </c>
      <c r="C594" s="2" t="str">
        <f>IFERROR(__xludf.DUMMYFUNCTION("""COMPUTED_VALUE"""),"Repórter do Café do Setorista, canal do YouTube que prioriza informações exclusivas de Corinthians e mais clubes! Colunista no UOL Esporte! Ex-iG e Terra!")</f>
        <v>Repórter do Café do Setorista, canal do YouTube que prioriza informações exclusivas de Corinthians e mais clubes! Colunista no UOL Esporte! Ex-iG e Terra!</v>
      </c>
      <c r="D594" s="2">
        <f>IFERROR(__xludf.DUMMYFUNCTION("""COMPUTED_VALUE"""),1.6068932267124939E-4)</f>
        <v>0.0001606893227</v>
      </c>
      <c r="E594" s="2" t="str">
        <f>IFERROR(__xludf.DUMMYFUNCTION("""COMPUTED_VALUE"""),"     50.777")</f>
        <v>     50.777</v>
      </c>
    </row>
    <row r="595">
      <c r="A595" s="2" t="str">
        <f>IFERROR(__xludf.DUMMYFUNCTION("""COMPUTED_VALUE"""),"MDS")</f>
        <v>MDS</v>
      </c>
      <c r="B595" s="2" t="str">
        <f>IFERROR(__xludf.DUMMYFUNCTION("""COMPUTED_VALUE"""),"mdsgovbr")</f>
        <v>mdsgovbr</v>
      </c>
      <c r="C595" s="2" t="str">
        <f>IFERROR(__xludf.DUMMYFUNCTION("""COMPUTED_VALUE"""),"Perfil oficial do Ministério do Desenvolvimento e Assistência Social, Família e Combate à Fome")</f>
        <v>Perfil oficial do Ministério do Desenvolvimento e Assistência Social, Família e Combate à Fome</v>
      </c>
      <c r="D595" s="2">
        <f>IFERROR(__xludf.DUMMYFUNCTION("""COMPUTED_VALUE"""),1.5994703971395616E-4)</f>
        <v>0.0001599470397</v>
      </c>
      <c r="E595" s="2" t="str">
        <f>IFERROR(__xludf.DUMMYFUNCTION("""COMPUTED_VALUE"""),"      6.464")</f>
        <v>      6.464</v>
      </c>
    </row>
    <row r="596">
      <c r="A596" s="2" t="str">
        <f>IFERROR(__xludf.DUMMYFUNCTION("""COMPUTED_VALUE"""),"PT Paulista")</f>
        <v>PT Paulista</v>
      </c>
      <c r="B596" s="2" t="str">
        <f>IFERROR(__xludf.DUMMYFUNCTION("""COMPUTED_VALUE"""),"ptpaulista13")</f>
        <v>ptpaulista13</v>
      </c>
      <c r="C596" s="2" t="str">
        <f>IFERROR(__xludf.DUMMYFUNCTION("""COMPUTED_VALUE"""),"Twitter oficial do Partido dos Trabalhadores do estado de São Paulo.")</f>
        <v>Twitter oficial do Partido dos Trabalhadores do estado de São Paulo.</v>
      </c>
      <c r="D596" s="2">
        <f>IFERROR(__xludf.DUMMYFUNCTION("""COMPUTED_VALUE"""),1.594364777929163E-4)</f>
        <v>0.0001594364778</v>
      </c>
      <c r="E596" s="2" t="str">
        <f>IFERROR(__xludf.DUMMYFUNCTION("""COMPUTED_VALUE"""),"     18.855")</f>
        <v>     18.855</v>
      </c>
    </row>
    <row r="597">
      <c r="A597" s="2" t="str">
        <f>IFERROR(__xludf.DUMMYFUNCTION("""COMPUTED_VALUE"""),"Pedro Certezas")</f>
        <v>Pedro Certezas</v>
      </c>
      <c r="B597" s="2" t="str">
        <f>IFERROR(__xludf.DUMMYFUNCTION("""COMPUTED_VALUE"""),"pedrocertezas")</f>
        <v>pedrocertezas</v>
      </c>
      <c r="C597" s="2" t="str">
        <f>IFERROR(__xludf.DUMMYFUNCTION("""COMPUTED_VALUE"""),"Humorista, comentarista esportivo, botafoguense pra caralho e idiota do bem! @tntsportsbr, Youtube e Twitch! VIDAAAAA! FOGOOOO!")</f>
        <v>Humorista, comentarista esportivo, botafoguense pra caralho e idiota do bem! @tntsportsbr, Youtube e Twitch! VIDAAAAA! FOGOOOO!</v>
      </c>
      <c r="D597" s="2">
        <f>IFERROR(__xludf.DUMMYFUNCTION("""COMPUTED_VALUE"""),1.584065896959266E-4)</f>
        <v>0.0001584065897</v>
      </c>
      <c r="E597" s="2" t="str">
        <f>IFERROR(__xludf.DUMMYFUNCTION("""COMPUTED_VALUE"""),"    642.691")</f>
        <v>    642.691</v>
      </c>
    </row>
    <row r="598">
      <c r="A598" s="2" t="str">
        <f>IFERROR(__xludf.DUMMYFUNCTION("""COMPUTED_VALUE"""),"Cisl TarantoBrindisi")</f>
        <v>Cisl TarantoBrindisi</v>
      </c>
      <c r="B598" s="2" t="str">
        <f>IFERROR(__xludf.DUMMYFUNCTION("""COMPUTED_VALUE"""),"cisltabr")</f>
        <v>cisltabr</v>
      </c>
      <c r="C598" s="2" t="str">
        <f>IFERROR(__xludf.DUMMYFUNCTION("""COMPUTED_VALUE"""),"via Regina Elena, n. 126")</f>
        <v>via Regina Elena, n. 126</v>
      </c>
      <c r="D598" s="2">
        <f>IFERROR(__xludf.DUMMYFUNCTION("""COMPUTED_VALUE"""),1.5710576523627877E-4)</f>
        <v>0.0001571057652</v>
      </c>
      <c r="E598" s="2" t="str">
        <f>IFERROR(__xludf.DUMMYFUNCTION("""COMPUTED_VALUE"""),"      2.228")</f>
        <v>      2.228</v>
      </c>
    </row>
    <row r="599">
      <c r="A599" s="2" t="str">
        <f>IFERROR(__xludf.DUMMYFUNCTION("""COMPUTED_VALUE"""),"Futmais | Menino Fut")</f>
        <v>Futmais | Menino Fut</v>
      </c>
      <c r="B599" s="2" t="str">
        <f>IFERROR(__xludf.DUMMYFUNCTION("""COMPUTED_VALUE"""),"futtmais")</f>
        <v>futtmais</v>
      </c>
      <c r="C599" s="2" t="str">
        <f>IFERROR(__xludf.DUMMYFUNCTION("""COMPUTED_VALUE"""),"E-mail para contato: Futmais@virallabs.com.br")</f>
        <v>E-mail para contato: Futmais@virallabs.com.br</v>
      </c>
      <c r="D599" s="2">
        <f>IFERROR(__xludf.DUMMYFUNCTION("""COMPUTED_VALUE"""),1.5710576523627877E-4)</f>
        <v>0.0001571057652</v>
      </c>
      <c r="E599" s="2" t="str">
        <f>IFERROR(__xludf.DUMMYFUNCTION("""COMPUTED_VALUE"""),"    349.208")</f>
        <v>    349.208</v>
      </c>
    </row>
    <row r="600">
      <c r="A600" s="2" t="str">
        <f>IFERROR(__xludf.DUMMYFUNCTION("""COMPUTED_VALUE"""),"David Kirzner")</f>
        <v>David Kirzner</v>
      </c>
      <c r="B600" s="2" t="str">
        <f>IFERROR(__xludf.DUMMYFUNCTION("""COMPUTED_VALUE"""),"davidkirzner")</f>
        <v>davidkirzner</v>
      </c>
      <c r="C600" s="2" t="str">
        <f>IFERROR(__xludf.DUMMYFUNCTION("""COMPUTED_VALUE"""),"Salesforce Administrator")</f>
        <v>Salesforce Administrator</v>
      </c>
      <c r="D600" s="2">
        <f>IFERROR(__xludf.DUMMYFUNCTION("""COMPUTED_VALUE"""),1.5710576523627877E-4)</f>
        <v>0.0001571057652</v>
      </c>
      <c r="E600" s="2" t="str">
        <f>IFERROR(__xludf.DUMMYFUNCTION("""COMPUTED_VALUE"""),"      1.992")</f>
        <v>      1.992</v>
      </c>
    </row>
    <row r="601">
      <c r="A601" s="2" t="str">
        <f>IFERROR(__xludf.DUMMYFUNCTION("""COMPUTED_VALUE"""),"Sergio Moro")</f>
        <v>Sergio Moro</v>
      </c>
      <c r="B601" s="2" t="str">
        <f>IFERROR(__xludf.DUMMYFUNCTION("""COMPUTED_VALUE"""),"sf_moro")</f>
        <v>sf_moro</v>
      </c>
      <c r="C601" s="2" t="str">
        <f>IFERROR(__xludf.DUMMYFUNCTION("""COMPUTED_VALUE"""),"Casado com Rosângela (@rosangelamorosp), pai orgulhoso de dois filhos e professor. Senador da República eleito pelo estado do Paraná.")</f>
        <v>Casado com Rosângela (@rosangelamorosp), pai orgulhoso de dois filhos e professor. Senador da República eleito pelo estado do Paraná.</v>
      </c>
      <c r="D601" s="2">
        <f>IFERROR(__xludf.DUMMYFUNCTION("""COMPUTED_VALUE"""),1.5710576523627877E-4)</f>
        <v>0.0001571057652</v>
      </c>
      <c r="E601" s="2" t="str">
        <f>IFERROR(__xludf.DUMMYFUNCTION("""COMPUTED_VALUE"""),"  4.285.862")</f>
        <v>  4.285.862</v>
      </c>
    </row>
    <row r="602">
      <c r="A602" s="2" t="str">
        <f>IFERROR(__xludf.DUMMYFUNCTION("""COMPUTED_VALUE"""),"Sig. Donoso Cortes 4.1 🫃 🧀⚡🥜🍦🇳🇪")</f>
        <v>Sig. Donoso Cortes 4.1 🫃 🧀⚡🥜🍦🇳🇪</v>
      </c>
      <c r="B602" s="2" t="str">
        <f>IFERROR(__xludf.DUMMYFUNCTION("""COMPUTED_VALUE"""),"cazzaccimiei1")</f>
        <v>cazzaccimiei1</v>
      </c>
      <c r="C602" s="2" t="str">
        <f>IFERROR(__xludf.DUMMYFUNCTION("""COMPUTED_VALUE"""),"Ho decriptato la Gioconda.
Franco Sala mi ruba i tweet.
Odio Joe Forte.
Aboubakar stan account.
Non vero impreditore/usuraio.
Analyst Alberello.")</f>
        <v>Ho decriptato la Gioconda.
Franco Sala mi ruba i tweet.
Odio Joe Forte.
Aboubakar stan account.
Non vero impreditore/usuraio.
Analyst Alberello.</v>
      </c>
      <c r="D602" s="2">
        <f>IFERROR(__xludf.DUMMYFUNCTION("""COMPUTED_VALUE"""),1.5710576523627877E-4)</f>
        <v>0.0001571057652</v>
      </c>
      <c r="E602" s="2" t="str">
        <f>IFERROR(__xludf.DUMMYFUNCTION("""COMPUTED_VALUE"""),"      5.335")</f>
        <v>      5.335</v>
      </c>
    </row>
    <row r="603">
      <c r="A603" s="2" t="str">
        <f>IFERROR(__xludf.DUMMYFUNCTION("""COMPUTED_VALUE"""),"birboluddinx")</f>
        <v>birboluddinx</v>
      </c>
      <c r="B603" s="2" t="str">
        <f>IFERROR(__xludf.DUMMYFUNCTION("""COMPUTED_VALUE"""),"luddynski")</f>
        <v>luddynski</v>
      </c>
      <c r="C603" s="2" t="str">
        <f>IFERROR(__xludf.DUMMYFUNCTION("""COMPUTED_VALUE"""),"Presidente della Società Italiana Demografia Culturale. Redpill? tutte cazzate. Discendente dei Galli")</f>
        <v>Presidente della Società Italiana Demografia Culturale. Redpill? tutte cazzate. Discendente dei Galli</v>
      </c>
      <c r="D603" s="2">
        <f>IFERROR(__xludf.DUMMYFUNCTION("""COMPUTED_VALUE"""),1.5710576523627877E-4)</f>
        <v>0.0001571057652</v>
      </c>
      <c r="E603" s="2" t="str">
        <f>IFERROR(__xludf.DUMMYFUNCTION("""COMPUTED_VALUE"""),"      3.424")</f>
        <v>      3.424</v>
      </c>
    </row>
    <row r="604">
      <c r="A604" s="2" t="str">
        <f>IFERROR(__xludf.DUMMYFUNCTION("""COMPUTED_VALUE"""),"il Presidente ™ 🧱🐭🎣🇮🇹🇵🇸")</f>
        <v>il Presidente ™ 🧱🐭🎣🇮🇹🇵🇸</v>
      </c>
      <c r="B604" s="2" t="str">
        <f>IFERROR(__xludf.DUMMYFUNCTION("""COMPUTED_VALUE"""),"ilpresidenteh")</f>
        <v>ilpresidenteh</v>
      </c>
      <c r="C604" s="2" t="str">
        <f>IFERROR(__xludf.DUMMYFUNCTION("""COMPUTED_VALUE"""),"Negazionista di professione. #FreeAssangeNOW")</f>
        <v>Negazionista di professione. #FreeAssangeNOW</v>
      </c>
      <c r="D604" s="2">
        <f>IFERROR(__xludf.DUMMYFUNCTION("""COMPUTED_VALUE"""),1.5710576523627877E-4)</f>
        <v>0.0001571057652</v>
      </c>
      <c r="E604" s="2" t="str">
        <f>IFERROR(__xludf.DUMMYFUNCTION("""COMPUTED_VALUE"""),"      9.154")</f>
        <v>      9.154</v>
      </c>
    </row>
    <row r="605">
      <c r="A605" s="2" t="str">
        <f>IFERROR(__xludf.DUMMYFUNCTION("""COMPUTED_VALUE"""),"Tribunal de Justiça")</f>
        <v>Tribunal de Justiça</v>
      </c>
      <c r="B605" s="2" t="str">
        <f>IFERROR(__xludf.DUMMYFUNCTION("""COMPUTED_VALUE"""),"tjspoficial")</f>
        <v>tjspoficial</v>
      </c>
      <c r="C605" s="2" t="str">
        <f>IFERROR(__xludf.DUMMYFUNCTION("""COMPUTED_VALUE"""),"Notícias e informações oficiais do Tribunal de Justiça do Estado de São Paulo.")</f>
        <v>Notícias e informações oficiais do Tribunal de Justiça do Estado de São Paulo.</v>
      </c>
      <c r="D605" s="2">
        <f>IFERROR(__xludf.DUMMYFUNCTION("""COMPUTED_VALUE"""),1.5710576523627877E-4)</f>
        <v>0.0001571057652</v>
      </c>
      <c r="E605" s="2" t="str">
        <f>IFERROR(__xludf.DUMMYFUNCTION("""COMPUTED_VALUE"""),"     48.597")</f>
        <v>     48.597</v>
      </c>
    </row>
    <row r="606">
      <c r="A606" s="2" t="str">
        <f>IFERROR(__xludf.DUMMYFUNCTION("""COMPUTED_VALUE"""),"Blog do Noblat")</f>
        <v>Blog do Noblat</v>
      </c>
      <c r="B606" s="2" t="str">
        <f>IFERROR(__xludf.DUMMYFUNCTION("""COMPUTED_VALUE"""),"blogdonoblat")</f>
        <v>blogdonoblat</v>
      </c>
      <c r="C606" s="2" t="str">
        <f>IFERROR(__xludf.DUMMYFUNCTION("""COMPUTED_VALUE"""),"Acompanhe as atualizações do blog do jornalista Ricardo Noblat, há 19 anos no ar.")</f>
        <v>Acompanhe as atualizações do blog do jornalista Ricardo Noblat, há 19 anos no ar.</v>
      </c>
      <c r="D606" s="2">
        <f>IFERROR(__xludf.DUMMYFUNCTION("""COMPUTED_VALUE"""),1.5710576523627877E-4)</f>
        <v>0.0001571057652</v>
      </c>
      <c r="E606" s="2" t="str">
        <f>IFERROR(__xludf.DUMMYFUNCTION("""COMPUTED_VALUE"""),"  1.229.312")</f>
        <v>  1.229.312</v>
      </c>
    </row>
    <row r="607">
      <c r="A607" s="2" t="str">
        <f>IFERROR(__xludf.DUMMYFUNCTION("""COMPUTED_VALUE"""),"Frankito, o Curioso")</f>
        <v>Frankito, o Curioso</v>
      </c>
      <c r="B607" s="2" t="str">
        <f>IFERROR(__xludf.DUMMYFUNCTION("""COMPUTED_VALUE"""),"weisefranklin")</f>
        <v>weisefranklin</v>
      </c>
      <c r="C607" s="2" t="str">
        <f>IFERROR(__xludf.DUMMYFUNCTION("""COMPUTED_VALUE"""),"Inspirado por Frankito Lopes, o índio apaixonado. 
Penso, logo desisto.  TL civilizada é vida.")</f>
        <v>Inspirado por Frankito Lopes, o índio apaixonado. 
Penso, logo desisto.  TL civilizada é vida.</v>
      </c>
      <c r="D607" s="2">
        <f>IFERROR(__xludf.DUMMYFUNCTION("""COMPUTED_VALUE"""),1.5710576523627877E-4)</f>
        <v>0.0001571057652</v>
      </c>
      <c r="E607" s="2" t="str">
        <f>IFERROR(__xludf.DUMMYFUNCTION("""COMPUTED_VALUE"""),"     11.606")</f>
        <v>     11.606</v>
      </c>
    </row>
    <row r="608">
      <c r="A608" s="2" t="str">
        <f>IFERROR(__xludf.DUMMYFUNCTION("""COMPUTED_VALUE"""),"carolina fernandes")</f>
        <v>carolina fernandes</v>
      </c>
      <c r="B608" s="2" t="str">
        <f>IFERROR(__xludf.DUMMYFUNCTION("""COMPUTED_VALUE"""),"carolaf88")</f>
        <v>carolaf88</v>
      </c>
      <c r="C608" s="2" t="str">
        <f>IFERROR(__xludf.DUMMYFUNCTION("""COMPUTED_VALUE"""),"Espiã da CIA concursada, nerd-geek assumida, skincare junkie, hedonist in remission, apaixonada por arte e estatística. Versão 3.0 em melhoramentos.")</f>
        <v>Espiã da CIA concursada, nerd-geek assumida, skincare junkie, hedonist in remission, apaixonada por arte e estatística. Versão 3.0 em melhoramentos.</v>
      </c>
      <c r="D608" s="2">
        <f>IFERROR(__xludf.DUMMYFUNCTION("""COMPUTED_VALUE"""),1.5604028730714975E-4)</f>
        <v>0.0001560402873</v>
      </c>
      <c r="E608" s="2" t="str">
        <f>IFERROR(__xludf.DUMMYFUNCTION("""COMPUTED_VALUE"""),"     13.765")</f>
        <v>     13.765</v>
      </c>
    </row>
    <row r="609">
      <c r="A609" s="2" t="str">
        <f>IFERROR(__xludf.DUMMYFUNCTION("""COMPUTED_VALUE"""),"Felipe Santos")</f>
        <v>Felipe Santos</v>
      </c>
      <c r="B609" s="2" t="str">
        <f>IFERROR(__xludf.DUMMYFUNCTION("""COMPUTED_VALUE"""),"feliphesant6s")</f>
        <v>feliphesant6s</v>
      </c>
      <c r="C609" s="2" t="str">
        <f>IFERROR(__xludf.DUMMYFUNCTION("""COMPUTED_VALUE"""),"BOTAFOGO DE FUTEBOL E REGATAS 🔥")</f>
        <v>BOTAFOGO DE FUTEBOL E REGATAS 🔥</v>
      </c>
      <c r="D609" s="2">
        <f>IFERROR(__xludf.DUMMYFUNCTION("""COMPUTED_VALUE"""),1.5512148226313482E-4)</f>
        <v>0.0001551214823</v>
      </c>
      <c r="E609" s="2" t="str">
        <f>IFERROR(__xludf.DUMMYFUNCTION("""COMPUTED_VALUE"""),"      1.069")</f>
        <v>      1.069</v>
      </c>
    </row>
    <row r="610">
      <c r="A610" s="2" t="str">
        <f>IFERROR(__xludf.DUMMYFUNCTION("""COMPUTED_VALUE"""),"pedro")</f>
        <v>pedro</v>
      </c>
      <c r="B610" s="2" t="str">
        <f>IFERROR(__xludf.DUMMYFUNCTION("""COMPUTED_VALUE"""),"safetypedro")</f>
        <v>safetypedro</v>
      </c>
      <c r="C610" s="2" t="str">
        <f>IFERROR(__xludf.DUMMYFUNCTION("""COMPUTED_VALUE"""),"@botafogo 💍")</f>
        <v>@botafogo 💍</v>
      </c>
      <c r="D610" s="2">
        <f>IFERROR(__xludf.DUMMYFUNCTION("""COMPUTED_VALUE"""),1.549748093780207E-4)</f>
        <v>0.0001549748094</v>
      </c>
      <c r="E610" s="2" t="str">
        <f>IFERROR(__xludf.DUMMYFUNCTION("""COMPUTED_VALUE"""),"      4.149")</f>
        <v>      4.149</v>
      </c>
    </row>
    <row r="611">
      <c r="A611" s="2" t="str">
        <f>IFERROR(__xludf.DUMMYFUNCTION("""COMPUTED_VALUE"""),"ցɑbi͏៹⁷ 𔘓 ִֶ ☭ TIME O'HARA 🕸")</f>
        <v>ցɑbi͏៹⁷ 𔘓 ִֶ ☭ TIME O'HARA 🕸</v>
      </c>
      <c r="B611" s="2" t="str">
        <f>IFERROR(__xludf.DUMMYFUNCTION("""COMPUTED_VALUE"""),"sun_gojou")</f>
        <v>sun_gojou</v>
      </c>
      <c r="C611" s="2" t="str">
        <f>IFERROR(__xludf.DUMMYFUNCTION("""COMPUTED_VALUE"""),"𔓕 ː #BTS my only love that i will take for a lifetime . . . the first and only girlfriend of satoru gojo and yuji itadori ! 🩵")</f>
        <v>𔓕 ː #BTS my only love that i will take for a lifetime . . . the first and only girlfriend of satoru gojo and yuji itadori ! 🩵</v>
      </c>
      <c r="D611" s="2">
        <f>IFERROR(__xludf.DUMMYFUNCTION("""COMPUTED_VALUE"""),1.549748093780207E-4)</f>
        <v>0.0001549748094</v>
      </c>
      <c r="E611" s="2" t="str">
        <f>IFERROR(__xludf.DUMMYFUNCTION("""COMPUTED_VALUE"""),"      1.190")</f>
        <v>      1.190</v>
      </c>
    </row>
    <row r="612">
      <c r="A612" s="2" t="str">
        <f>IFERROR(__xludf.DUMMYFUNCTION("""COMPUTED_VALUE"""),"Duda Salabert")</f>
        <v>Duda Salabert</v>
      </c>
      <c r="B612" s="2" t="str">
        <f>IFERROR(__xludf.DUMMYFUNCTION("""COMPUTED_VALUE"""),"dudasalabert")</f>
        <v>dudasalabert</v>
      </c>
      <c r="C612" s="2" t="str">
        <f>IFERROR(__xludf.DUMMYFUNCTION("""COMPUTED_VALUE"""),"✊🏽Deputada Federal mais votada da história de M.G  🏳️‍⚧️Vereadora mais votada da história de BH 🌱Vegana")</f>
        <v>✊🏽Deputada Federal mais votada da história de M.G  🏳️‍⚧️Vereadora mais votada da história de BH 🌱Vegana</v>
      </c>
      <c r="D612" s="2">
        <f>IFERROR(__xludf.DUMMYFUNCTION("""COMPUTED_VALUE"""),1.5494719982037545E-4)</f>
        <v>0.0001549471998</v>
      </c>
      <c r="E612" s="2" t="str">
        <f>IFERROR(__xludf.DUMMYFUNCTION("""COMPUTED_VALUE"""),"    109.596")</f>
        <v>    109.596</v>
      </c>
    </row>
    <row r="613">
      <c r="A613" s="2" t="str">
        <f>IFERROR(__xludf.DUMMYFUNCTION("""COMPUTED_VALUE"""),"Zeza Golovov (Régis Paiva) - 3ª conta. S/DM. 🧣")</f>
        <v>Zeza Golovov (Régis Paiva) - 3ª conta. S/DM. 🧣</v>
      </c>
      <c r="B613" s="2" t="str">
        <f>IFERROR(__xludf.DUMMYFUNCTION("""COMPUTED_VALUE"""),"zeza_golovov")</f>
        <v>zeza_golovov</v>
      </c>
      <c r="C613" s="2" t="str">
        <f>IFERROR(__xludf.DUMMYFUNCTION("""COMPUTED_VALUE"""),"Casado com a Cléia. Agrônomo com MS. Lula Sempre. Colorado🇲🇨.
Recomeçando das cinzas, 
eu faço versos tão claros...")</f>
        <v>Casado com a Cléia. Agrônomo com MS. Lula Sempre. Colorado🇲🇨.
Recomeçando das cinzas, 
eu faço versos tão claros...</v>
      </c>
      <c r="D613" s="2">
        <f>IFERROR(__xludf.DUMMYFUNCTION("""COMPUTED_VALUE"""),1.543997895432527E-4)</f>
        <v>0.0001543997895</v>
      </c>
      <c r="E613" s="2" t="str">
        <f>IFERROR(__xludf.DUMMYFUNCTION("""COMPUTED_VALUE"""),"      2.241")</f>
        <v>      2.241</v>
      </c>
    </row>
    <row r="614">
      <c r="A614" s="2" t="str">
        <f>IFERROR(__xludf.DUMMYFUNCTION("""COMPUTED_VALUE"""),"Eduardo Maganha VASCO 💢")</f>
        <v>Eduardo Maganha VASCO 💢</v>
      </c>
      <c r="B614" s="2" t="str">
        <f>IFERROR(__xludf.DUMMYFUNCTION("""COMPUTED_VALUE"""),"maganhavasco")</f>
        <v>maganhavasco</v>
      </c>
      <c r="C614" s="2" t="str">
        <f>IFERROR(__xludf.DUMMYFUNCTION("""COMPUTED_VALUE"""),"💢 Sócio-Proprietário do @crvasco_br 
💢 Cofundador do @SiteCasaca
💢 Produtor de conteúdo sobre o @VascodaGama desde o ano 2000.")</f>
        <v>💢 Sócio-Proprietário do @crvasco_br 
💢 Cofundador do @SiteCasaca
💢 Produtor de conteúdo sobre o @VascodaGama desde o ano 2000.</v>
      </c>
      <c r="D614" s="2">
        <f>IFERROR(__xludf.DUMMYFUNCTION("""COMPUTED_VALUE"""),1.5439978954322707E-4)</f>
        <v>0.0001543997895</v>
      </c>
      <c r="E614" s="2" t="str">
        <f>IFERROR(__xludf.DUMMYFUNCTION("""COMPUTED_VALUE"""),"      1.501")</f>
        <v>      1.501</v>
      </c>
    </row>
    <row r="615">
      <c r="A615" s="2" t="str">
        <f>IFERROR(__xludf.DUMMYFUNCTION("""COMPUTED_VALUE"""),"Gabriela Arantes Brino")</f>
        <v>Gabriela Arantes Brino</v>
      </c>
      <c r="B615" s="2" t="str">
        <f>IFERROR(__xludf.DUMMYFUNCTION("""COMPUTED_VALUE"""),"gabbsbrino")</f>
        <v>gabbsbrino</v>
      </c>
      <c r="C615" s="2" t="str">
        <f>IFERROR(__xludf.DUMMYFUNCTION("""COMPUTED_VALUE"""),"Jornalista. Setorista do Santos pelo @UOLEsporte com passagem pelo @lancenet")</f>
        <v>Jornalista. Setorista do Santos pelo @UOLEsporte com passagem pelo @lancenet</v>
      </c>
      <c r="D615" s="2">
        <f>IFERROR(__xludf.DUMMYFUNCTION("""COMPUTED_VALUE"""),1.5284385351976268E-4)</f>
        <v>0.0001528438535</v>
      </c>
      <c r="E615" s="2" t="str">
        <f>IFERROR(__xludf.DUMMYFUNCTION("""COMPUTED_VALUE"""),"     35.631")</f>
        <v>     35.631</v>
      </c>
    </row>
    <row r="616">
      <c r="A616" s="2" t="str">
        <f>IFERROR(__xludf.DUMMYFUNCTION("""COMPUTED_VALUE"""),"GYNOID DOLLS")</f>
        <v>GYNOID DOLLS</v>
      </c>
      <c r="B616" s="2" t="str">
        <f>IFERROR(__xludf.DUMMYFUNCTION("""COMPUTED_VALUE"""),"gynoiddolls")</f>
        <v>gynoiddolls</v>
      </c>
      <c r="C616" s="2" t="str">
        <f>IFERROR(__xludf.DUMMYFUNCTION("""COMPUTED_VALUE"""),"From Gynoid&amp;Gynoid-doll owners...
Email: gynoiddolls@hotmail.com
#models,#portrait,#collectibles,#NSFW,#sexdoll,#cosplaydoll,#lovedoll,#modelkit,#mannequin")</f>
        <v>From Gynoid&amp;Gynoid-doll owners...
Email: gynoiddolls@hotmail.com
#models,#portrait,#collectibles,#NSFW,#sexdoll,#cosplaydoll,#lovedoll,#modelkit,#mannequin</v>
      </c>
      <c r="D616" s="2">
        <f>IFERROR(__xludf.DUMMYFUNCTION("""COMPUTED_VALUE"""),1.509970251092724E-4)</f>
        <v>0.0001509970251</v>
      </c>
      <c r="E616" s="2" t="str">
        <f>IFERROR(__xludf.DUMMYFUNCTION("""COMPUTED_VALUE"""),"     10.044")</f>
        <v>     10.044</v>
      </c>
    </row>
    <row r="617">
      <c r="A617" s="2" t="str">
        <f>IFERROR(__xludf.DUMMYFUNCTION("""COMPUTED_VALUE"""),"Alessandro Nogueira 💚🇧🇷🇮🇱🇺🇦")</f>
        <v>Alessandro Nogueira 💚🇧🇷🇮🇱🇺🇦</v>
      </c>
      <c r="B617" s="2" t="str">
        <f>IFERROR(__xludf.DUMMYFUNCTION("""COMPUTED_VALUE"""),"alessandro113")</f>
        <v>alessandro113</v>
      </c>
      <c r="C617" s="2" t="str">
        <f>IFERROR(__xludf.DUMMYFUNCTION("""COMPUTED_VALUE"""),"Photographer")</f>
        <v>Photographer</v>
      </c>
      <c r="D617" s="2">
        <f>IFERROR(__xludf.DUMMYFUNCTION("""COMPUTED_VALUE"""),1.5000257904208532E-4)</f>
        <v>0.000150002579</v>
      </c>
      <c r="E617" s="2" t="str">
        <f>IFERROR(__xludf.DUMMYFUNCTION("""COMPUTED_VALUE"""),"      1.774")</f>
        <v>      1.774</v>
      </c>
    </row>
    <row r="618">
      <c r="A618" s="2" t="str">
        <f>IFERROR(__xludf.DUMMYFUNCTION("""COMPUTED_VALUE"""),"Cruzeiro 🦊")</f>
        <v>Cruzeiro 🦊</v>
      </c>
      <c r="B618" s="2" t="str">
        <f>IFERROR(__xludf.DUMMYFUNCTION("""COMPUTED_VALUE"""),"cruzeiro")</f>
        <v>cruzeiro</v>
      </c>
      <c r="C618" s="2" t="str">
        <f>IFERROR(__xludf.DUMMYFUNCTION("""COMPUTED_VALUE"""),"Perfil oficial do Cruzeiro • 🏆 Tetracampeão Brasileiro • 👑 Hexacampeão da Copa do Brasil • ⭐️ Bicampeão da Libertadores")</f>
        <v>Perfil oficial do Cruzeiro • 🏆 Tetracampeão Brasileiro • 👑 Hexacampeão da Copa do Brasil • ⭐️ Bicampeão da Libertadores</v>
      </c>
      <c r="D618" s="2">
        <f>IFERROR(__xludf.DUMMYFUNCTION("""COMPUTED_VALUE"""),1.5000257904208532E-4)</f>
        <v>0.000150002579</v>
      </c>
      <c r="E618" s="2" t="str">
        <f>IFERROR(__xludf.DUMMYFUNCTION("""COMPUTED_VALUE"""),"  2.590.222")</f>
        <v>  2.590.222</v>
      </c>
    </row>
    <row r="619">
      <c r="A619" s="2" t="str">
        <f>IFERROR(__xludf.DUMMYFUNCTION("""COMPUTED_VALUE"""),"Guto Zacarias")</f>
        <v>Guto Zacarias</v>
      </c>
      <c r="B619" s="2" t="str">
        <f>IFERROR(__xludf.DUMMYFUNCTION("""COMPUTED_VALUE"""),"gutozacariasmbl")</f>
        <v>gutozacariasmbl</v>
      </c>
      <c r="C619" s="2" t="str">
        <f>IFERROR(__xludf.DUMMYFUNCTION("""COMPUTED_VALUE"""),"Membro do @mblivre. Inimigo n° 1 de quem tenta te enganar | Deputado estadual eleito em São Paulo.")</f>
        <v>Membro do @mblivre. Inimigo n° 1 de quem tenta te enganar | Deputado estadual eleito em São Paulo.</v>
      </c>
      <c r="D619" s="2">
        <f>IFERROR(__xludf.DUMMYFUNCTION("""COMPUTED_VALUE"""),1.5000257904208532E-4)</f>
        <v>0.000150002579</v>
      </c>
      <c r="E619" s="2" t="str">
        <f>IFERROR(__xludf.DUMMYFUNCTION("""COMPUTED_VALUE"""),"     66.743")</f>
        <v>     66.743</v>
      </c>
    </row>
    <row r="620">
      <c r="A620" s="2" t="str">
        <f>IFERROR(__xludf.DUMMYFUNCTION("""COMPUTED_VALUE"""),"chicco testa")</f>
        <v>chicco testa</v>
      </c>
      <c r="B620" s="2" t="str">
        <f>IFERROR(__xludf.DUMMYFUNCTION("""COMPUTED_VALUE"""),"chiccotesta")</f>
        <v>chiccotesta</v>
      </c>
      <c r="C620" s="2" t="str">
        <f>IFERROR(__xludf.DUMMYFUNCTION("""COMPUTED_VALUE"""),"Un po' di tutto. Benvenute tutte le persone cortesi e ironiche . Gli altri a casa loro. Grazie")</f>
        <v>Un po' di tutto. Benvenute tutte le persone cortesi e ironiche . Gli altri a casa loro. Grazie</v>
      </c>
      <c r="D620" s="2">
        <f>IFERROR(__xludf.DUMMYFUNCTION("""COMPUTED_VALUE"""),1.4950535600849178E-4)</f>
        <v>0.000149505356</v>
      </c>
      <c r="E620" s="2" t="str">
        <f>IFERROR(__xludf.DUMMYFUNCTION("""COMPUTED_VALUE"""),"     38.851")</f>
        <v>     38.851</v>
      </c>
    </row>
    <row r="621">
      <c r="A621" s="2" t="str">
        <f>IFERROR(__xludf.DUMMYFUNCTION("""COMPUTED_VALUE"""),"Deputado Maurici")</f>
        <v>Deputado Maurici</v>
      </c>
      <c r="B621" s="2" t="str">
        <f>IFERROR(__xludf.DUMMYFUNCTION("""COMPUTED_VALUE"""),"deputadomaurici")</f>
        <v>deputadomaurici</v>
      </c>
      <c r="C621" s="2" t="str">
        <f>IFERROR(__xludf.DUMMYFUNCTION("""COMPUTED_VALUE"""),"Jornalista, ex-vereador e prefeito de Franco de Rocha. Deputado estadual reeleito (PT-SP) na luta por um país menos desigual e com mais justiça social 🫱🏻‍🫲🏾")</f>
        <v>Jornalista, ex-vereador e prefeito de Franco de Rocha. Deputado estadual reeleito (PT-SP) na luta por um país menos desigual e com mais justiça social 🫱🏻‍🫲🏾</v>
      </c>
      <c r="D621" s="2">
        <f>IFERROR(__xludf.DUMMYFUNCTION("""COMPUTED_VALUE"""),1.474171081062154E-4)</f>
        <v>0.0001474171081</v>
      </c>
      <c r="E621" s="2" t="str">
        <f>IFERROR(__xludf.DUMMYFUNCTION("""COMPUTED_VALUE"""),"      2.884")</f>
        <v>      2.884</v>
      </c>
    </row>
    <row r="622">
      <c r="A622" s="2" t="str">
        <f>IFERROR(__xludf.DUMMYFUNCTION("""COMPUTED_VALUE"""),"Flanálises")</f>
        <v>Flanálises</v>
      </c>
      <c r="B622" s="2" t="str">
        <f>IFERROR(__xludf.DUMMYFUNCTION("""COMPUTED_VALUE"""),"flanalises12")</f>
        <v>flanalises12</v>
      </c>
      <c r="C622" s="2" t="str">
        <f>IFERROR(__xludf.DUMMYFUNCTION("""COMPUTED_VALUE"""),"SRN
Sou flamenguista desde a infância, apaixonado por futebol. Nesta página irei conversar sobre minha maior paixão, o Flamengo.")</f>
        <v>SRN
Sou flamenguista desde a infância, apaixonado por futebol. Nesta página irei conversar sobre minha maior paixão, o Flamengo.</v>
      </c>
      <c r="D622" s="2">
        <f>IFERROR(__xludf.DUMMYFUNCTION("""COMPUTED_VALUE"""),1.4289939284789187E-4)</f>
        <v>0.0001428993928</v>
      </c>
      <c r="E622" s="2" t="str">
        <f>IFERROR(__xludf.DUMMYFUNCTION("""COMPUTED_VALUE"""),"      3.801")</f>
        <v>      3.801</v>
      </c>
    </row>
    <row r="623">
      <c r="A623" s="2" t="str">
        <f>IFERROR(__xludf.DUMMYFUNCTION("""COMPUTED_VALUE"""),"Gmcw")</f>
        <v>Gmcw</v>
      </c>
      <c r="B623" s="2" t="str">
        <f>IFERROR(__xludf.DUMMYFUNCTION("""COMPUTED_VALUE"""),"gmcw73")</f>
        <v>gmcw73</v>
      </c>
      <c r="C623" s="2" t="str">
        <f>IFERROR(__xludf.DUMMYFUNCTION("""COMPUTED_VALUE"""),"de passagem")</f>
        <v>de passagem</v>
      </c>
      <c r="D623" s="2">
        <f>IFERROR(__xludf.DUMMYFUNCTION("""COMPUTED_VALUE"""),1.4289939284789187E-4)</f>
        <v>0.0001428993928</v>
      </c>
      <c r="E623" s="2" t="str">
        <f>IFERROR(__xludf.DUMMYFUNCTION("""COMPUTED_VALUE"""),"      1.017")</f>
        <v>      1.017</v>
      </c>
    </row>
    <row r="624">
      <c r="A624" s="2" t="str">
        <f>IFERROR(__xludf.DUMMYFUNCTION("""COMPUTED_VALUE"""),"Winx Fandom")</f>
        <v>Winx Fandom</v>
      </c>
      <c r="B624" s="2" t="str">
        <f>IFERROR(__xludf.DUMMYFUNCTION("""COMPUTED_VALUE"""),"fandomwinx")</f>
        <v>fandomwinx</v>
      </c>
      <c r="C624" s="2"/>
      <c r="D624" s="2">
        <f>IFERROR(__xludf.DUMMYFUNCTION("""COMPUTED_VALUE"""),1.4289939284789187E-4)</f>
        <v>0.0001428993928</v>
      </c>
      <c r="E624" s="2" t="str">
        <f>IFERROR(__xludf.DUMMYFUNCTION("""COMPUTED_VALUE"""),"      1.723")</f>
        <v>      1.723</v>
      </c>
    </row>
    <row r="625">
      <c r="A625" s="2" t="str">
        <f>IFERROR(__xludf.DUMMYFUNCTION("""COMPUTED_VALUE"""),"INFOtime")</f>
        <v>INFOtime</v>
      </c>
      <c r="B625" s="2" t="str">
        <f>IFERROR(__xludf.DUMMYFUNCTION("""COMPUTED_VALUE"""),"infotime100")</f>
        <v>infotime100</v>
      </c>
      <c r="C625" s="2" t="str">
        <f>IFERROR(__xludf.DUMMYFUNCTION("""COMPUTED_VALUE"""),"The most relevant and best news about projects in the World of CRYPTO INDUSTRY!
 Contact me for MARKETING : mail -  infotime@ro.ru
telegram - https://t.co/wlUzMIDFwU")</f>
        <v>The most relevant and best news about projects in the World of CRYPTO INDUSTRY!
 Contact me for MARKETING : mail -  infotime@ro.ru
telegram - https://t.co/wlUzMIDFwU</v>
      </c>
      <c r="D625" s="2">
        <f>IFERROR(__xludf.DUMMYFUNCTION("""COMPUTED_VALUE"""),1.4289939284789187E-4)</f>
        <v>0.0001428993928</v>
      </c>
      <c r="E625" s="2" t="str">
        <f>IFERROR(__xludf.DUMMYFUNCTION("""COMPUTED_VALUE"""),"     13.714")</f>
        <v>     13.714</v>
      </c>
    </row>
    <row r="626">
      <c r="A626" s="2" t="str">
        <f>IFERROR(__xludf.DUMMYFUNCTION("""COMPUTED_VALUE"""),"AnistiaNuncaMais🚩🇧🇷🇨🇺🇯🇴🇻🇳🇲🇿")</f>
        <v>AnistiaNuncaMais🚩🇧🇷🇨🇺🇯🇴🇻🇳🇲🇿</v>
      </c>
      <c r="B626" s="2" t="str">
        <f>IFERROR(__xludf.DUMMYFUNCTION("""COMPUTED_VALUE"""),"terezandrade")</f>
        <v>terezandrade</v>
      </c>
      <c r="C626" s="2" t="str">
        <f>IFERROR(__xludf.DUMMYFUNCTION("""COMPUTED_VALUE"""),"Paranapanema é o mais belo dos rios porque passa na minha aldeia. Filha de Josefa e Benedito, caipira, editora e mãe de Fernando e Cândida.")</f>
        <v>Paranapanema é o mais belo dos rios porque passa na minha aldeia. Filha de Josefa e Benedito, caipira, editora e mãe de Fernando e Cândida.</v>
      </c>
      <c r="D626" s="2">
        <f>IFERROR(__xludf.DUMMYFUNCTION("""COMPUTED_VALUE"""),1.4289939284789187E-4)</f>
        <v>0.0001428993928</v>
      </c>
      <c r="E626" s="2" t="str">
        <f>IFERROR(__xludf.DUMMYFUNCTION("""COMPUTED_VALUE"""),"      4.035")</f>
        <v>      4.035</v>
      </c>
    </row>
    <row r="627">
      <c r="A627" s="2" t="str">
        <f>IFERROR(__xludf.DUMMYFUNCTION("""COMPUTED_VALUE"""),"Noticias e etc")</f>
        <v>Noticias e etc</v>
      </c>
      <c r="B627" s="2" t="str">
        <f>IFERROR(__xludf.DUMMYFUNCTION("""COMPUTED_VALUE"""),"noticiaseetc")</f>
        <v>noticiaseetc</v>
      </c>
      <c r="C627" s="2" t="str">
        <f>IFERROR(__xludf.DUMMYFUNCTION("""COMPUTED_VALUE"""),"Informações de entretenimento")</f>
        <v>Informações de entretenimento</v>
      </c>
      <c r="D627" s="2">
        <f>IFERROR(__xludf.DUMMYFUNCTION("""COMPUTED_VALUE"""),1.4289939284789187E-4)</f>
        <v>0.0001428993928</v>
      </c>
      <c r="E627" s="2" t="str">
        <f>IFERROR(__xludf.DUMMYFUNCTION("""COMPUTED_VALUE"""),"      1.599")</f>
        <v>      1.599</v>
      </c>
    </row>
    <row r="628">
      <c r="A628" s="2" t="str">
        <f>IFERROR(__xludf.DUMMYFUNCTION("""COMPUTED_VALUE"""),"Carla Zambelli")</f>
        <v>Carla Zambelli</v>
      </c>
      <c r="B628" s="2" t="str">
        <f>IFERROR(__xludf.DUMMYFUNCTION("""COMPUTED_VALUE"""),"zambelli2210")</f>
        <v>zambelli2210</v>
      </c>
      <c r="C628" s="2" t="str">
        <f>IFERROR(__xludf.DUMMYFUNCTION("""COMPUTED_VALUE"""),"Dep. Federal (SP),eleita melhor Dep 2019 e 2022 voto popular, gerente de projetos, conservadora, mãe de João e esposa do Coronel Aginaldo, leal ao PR Bolsonaro!")</f>
        <v>Dep. Federal (SP),eleita melhor Dep 2019 e 2022 voto popular, gerente de projetos, conservadora, mãe de João e esposa do Coronel Aginaldo, leal ao PR Bolsonaro!</v>
      </c>
      <c r="D628" s="2">
        <f>IFERROR(__xludf.DUMMYFUNCTION("""COMPUTED_VALUE"""),1.4289939284789187E-4)</f>
        <v>0.0001428993928</v>
      </c>
      <c r="E628" s="2" t="str">
        <f>IFERROR(__xludf.DUMMYFUNCTION("""COMPUTED_VALUE"""),"  2.297.886")</f>
        <v>  2.297.886</v>
      </c>
    </row>
    <row r="629">
      <c r="A629" s="2" t="str">
        <f>IFERROR(__xludf.DUMMYFUNCTION("""COMPUTED_VALUE"""),"Meu Professor de História")</f>
        <v>Meu Professor de História</v>
      </c>
      <c r="B629" s="2" t="str">
        <f>IFERROR(__xludf.DUMMYFUNCTION("""COMPUTED_VALUE"""),"mphistoria")</f>
        <v>mphistoria</v>
      </c>
      <c r="C629" s="2" t="str">
        <f>IFERROR(__xludf.DUMMYFUNCTION("""COMPUTED_VALUE"""),"Versão da lendária página do Facebook agora no Twitter. A falecida MPH I chegou a ter mais de um milhão de seguidores no Face.")</f>
        <v>Versão da lendária página do Facebook agora no Twitter. A falecida MPH I chegou a ter mais de um milhão de seguidores no Face.</v>
      </c>
      <c r="D629" s="2">
        <f>IFERROR(__xludf.DUMMYFUNCTION("""COMPUTED_VALUE"""),1.4289939284789187E-4)</f>
        <v>0.0001428993928</v>
      </c>
      <c r="E629" s="2" t="str">
        <f>IFERROR(__xludf.DUMMYFUNCTION("""COMPUTED_VALUE"""),"     39.569")</f>
        <v>     39.569</v>
      </c>
    </row>
    <row r="630">
      <c r="A630" s="2" t="str">
        <f>IFERROR(__xludf.DUMMYFUNCTION("""COMPUTED_VALUE"""),"Rodrigo Rocha")</f>
        <v>Rodrigo Rocha</v>
      </c>
      <c r="B630" s="2" t="str">
        <f>IFERROR(__xludf.DUMMYFUNCTION("""COMPUTED_VALUE"""),"rodrigoro")</f>
        <v>rodrigoro</v>
      </c>
      <c r="C630" s="2" t="str">
        <f>IFERROR(__xludf.DUMMYFUNCTION("""COMPUTED_VALUE"""),"Gremista acima de tudo!
Nesse perfil falamos de Futebol e
Política... Vídeomaker e Editor.")</f>
        <v>Gremista acima de tudo!
Nesse perfil falamos de Futebol e
Política... Vídeomaker e Editor.</v>
      </c>
      <c r="D630" s="2">
        <f>IFERROR(__xludf.DUMMYFUNCTION("""COMPUTED_VALUE"""),1.4289939284789187E-4)</f>
        <v>0.0001428993928</v>
      </c>
      <c r="E630" s="2" t="str">
        <f>IFERROR(__xludf.DUMMYFUNCTION("""COMPUTED_VALUE"""),"      1.714")</f>
        <v>      1.714</v>
      </c>
    </row>
    <row r="631">
      <c r="A631" s="2" t="str">
        <f>IFERROR(__xludf.DUMMYFUNCTION("""COMPUTED_VALUE"""),"flablack")</f>
        <v>flablack</v>
      </c>
      <c r="B631" s="2" t="str">
        <f>IFERROR(__xludf.DUMMYFUNCTION("""COMPUTED_VALUE"""),"flablack")</f>
        <v>flablack</v>
      </c>
      <c r="C631" s="2" t="str">
        <f>IFERROR(__xludf.DUMMYFUNCTION("""COMPUTED_VALUE"""),"everything that kills me, makes me feel alive")</f>
        <v>everything that kills me, makes me feel alive</v>
      </c>
      <c r="D631" s="2">
        <f>IFERROR(__xludf.DUMMYFUNCTION("""COMPUTED_VALUE"""),1.4289939284789187E-4)</f>
        <v>0.0001428993928</v>
      </c>
      <c r="E631" s="2" t="str">
        <f>IFERROR(__xludf.DUMMYFUNCTION("""COMPUTED_VALUE"""),"      1.962")</f>
        <v>      1.962</v>
      </c>
    </row>
    <row r="632">
      <c r="A632" s="2" t="str">
        <f>IFERROR(__xludf.DUMMYFUNCTION("""COMPUTED_VALUE"""),"Sergio Dourado - BR Potência ✝🇧🇷💪🏼🇦🇲✌🏼🕊🦅")</f>
        <v>Sergio Dourado - BR Potência ✝🇧🇷💪🏼🇦🇲✌🏼🕊🦅</v>
      </c>
      <c r="B632" s="2" t="str">
        <f>IFERROR(__xludf.DUMMYFUNCTION("""COMPUTED_VALUE"""),"sergiusdourado")</f>
        <v>sergiusdourado</v>
      </c>
      <c r="C632" s="2" t="str">
        <f>IFERROR(__xludf.DUMMYFUNCTION("""COMPUTED_VALUE"""),"""Brasil é feito por nós. Está na hora de desatar esses nós.""
Barão de Itararé")</f>
        <v>"Brasil é feito por nós. Está na hora de desatar esses nós."
Barão de Itararé</v>
      </c>
      <c r="D632" s="2">
        <f>IFERROR(__xludf.DUMMYFUNCTION("""COMPUTED_VALUE"""),1.4289939284789187E-4)</f>
        <v>0.0001428993928</v>
      </c>
      <c r="E632" s="2" t="str">
        <f>IFERROR(__xludf.DUMMYFUNCTION("""COMPUTED_VALUE"""),"      2.356")</f>
        <v>      2.356</v>
      </c>
    </row>
    <row r="633">
      <c r="A633" s="2" t="str">
        <f>IFERROR(__xludf.DUMMYFUNCTION("""COMPUTED_VALUE"""),"V de Victor")</f>
        <v>V de Victor</v>
      </c>
      <c r="B633" s="2" t="str">
        <f>IFERROR(__xludf.DUMMYFUNCTION("""COMPUTED_VALUE"""),"victorpedretti")</f>
        <v>victorpedretti</v>
      </c>
      <c r="C633" s="2" t="str">
        <f>IFERROR(__xludf.DUMMYFUNCTION("""COMPUTED_VALUE"""),"Professor, Geopolítica, Nacional Desenvolvimento Bem vindo(a)! 
Toda Revolução parece Impossível até que ela é Inevitável ✊🏾")</f>
        <v>Professor, Geopolítica, Nacional Desenvolvimento Bem vindo(a)! 
Toda Revolução parece Impossível até que ela é Inevitável ✊🏾</v>
      </c>
      <c r="D633" s="2">
        <f>IFERROR(__xludf.DUMMYFUNCTION("""COMPUTED_VALUE"""),1.4289939284789187E-4)</f>
        <v>0.0001428993928</v>
      </c>
      <c r="E633" s="2" t="str">
        <f>IFERROR(__xludf.DUMMYFUNCTION("""COMPUTED_VALUE"""),"      1.189")</f>
        <v>      1.189</v>
      </c>
    </row>
    <row r="634">
      <c r="A634" s="2" t="str">
        <f>IFERROR(__xludf.DUMMYFUNCTION("""COMPUTED_VALUE"""),"Maria P")</f>
        <v>Maria P</v>
      </c>
      <c r="B634" s="2" t="str">
        <f>IFERROR(__xludf.DUMMYFUNCTION("""COMPUTED_VALUE"""),"damadanoite14")</f>
        <v>damadanoite14</v>
      </c>
      <c r="C634" s="2" t="str">
        <f>IFERROR(__xludf.DUMMYFUNCTION("""COMPUTED_VALUE"""),"Diante da vastidão do tempo e da imensidão do universo, para mim, é um imenso prazer dividir um planeta e uma época com voce ❤️ Carl Sagan")</f>
        <v>Diante da vastidão do tempo e da imensidão do universo, para mim, é um imenso prazer dividir um planeta e uma época com voce ❤️ Carl Sagan</v>
      </c>
      <c r="D634" s="2">
        <f>IFERROR(__xludf.DUMMYFUNCTION("""COMPUTED_VALUE"""),1.4289939284789187E-4)</f>
        <v>0.0001428993928</v>
      </c>
      <c r="E634" s="2" t="str">
        <f>IFERROR(__xludf.DUMMYFUNCTION("""COMPUTED_VALUE"""),"     30.501")</f>
        <v>     30.501</v>
      </c>
    </row>
    <row r="635">
      <c r="A635" s="2" t="str">
        <f>IFERROR(__xludf.DUMMYFUNCTION("""COMPUTED_VALUE"""),"Wanderson - Numa galáxia não muito distante")</f>
        <v>Wanderson - Numa galáxia não muito distante</v>
      </c>
      <c r="B635" s="2" t="str">
        <f>IFERROR(__xludf.DUMMYFUNCTION("""COMPUTED_VALUE"""),"wandesigner13")</f>
        <v>wandesigner13</v>
      </c>
      <c r="C635" s="2" t="str">
        <f>IFERROR(__xludf.DUMMYFUNCTION("""COMPUTED_VALUE"""),"Funcionário Público em MG.
Amante de rock, culturas, jogos e risadas.
Filiado ao PT. Antifascista. Meio nerd.
Demissexual.
Em eterna busca.")</f>
        <v>Funcionário Público em MG.
Amante de rock, culturas, jogos e risadas.
Filiado ao PT. Antifascista. Meio nerd.
Demissexual.
Em eterna busca.</v>
      </c>
      <c r="D635" s="2">
        <f>IFERROR(__xludf.DUMMYFUNCTION("""COMPUTED_VALUE"""),1.4289939284789187E-4)</f>
        <v>0.0001428993928</v>
      </c>
      <c r="E635" s="2" t="str">
        <f>IFERROR(__xludf.DUMMYFUNCTION("""COMPUTED_VALUE"""),"      1.555")</f>
        <v>      1.555</v>
      </c>
    </row>
    <row r="636">
      <c r="A636" s="2" t="str">
        <f>IFERROR(__xludf.DUMMYFUNCTION("""COMPUTED_VALUE"""),"Ana MPR 📖 Protegida Pelo Lenhador")</f>
        <v>Ana MPR 📖 Protegida Pelo Lenhador</v>
      </c>
      <c r="B636" s="2" t="str">
        <f>IFERROR(__xludf.DUMMYFUNCTION("""COMPUTED_VALUE"""),"porromances")</f>
        <v>porromances</v>
      </c>
      <c r="C636" s="2" t="str">
        <f>IFERROR(__xludf.DUMMYFUNCTION("""COMPUTED_VALUE"""),"Blog destinado a todo os amantes de livros e tudo relacionado a eles. No blog você encontra resenhas, lançamentos e dicas de leitura.")</f>
        <v>Blog destinado a todo os amantes de livros e tudo relacionado a eles. No blog você encontra resenhas, lançamentos e dicas de leitura.</v>
      </c>
      <c r="D636" s="2">
        <f>IFERROR(__xludf.DUMMYFUNCTION("""COMPUTED_VALUE"""),1.4289939284789187E-4)</f>
        <v>0.0001428993928</v>
      </c>
      <c r="E636" s="2" t="str">
        <f>IFERROR(__xludf.DUMMYFUNCTION("""COMPUTED_VALUE"""),"      3.131")</f>
        <v>      3.131</v>
      </c>
    </row>
    <row r="637">
      <c r="A637" s="2" t="str">
        <f>IFERROR(__xludf.DUMMYFUNCTION("""COMPUTED_VALUE"""),"🇧🇷 VLOGDOLISBOA")</f>
        <v>🇧🇷 VLOGDOLISBOA</v>
      </c>
      <c r="B637" s="2" t="str">
        <f>IFERROR(__xludf.DUMMYFUNCTION("""COMPUTED_VALUE"""),"vlogdolisboa")</f>
        <v>vlogdolisboa</v>
      </c>
      <c r="C637" s="2" t="str">
        <f>IFERROR(__xludf.DUMMYFUNCTION("""COMPUTED_VALUE"""),"Desistir não é um Opção João 8:32 📱 https://t.co/d3pC1hULNX 💻  minha cidade #Guarulhos")</f>
        <v>Desistir não é um Opção João 8:32 📱 https://t.co/d3pC1hULNX 💻  minha cidade #Guarulhos</v>
      </c>
      <c r="D637" s="2">
        <f>IFERROR(__xludf.DUMMYFUNCTION("""COMPUTED_VALUE"""),1.4289939284789187E-4)</f>
        <v>0.0001428993928</v>
      </c>
      <c r="E637" s="2" t="str">
        <f>IFERROR(__xludf.DUMMYFUNCTION("""COMPUTED_VALUE"""),"    430.126")</f>
        <v>    430.126</v>
      </c>
    </row>
    <row r="638">
      <c r="A638" s="2" t="str">
        <f>IFERROR(__xludf.DUMMYFUNCTION("""COMPUTED_VALUE"""),"Teresinha Vale Lima")</f>
        <v>Teresinha Vale Lima</v>
      </c>
      <c r="B638" s="2" t="str">
        <f>IFERROR(__xludf.DUMMYFUNCTION("""COMPUTED_VALUE"""),"teresinhavalle_")</f>
        <v>teresinhavalle_</v>
      </c>
      <c r="C638" s="2" t="str">
        <f>IFERROR(__xludf.DUMMYFUNCTION("""COMPUTED_VALUE"""),"👮🏻‍♀️🐶🦑💐❤️")</f>
        <v>👮🏻‍♀️🐶🦑💐❤️</v>
      </c>
      <c r="D638" s="2">
        <f>IFERROR(__xludf.DUMMYFUNCTION("""COMPUTED_VALUE"""),1.4289939284789187E-4)</f>
        <v>0.0001428993928</v>
      </c>
      <c r="E638" s="2" t="str">
        <f>IFERROR(__xludf.DUMMYFUNCTION("""COMPUTED_VALUE"""),"      2.874")</f>
        <v>      2.874</v>
      </c>
    </row>
    <row r="639">
      <c r="A639" s="2" t="str">
        <f>IFERROR(__xludf.DUMMYFUNCTION("""COMPUTED_VALUE"""),"Cristiano Ronaldo")</f>
        <v>Cristiano Ronaldo</v>
      </c>
      <c r="B639" s="2" t="str">
        <f>IFERROR(__xludf.DUMMYFUNCTION("""COMPUTED_VALUE"""),"cristiano")</f>
        <v>cristiano</v>
      </c>
      <c r="C639" s="2" t="str">
        <f>IFERROR(__xludf.DUMMYFUNCTION("""COMPUTED_VALUE"""),"This Privacy Policy addresses the collection and use of personal information - https://t.co/N9W2J34YdA")</f>
        <v>This Privacy Policy addresses the collection and use of personal information - https://t.co/N9W2J34YdA</v>
      </c>
      <c r="D639" s="2">
        <f>IFERROR(__xludf.DUMMYFUNCTION("""COMPUTED_VALUE"""),1.4289939284789187E-4)</f>
        <v>0.0001428993928</v>
      </c>
      <c r="E639" s="2" t="str">
        <f>IFERROR(__xludf.DUMMYFUNCTION("""COMPUTED_VALUE"""),"109.615.237")</f>
        <v>109.615.237</v>
      </c>
    </row>
    <row r="640">
      <c r="A640" s="2" t="str">
        <f>IFERROR(__xludf.DUMMYFUNCTION("""COMPUTED_VALUE"""),"Bloomberg")</f>
        <v>Bloomberg</v>
      </c>
      <c r="B640" s="2" t="str">
        <f>IFERROR(__xludf.DUMMYFUNCTION("""COMPUTED_VALUE"""),"business")</f>
        <v>business</v>
      </c>
      <c r="C640" s="2" t="str">
        <f>IFERROR(__xludf.DUMMYFUNCTION("""COMPUTED_VALUE"""),"The first word in business news. 
Newsletters: https://t.co/nWaCxHTiks 
Podcasts: https://t.co/096e9xMJF7 
India Edition Newsletter: https://t.co/jNHJbY6vqN")</f>
        <v>The first word in business news. 
Newsletters: https://t.co/nWaCxHTiks 
Podcasts: https://t.co/096e9xMJF7 
India Edition Newsletter: https://t.co/jNHJbY6vqN</v>
      </c>
      <c r="D640" s="2">
        <f>IFERROR(__xludf.DUMMYFUNCTION("""COMPUTED_VALUE"""),1.4289939284789187E-4)</f>
        <v>0.0001428993928</v>
      </c>
      <c r="E640" s="2" t="str">
        <f>IFERROR(__xludf.DUMMYFUNCTION("""COMPUTED_VALUE"""),"  9.326.676")</f>
        <v>  9.326.676</v>
      </c>
    </row>
    <row r="641">
      <c r="A641" s="2" t="str">
        <f>IFERROR(__xludf.DUMMYFUNCTION("""COMPUTED_VALUE"""),"Fátima Gonçalves")</f>
        <v>Fátima Gonçalves</v>
      </c>
      <c r="B641" s="2" t="str">
        <f>IFERROR(__xludf.DUMMYFUNCTION("""COMPUTED_VALUE"""),"ftima_gonalves")</f>
        <v>ftima_gonalves</v>
      </c>
      <c r="C641" s="2" t="str">
        <f>IFERROR(__xludf.DUMMYFUNCTION("""COMPUTED_VALUE"""),"Jornalista, Mãe, Mestra em Comunicação e Cultura, e viciada em açaí.")</f>
        <v>Jornalista, Mãe, Mestra em Comunicação e Cultura, e viciada em açaí.</v>
      </c>
      <c r="D641" s="2">
        <f>IFERROR(__xludf.DUMMYFUNCTION("""COMPUTED_VALUE"""),1.4289939284789187E-4)</f>
        <v>0.0001428993928</v>
      </c>
      <c r="E641" s="2" t="str">
        <f>IFERROR(__xludf.DUMMYFUNCTION("""COMPUTED_VALUE"""),"      4.013")</f>
        <v>      4.013</v>
      </c>
    </row>
    <row r="642">
      <c r="A642" s="2" t="str">
        <f>IFERROR(__xludf.DUMMYFUNCTION("""COMPUTED_VALUE"""),"CHINA")</f>
        <v>CHINA</v>
      </c>
      <c r="B642" s="2" t="str">
        <f>IFERROR(__xludf.DUMMYFUNCTION("""COMPUTED_VALUE"""),"china")</f>
        <v>china</v>
      </c>
      <c r="C642" s="2" t="str">
        <f>IFERROR(__xludf.DUMMYFUNCTION("""COMPUTED_VALUE"""),"1.4 billion people, 700 million internet users, 600 million smartphone users, $500 billion in e-commerce transactions. Shouldn't you be paying attention?")</f>
        <v>1.4 billion people, 700 million internet users, 600 million smartphone users, $500 billion in e-commerce transactions. Shouldn't you be paying attention?</v>
      </c>
      <c r="D642" s="2">
        <f>IFERROR(__xludf.DUMMYFUNCTION("""COMPUTED_VALUE"""),1.4289939284789187E-4)</f>
        <v>0.0001428993928</v>
      </c>
      <c r="E642" s="2" t="str">
        <f>IFERROR(__xludf.DUMMYFUNCTION("""COMPUTED_VALUE"""),"    150.644")</f>
        <v>    150.644</v>
      </c>
    </row>
    <row r="643">
      <c r="A643" s="2" t="str">
        <f>IFERROR(__xludf.DUMMYFUNCTION("""COMPUTED_VALUE"""),"Embaixada da China no Brasil")</f>
        <v>Embaixada da China no Brasil</v>
      </c>
      <c r="B643" s="2" t="str">
        <f>IFERROR(__xludf.DUMMYFUNCTION("""COMPUTED_VALUE"""),"embaixadachina")</f>
        <v>embaixadachina</v>
      </c>
      <c r="C643" s="2" t="str">
        <f>IFERROR(__xludf.DUMMYFUNCTION("""COMPUTED_VALUE"""),"Trazendo a China para perto de você! Conta oficial da Embaixada da República Popular da China na República Federativa do Brasil. 🇨🇳🇧🇷")</f>
        <v>Trazendo a China para perto de você! Conta oficial da Embaixada da República Popular da China na República Federativa do Brasil. 🇨🇳🇧🇷</v>
      </c>
      <c r="D643" s="2">
        <f>IFERROR(__xludf.DUMMYFUNCTION("""COMPUTED_VALUE"""),1.4289939284789187E-4)</f>
        <v>0.0001428993928</v>
      </c>
      <c r="E643" s="2" t="str">
        <f>IFERROR(__xludf.DUMMYFUNCTION("""COMPUTED_VALUE"""),"    120.097")</f>
        <v>    120.097</v>
      </c>
    </row>
    <row r="644">
      <c r="A644" s="2" t="str">
        <f>IFERROR(__xludf.DUMMYFUNCTION("""COMPUTED_VALUE"""),"🇧🇷🇷🇺🇮🇳🇨🇳🇿🇦🇸🇦🇪🇬🇦🇪🇦🇷🇮🇷🇪🇹")</f>
        <v>🇧🇷🇷🇺🇮🇳🇨🇳🇿🇦🇸🇦🇪🇬🇦🇪🇦🇷🇮🇷🇪🇹</v>
      </c>
      <c r="B644" s="2" t="str">
        <f>IFERROR(__xludf.DUMMYFUNCTION("""COMPUTED_VALUE"""),"saipralavendil1")</f>
        <v>saipralavendil1</v>
      </c>
      <c r="C644" s="2" t="str">
        <f>IFERROR(__xludf.DUMMYFUNCTION("""COMPUTED_VALUE"""),"Um -ista qualquer, exceto entreguista
B🇧🇷 R🇷🇺 I🇮🇳 C🇨🇳 S🇿🇦 🇸🇦 🇪🇬 🇦🇪 🇦🇷 🇮🇷 🇪🇹")</f>
        <v>Um -ista qualquer, exceto entreguista
B🇧🇷 R🇷🇺 I🇮🇳 C🇨🇳 S🇿🇦 🇸🇦 🇪🇬 🇦🇪 🇦🇷 🇮🇷 🇪🇹</v>
      </c>
      <c r="D644" s="2">
        <f>IFERROR(__xludf.DUMMYFUNCTION("""COMPUTED_VALUE"""),1.4289939284789187E-4)</f>
        <v>0.0001428993928</v>
      </c>
      <c r="E644" s="2" t="str">
        <f>IFERROR(__xludf.DUMMYFUNCTION("""COMPUTED_VALUE"""),"      1.148")</f>
        <v>      1.148</v>
      </c>
    </row>
    <row r="645">
      <c r="A645" s="2" t="str">
        <f>IFERROR(__xludf.DUMMYFUNCTION("""COMPUTED_VALUE"""),"José Ruiz")</f>
        <v>José Ruiz</v>
      </c>
      <c r="B645" s="2" t="str">
        <f>IFERROR(__xludf.DUMMYFUNCTION("""COMPUTED_VALUE"""),"joseruiztjunior")</f>
        <v>joseruiztjunior</v>
      </c>
      <c r="C645" s="2" t="str">
        <f>IFERROR(__xludf.DUMMYFUNCTION("""COMPUTED_VALUE"""),"dublê de ativista de sofá, espírita, pescetariano e socialista, sem paciência para minions, sejam de que cor forem..")</f>
        <v>dublê de ativista de sofá, espírita, pescetariano e socialista, sem paciência para minions, sejam de que cor forem..</v>
      </c>
      <c r="D645" s="2">
        <f>IFERROR(__xludf.DUMMYFUNCTION("""COMPUTED_VALUE"""),1.4289939284789187E-4)</f>
        <v>0.0001428993928</v>
      </c>
      <c r="E645" s="2" t="str">
        <f>IFERROR(__xludf.DUMMYFUNCTION("""COMPUTED_VALUE"""),"      5.383")</f>
        <v>      5.383</v>
      </c>
    </row>
    <row r="646">
      <c r="A646" s="2" t="str">
        <f>IFERROR(__xludf.DUMMYFUNCTION("""COMPUTED_VALUE"""),"Doctor Wood")</f>
        <v>Doctor Wood</v>
      </c>
      <c r="B646" s="2" t="str">
        <f>IFERROR(__xludf.DUMMYFUNCTION("""COMPUTED_VALUE"""),"madeiradez")</f>
        <v>madeiradez</v>
      </c>
      <c r="C646" s="2" t="str">
        <f>IFERROR(__xludf.DUMMYFUNCTION("""COMPUTED_VALUE"""),"Mestre e Doutor 
Professor de Processo Penal
Maratonista amador 4 vezes
Escritor.
Cantor e ator não praticante para sorte de vocês")</f>
        <v>Mestre e Doutor 
Professor de Processo Penal
Maratonista amador 4 vezes
Escritor.
Cantor e ator não praticante para sorte de vocês</v>
      </c>
      <c r="D646" s="2">
        <f>IFERROR(__xludf.DUMMYFUNCTION("""COMPUTED_VALUE"""),1.4289939284789187E-4)</f>
        <v>0.0001428993928</v>
      </c>
      <c r="E646" s="2" t="str">
        <f>IFERROR(__xludf.DUMMYFUNCTION("""COMPUTED_VALUE"""),"    168.623")</f>
        <v>    168.623</v>
      </c>
    </row>
    <row r="647">
      <c r="A647" s="2" t="str">
        <f>IFERROR(__xludf.DUMMYFUNCTION("""COMPUTED_VALUE"""),"theus")</f>
        <v>theus</v>
      </c>
      <c r="B647" s="2" t="str">
        <f>IFERROR(__xludf.DUMMYFUNCTION("""COMPUTED_VALUE"""),"anitteryosoy")</f>
        <v>anitteryosoy</v>
      </c>
      <c r="C647" s="2" t="str">
        <f>IFERROR(__xludf.DUMMYFUNCTION("""COMPUTED_VALUE"""),"comentarista, tagarela e anitter • fan account")</f>
        <v>comentarista, tagarela e anitter • fan account</v>
      </c>
      <c r="D647" s="2">
        <f>IFERROR(__xludf.DUMMYFUNCTION("""COMPUTED_VALUE"""),1.4289939284789187E-4)</f>
        <v>0.0001428993928</v>
      </c>
      <c r="E647" s="2" t="str">
        <f>IFERROR(__xludf.DUMMYFUNCTION("""COMPUTED_VALUE"""),"      1.048")</f>
        <v>      1.048</v>
      </c>
    </row>
    <row r="648">
      <c r="A648" s="2" t="str">
        <f>IFERROR(__xludf.DUMMYFUNCTION("""COMPUTED_VALUE"""),"Anitta Crave | Fan Account")</f>
        <v>Anitta Crave | Fan Account</v>
      </c>
      <c r="B648" s="2" t="str">
        <f>IFERROR(__xludf.DUMMYFUNCTION("""COMPUTED_VALUE"""),"anittacrave")</f>
        <v>anittacrave</v>
      </c>
      <c r="C648" s="2" t="str">
        <f>IFERROR(__xludf.DUMMYFUNCTION("""COMPUTED_VALUE"""),"Your biggest and best source of news in english about the Brazilian singer, songwriter, actress and businesswoman @Anitta. | Fan account/parody/fan club")</f>
        <v>Your biggest and best source of news in english about the Brazilian singer, songwriter, actress and businesswoman @Anitta. | Fan account/parody/fan club</v>
      </c>
      <c r="D648" s="2">
        <f>IFERROR(__xludf.DUMMYFUNCTION("""COMPUTED_VALUE"""),1.4289939284789187E-4)</f>
        <v>0.0001428993928</v>
      </c>
      <c r="E648" s="2" t="str">
        <f>IFERROR(__xludf.DUMMYFUNCTION("""COMPUTED_VALUE"""),"    200.206")</f>
        <v>    200.206</v>
      </c>
    </row>
    <row r="649">
      <c r="A649" s="2" t="str">
        <f>IFERROR(__xludf.DUMMYFUNCTION("""COMPUTED_VALUE"""),"Daniela Beyruti")</f>
        <v>Daniela Beyruti</v>
      </c>
      <c r="B649" s="2" t="str">
        <f>IFERROR(__xludf.DUMMYFUNCTION("""COMPUTED_VALUE"""),"danibey")</f>
        <v>danibey</v>
      </c>
      <c r="C649" s="2"/>
      <c r="D649" s="2">
        <f>IFERROR(__xludf.DUMMYFUNCTION("""COMPUTED_VALUE"""),1.4289939284789187E-4)</f>
        <v>0.0001428993928</v>
      </c>
      <c r="E649" s="2" t="str">
        <f>IFERROR(__xludf.DUMMYFUNCTION("""COMPUTED_VALUE"""),"    108.245")</f>
        <v>    108.245</v>
      </c>
    </row>
    <row r="650">
      <c r="A650" s="2" t="str">
        <f>IFERROR(__xludf.DUMMYFUNCTION("""COMPUTED_VALUE"""),"Paramount+ Italia")</f>
        <v>Paramount+ Italia</v>
      </c>
      <c r="B650" s="2" t="str">
        <f>IFERROR(__xludf.DUMMYFUNCTION("""COMPUTED_VALUE"""),"paramountplusit")</f>
        <v>paramountplusit</v>
      </c>
      <c r="C650" s="2" t="str">
        <f>IFERROR(__xludf.DUMMYFUNCTION("""COMPUTED_VALUE"""),"Daje co' 'sta seconda stagione. #VitaDaCarlo Seconda Stagione disponibile ora solo su Paramount+.")</f>
        <v>Daje co' 'sta seconda stagione. #VitaDaCarlo Seconda Stagione disponibile ora solo su Paramount+.</v>
      </c>
      <c r="D650" s="2">
        <f>IFERROR(__xludf.DUMMYFUNCTION("""COMPUTED_VALUE"""),1.4289939284789187E-4)</f>
        <v>0.0001428993928</v>
      </c>
      <c r="E650" s="2" t="str">
        <f>IFERROR(__xludf.DUMMYFUNCTION("""COMPUTED_VALUE"""),"     13.924")</f>
        <v>     13.924</v>
      </c>
    </row>
    <row r="651">
      <c r="A651" s="2" t="str">
        <f>IFERROR(__xludf.DUMMYFUNCTION("""COMPUTED_VALUE"""),"Inter")</f>
        <v>Inter</v>
      </c>
      <c r="B651" s="2" t="str">
        <f>IFERROR(__xludf.DUMMYFUNCTION("""COMPUTED_VALUE"""),"inter")</f>
        <v>inter</v>
      </c>
      <c r="C651" s="2" t="str">
        <f>IFERROR(__xludf.DUMMYFUNCTION("""COMPUTED_VALUE"""),"#IMInter
I M FC Internazionale Milano.
Brothers and sisters of the world
@Inter_en; @Inter_id; @Inter_jp; @Inter_ar; @Inter_br; @Inter_es; @Inter_Women")</f>
        <v>#IMInter
I M FC Internazionale Milano.
Brothers and sisters of the world
@Inter_en; @Inter_id; @Inter_jp; @Inter_ar; @Inter_br; @Inter_es; @Inter_Women</v>
      </c>
      <c r="D651" s="2">
        <f>IFERROR(__xludf.DUMMYFUNCTION("""COMPUTED_VALUE"""),1.4289939284789187E-4)</f>
        <v>0.0001428993928</v>
      </c>
      <c r="E651" s="2" t="str">
        <f>IFERROR(__xludf.DUMMYFUNCTION("""COMPUTED_VALUE"""),"  3.040.890")</f>
        <v>  3.040.890</v>
      </c>
    </row>
    <row r="652">
      <c r="A652" s="2" t="str">
        <f>IFERROR(__xludf.DUMMYFUNCTION("""COMPUTED_VALUE"""),"Pedro Ronchi")</f>
        <v>Pedro Ronchi</v>
      </c>
      <c r="B652" s="2" t="str">
        <f>IFERROR(__xludf.DUMMYFUNCTION("""COMPUTED_VALUE"""),"pedroronchi2")</f>
        <v>pedroronchi2</v>
      </c>
      <c r="C652" s="2" t="str">
        <f>IFERROR(__xludf.DUMMYFUNCTION("""COMPUTED_VALUE"""),"Geógrafo, professor, analista ambiental                                                                     
Reflexões políticas e sociais")</f>
        <v>Geógrafo, professor, analista ambiental                                                                     
Reflexões políticas e sociais</v>
      </c>
      <c r="D652" s="2">
        <f>IFERROR(__xludf.DUMMYFUNCTION("""COMPUTED_VALUE"""),1.4289939284789187E-4)</f>
        <v>0.0001428993928</v>
      </c>
      <c r="E652" s="2" t="str">
        <f>IFERROR(__xludf.DUMMYFUNCTION("""COMPUTED_VALUE"""),"    112.846")</f>
        <v>    112.846</v>
      </c>
    </row>
    <row r="653">
      <c r="A653" s="2" t="str">
        <f>IFERROR(__xludf.DUMMYFUNCTION("""COMPUTED_VALUE"""),"cori")</f>
        <v>cori</v>
      </c>
      <c r="B653" s="2" t="str">
        <f>IFERROR(__xludf.DUMMYFUNCTION("""COMPUTED_VALUE"""),"99tecchou")</f>
        <v>99tecchou</v>
      </c>
      <c r="C653" s="2"/>
      <c r="D653" s="2">
        <f>IFERROR(__xludf.DUMMYFUNCTION("""COMPUTED_VALUE"""),1.4289939284789187E-4)</f>
        <v>0.0001428993928</v>
      </c>
      <c r="E653" s="2" t="str">
        <f>IFERROR(__xludf.DUMMYFUNCTION("""COMPUTED_VALUE"""),"      2.002")</f>
        <v>      2.002</v>
      </c>
    </row>
    <row r="654">
      <c r="A654" s="2" t="str">
        <f>IFERROR(__xludf.DUMMYFUNCTION("""COMPUTED_VALUE"""),"🇱🇺 Retweets do Bahêa 🇱🇺")</f>
        <v>🇱🇺 Retweets do Bahêa 🇱🇺</v>
      </c>
      <c r="B654" s="2" t="str">
        <f>IFERROR(__xludf.DUMMYFUNCTION("""COMPUTED_VALUE"""),"bahearetweets")</f>
        <v>bahearetweets</v>
      </c>
      <c r="C654" s="2" t="str">
        <f>IFERROR(__xludf.DUMMYFUNCTION("""COMPUTED_VALUE"""),"Perfil criado para compartilhar notícias do Bahia e opiniões dos tricolores. 
⭐⭐ #BBMP")</f>
        <v>Perfil criado para compartilhar notícias do Bahia e opiniões dos tricolores. 
⭐⭐ #BBMP</v>
      </c>
      <c r="D654" s="2">
        <f>IFERROR(__xludf.DUMMYFUNCTION("""COMPUTED_VALUE"""),1.4289939284789187E-4)</f>
        <v>0.0001428993928</v>
      </c>
      <c r="E654" s="2" t="str">
        <f>IFERROR(__xludf.DUMMYFUNCTION("""COMPUTED_VALUE"""),"      2.896")</f>
        <v>      2.896</v>
      </c>
    </row>
    <row r="655">
      <c r="A655" s="2" t="str">
        <f>IFERROR(__xludf.DUMMYFUNCTION("""COMPUTED_VALUE"""),"sosti")</f>
        <v>sosti</v>
      </c>
      <c r="B655" s="2" t="str">
        <f>IFERROR(__xludf.DUMMYFUNCTION("""COMPUTED_VALUE"""),"sosti")</f>
        <v>sosti</v>
      </c>
      <c r="C655" s="2" t="str">
        <f>IFERROR(__xludf.DUMMYFUNCTION("""COMPUTED_VALUE"""),"ele/dele (he/him) #supololo l @masterplano_ l @mientrasdura l  doutorando em comunicação/UFMG l bh_LATINOAMERIK 🔥")</f>
        <v>ele/dele (he/him) #supololo l @masterplano_ l @mientrasdura l  doutorando em comunicação/UFMG l bh_LATINOAMERIK 🔥</v>
      </c>
      <c r="D655" s="2">
        <f>IFERROR(__xludf.DUMMYFUNCTION("""COMPUTED_VALUE"""),1.4289939284789187E-4)</f>
        <v>0.0001428993928</v>
      </c>
      <c r="E655" s="2" t="str">
        <f>IFERROR(__xludf.DUMMYFUNCTION("""COMPUTED_VALUE"""),"      1.694")</f>
        <v>      1.694</v>
      </c>
    </row>
    <row r="656">
      <c r="A656" s="2" t="str">
        <f>IFERROR(__xludf.DUMMYFUNCTION("""COMPUTED_VALUE"""),"Colina Informa")</f>
        <v>Colina Informa</v>
      </c>
      <c r="B656" s="2" t="str">
        <f>IFERROR(__xludf.DUMMYFUNCTION("""COMPUTED_VALUE"""),"colina_informa")</f>
        <v>colina_informa</v>
      </c>
      <c r="C656" s="2" t="str">
        <f>IFERROR(__xludf.DUMMYFUNCTION("""COMPUTED_VALUE"""),"Portal de notícias sobre o @vascodagama. Aqui você fica por dentro de tudo sobre os bastidores do nosso gigante. 💢🖤🤍
Contato: colinainforma2008@gmail.com")</f>
        <v>Portal de notícias sobre o @vascodagama. Aqui você fica por dentro de tudo sobre os bastidores do nosso gigante. 💢🖤🤍
Contato: colinainforma2008@gmail.com</v>
      </c>
      <c r="D656" s="2">
        <f>IFERROR(__xludf.DUMMYFUNCTION("""COMPUTED_VALUE"""),1.4289939284789187E-4)</f>
        <v>0.0001428993928</v>
      </c>
      <c r="E656" s="2" t="str">
        <f>IFERROR(__xludf.DUMMYFUNCTION("""COMPUTED_VALUE"""),"     67.421")</f>
        <v>     67.421</v>
      </c>
    </row>
    <row r="657">
      <c r="A657" s="2" t="str">
        <f>IFERROR(__xludf.DUMMYFUNCTION("""COMPUTED_VALUE"""),"analiticamente")</f>
        <v>analiticamente</v>
      </c>
      <c r="B657" s="2" t="str">
        <f>IFERROR(__xludf.DUMMYFUNCTION("""COMPUTED_VALUE"""),"analiticamente1")</f>
        <v>analiticamente1</v>
      </c>
      <c r="C657" s="2" t="str">
        <f>IFERROR(__xludf.DUMMYFUNCTION("""COMPUTED_VALUE"""),"La storia si divide in mostri, vittime o testimoni (Chuck Palahniuk)")</f>
        <v>La storia si divide in mostri, vittime o testimoni (Chuck Palahniuk)</v>
      </c>
      <c r="D657" s="2">
        <f>IFERROR(__xludf.DUMMYFUNCTION("""COMPUTED_VALUE"""),1.4289939284789187E-4)</f>
        <v>0.0001428993928</v>
      </c>
      <c r="E657" s="2" t="str">
        <f>IFERROR(__xludf.DUMMYFUNCTION("""COMPUTED_VALUE"""),"      5.223")</f>
        <v>      5.223</v>
      </c>
    </row>
    <row r="658">
      <c r="A658" s="2" t="str">
        <f>IFERROR(__xludf.DUMMYFUNCTION("""COMPUTED_VALUE"""),"Giovanni Martinelli")</f>
        <v>Giovanni Martinelli</v>
      </c>
      <c r="B658" s="2" t="str">
        <f>IFERROR(__xludf.DUMMYFUNCTION("""COMPUTED_VALUE"""),"giovamartinelli")</f>
        <v>giovamartinelli</v>
      </c>
      <c r="C658" s="2" t="str">
        <f>IFERROR(__xludf.DUMMYFUNCTION("""COMPUTED_VALUE"""),"Appassionato di Difesa e (forse...) anche esperto in materia")</f>
        <v>Appassionato di Difesa e (forse...) anche esperto in materia</v>
      </c>
      <c r="D658" s="2">
        <f>IFERROR(__xludf.DUMMYFUNCTION("""COMPUTED_VALUE"""),1.4289939284789187E-4)</f>
        <v>0.0001428993928</v>
      </c>
      <c r="E658" s="2" t="str">
        <f>IFERROR(__xludf.DUMMYFUNCTION("""COMPUTED_VALUE"""),"      3.224")</f>
        <v>      3.224</v>
      </c>
    </row>
    <row r="659">
      <c r="A659" s="2" t="str">
        <f>IFERROR(__xludf.DUMMYFUNCTION("""COMPUTED_VALUE"""),"felipe")</f>
        <v>felipe</v>
      </c>
      <c r="B659" s="2" t="str">
        <f>IFERROR(__xludf.DUMMYFUNCTION("""COMPUTED_VALUE"""),"felipedsrosa")</f>
        <v>felipedsrosa</v>
      </c>
      <c r="C659" s="2" t="str">
        <f>IFERROR(__xludf.DUMMYFUNCTION("""COMPUTED_VALUE"""),"building cool things - software engineer - solutions architect 🧑‍💻")</f>
        <v>building cool things - software engineer - solutions architect 🧑‍💻</v>
      </c>
      <c r="D659" s="2">
        <f>IFERROR(__xludf.DUMMYFUNCTION("""COMPUTED_VALUE"""),1.4289939284789187E-4)</f>
        <v>0.0001428993928</v>
      </c>
      <c r="E659" s="2" t="str">
        <f>IFERROR(__xludf.DUMMYFUNCTION("""COMPUTED_VALUE"""),"      1.199")</f>
        <v>      1.199</v>
      </c>
    </row>
    <row r="660">
      <c r="A660" s="2" t="str">
        <f>IFERROR(__xludf.DUMMYFUNCTION("""COMPUTED_VALUE"""),"Copa Além da Copa")</f>
        <v>Copa Além da Copa</v>
      </c>
      <c r="B660" s="2" t="str">
        <f>IFERROR(__xludf.DUMMYFUNCTION("""COMPUTED_VALUE"""),"copaalemdacopa")</f>
        <v>copaalemdacopa</v>
      </c>
      <c r="C660" s="2" t="str">
        <f>IFERROR(__xludf.DUMMYFUNCTION("""COMPUTED_VALUE"""),"Podcast sobre esporte, política, cultura, história e sociedade / Estamos em todos os tocadores e redes sociais / Contato: copaalemdacopa@gmail.com")</f>
        <v>Podcast sobre esporte, política, cultura, história e sociedade / Estamos em todos os tocadores e redes sociais / Contato: copaalemdacopa@gmail.com</v>
      </c>
      <c r="D660" s="2">
        <f>IFERROR(__xludf.DUMMYFUNCTION("""COMPUTED_VALUE"""),1.4289939284789187E-4)</f>
        <v>0.0001428993928</v>
      </c>
      <c r="E660" s="2" t="str">
        <f>IFERROR(__xludf.DUMMYFUNCTION("""COMPUTED_VALUE"""),"    155.876")</f>
        <v>    155.876</v>
      </c>
    </row>
    <row r="661">
      <c r="A661" s="2" t="str">
        <f>IFERROR(__xludf.DUMMYFUNCTION("""COMPUTED_VALUE"""),"Tércio Sonic")</f>
        <v>Tércio Sonic</v>
      </c>
      <c r="B661" s="2" t="str">
        <f>IFERROR(__xludf.DUMMYFUNCTION("""COMPUTED_VALUE"""),"bequebomdebola")</f>
        <v>bequebomdebola</v>
      </c>
      <c r="C661" s="2" t="str">
        <f>IFERROR(__xludf.DUMMYFUNCTION("""COMPUTED_VALUE"""),"Estudante de Jornalismo. O Sonic Cearense.
Atualmente no @_futCearense e @armariodabola
Gosto de Futebol, Praia e Sossego.")</f>
        <v>Estudante de Jornalismo. O Sonic Cearense.
Atualmente no @_futCearense e @armariodabola
Gosto de Futebol, Praia e Sossego.</v>
      </c>
      <c r="D661" s="2">
        <f>IFERROR(__xludf.DUMMYFUNCTION("""COMPUTED_VALUE"""),1.4289939284789187E-4)</f>
        <v>0.0001428993928</v>
      </c>
      <c r="E661" s="2" t="str">
        <f>IFERROR(__xludf.DUMMYFUNCTION("""COMPUTED_VALUE"""),"      4.409")</f>
        <v>      4.409</v>
      </c>
    </row>
    <row r="662">
      <c r="A662" s="2" t="str">
        <f>IFERROR(__xludf.DUMMYFUNCTION("""COMPUTED_VALUE"""),"PEACE LOVE MUSIC &amp; FLOWER POWER ☮️")</f>
        <v>PEACE LOVE MUSIC &amp; FLOWER POWER ☮️</v>
      </c>
      <c r="B662" s="2" t="str">
        <f>IFERROR(__xludf.DUMMYFUNCTION("""COMPUTED_VALUE"""),"settimo771")</f>
        <v>settimo771</v>
      </c>
      <c r="C662" s="2" t="str">
        <f>IFERROR(__xludf.DUMMYFUNCTION("""COMPUTED_VALUE"""),"Un mondo senza sfruttati,senza ingiustizie...in continua navigazione verso l'isola di Utopia.Anarchico,Pacifista,Vegetariano,Antifascista,contro ogni violenza☮️")</f>
        <v>Un mondo senza sfruttati,senza ingiustizie...in continua navigazione verso l'isola di Utopia.Anarchico,Pacifista,Vegetariano,Antifascista,contro ogni violenza☮️</v>
      </c>
      <c r="D662" s="2">
        <f>IFERROR(__xludf.DUMMYFUNCTION("""COMPUTED_VALUE"""),1.4289939284789187E-4)</f>
        <v>0.0001428993928</v>
      </c>
      <c r="E662" s="2" t="str">
        <f>IFERROR(__xludf.DUMMYFUNCTION("""COMPUTED_VALUE"""),"      1.580")</f>
        <v>      1.580</v>
      </c>
    </row>
    <row r="663">
      <c r="A663" s="2" t="str">
        <f>IFERROR(__xludf.DUMMYFUNCTION("""COMPUTED_VALUE"""),"BTC Doom Guy")</f>
        <v>BTC Doom Guy</v>
      </c>
      <c r="B663" s="2" t="str">
        <f>IFERROR(__xludf.DUMMYFUNCTION("""COMPUTED_VALUE"""),"bitcoiod00mmano")</f>
        <v>bitcoiod00mmano</v>
      </c>
      <c r="C663" s="2" t="str">
        <f>IFERROR(__xludf.DUMMYFUNCTION("""COMPUTED_VALUE"""),"CORINGA MODE ON // mulher trans lésbica // supremacista bitcoin tóxico since 377861 // live free or die // free speech absolutist // incancelável // #bitcoin")</f>
        <v>CORINGA MODE ON // mulher trans lésbica // supremacista bitcoin tóxico since 377861 // live free or die // free speech absolutist // incancelável // #bitcoin</v>
      </c>
      <c r="D663" s="2">
        <f>IFERROR(__xludf.DUMMYFUNCTION("""COMPUTED_VALUE"""),1.4289939284789187E-4)</f>
        <v>0.0001428993928</v>
      </c>
      <c r="E663" s="2" t="str">
        <f>IFERROR(__xludf.DUMMYFUNCTION("""COMPUTED_VALUE"""),"      8.728")</f>
        <v>      8.728</v>
      </c>
    </row>
    <row r="664">
      <c r="A664" s="2" t="str">
        <f>IFERROR(__xludf.DUMMYFUNCTION("""COMPUTED_VALUE"""),"Raquel Krähenbühl")</f>
        <v>Raquel Krähenbühl</v>
      </c>
      <c r="B664" s="2" t="str">
        <f>IFERROR(__xludf.DUMMYFUNCTION("""COMPUTED_VALUE"""),"rkrahenbuhl")</f>
        <v>rkrahenbuhl</v>
      </c>
      <c r="C664" s="2" t="str">
        <f>IFERROR(__xludf.DUMMYFUNCTION("""COMPUTED_VALUE"""),"Washington Bureau Chief @TvGlobo @GloboNews. White House Foreign Press Group Secretary General. Troféu Imprensa Mulher- Melhor Repórter TV 🇧🇷🇺🇸")</f>
        <v>Washington Bureau Chief @TvGlobo @GloboNews. White House Foreign Press Group Secretary General. Troféu Imprensa Mulher- Melhor Repórter TV 🇧🇷🇺🇸</v>
      </c>
      <c r="D664" s="2">
        <f>IFERROR(__xludf.DUMMYFUNCTION("""COMPUTED_VALUE"""),1.4289939284789187E-4)</f>
        <v>0.0001428993928</v>
      </c>
      <c r="E664" s="2" t="str">
        <f>IFERROR(__xludf.DUMMYFUNCTION("""COMPUTED_VALUE"""),"    168.539")</f>
        <v>    168.539</v>
      </c>
    </row>
    <row r="665">
      <c r="A665" s="2" t="str">
        <f>IFERROR(__xludf.DUMMYFUNCTION("""COMPUTED_VALUE"""),"Jovem Pan News")</f>
        <v>Jovem Pan News</v>
      </c>
      <c r="B665" s="2" t="str">
        <f>IFERROR(__xludf.DUMMYFUNCTION("""COMPUTED_VALUE"""),"jovempannews")</f>
        <v>jovempannews</v>
      </c>
      <c r="C665" s="2" t="str">
        <f>IFERROR(__xludf.DUMMYFUNCTION("""COMPUTED_VALUE"""),"Facebook: https://t.co/117tqHc3sU
Instagram: @jovempannews 
Telegram: https://t.co/qKvdBLVYUT
Newsletter: https://t.co/yzW9nEWqXu")</f>
        <v>Facebook: https://t.co/117tqHc3sU
Instagram: @jovempannews 
Telegram: https://t.co/qKvdBLVYUT
Newsletter: https://t.co/yzW9nEWqXu</v>
      </c>
      <c r="D665" s="2">
        <f>IFERROR(__xludf.DUMMYFUNCTION("""COMPUTED_VALUE"""),1.4289939284789187E-4)</f>
        <v>0.0001428993928</v>
      </c>
      <c r="E665" s="2" t="str">
        <f>IFERROR(__xludf.DUMMYFUNCTION("""COMPUTED_VALUE"""),"  2.128.300")</f>
        <v>  2.128.300</v>
      </c>
    </row>
    <row r="666">
      <c r="A666" s="2" t="str">
        <f>IFERROR(__xludf.DUMMYFUNCTION("""COMPUTED_VALUE"""),"Luciano Carvalho")</f>
        <v>Luciano Carvalho</v>
      </c>
      <c r="B666" s="2" t="str">
        <f>IFERROR(__xludf.DUMMYFUNCTION("""COMPUTED_VALUE"""),"lucianocarvaiho")</f>
        <v>lucianocarvaiho</v>
      </c>
      <c r="C666" s="2"/>
      <c r="D666" s="2">
        <f>IFERROR(__xludf.DUMMYFUNCTION("""COMPUTED_VALUE"""),1.4289939284789187E-4)</f>
        <v>0.0001428993928</v>
      </c>
      <c r="E666" s="2" t="str">
        <f>IFERROR(__xludf.DUMMYFUNCTION("""COMPUTED_VALUE"""),"    184.392")</f>
        <v>    184.392</v>
      </c>
    </row>
    <row r="667">
      <c r="A667" s="2" t="str">
        <f>IFERROR(__xludf.DUMMYFUNCTION("""COMPUTED_VALUE"""),"Poder360")</f>
        <v>Poder360</v>
      </c>
      <c r="B667" s="2" t="str">
        <f>IFERROR(__xludf.DUMMYFUNCTION("""COMPUTED_VALUE"""),"poder360")</f>
        <v>poder360</v>
      </c>
      <c r="C667" s="2" t="str">
        <f>IFERROR(__xludf.DUMMYFUNCTION("""COMPUTED_VALUE"""),"Jornal digital: síntese inteligente, sem abreviação. Jornalismo profissional, política e poder, a partir de Brasília.
➡️ Acompanhe no WhatsApp: https://t.co/bkQhbFYgoX")</f>
        <v>Jornal digital: síntese inteligente, sem abreviação. Jornalismo profissional, política e poder, a partir de Brasília.
➡️ Acompanhe no WhatsApp: https://t.co/bkQhbFYgoX</v>
      </c>
      <c r="D667" s="2">
        <f>IFERROR(__xludf.DUMMYFUNCTION("""COMPUTED_VALUE"""),1.4289939284789187E-4)</f>
        <v>0.0001428993928</v>
      </c>
      <c r="E667" s="2" t="str">
        <f>IFERROR(__xludf.DUMMYFUNCTION("""COMPUTED_VALUE"""),"    140.878")</f>
        <v>    140.878</v>
      </c>
    </row>
    <row r="668">
      <c r="A668" s="2" t="str">
        <f>IFERROR(__xludf.DUMMYFUNCTION("""COMPUTED_VALUE"""),"RoziSNews")</f>
        <v>RoziSNews</v>
      </c>
      <c r="B668" s="2" t="str">
        <f>IFERROR(__xludf.DUMMYFUNCTION("""COMPUTED_VALUE"""),"rozisnews")</f>
        <v>rozisnews</v>
      </c>
      <c r="C668" s="2" t="str">
        <f>IFERROR(__xludf.DUMMYFUNCTION("""COMPUTED_VALUE"""),"Fé é confiar em Deus de olhos Fechados #SpaceNews 💚🇧🇷 Entrei no Twitter com a 1ª conta em 2014 (2ªCONTA)")</f>
        <v>Fé é confiar em Deus de olhos Fechados #SpaceNews 💚🇧🇷 Entrei no Twitter com a 1ª conta em 2014 (2ªCONTA)</v>
      </c>
      <c r="D668" s="2">
        <f>IFERROR(__xludf.DUMMYFUNCTION("""COMPUTED_VALUE"""),1.4289939284789187E-4)</f>
        <v>0.0001428993928</v>
      </c>
      <c r="E668" s="2" t="str">
        <f>IFERROR(__xludf.DUMMYFUNCTION("""COMPUTED_VALUE"""),"      5.032")</f>
        <v>      5.032</v>
      </c>
    </row>
    <row r="669">
      <c r="A669" s="2" t="str">
        <f>IFERROR(__xludf.DUMMYFUNCTION("""COMPUTED_VALUE"""),"Caio Blinder")</f>
        <v>Caio Blinder</v>
      </c>
      <c r="B669" s="2" t="str">
        <f>IFERROR(__xludf.DUMMYFUNCTION("""COMPUTED_VALUE"""),"caioblinder")</f>
        <v>caioblinder</v>
      </c>
      <c r="C669" s="2" t="str">
        <f>IFERROR(__xludf.DUMMYFUNCTION("""COMPUTED_VALUE"""),"Jornalista (CEO e único funcionário do Instituto Blinder &amp; Blainder)")</f>
        <v>Jornalista (CEO e único funcionário do Instituto Blinder &amp; Blainder)</v>
      </c>
      <c r="D669" s="2">
        <f>IFERROR(__xludf.DUMMYFUNCTION("""COMPUTED_VALUE"""),1.4289939284789187E-4)</f>
        <v>0.0001428993928</v>
      </c>
      <c r="E669" s="2" t="str">
        <f>IFERROR(__xludf.DUMMYFUNCTION("""COMPUTED_VALUE"""),"    253.409")</f>
        <v>    253.409</v>
      </c>
    </row>
    <row r="670">
      <c r="A670" s="2" t="str">
        <f>IFERROR(__xludf.DUMMYFUNCTION("""COMPUTED_VALUE"""),"Il Post")</f>
        <v>Il Post</v>
      </c>
      <c r="B670" s="2" t="str">
        <f>IFERROR(__xludf.DUMMYFUNCTION("""COMPUTED_VALUE"""),"ilpost")</f>
        <v>ilpost</v>
      </c>
      <c r="C670" s="2" t="str">
        <f>IFERROR(__xludf.DUMMYFUNCTION("""COMPUTED_VALUE"""),"Articoli, rassegne, foto, tutto quello che arriva dal mondo, spiegato bene dal @ilpost o solo rimesso in circolo. Telegram: https://t.co/XETrHLVm9r
https://t.co/rvR8pF74EQ")</f>
        <v>Articoli, rassegne, foto, tutto quello che arriva dal mondo, spiegato bene dal @ilpost o solo rimesso in circolo. Telegram: https://t.co/XETrHLVm9r
https://t.co/rvR8pF74EQ</v>
      </c>
      <c r="D670" s="2">
        <f>IFERROR(__xludf.DUMMYFUNCTION("""COMPUTED_VALUE"""),1.4289939284789187E-4)</f>
        <v>0.0001428993928</v>
      </c>
      <c r="E670" s="2" t="str">
        <f>IFERROR(__xludf.DUMMYFUNCTION("""COMPUTED_VALUE"""),"    738.568")</f>
        <v>    738.568</v>
      </c>
    </row>
    <row r="671">
      <c r="A671" s="2" t="str">
        <f>IFERROR(__xludf.DUMMYFUNCTION("""COMPUTED_VALUE"""),"Gianmarco")</f>
        <v>Gianmarco</v>
      </c>
      <c r="B671" s="2" t="str">
        <f>IFERROR(__xludf.DUMMYFUNCTION("""COMPUTED_VALUE"""),"gianmarcoprete")</f>
        <v>gianmarcoprete</v>
      </c>
      <c r="C671" s="2" t="str">
        <f>IFERROR(__xludf.DUMMYFUNCTION("""COMPUTED_VALUE"""),"Un biondo un po' bizantino | He/Him")</f>
        <v>Un biondo un po' bizantino | He/Him</v>
      </c>
      <c r="D671" s="2">
        <f>IFERROR(__xludf.DUMMYFUNCTION("""COMPUTED_VALUE"""),1.4289939284789187E-4)</f>
        <v>0.0001428993928</v>
      </c>
      <c r="E671" s="2" t="str">
        <f>IFERROR(__xludf.DUMMYFUNCTION("""COMPUTED_VALUE"""),"      2.117")</f>
        <v>      2.117</v>
      </c>
    </row>
    <row r="672">
      <c r="A672" s="2" t="str">
        <f>IFERROR(__xludf.DUMMYFUNCTION("""COMPUTED_VALUE"""),"Pedro Henrique")</f>
        <v>Pedro Henrique</v>
      </c>
      <c r="B672" s="2" t="str">
        <f>IFERROR(__xludf.DUMMYFUNCTION("""COMPUTED_VALUE"""),"ph_caixeiro")</f>
        <v>ph_caixeiro</v>
      </c>
      <c r="C672" s="2"/>
      <c r="D672" s="2">
        <f>IFERROR(__xludf.DUMMYFUNCTION("""COMPUTED_VALUE"""),1.4289939284789187E-4)</f>
        <v>0.0001428993928</v>
      </c>
      <c r="E672" s="2" t="str">
        <f>IFERROR(__xludf.DUMMYFUNCTION("""COMPUTED_VALUE"""),"     15.614")</f>
        <v>     15.614</v>
      </c>
    </row>
    <row r="673">
      <c r="A673" s="2" t="str">
        <f>IFERROR(__xludf.DUMMYFUNCTION("""COMPUTED_VALUE"""),"Astronauta Marcos Pontes")</f>
        <v>Astronauta Marcos Pontes</v>
      </c>
      <c r="B673" s="2" t="str">
        <f>IFERROR(__xludf.DUMMYFUNCTION("""COMPUTED_VALUE"""),"astropontes")</f>
        <v>astropontes</v>
      </c>
      <c r="C673" s="2" t="str">
        <f>IFERROR(__xludf.DUMMYFUNCTION("""COMPUTED_VALUE"""),"🇧🇷 SENADOR por SP 
🏅 Líder Bloco Vanguarda 
🇧🇷 Ministro do MCTI (19-22) 
🚀👩‍🚀 Astronauta NASA Classe 1998 
✈️ Piloto de Testes 
📈 Eng. Aeronáutico ITA")</f>
        <v>🇧🇷 SENADOR por SP 
🏅 Líder Bloco Vanguarda 
🇧🇷 Ministro do MCTI (19-22) 
🚀👩‍🚀 Astronauta NASA Classe 1998 
✈️ Piloto de Testes 
📈 Eng. Aeronáutico ITA</v>
      </c>
      <c r="D673" s="2">
        <f>IFERROR(__xludf.DUMMYFUNCTION("""COMPUTED_VALUE"""),1.4289939284789187E-4)</f>
        <v>0.0001428993928</v>
      </c>
      <c r="E673" s="2" t="str">
        <f>IFERROR(__xludf.DUMMYFUNCTION("""COMPUTED_VALUE"""),"    914.325")</f>
        <v>    914.325</v>
      </c>
    </row>
    <row r="674">
      <c r="A674" s="2" t="str">
        <f>IFERROR(__xludf.DUMMYFUNCTION("""COMPUTED_VALUE"""),"Jão")</f>
        <v>Jão</v>
      </c>
      <c r="B674" s="2" t="str">
        <f>IFERROR(__xludf.DUMMYFUNCTION("""COMPUTED_VALUE"""),"jaoromania")</f>
        <v>jaoromania</v>
      </c>
      <c r="C674" s="2" t="str">
        <f>IFERROR(__xludf.DUMMYFUNCTION("""COMPUTED_VALUE"""),"SUPERTURNÊ")</f>
        <v>SUPERTURNÊ</v>
      </c>
      <c r="D674" s="2">
        <f>IFERROR(__xludf.DUMMYFUNCTION("""COMPUTED_VALUE"""),1.4289939284789187E-4)</f>
        <v>0.0001428993928</v>
      </c>
      <c r="E674" s="2" t="str">
        <f>IFERROR(__xludf.DUMMYFUNCTION("""COMPUTED_VALUE"""),"    976.509")</f>
        <v>    976.509</v>
      </c>
    </row>
    <row r="675">
      <c r="A675" s="2" t="str">
        <f>IFERROR(__xludf.DUMMYFUNCTION("""COMPUTED_VALUE"""),"Bemti")</f>
        <v>Bemti</v>
      </c>
      <c r="B675" s="2" t="str">
        <f>IFERROR(__xludf.DUMMYFUNCTION("""COMPUTED_VALUE"""),"bemti")</f>
        <v>bemti</v>
      </c>
      <c r="C675" s="2" t="str">
        <f>IFERROR(__xludf.DUMMYFUNCTION("""COMPUTED_VALUE"""),"violeiro e cantautor mineiro 🏵 MPB / Indie Pop / Folk 🌈 esse perfil só tem memes, música, revolta e biscoitos 🎼 https://t.co/vbmZKDUApE")</f>
        <v>violeiro e cantautor mineiro 🏵 MPB / Indie Pop / Folk 🌈 esse perfil só tem memes, música, revolta e biscoitos 🎼 https://t.co/vbmZKDUApE</v>
      </c>
      <c r="D675" s="2">
        <f>IFERROR(__xludf.DUMMYFUNCTION("""COMPUTED_VALUE"""),1.4289939284789187E-4)</f>
        <v>0.0001428993928</v>
      </c>
      <c r="E675" s="2" t="str">
        <f>IFERROR(__xludf.DUMMYFUNCTION("""COMPUTED_VALUE"""),"     16.889")</f>
        <v>     16.889</v>
      </c>
    </row>
    <row r="676">
      <c r="A676" s="2" t="str">
        <f>IFERROR(__xludf.DUMMYFUNCTION("""COMPUTED_VALUE"""),"Empiricus")</f>
        <v>Empiricus</v>
      </c>
      <c r="B676" s="2" t="str">
        <f>IFERROR(__xludf.DUMMYFUNCTION("""COMPUTED_VALUE"""),"empiricus")</f>
        <v>empiricus</v>
      </c>
      <c r="C676" s="2" t="str">
        <f>IFERROR(__xludf.DUMMYFUNCTION("""COMPUTED_VALUE"""),"▪️ Inteligência financeira ao seu alcance ▫️ +420 mil assinantes ▪️ Ações com maior potencial de valorização 👉 https://t.co/s3efW0g3Hl")</f>
        <v>▪️ Inteligência financeira ao seu alcance ▫️ +420 mil assinantes ▪️ Ações com maior potencial de valorização 👉 https://t.co/s3efW0g3Hl</v>
      </c>
      <c r="D676" s="2">
        <f>IFERROR(__xludf.DUMMYFUNCTION("""COMPUTED_VALUE"""),1.4289939284789187E-4)</f>
        <v>0.0001428993928</v>
      </c>
      <c r="E676" s="2" t="str">
        <f>IFERROR(__xludf.DUMMYFUNCTION("""COMPUTED_VALUE"""),"    250.680")</f>
        <v>    250.680</v>
      </c>
    </row>
    <row r="677">
      <c r="A677" s="2" t="str">
        <f>IFERROR(__xludf.DUMMYFUNCTION("""COMPUTED_VALUE"""),"NuInvest")</f>
        <v>NuInvest</v>
      </c>
      <c r="B677" s="2" t="str">
        <f>IFERROR(__xludf.DUMMYFUNCTION("""COMPUTED_VALUE"""),"nu_invest")</f>
        <v>nu_invest</v>
      </c>
      <c r="C677" s="2" t="str">
        <f>IFERROR(__xludf.DUMMYFUNCTION("""COMPUTED_VALUE"""),"NuInvest: a plataforma do Nubank 100% focada em investimentos. O futuro dos investimentos é roxo! ⬇️ 💜
https://t.co/onaKW1K25n")</f>
        <v>NuInvest: a plataforma do Nubank 100% focada em investimentos. O futuro dos investimentos é roxo! ⬇️ 💜
https://t.co/onaKW1K25n</v>
      </c>
      <c r="D677" s="2">
        <f>IFERROR(__xludf.DUMMYFUNCTION("""COMPUTED_VALUE"""),1.4289939284789187E-4)</f>
        <v>0.0001428993928</v>
      </c>
      <c r="E677" s="2" t="str">
        <f>IFERROR(__xludf.DUMMYFUNCTION("""COMPUTED_VALUE"""),"     75.096")</f>
        <v>     75.096</v>
      </c>
    </row>
    <row r="678">
      <c r="A678" s="2" t="str">
        <f>IFERROR(__xludf.DUMMYFUNCTION("""COMPUTED_VALUE"""),"Ekrem KONUR")</f>
        <v>Ekrem KONUR</v>
      </c>
      <c r="B678" s="2" t="str">
        <f>IFERROR(__xludf.DUMMYFUNCTION("""COMPUTED_VALUE"""),"ekremkonur")</f>
        <v>ekremkonur</v>
      </c>
      <c r="C678" s="2" t="str">
        <f>IFERROR(__xludf.DUMMYFUNCTION("""COMPUTED_VALUE"""),"Global Transfer Expert
@calciodangolo_  @plbrasil1 @trivela  @TopMercato @DailyMercato  @FB_WHISPERS  @afrikfoot @BalonLatino erdemkonur7@gmail.com")</f>
        <v>Global Transfer Expert
@calciodangolo_  @plbrasil1 @trivela  @TopMercato @DailyMercato  @FB_WHISPERS  @afrikfoot @BalonLatino erdemkonur7@gmail.com</v>
      </c>
      <c r="D678" s="2">
        <f>IFERROR(__xludf.DUMMYFUNCTION("""COMPUTED_VALUE"""),1.4289939284789187E-4)</f>
        <v>0.0001428993928</v>
      </c>
      <c r="E678" s="2" t="str">
        <f>IFERROR(__xludf.DUMMYFUNCTION("""COMPUTED_VALUE"""),"    239.490")</f>
        <v>    239.490</v>
      </c>
    </row>
    <row r="679">
      <c r="A679" s="2" t="str">
        <f>IFERROR(__xludf.DUMMYFUNCTION("""COMPUTED_VALUE"""),"O Almirante")</f>
        <v>O Almirante</v>
      </c>
      <c r="B679" s="2" t="str">
        <f>IFERROR(__xludf.DUMMYFUNCTION("""COMPUTED_VALUE"""),"oalmirante_")</f>
        <v>oalmirante_</v>
      </c>
      <c r="C679" s="2" t="str">
        <f>IFERROR(__xludf.DUMMYFUNCTION("""COMPUTED_VALUE"""),"Para nós, a coragem e a informação são a lei. | 📩 oalmirantecrvg@gmail.com")</f>
        <v>Para nós, a coragem e a informação são a lei. | 📩 oalmirantecrvg@gmail.com</v>
      </c>
      <c r="D679" s="2">
        <f>IFERROR(__xludf.DUMMYFUNCTION("""COMPUTED_VALUE"""),1.4289939284789187E-4)</f>
        <v>0.0001428993928</v>
      </c>
      <c r="E679" s="2" t="str">
        <f>IFERROR(__xludf.DUMMYFUNCTION("""COMPUTED_VALUE"""),"     32.408")</f>
        <v>     32.408</v>
      </c>
    </row>
    <row r="680">
      <c r="A680" s="2" t="str">
        <f>IFERROR(__xludf.DUMMYFUNCTION("""COMPUTED_VALUE"""),"Kinho 🏴‍☠️")</f>
        <v>Kinho 🏴‍☠️</v>
      </c>
      <c r="B680" s="2" t="str">
        <f>IFERROR(__xludf.DUMMYFUNCTION("""COMPUTED_VALUE"""),"kinhomugiwara")</f>
        <v>kinhomugiwara</v>
      </c>
      <c r="C680" s="2" t="str">
        <f>IFERROR(__xludf.DUMMYFUNCTION("""COMPUTED_VALUE"""),"Em busca do One Piece (emprego) @Gremio")</f>
        <v>Em busca do One Piece (emprego) @Gremio</v>
      </c>
      <c r="D680" s="2">
        <f>IFERROR(__xludf.DUMMYFUNCTION("""COMPUTED_VALUE"""),1.4289939284789187E-4)</f>
        <v>0.0001428993928</v>
      </c>
      <c r="E680" s="2" t="str">
        <f>IFERROR(__xludf.DUMMYFUNCTION("""COMPUTED_VALUE"""),"     17.919")</f>
        <v>     17.919</v>
      </c>
    </row>
    <row r="681">
      <c r="A681" s="2" t="str">
        <f>IFERROR(__xludf.DUMMYFUNCTION("""COMPUTED_VALUE"""),"Corrupção Brasileira Memes - CBM")</f>
        <v>Corrupção Brasileira Memes - CBM</v>
      </c>
      <c r="B681" s="2" t="str">
        <f>IFERROR(__xludf.DUMMYFUNCTION("""COMPUTED_VALUE"""),"corrupcaomemes")</f>
        <v>corrupcaomemes</v>
      </c>
      <c r="C681" s="2" t="str">
        <f>IFERROR(__xludf.DUMMYFUNCTION("""COMPUTED_VALUE"""),"Maior página de humor político da América 🇧🇷 segue a gt no insta e no telegramhttps://t.me/corrupcaobrmeme8s")</f>
        <v>Maior página de humor político da América 🇧🇷 segue a gt no insta e no telegramhttps://t.me/corrupcaobrmeme8s</v>
      </c>
      <c r="D681" s="2">
        <f>IFERROR(__xludf.DUMMYFUNCTION("""COMPUTED_VALUE"""),1.4289939284789187E-4)</f>
        <v>0.0001428993928</v>
      </c>
      <c r="E681" s="2" t="str">
        <f>IFERROR(__xludf.DUMMYFUNCTION("""COMPUTED_VALUE"""),"    225.185")</f>
        <v>    225.185</v>
      </c>
    </row>
    <row r="682">
      <c r="A682" s="2" t="str">
        <f>IFERROR(__xludf.DUMMYFUNCTION("""COMPUTED_VALUE"""),"Katrina 🌪️")</f>
        <v>Katrina 🌪️</v>
      </c>
      <c r="B682" s="2" t="str">
        <f>IFERROR(__xludf.DUMMYFUNCTION("""COMPUTED_VALUE"""),"katrinamoba")</f>
        <v>katrinamoba</v>
      </c>
      <c r="C682" s="2" t="str">
        <f>IFERROR(__xludf.DUMMYFUNCTION("""COMPUTED_VALUE"""),"🎮120k+ no YouTube de Wild Rift ⠀⠀⠀ㅤㅤㅤㅤㅤㅤ⠀⠀💌contatokatrina1@gmail.comㅤㅤㅤㅤㅤㅤㅤㅤㅤㅤㅤ💍@jojotshy")</f>
        <v>🎮120k+ no YouTube de Wild Rift ⠀⠀⠀ㅤㅤㅤㅤㅤㅤ⠀⠀💌contatokatrina1@gmail.comㅤㅤㅤㅤㅤㅤㅤㅤㅤㅤㅤ💍@jojotshy</v>
      </c>
      <c r="D682" s="2">
        <f>IFERROR(__xludf.DUMMYFUNCTION("""COMPUTED_VALUE"""),1.4289939284789187E-4)</f>
        <v>0.0001428993928</v>
      </c>
      <c r="E682" s="2" t="str">
        <f>IFERROR(__xludf.DUMMYFUNCTION("""COMPUTED_VALUE"""),"     10.289")</f>
        <v>     10.289</v>
      </c>
    </row>
    <row r="683">
      <c r="A683" s="2" t="str">
        <f>IFERROR(__xludf.DUMMYFUNCTION("""COMPUTED_VALUE"""),"Conjuntura Política")</f>
        <v>Conjuntura Política</v>
      </c>
      <c r="B683" s="2" t="str">
        <f>IFERROR(__xludf.DUMMYFUNCTION("""COMPUTED_VALUE"""),"conj_politica23")</f>
        <v>conj_politica23</v>
      </c>
      <c r="C683" s="2" t="str">
        <f>IFERROR(__xludf.DUMMYFUNCTION("""COMPUTED_VALUE"""),"Análise e notícias do mundo político, econômico e sociais do 🇧🇷.
PIX: conjuntura_politica@outlook.com")</f>
        <v>Análise e notícias do mundo político, econômico e sociais do 🇧🇷.
PIX: conjuntura_politica@outlook.com</v>
      </c>
      <c r="D683" s="2">
        <f>IFERROR(__xludf.DUMMYFUNCTION("""COMPUTED_VALUE"""),1.4289939284789187E-4)</f>
        <v>0.0001428993928</v>
      </c>
      <c r="E683" s="2" t="str">
        <f>IFERROR(__xludf.DUMMYFUNCTION("""COMPUTED_VALUE"""),"      2.277")</f>
        <v>      2.277</v>
      </c>
    </row>
    <row r="684">
      <c r="A684" s="2" t="str">
        <f>IFERROR(__xludf.DUMMYFUNCTION("""COMPUTED_VALUE"""),"Wallim")</f>
        <v>Wallim</v>
      </c>
      <c r="B684" s="2" t="str">
        <f>IFERROR(__xludf.DUMMYFUNCTION("""COMPUTED_VALUE"""),"wallimfla")</f>
        <v>wallimfla</v>
      </c>
      <c r="C684" s="2" t="str">
        <f>IFERROR(__xludf.DUMMYFUNCTION("""COMPUTED_VALUE"""),"Sócio Benemérito, Membro dos Conselhos Deliberativo e de Administração, VP de Futebol Campeão da Copa do Brasil 2013 e Carioca 2014, VP de Finanças em 2019")</f>
        <v>Sócio Benemérito, Membro dos Conselhos Deliberativo e de Administração, VP de Futebol Campeão da Copa do Brasil 2013 e Carioca 2014, VP de Finanças em 2019</v>
      </c>
      <c r="D684" s="2">
        <f>IFERROR(__xludf.DUMMYFUNCTION("""COMPUTED_VALUE"""),1.4289939284789187E-4)</f>
        <v>0.0001428993928</v>
      </c>
      <c r="E684" s="2" t="str">
        <f>IFERROR(__xludf.DUMMYFUNCTION("""COMPUTED_VALUE"""),"     68.870")</f>
        <v>     68.870</v>
      </c>
    </row>
    <row r="685">
      <c r="A685" s="2" t="str">
        <f>IFERROR(__xludf.DUMMYFUNCTION("""COMPUTED_VALUE"""),"TEDESCO - #AvantiPalestra")</f>
        <v>TEDESCO - #AvantiPalestra</v>
      </c>
      <c r="B685" s="2" t="str">
        <f>IFERROR(__xludf.DUMMYFUNCTION("""COMPUTED_VALUE"""),"palestratedesco")</f>
        <v>palestratedesco</v>
      </c>
      <c r="C685" s="2" t="str">
        <f>IFERROR(__xludf.DUMMYFUNCTION("""COMPUTED_VALUE"""),"SOCIEDADE ESPORTIVA PALMEIRAS, Cascais, Portugal #MaiorCampeãodoBrasil #ConsuladoCascais")</f>
        <v>SOCIEDADE ESPORTIVA PALMEIRAS, Cascais, Portugal #MaiorCampeãodoBrasil #ConsuladoCascais</v>
      </c>
      <c r="D685" s="2">
        <f>IFERROR(__xludf.DUMMYFUNCTION("""COMPUTED_VALUE"""),1.4289939284789187E-4)</f>
        <v>0.0001428993928</v>
      </c>
      <c r="E685" s="2" t="str">
        <f>IFERROR(__xludf.DUMMYFUNCTION("""COMPUTED_VALUE"""),"     12.862")</f>
        <v>     12.862</v>
      </c>
    </row>
    <row r="686">
      <c r="A686" s="2" t="str">
        <f>IFERROR(__xludf.DUMMYFUNCTION("""COMPUTED_VALUE"""),"Goleada Info")</f>
        <v>Goleada Info</v>
      </c>
      <c r="B686" s="2" t="str">
        <f>IFERROR(__xludf.DUMMYFUNCTION("""COMPUTED_VALUE"""),"goleada_info")</f>
        <v>goleada_info</v>
      </c>
      <c r="C686" s="2" t="str">
        <f>IFERROR(__xludf.DUMMYFUNCTION("""COMPUTED_VALUE"""),"A casa de futebol do @EsportudoBR 
Siga: @goleada_euro, @goleada_base e @goleadadazoeira
Deixe seu jogo mais emocionante com a @playgreenbr!")</f>
        <v>A casa de futebol do @EsportudoBR 
Siga: @goleada_euro, @goleada_base e @goleadadazoeira
Deixe seu jogo mais emocionante com a @playgreenbr!</v>
      </c>
      <c r="D686" s="2">
        <f>IFERROR(__xludf.DUMMYFUNCTION("""COMPUTED_VALUE"""),1.4289939284789187E-4)</f>
        <v>0.0001428993928</v>
      </c>
      <c r="E686" s="2" t="str">
        <f>IFERROR(__xludf.DUMMYFUNCTION("""COMPUTED_VALUE"""),"    297.634")</f>
        <v>    297.634</v>
      </c>
    </row>
    <row r="687">
      <c r="A687" s="2" t="str">
        <f>IFERROR(__xludf.DUMMYFUNCTION("""COMPUTED_VALUE"""),"JOTA ☕️")</f>
        <v>JOTA ☕️</v>
      </c>
      <c r="B687" s="2" t="str">
        <f>IFERROR(__xludf.DUMMYFUNCTION("""COMPUTED_VALUE"""),"sigaonegro")</f>
        <v>sigaonegro</v>
      </c>
      <c r="C687" s="2" t="str">
        <f>IFERROR(__xludf.DUMMYFUNCTION("""COMPUTED_VALUE"""),"Ativista Político do Movimento Brasil Livre. Colorado. Sarcástico e sambista. Ajudei a minha mãe a lavar a louça, agora quero salvar o mundo.")</f>
        <v>Ativista Político do Movimento Brasil Livre. Colorado. Sarcástico e sambista. Ajudei a minha mãe a lavar a louça, agora quero salvar o mundo.</v>
      </c>
      <c r="D687" s="2">
        <f>IFERROR(__xludf.DUMMYFUNCTION("""COMPUTED_VALUE"""),1.4289939284789187E-4)</f>
        <v>0.0001428993928</v>
      </c>
      <c r="E687" s="2" t="str">
        <f>IFERROR(__xludf.DUMMYFUNCTION("""COMPUTED_VALUE"""),"      6.826")</f>
        <v>      6.826</v>
      </c>
    </row>
    <row r="688">
      <c r="A688" s="2" t="str">
        <f>IFERROR(__xludf.DUMMYFUNCTION("""COMPUTED_VALUE"""),"edu santista")</f>
        <v>edu santista</v>
      </c>
      <c r="B688" s="2" t="str">
        <f>IFERROR(__xludf.DUMMYFUNCTION("""COMPUTED_VALUE"""),"edujbatista")</f>
        <v>edujbatista</v>
      </c>
      <c r="C688" s="2" t="str">
        <f>IFERROR(__xludf.DUMMYFUNCTION("""COMPUTED_VALUE"""),"a revelia")</f>
        <v>a revelia</v>
      </c>
      <c r="D688" s="2">
        <f>IFERROR(__xludf.DUMMYFUNCTION("""COMPUTED_VALUE"""),1.4289939284789187E-4)</f>
        <v>0.0001428993928</v>
      </c>
      <c r="E688" s="2" t="str">
        <f>IFERROR(__xludf.DUMMYFUNCTION("""COMPUTED_VALUE"""),"      4.695")</f>
        <v>      4.695</v>
      </c>
    </row>
    <row r="689">
      <c r="A689" s="2" t="str">
        <f>IFERROR(__xludf.DUMMYFUNCTION("""COMPUTED_VALUE"""),"José Félix Díaz")</f>
        <v>José Félix Díaz</v>
      </c>
      <c r="B689" s="2" t="str">
        <f>IFERROR(__xludf.DUMMYFUNCTION("""COMPUTED_VALUE"""),"jfelixdiaz")</f>
        <v>jfelixdiaz</v>
      </c>
      <c r="C689" s="2" t="str">
        <f>IFERROR(__xludf.DUMMYFUNCTION("""COMPUTED_VALUE"""),"Noozhoh y JFD. Rodaballo y Magic. MARCA, ElChiringuito, Vamos y https://t.co/fW3Hlanu0n. Caballos, futbol, ciclismo y atletismo Instagram @jfelixdiaz")</f>
        <v>Noozhoh y JFD. Rodaballo y Magic. MARCA, ElChiringuito, Vamos y https://t.co/fW3Hlanu0n. Caballos, futbol, ciclismo y atletismo Instagram @jfelixdiaz</v>
      </c>
      <c r="D689" s="2">
        <f>IFERROR(__xludf.DUMMYFUNCTION("""COMPUTED_VALUE"""),1.4289939284789187E-4)</f>
        <v>0.0001428993928</v>
      </c>
      <c r="E689" s="2" t="str">
        <f>IFERROR(__xludf.DUMMYFUNCTION("""COMPUTED_VALUE"""),"    193.421")</f>
        <v>    193.421</v>
      </c>
    </row>
    <row r="690">
      <c r="A690" s="2" t="str">
        <f>IFERROR(__xludf.DUMMYFUNCTION("""COMPUTED_VALUE"""),"Real Madrid Brasil")</f>
        <v>Real Madrid Brasil</v>
      </c>
      <c r="B690" s="2" t="str">
        <f>IFERROR(__xludf.DUMMYFUNCTION("""COMPUTED_VALUE"""),"realbrasil_br")</f>
        <v>realbrasil_br</v>
      </c>
      <c r="C690" s="2" t="str">
        <f>IFERROR(__xludf.DUMMYFUNCTION("""COMPUTED_VALUE"""),"Notícias, estatísticas, curiosidades, opiniões e dados históricos e atuais do @RealMadrid.
(Fan Account)")</f>
        <v>Notícias, estatísticas, curiosidades, opiniões e dados históricos e atuais do @RealMadrid.
(Fan Account)</v>
      </c>
      <c r="D690" s="2">
        <f>IFERROR(__xludf.DUMMYFUNCTION("""COMPUTED_VALUE"""),1.4289939284789187E-4)</f>
        <v>0.0001428993928</v>
      </c>
      <c r="E690" s="2" t="str">
        <f>IFERROR(__xludf.DUMMYFUNCTION("""COMPUTED_VALUE"""),"    197.913")</f>
        <v>    197.913</v>
      </c>
    </row>
    <row r="691">
      <c r="A691" s="2" t="str">
        <f>IFERROR(__xludf.DUMMYFUNCTION("""COMPUTED_VALUE""")," Diario do Doutor")</f>
        <v> Diario do Doutor</v>
      </c>
      <c r="B691" s="2" t="str">
        <f>IFERROR(__xludf.DUMMYFUNCTION("""COMPUTED_VALUE"""),"doutornews")</f>
        <v>doutornews</v>
      </c>
      <c r="C691" s="2" t="str">
        <f>IFERROR(__xludf.DUMMYFUNCTION("""COMPUTED_VALUE"""),"Siga o Doutor Coringão também no Instagram!")</f>
        <v>Siga o Doutor Coringão também no Instagram!</v>
      </c>
      <c r="D691" s="2">
        <f>IFERROR(__xludf.DUMMYFUNCTION("""COMPUTED_VALUE"""),1.4289939284789187E-4)</f>
        <v>0.0001428993928</v>
      </c>
      <c r="E691" s="2" t="str">
        <f>IFERROR(__xludf.DUMMYFUNCTION("""COMPUTED_VALUE"""),"     13.871")</f>
        <v>     13.871</v>
      </c>
    </row>
    <row r="692">
      <c r="A692" s="2" t="str">
        <f>IFERROR(__xludf.DUMMYFUNCTION("""COMPUTED_VALUE"""),"𝓌𝒾𝓁𝓁𝒾𝒶𝓂")</f>
        <v>𝓌𝒾𝓁𝓁𝒾𝒶𝓂</v>
      </c>
      <c r="B692" s="2" t="str">
        <f>IFERROR(__xludf.DUMMYFUNCTION("""COMPUTED_VALUE"""),"369william")</f>
        <v>369william</v>
      </c>
      <c r="C692" s="2" t="str">
        <f>IFERROR(__xludf.DUMMYFUNCTION("""COMPUTED_VALUE"""),"criador de conteúdo q não cria conteúdo")</f>
        <v>criador de conteúdo q não cria conteúdo</v>
      </c>
      <c r="D692" s="2">
        <f>IFERROR(__xludf.DUMMYFUNCTION("""COMPUTED_VALUE"""),1.4289939284789187E-4)</f>
        <v>0.0001428993928</v>
      </c>
      <c r="E692" s="2" t="str">
        <f>IFERROR(__xludf.DUMMYFUNCTION("""COMPUTED_VALUE"""),"     23.174")</f>
        <v>     23.174</v>
      </c>
    </row>
    <row r="693">
      <c r="A693" s="2" t="str">
        <f>IFERROR(__xludf.DUMMYFUNCTION("""COMPUTED_VALUE"""),"AllPop")</f>
        <v>AllPop</v>
      </c>
      <c r="B693" s="2" t="str">
        <f>IFERROR(__xludf.DUMMYFUNCTION("""COMPUTED_VALUE"""),"allpop_br")</f>
        <v>allpop_br</v>
      </c>
      <c r="C693" s="2" t="str">
        <f>IFERROR(__xludf.DUMMYFUNCTION("""COMPUTED_VALUE"""),"Música em Geral, Cultura Pop, Charts, TV, Notícias, Esportes, Cinema &amp; Entretenimento.")</f>
        <v>Música em Geral, Cultura Pop, Charts, TV, Notícias, Esportes, Cinema &amp; Entretenimento.</v>
      </c>
      <c r="D693" s="2">
        <f>IFERROR(__xludf.DUMMYFUNCTION("""COMPUTED_VALUE"""),1.4289939284789187E-4)</f>
        <v>0.0001428993928</v>
      </c>
      <c r="E693" s="2" t="str">
        <f>IFERROR(__xludf.DUMMYFUNCTION("""COMPUTED_VALUE"""),"     13.054")</f>
        <v>     13.054</v>
      </c>
    </row>
    <row r="694">
      <c r="A694" s="2" t="str">
        <f>IFERROR(__xludf.DUMMYFUNCTION("""COMPUTED_VALUE"""),"Bruno")</f>
        <v>Bruno</v>
      </c>
      <c r="B694" s="2" t="str">
        <f>IFERROR(__xludf.DUMMYFUNCTION("""COMPUTED_VALUE"""),"bruno_1898")</f>
        <v>bruno_1898</v>
      </c>
      <c r="C694" s="2"/>
      <c r="D694" s="2">
        <f>IFERROR(__xludf.DUMMYFUNCTION("""COMPUTED_VALUE"""),1.4289939284789187E-4)</f>
        <v>0.0001428993928</v>
      </c>
      <c r="E694" s="2" t="str">
        <f>IFERROR(__xludf.DUMMYFUNCTION("""COMPUTED_VALUE"""),"      2.597")</f>
        <v>      2.597</v>
      </c>
    </row>
    <row r="695">
      <c r="A695" s="2" t="str">
        <f>IFERROR(__xludf.DUMMYFUNCTION("""COMPUTED_VALUE"""),"Igor Araujo")</f>
        <v>Igor Araujo</v>
      </c>
      <c r="B695" s="2" t="str">
        <f>IFERROR(__xludf.DUMMYFUNCTION("""COMPUTED_VALUE"""),"igor_araujo_bc")</f>
        <v>igor_araujo_bc</v>
      </c>
      <c r="C695" s="2" t="str">
        <f>IFERROR(__xludf.DUMMYFUNCTION("""COMPUTED_VALUE"""),"Procuradoria Regional Federal - Suplente de Deputado Estadual por Santa Catarina.
Florianópolis - 2024")</f>
        <v>Procuradoria Regional Federal - Suplente de Deputado Estadual por Santa Catarina.
Florianópolis - 2024</v>
      </c>
      <c r="D695" s="2">
        <f>IFERROR(__xludf.DUMMYFUNCTION("""COMPUTED_VALUE"""),1.4289939284789187E-4)</f>
        <v>0.0001428993928</v>
      </c>
      <c r="E695" s="2" t="str">
        <f>IFERROR(__xludf.DUMMYFUNCTION("""COMPUTED_VALUE"""),"      6.007")</f>
        <v>      6.007</v>
      </c>
    </row>
    <row r="696">
      <c r="A696" s="2" t="str">
        <f>IFERROR(__xludf.DUMMYFUNCTION("""COMPUTED_VALUE"""),"Malvado Favorito..Edson Chaves SP")</f>
        <v>Malvado Favorito..Edson Chaves SP</v>
      </c>
      <c r="B696" s="2" t="str">
        <f>IFERROR(__xludf.DUMMYFUNCTION("""COMPUTED_VALUE"""),"insistente6")</f>
        <v>insistente6</v>
      </c>
      <c r="C696" s="2" t="str">
        <f>IFERROR(__xludf.DUMMYFUNCTION("""COMPUTED_VALUE"""),"Se você fosse meu marido, eu envenenaria o seu chá. E se eu fosse o seu marido, eu tomaria esse chá. De Churchill para Nancy Astor")</f>
        <v>Se você fosse meu marido, eu envenenaria o seu chá. E se eu fosse o seu marido, eu tomaria esse chá. De Churchill para Nancy Astor</v>
      </c>
      <c r="D696" s="2">
        <f>IFERROR(__xludf.DUMMYFUNCTION("""COMPUTED_VALUE"""),1.4289939284789187E-4)</f>
        <v>0.0001428993928</v>
      </c>
      <c r="E696" s="2" t="str">
        <f>IFERROR(__xludf.DUMMYFUNCTION("""COMPUTED_VALUE"""),"      8.366")</f>
        <v>      8.366</v>
      </c>
    </row>
    <row r="697">
      <c r="A697" s="2" t="str">
        <f>IFERROR(__xludf.DUMMYFUNCTION("""COMPUTED_VALUE"""),"lisiane bessa")</f>
        <v>lisiane bessa</v>
      </c>
      <c r="B697" s="2" t="str">
        <f>IFERROR(__xludf.DUMMYFUNCTION("""COMPUTED_VALUE"""),"lisianebessa1")</f>
        <v>lisianebessa1</v>
      </c>
      <c r="C697" s="2" t="str">
        <f>IFERROR(__xludf.DUMMYFUNCTION("""COMPUTED_VALUE"""),"Se engana quem acha que a riqueza e o status atraem inveja, as pessoas invejam mesmo é o Sorriso fácil, a Luz própria, a Felicidade simples e a Paz interior.")</f>
        <v>Se engana quem acha que a riqueza e o status atraem inveja, as pessoas invejam mesmo é o Sorriso fácil, a Luz própria, a Felicidade simples e a Paz interior.</v>
      </c>
      <c r="D697" s="2">
        <f>IFERROR(__xludf.DUMMYFUNCTION("""COMPUTED_VALUE"""),1.4289939284789187E-4)</f>
        <v>0.0001428993928</v>
      </c>
      <c r="E697" s="2" t="str">
        <f>IFERROR(__xludf.DUMMYFUNCTION("""COMPUTED_VALUE"""),"      4.491")</f>
        <v>      4.491</v>
      </c>
    </row>
    <row r="698">
      <c r="A698" s="2" t="str">
        <f>IFERROR(__xludf.DUMMYFUNCTION("""COMPUTED_VALUE"""),"Chico Pinheiro")</f>
        <v>Chico Pinheiro</v>
      </c>
      <c r="B698" s="2" t="str">
        <f>IFERROR(__xludf.DUMMYFUNCTION("""COMPUTED_VALUE"""),"chico_pinheiro")</f>
        <v>chico_pinheiro</v>
      </c>
      <c r="C698" s="2" t="str">
        <f>IFERROR(__xludf.DUMMYFUNCTION("""COMPUTED_VALUE"""),"Jornalista / Abolicionista")</f>
        <v>Jornalista / Abolicionista</v>
      </c>
      <c r="D698" s="2">
        <f>IFERROR(__xludf.DUMMYFUNCTION("""COMPUTED_VALUE"""),1.4289939284789187E-4)</f>
        <v>0.0001428993928</v>
      </c>
      <c r="E698" s="2" t="str">
        <f>IFERROR(__xludf.DUMMYFUNCTION("""COMPUTED_VALUE"""),"    641.413")</f>
        <v>    641.413</v>
      </c>
    </row>
    <row r="699">
      <c r="A699" s="2" t="str">
        <f>IFERROR(__xludf.DUMMYFUNCTION("""COMPUTED_VALUE"""),"Rodrigo Pacheco")</f>
        <v>Rodrigo Pacheco</v>
      </c>
      <c r="B699" s="2" t="str">
        <f>IFERROR(__xludf.DUMMYFUNCTION("""COMPUTED_VALUE"""),"gelinskirodrigo")</f>
        <v>gelinskirodrigo</v>
      </c>
      <c r="C699" s="2" t="str">
        <f>IFERROR(__xludf.DUMMYFUNCTION("""COMPUTED_VALUE"""),"Brazilian, anti-fascist, non-practicing left-wing atheist in favor of freedom and mutual respect")</f>
        <v>Brazilian, anti-fascist, non-practicing left-wing atheist in favor of freedom and mutual respect</v>
      </c>
      <c r="D699" s="2">
        <f>IFERROR(__xludf.DUMMYFUNCTION("""COMPUTED_VALUE"""),1.4289939284789187E-4)</f>
        <v>0.0001428993928</v>
      </c>
      <c r="E699" s="2" t="str">
        <f>IFERROR(__xludf.DUMMYFUNCTION("""COMPUTED_VALUE"""),"      1.379")</f>
        <v>      1.379</v>
      </c>
    </row>
    <row r="700">
      <c r="A700" s="2" t="str">
        <f>IFERROR(__xludf.DUMMYFUNCTION("""COMPUTED_VALUE"""),"XRP whale")</f>
        <v>XRP whale</v>
      </c>
      <c r="B700" s="2" t="str">
        <f>IFERROR(__xludf.DUMMYFUNCTION("""COMPUTED_VALUE"""),"realxrpwhale")</f>
        <v>realxrpwhale</v>
      </c>
      <c r="C700" s="2" t="str">
        <f>IFERROR(__xludf.DUMMYFUNCTION("""COMPUTED_VALUE"""),"$XRP Whale; #XRP Enthusiast; Tweets are NFA | Purchase my keys 🔑")</f>
        <v>$XRP Whale; #XRP Enthusiast; Tweets are NFA | Purchase my keys 🔑</v>
      </c>
      <c r="D700" s="2">
        <f>IFERROR(__xludf.DUMMYFUNCTION("""COMPUTED_VALUE"""),1.4289939284789187E-4)</f>
        <v>0.0001428993928</v>
      </c>
      <c r="E700" s="2" t="str">
        <f>IFERROR(__xludf.DUMMYFUNCTION("""COMPUTED_VALUE"""),"    106.441")</f>
        <v>    106.441</v>
      </c>
    </row>
    <row r="701">
      <c r="A701" s="2" t="str">
        <f>IFERROR(__xludf.DUMMYFUNCTION("""COMPUTED_VALUE"""),"drb")</f>
        <v>drb</v>
      </c>
      <c r="B701" s="2" t="str">
        <f>IFERROR(__xludf.DUMMYFUNCTION("""COMPUTED_VALUE"""),"dottorbarbieri")</f>
        <v>dottorbarbieri</v>
      </c>
      <c r="C701" s="2" t="str">
        <f>IFERROR(__xludf.DUMMYFUNCTION("""COMPUTED_VALUE"""),"Il conto, per favore. [RT≠Endorsement]")</f>
        <v>Il conto, per favore. [RT≠Endorsement]</v>
      </c>
      <c r="D701" s="2">
        <f>IFERROR(__xludf.DUMMYFUNCTION("""COMPUTED_VALUE"""),1.4289939284789187E-4)</f>
        <v>0.0001428993928</v>
      </c>
      <c r="E701" s="2" t="str">
        <f>IFERROR(__xludf.DUMMYFUNCTION("""COMPUTED_VALUE"""),"     46.985")</f>
        <v>     46.985</v>
      </c>
    </row>
    <row r="702">
      <c r="A702" s="2" t="str">
        <f>IFERROR(__xludf.DUMMYFUNCTION("""COMPUTED_VALUE"""),"Patrick Moraes")</f>
        <v>Patrick Moraes</v>
      </c>
      <c r="B702" s="2" t="str">
        <f>IFERROR(__xludf.DUMMYFUNCTION("""COMPUTED_VALUE"""),"moraespc_")</f>
        <v>moraespc_</v>
      </c>
      <c r="C702" s="2" t="str">
        <f>IFERROR(__xludf.DUMMYFUNCTION("""COMPUTED_VALUE"""),"Sócio-Proprietário do @Flamengo | founder of C4S Holding | 🇧🇷🇺🇸🇮🇹(🇪🇸racistas)🇫🇷🇩🇪🇳🇱🇦🇷🇨🇱")</f>
        <v>Sócio-Proprietário do @Flamengo | founder of C4S Holding | 🇧🇷🇺🇸🇮🇹(🇪🇸racistas)🇫🇷🇩🇪🇳🇱🇦🇷🇨🇱</v>
      </c>
      <c r="D702" s="2">
        <f>IFERROR(__xludf.DUMMYFUNCTION("""COMPUTED_VALUE"""),1.4289939284789187E-4)</f>
        <v>0.0001428993928</v>
      </c>
      <c r="E702" s="2" t="str">
        <f>IFERROR(__xludf.DUMMYFUNCTION("""COMPUTED_VALUE"""),"      1.942")</f>
        <v>      1.942</v>
      </c>
    </row>
    <row r="703">
      <c r="A703" s="2" t="str">
        <f>IFERROR(__xludf.DUMMYFUNCTION("""COMPUTED_VALUE"""),"Submundo Criminal")</f>
        <v>Submundo Criminal</v>
      </c>
      <c r="B703" s="2" t="str">
        <f>IFERROR(__xludf.DUMMYFUNCTION("""COMPUTED_VALUE"""),"submundodocrime")</f>
        <v>submundodocrime</v>
      </c>
      <c r="C703" s="2" t="str">
        <f>IFERROR(__xludf.DUMMYFUNCTION("""COMPUTED_VALUE"""),"Fins de conhecimento do crime organizado em geral. Não há apologia e nem incitação à prática de violência. Qualquer reclamação, entre em contato com a página.")</f>
        <v>Fins de conhecimento do crime organizado em geral. Não há apologia e nem incitação à prática de violência. Qualquer reclamação, entre em contato com a página.</v>
      </c>
      <c r="D703" s="2">
        <f>IFERROR(__xludf.DUMMYFUNCTION("""COMPUTED_VALUE"""),1.4289939284789187E-4)</f>
        <v>0.0001428993928</v>
      </c>
      <c r="E703" s="2" t="str">
        <f>IFERROR(__xludf.DUMMYFUNCTION("""COMPUTED_VALUE"""),"    107.205")</f>
        <v>    107.205</v>
      </c>
    </row>
    <row r="704">
      <c r="A704" s="2" t="str">
        <f>IFERROR(__xludf.DUMMYFUNCTION("""COMPUTED_VALUE"""),"Uber Brasil")</f>
        <v>Uber Brasil</v>
      </c>
      <c r="B704" s="2" t="str">
        <f>IFERROR(__xludf.DUMMYFUNCTION("""COMPUTED_VALUE"""),"uber_brasil")</f>
        <v>uber_brasil</v>
      </c>
      <c r="C704" s="2" t="str">
        <f>IFERROR(__xludf.DUMMYFUNCTION("""COMPUTED_VALUE"""),"Para ir ➡️ vir ⬅️ e pedir ⬇️
Para suporte, visite: https://t.co/BRsSgpyiHZ")</f>
        <v>Para ir ➡️ vir ⬅️ e pedir ⬇️
Para suporte, visite: https://t.co/BRsSgpyiHZ</v>
      </c>
      <c r="D704" s="2">
        <f>IFERROR(__xludf.DUMMYFUNCTION("""COMPUTED_VALUE"""),1.4289939284789187E-4)</f>
        <v>0.0001428993928</v>
      </c>
      <c r="E704" s="2" t="str">
        <f>IFERROR(__xludf.DUMMYFUNCTION("""COMPUTED_VALUE"""),"    211.217")</f>
        <v>    211.217</v>
      </c>
    </row>
    <row r="705">
      <c r="A705" s="2" t="str">
        <f>IFERROR(__xludf.DUMMYFUNCTION("""COMPUTED_VALUE"""),"Fondo Riparazione | Ultima Generazione")</f>
        <v>Fondo Riparazione | Ultima Generazione</v>
      </c>
      <c r="B705" s="2" t="str">
        <f>IFERROR(__xludf.DUMMYFUNCTION("""COMPUTED_VALUE"""),"ultimagenerazi1")</f>
        <v>ultimagenerazi1</v>
      </c>
      <c r="C705" s="2" t="str">
        <f>IFERROR(__xludf.DUMMYFUNCTION("""COMPUTED_VALUE"""),"Serve un #FondoRiparazione ai danni delle catastrofi climatiche, usiamo la resistenza civile per ottenerlo!
Sostienici: https://t.co/bjwK0fCYXz")</f>
        <v>Serve un #FondoRiparazione ai danni delle catastrofi climatiche, usiamo la resistenza civile per ottenerlo!
Sostienici: https://t.co/bjwK0fCYXz</v>
      </c>
      <c r="D705" s="2">
        <f>IFERROR(__xludf.DUMMYFUNCTION("""COMPUTED_VALUE"""),1.4289939284789187E-4)</f>
        <v>0.0001428993928</v>
      </c>
      <c r="E705" s="2" t="str">
        <f>IFERROR(__xludf.DUMMYFUNCTION("""COMPUTED_VALUE"""),"     13.890")</f>
        <v>     13.890</v>
      </c>
    </row>
    <row r="706">
      <c r="A706" s="2" t="str">
        <f>IFERROR(__xludf.DUMMYFUNCTION("""COMPUTED_VALUE"""),"POPTime")</f>
        <v>POPTime</v>
      </c>
      <c r="B706" s="2" t="str">
        <f>IFERROR(__xludf.DUMMYFUNCTION("""COMPUTED_VALUE"""),"siteptbr")</f>
        <v>siteptbr</v>
      </c>
      <c r="C706" s="2" t="str">
        <f>IFERROR(__xludf.DUMMYFUNCTION("""COMPUTED_VALUE"""),"⚡ Curiosidades, cinema, tv, músicas, séries e celebridades acompanhado de muito humor. 🔔 Segue pra acompanhar! 📨 poptime@mynd8.com.br")</f>
        <v>⚡ Curiosidades, cinema, tv, músicas, séries e celebridades acompanhado de muito humor. 🔔 Segue pra acompanhar! 📨 poptime@mynd8.com.br</v>
      </c>
      <c r="D706" s="2">
        <f>IFERROR(__xludf.DUMMYFUNCTION("""COMPUTED_VALUE"""),1.4289939284789187E-4)</f>
        <v>0.0001428993928</v>
      </c>
      <c r="E706" s="2" t="str">
        <f>IFERROR(__xludf.DUMMYFUNCTION("""COMPUTED_VALUE"""),"    526.068")</f>
        <v>    526.068</v>
      </c>
    </row>
    <row r="707">
      <c r="A707" s="2" t="str">
        <f>IFERROR(__xludf.DUMMYFUNCTION("""COMPUTED_VALUE"""),"geovana")</f>
        <v>geovana</v>
      </c>
      <c r="B707" s="2" t="str">
        <f>IFERROR(__xludf.DUMMYFUNCTION("""COMPUTED_VALUE"""),"cldways")</f>
        <v>cldways</v>
      </c>
      <c r="C707" s="2" t="str">
        <f>IFERROR(__xludf.DUMMYFUNCTION("""COMPUTED_VALUE"""),"FREAK, from holy fvck")</f>
        <v>FREAK, from holy fvck</v>
      </c>
      <c r="D707" s="2">
        <f>IFERROR(__xludf.DUMMYFUNCTION("""COMPUTED_VALUE"""),1.4289939284789187E-4)</f>
        <v>0.0001428993928</v>
      </c>
      <c r="E707" s="2" t="str">
        <f>IFERROR(__xludf.DUMMYFUNCTION("""COMPUTED_VALUE"""),"      1.628")</f>
        <v>      1.628</v>
      </c>
    </row>
    <row r="708">
      <c r="A708" s="2" t="str">
        <f>IFERROR(__xludf.DUMMYFUNCTION("""COMPUTED_VALUE"""),"Tiago Medeiros")</f>
        <v>Tiago Medeiros</v>
      </c>
      <c r="B708" s="2" t="str">
        <f>IFERROR(__xludf.DUMMYFUNCTION("""COMPUTED_VALUE"""),"tiagoomedeiros")</f>
        <v>tiagoomedeiros</v>
      </c>
      <c r="C708" s="2" t="str">
        <f>IFERROR(__xludf.DUMMYFUNCTION("""COMPUTED_VALUE"""),"Jornalista e sommelier de caldinhos.")</f>
        <v>Jornalista e sommelier de caldinhos.</v>
      </c>
      <c r="D708" s="2">
        <f>IFERROR(__xludf.DUMMYFUNCTION("""COMPUTED_VALUE"""),1.4289939284789187E-4)</f>
        <v>0.0001428993928</v>
      </c>
      <c r="E708" s="2" t="str">
        <f>IFERROR(__xludf.DUMMYFUNCTION("""COMPUTED_VALUE"""),"    178.767")</f>
        <v>    178.767</v>
      </c>
    </row>
    <row r="709">
      <c r="A709" s="2" t="str">
        <f>IFERROR(__xludf.DUMMYFUNCTION("""COMPUTED_VALUE"""),"Bieldobein")</f>
        <v>Bieldobein</v>
      </c>
      <c r="B709" s="2" t="str">
        <f>IFERROR(__xludf.DUMMYFUNCTION("""COMPUTED_VALUE"""),"bieldomaul")</f>
        <v>bieldomaul</v>
      </c>
      <c r="C709" s="2" t="str">
        <f>IFERROR(__xludf.DUMMYFUNCTION("""COMPUTED_VALUE"""),"🎮 Streamer e ex-proplayer de LOL 📕 Focado em ajudar pessoas com apostas esportivas 💰 Contato: gabrielguiaf@hotmail.com")</f>
        <v>🎮 Streamer e ex-proplayer de LOL 📕 Focado em ajudar pessoas com apostas esportivas 💰 Contato: gabrielguiaf@hotmail.com</v>
      </c>
      <c r="D709" s="2">
        <f>IFERROR(__xludf.DUMMYFUNCTION("""COMPUTED_VALUE"""),1.4289939284789187E-4)</f>
        <v>0.0001428993928</v>
      </c>
      <c r="E709" s="2" t="str">
        <f>IFERROR(__xludf.DUMMYFUNCTION("""COMPUTED_VALUE"""),"     40.068")</f>
        <v>     40.068</v>
      </c>
    </row>
    <row r="710">
      <c r="A710" s="2" t="str">
        <f>IFERROR(__xludf.DUMMYFUNCTION("""COMPUTED_VALUE"""),"Guia das Apostas")</f>
        <v>Guia das Apostas</v>
      </c>
      <c r="B710" s="2" t="str">
        <f>IFERROR(__xludf.DUMMYFUNCTION("""COMPUTED_VALUE"""),"guiadasapostas")</f>
        <v>guiadasapostas</v>
      </c>
      <c r="C710" s="2" t="str">
        <f>IFERROR(__xludf.DUMMYFUNCTION("""COMPUTED_VALUE"""),"Maior perfil sobre apostas esportivas do Brasil no Twitter. Conheça nosso VIP pelo link abaixo ou no tweet fixado! DM aberta.")</f>
        <v>Maior perfil sobre apostas esportivas do Brasil no Twitter. Conheça nosso VIP pelo link abaixo ou no tweet fixado! DM aberta.</v>
      </c>
      <c r="D710" s="2">
        <f>IFERROR(__xludf.DUMMYFUNCTION("""COMPUTED_VALUE"""),1.4289939284789187E-4)</f>
        <v>0.0001428993928</v>
      </c>
      <c r="E710" s="2" t="str">
        <f>IFERROR(__xludf.DUMMYFUNCTION("""COMPUTED_VALUE"""),"    163.964")</f>
        <v>    163.964</v>
      </c>
    </row>
    <row r="711">
      <c r="A711" s="2" t="str">
        <f>IFERROR(__xludf.DUMMYFUNCTION("""COMPUTED_VALUE"""),"Marcus Arboés")</f>
        <v>Marcus Arboés</v>
      </c>
      <c r="B711" s="2" t="str">
        <f>IFERROR(__xludf.DUMMYFUNCTION("""COMPUTED_VALUE"""),"marcusarboes")</f>
        <v>marcusarboes</v>
      </c>
      <c r="C711" s="2" t="str">
        <f>IFERROR(__xludf.DUMMYFUNCTION("""COMPUTED_VALUE"""),"🎙 Narrador.
🎙️ Falo de tática e cultura de futebol.
🎙 – Você é do tamanho do seu sonho.")</f>
        <v>🎙 Narrador.
🎙️ Falo de tática e cultura de futebol.
🎙 – Você é do tamanho do seu sonho.</v>
      </c>
      <c r="D711" s="2">
        <f>IFERROR(__xludf.DUMMYFUNCTION("""COMPUTED_VALUE"""),1.4289939284789187E-4)</f>
        <v>0.0001428993928</v>
      </c>
      <c r="E711" s="2" t="str">
        <f>IFERROR(__xludf.DUMMYFUNCTION("""COMPUTED_VALUE"""),"      4.500")</f>
        <v>      4.500</v>
      </c>
    </row>
    <row r="712">
      <c r="A712" s="2" t="str">
        <f>IFERROR(__xludf.DUMMYFUNCTION("""COMPUTED_VALUE"""),"Surto Olímpico")</f>
        <v>Surto Olímpico</v>
      </c>
      <c r="B712" s="2" t="str">
        <f>IFERROR(__xludf.DUMMYFUNCTION("""COMPUTED_VALUE"""),"surtoolimpico")</f>
        <v>surtoolimpico</v>
      </c>
      <c r="C712" s="2" t="str">
        <f>IFERROR(__xludf.DUMMYFUNCTION("""COMPUTED_VALUE"""),"Curte Jogos Olímpicos e Paralímpicos? Vem surtar com a gente!
https://t.co/YP1WThJoB0")</f>
        <v>Curte Jogos Olímpicos e Paralímpicos? Vem surtar com a gente!
https://t.co/YP1WThJoB0</v>
      </c>
      <c r="D712" s="2">
        <f>IFERROR(__xludf.DUMMYFUNCTION("""COMPUTED_VALUE"""),1.4289939284789187E-4)</f>
        <v>0.0001428993928</v>
      </c>
      <c r="E712" s="2" t="str">
        <f>IFERROR(__xludf.DUMMYFUNCTION("""COMPUTED_VALUE"""),"     34.617")</f>
        <v>     34.617</v>
      </c>
    </row>
    <row r="713">
      <c r="A713" s="2" t="str">
        <f>IFERROR(__xludf.DUMMYFUNCTION("""COMPUTED_VALUE"""),"Mônica Alves")</f>
        <v>Mônica Alves</v>
      </c>
      <c r="B713" s="2" t="str">
        <f>IFERROR(__xludf.DUMMYFUNCTION("""COMPUTED_VALUE"""),"monicaalvesf")</f>
        <v>monicaalvesf</v>
      </c>
      <c r="C713" s="2" t="str">
        <f>IFERROR(__xludf.DUMMYFUNCTION("""COMPUTED_VALUE"""),"Pós-graduada em Jornalismo Esportivo | Repórter e redatora do @colunadofla | “A vida é como um jogo de futebol, cada lance pode definir sua trajetória.”")</f>
        <v>Pós-graduada em Jornalismo Esportivo | Repórter e redatora do @colunadofla | “A vida é como um jogo de futebol, cada lance pode definir sua trajetória.”</v>
      </c>
      <c r="D713" s="2">
        <f>IFERROR(__xludf.DUMMYFUNCTION("""COMPUTED_VALUE"""),1.4289939284789187E-4)</f>
        <v>0.0001428993928</v>
      </c>
      <c r="E713" s="2" t="str">
        <f>IFERROR(__xludf.DUMMYFUNCTION("""COMPUTED_VALUE"""),"     12.067")</f>
        <v>     12.067</v>
      </c>
    </row>
    <row r="714">
      <c r="A714" s="2" t="str">
        <f>IFERROR(__xludf.DUMMYFUNCTION("""COMPUTED_VALUE"""),"((o))eco | Jornalismo Ambiental")</f>
        <v>((o))eco | Jornalismo Ambiental</v>
      </c>
      <c r="B714" s="2" t="str">
        <f>IFERROR(__xludf.DUMMYFUNCTION("""COMPUTED_VALUE"""),"o_eco")</f>
        <v>o_eco</v>
      </c>
      <c r="C714" s="2" t="str">
        <f>IFERROR(__xludf.DUMMYFUNCTION("""COMPUTED_VALUE"""),"Jornalismo ambiental e independente. Damos voz a bichos e plantas, às pessoas que os protegem e aos bons debates sobre conservação.")</f>
        <v>Jornalismo ambiental e independente. Damos voz a bichos e plantas, às pessoas que os protegem e aos bons debates sobre conservação.</v>
      </c>
      <c r="D714" s="2">
        <f>IFERROR(__xludf.DUMMYFUNCTION("""COMPUTED_VALUE"""),1.4289939284789187E-4)</f>
        <v>0.0001428993928</v>
      </c>
      <c r="E714" s="2" t="str">
        <f>IFERROR(__xludf.DUMMYFUNCTION("""COMPUTED_VALUE"""),"     64.278")</f>
        <v>     64.278</v>
      </c>
    </row>
    <row r="715">
      <c r="A715" s="2" t="str">
        <f>IFERROR(__xludf.DUMMYFUNCTION("""COMPUTED_VALUE"""),".")</f>
        <v>.</v>
      </c>
      <c r="B715" s="2" t="str">
        <f>IFERROR(__xludf.DUMMYFUNCTION("""COMPUTED_VALUE"""),"fabrici70242229")</f>
        <v>fabrici70242229</v>
      </c>
      <c r="C715" s="2" t="str">
        <f>IFERROR(__xludf.DUMMYFUNCTION("""COMPUTED_VALUE"""),"Opinando sobre Ceará, Política, Religião, Música e Ceará.")</f>
        <v>Opinando sobre Ceará, Política, Religião, Música e Ceará.</v>
      </c>
      <c r="D715" s="2">
        <f>IFERROR(__xludf.DUMMYFUNCTION("""COMPUTED_VALUE"""),1.4289939284789187E-4)</f>
        <v>0.0001428993928</v>
      </c>
      <c r="E715" s="2" t="str">
        <f>IFERROR(__xludf.DUMMYFUNCTION("""COMPUTED_VALUE"""),"      1.398")</f>
        <v>      1.398</v>
      </c>
    </row>
    <row r="716">
      <c r="A716" s="2" t="str">
        <f>IFERROR(__xludf.DUMMYFUNCTION("""COMPUTED_VALUE"""),"Paglia Giovanni")</f>
        <v>Paglia Giovanni</v>
      </c>
      <c r="B716" s="2" t="str">
        <f>IFERROR(__xludf.DUMMYFUNCTION("""COMPUTED_VALUE"""),"giovannipaglia")</f>
        <v>giovannipaglia</v>
      </c>
      <c r="C716" s="2" t="str">
        <f>IFERROR(__xludf.DUMMYFUNCTION("""COMPUTED_VALUE"""),"Deputato della XVII Legislatura, sposato con Sarah e papà di Leone.")</f>
        <v>Deputato della XVII Legislatura, sposato con Sarah e papà di Leone.</v>
      </c>
      <c r="D716" s="2">
        <f>IFERROR(__xludf.DUMMYFUNCTION("""COMPUTED_VALUE"""),1.4289939284789187E-4)</f>
        <v>0.0001428993928</v>
      </c>
      <c r="E716" s="2" t="str">
        <f>IFERROR(__xludf.DUMMYFUNCTION("""COMPUTED_VALUE"""),"      8.895")</f>
        <v>      8.895</v>
      </c>
    </row>
    <row r="717">
      <c r="A717" s="2" t="str">
        <f>IFERROR(__xludf.DUMMYFUNCTION("""COMPUTED_VALUE"""),"Alessandra Libutti 🇪🇺")</f>
        <v>Alessandra Libutti 🇪🇺</v>
      </c>
      <c r="B717" s="2" t="str">
        <f>IFERROR(__xludf.DUMMYFUNCTION("""COMPUTED_VALUE"""),"a_libutti")</f>
        <v>a_libutti</v>
      </c>
      <c r="C717" s="2" t="str">
        <f>IFERROR(__xludf.DUMMYFUNCTION("""COMPUTED_VALUE"""),"Populism is the sunset of democracy. Author of ‘Thomas Jay’, shortlisted at the Italo Calvino Prize. @ilfoglio_it @LaRagione_eu Mastodon: @alibutti@mastodon.uno")</f>
        <v>Populism is the sunset of democracy. Author of ‘Thomas Jay’, shortlisted at the Italo Calvino Prize. @ilfoglio_it @LaRagione_eu Mastodon: @alibutti@mastodon.uno</v>
      </c>
      <c r="D717" s="2">
        <f>IFERROR(__xludf.DUMMYFUNCTION("""COMPUTED_VALUE"""),1.4289939284789187E-4)</f>
        <v>0.0001428993928</v>
      </c>
      <c r="E717" s="2" t="str">
        <f>IFERROR(__xludf.DUMMYFUNCTION("""COMPUTED_VALUE"""),"      1.735")</f>
        <v>      1.735</v>
      </c>
    </row>
    <row r="718">
      <c r="A718" s="2" t="str">
        <f>IFERROR(__xludf.DUMMYFUNCTION("""COMPUTED_VALUE"""),"C MenesesOliveira.pt")</f>
        <v>C MenesesOliveira.pt</v>
      </c>
      <c r="B718" s="2" t="str">
        <f>IFERROR(__xludf.DUMMYFUNCTION("""COMPUTED_VALUE"""),"cmotwitting_pt")</f>
        <v>cmotwitting_pt</v>
      </c>
      <c r="C718" s="2" t="str">
        <f>IFERROR(__xludf.DUMMYFUNCTION("""COMPUTED_VALUE"""),"Médico")</f>
        <v>Médico</v>
      </c>
      <c r="D718" s="2">
        <f>IFERROR(__xludf.DUMMYFUNCTION("""COMPUTED_VALUE"""),1.4289939284789187E-4)</f>
        <v>0.0001428993928</v>
      </c>
      <c r="E718" s="2" t="str">
        <f>IFERROR(__xludf.DUMMYFUNCTION("""COMPUTED_VALUE"""),"      3.056")</f>
        <v>      3.056</v>
      </c>
    </row>
    <row r="719">
      <c r="A719" s="2" t="str">
        <f>IFERROR(__xludf.DUMMYFUNCTION("""COMPUTED_VALUE"""),"𝐆𝐀𝐁𝐑𝟏 𝐃𝟑 𝐅𝐀𝐓𝐎")</f>
        <v>𝐆𝐀𝐁𝐑𝟏 𝐃𝟑 𝐅𝐀𝐓𝐎</v>
      </c>
      <c r="B719" s="2" t="str">
        <f>IFERROR(__xludf.DUMMYFUNCTION("""COMPUTED_VALUE"""),"gabridefato")</f>
        <v>gabridefato</v>
      </c>
      <c r="C719" s="2" t="str">
        <f>IFERROR(__xludf.DUMMYFUNCTION("""COMPUTED_VALUE"""),"@Atletico Uma Vez Até Morrer 🐓 Insta @Gabridefato")</f>
        <v>@Atletico Uma Vez Até Morrer 🐓 Insta @Gabridefato</v>
      </c>
      <c r="D719" s="2">
        <f>IFERROR(__xludf.DUMMYFUNCTION("""COMPUTED_VALUE"""),1.4289939284789187E-4)</f>
        <v>0.0001428993928</v>
      </c>
      <c r="E719" s="2" t="str">
        <f>IFERROR(__xludf.DUMMYFUNCTION("""COMPUTED_VALUE"""),"      7.050")</f>
        <v>      7.050</v>
      </c>
    </row>
    <row r="720">
      <c r="A720" s="2" t="str">
        <f>IFERROR(__xludf.DUMMYFUNCTION("""COMPUTED_VALUE"""),"DENNIS")</f>
        <v>DENNIS</v>
      </c>
      <c r="B720" s="2" t="str">
        <f>IFERROR(__xludf.DUMMYFUNCTION("""COMPUTED_VALUE"""),"dennisdj")</f>
        <v>dennisdj</v>
      </c>
      <c r="C720" s="2" t="str">
        <f>IFERROR(__xludf.DUMMYFUNCTION("""COMPUTED_VALUE"""),"Produtor | Dj | Compositor | Leonino | Contato: dennis@vnewbrasil.com.br")</f>
        <v>Produtor | Dj | Compositor | Leonino | Contato: dennis@vnewbrasil.com.br</v>
      </c>
      <c r="D720" s="2">
        <f>IFERROR(__xludf.DUMMYFUNCTION("""COMPUTED_VALUE"""),1.4289939284789187E-4)</f>
        <v>0.0001428993928</v>
      </c>
      <c r="E720" s="2" t="str">
        <f>IFERROR(__xludf.DUMMYFUNCTION("""COMPUTED_VALUE"""),"    607.712")</f>
        <v>    607.712</v>
      </c>
    </row>
    <row r="721">
      <c r="A721" s="2" t="str">
        <f>IFERROR(__xludf.DUMMYFUNCTION("""COMPUTED_VALUE"""),"b")</f>
        <v>b</v>
      </c>
      <c r="B721" s="2" t="str">
        <f>IFERROR(__xludf.DUMMYFUNCTION("""COMPUTED_VALUE"""),"iamblackbow")</f>
        <v>iamblackbow</v>
      </c>
      <c r="C721" s="2" t="str">
        <f>IFERROR(__xludf.DUMMYFUNCTION("""COMPUTED_VALUE"""),"mañana será bonito 🌸 | Fan Account")</f>
        <v>mañana será bonito 🌸 | Fan Account</v>
      </c>
      <c r="D721" s="2">
        <f>IFERROR(__xludf.DUMMYFUNCTION("""COMPUTED_VALUE"""),1.4289939284789187E-4)</f>
        <v>0.0001428993928</v>
      </c>
      <c r="E721" s="2" t="str">
        <f>IFERROR(__xludf.DUMMYFUNCTION("""COMPUTED_VALUE"""),"      2.440")</f>
        <v>      2.440</v>
      </c>
    </row>
    <row r="722">
      <c r="A722" s="2" t="str">
        <f>IFERROR(__xludf.DUMMYFUNCTION("""COMPUTED_VALUE"""),"Capirotinho 🔥")</f>
        <v>Capirotinho 🔥</v>
      </c>
      <c r="B722" s="2" t="str">
        <f>IFERROR(__xludf.DUMMYFUNCTION("""COMPUTED_VALUE"""),"o_capirotinho")</f>
        <v>o_capirotinho</v>
      </c>
      <c r="C722" s="2" t="str">
        <f>IFERROR(__xludf.DUMMYFUNCTION("""COMPUTED_VALUE"""),"O Capirotinho é apenas um personagem irônico, ácido e humorístico, criado por Guilherme Infante. Aqui assumimos que somos contraditórios.")</f>
        <v>O Capirotinho é apenas um personagem irônico, ácido e humorístico, criado por Guilherme Infante. Aqui assumimos que somos contraditórios.</v>
      </c>
      <c r="D722" s="2">
        <f>IFERROR(__xludf.DUMMYFUNCTION("""COMPUTED_VALUE"""),1.4289939284789187E-4)</f>
        <v>0.0001428993928</v>
      </c>
      <c r="E722" s="2" t="str">
        <f>IFERROR(__xludf.DUMMYFUNCTION("""COMPUTED_VALUE"""),"     57.283")</f>
        <v>     57.283</v>
      </c>
    </row>
    <row r="723">
      <c r="A723" s="2" t="str">
        <f>IFERROR(__xludf.DUMMYFUNCTION("""COMPUTED_VALUE"""),"Fred Gomes")</f>
        <v>Fred Gomes</v>
      </c>
      <c r="B723" s="2" t="str">
        <f>IFERROR(__xludf.DUMMYFUNCTION("""COMPUTED_VALUE"""),"fredgomes1985")</f>
        <v>fredgomes1985</v>
      </c>
      <c r="C723" s="2" t="str">
        <f>IFERROR(__xludf.DUMMYFUNCTION("""COMPUTED_VALUE"""),"Setorista do #MENGO desde 30/11/2021 no https://t.co/DmuR02fMMK (@ge_fla) - Clica aí!
GE FLAMENGO - https://t.co/B01MwSr6F9")</f>
        <v>Setorista do #MENGO desde 30/11/2021 no https://t.co/DmuR02fMMK (@ge_fla) - Clica aí!
GE FLAMENGO - https://t.co/B01MwSr6F9</v>
      </c>
      <c r="D723" s="2">
        <f>IFERROR(__xludf.DUMMYFUNCTION("""COMPUTED_VALUE"""),1.4289939284789187E-4)</f>
        <v>0.0001428993928</v>
      </c>
      <c r="E723" s="2" t="str">
        <f>IFERROR(__xludf.DUMMYFUNCTION("""COMPUTED_VALUE"""),"     76.151")</f>
        <v>     76.151</v>
      </c>
    </row>
    <row r="724">
      <c r="A724" s="2" t="str">
        <f>IFERROR(__xludf.DUMMYFUNCTION("""COMPUTED_VALUE"""),"Sakuga ONE 「作画1️⃣」")</f>
        <v>Sakuga ONE 「作画1️⃣」</v>
      </c>
      <c r="B724" s="2" t="str">
        <f>IFERROR(__xludf.DUMMYFUNCTION("""COMPUTED_VALUE"""),"sakugaone")</f>
        <v>sakugaone</v>
      </c>
      <c r="C724" s="2" t="str">
        <f>IFERROR(__xludf.DUMMYFUNCTION("""COMPUTED_VALUE"""),"Sua página número 1️⃣ de conteúdo sakuga! Faço análises técnicas de produção de animes!
🇧🇷/🇺🇸 OK!
CEO: @YGP__
Nosso Discord: https://t.co/INdi4zm55B")</f>
        <v>Sua página número 1️⃣ de conteúdo sakuga! Faço análises técnicas de produção de animes!
🇧🇷/🇺🇸 OK!
CEO: @YGP__
Nosso Discord: https://t.co/INdi4zm55B</v>
      </c>
      <c r="D724" s="2">
        <f>IFERROR(__xludf.DUMMYFUNCTION("""COMPUTED_VALUE"""),1.4289939284789187E-4)</f>
        <v>0.0001428993928</v>
      </c>
      <c r="E724" s="2" t="str">
        <f>IFERROR(__xludf.DUMMYFUNCTION("""COMPUTED_VALUE"""),"     57.203")</f>
        <v>     57.203</v>
      </c>
    </row>
    <row r="725">
      <c r="A725" s="2" t="str">
        <f>IFERROR(__xludf.DUMMYFUNCTION("""COMPUTED_VALUE"""),"Elyel ˢᶜᶜᵖ")</f>
        <v>Elyel ˢᶜᶜᵖ</v>
      </c>
      <c r="B725" s="2" t="str">
        <f>IFERROR(__xludf.DUMMYFUNCTION("""COMPUTED_VALUE"""),"elyelsccp")</f>
        <v>elyelsccp</v>
      </c>
      <c r="C725" s="2" t="str">
        <f>IFERROR(__xludf.DUMMYFUNCTION("""COMPUTED_VALUE"""),"• 𝐚 𝐯𝐢𝐝𝐚 𝐦𝐞 𝐟𝐞𝐳 𝐂𝐨𝐫𝐢𝐧𝐭𝐡𝐢𝐚𝐧𝐬 𝐞 𝐞𝐮 𝐟𝐢𝐳 𝐝𝐨 𝐂𝐨𝐫𝐢𝐧𝐭𝐡𝐢𝐚𝐧𝐬 𝐚 𝐦𝐢𝐧𝐡𝐚 𝐯𝐢𝐝𝐚 🦅🖤🤍•")</f>
        <v>• 𝐚 𝐯𝐢𝐝𝐚 𝐦𝐞 𝐟𝐞𝐳 𝐂𝐨𝐫𝐢𝐧𝐭𝐡𝐢𝐚𝐧𝐬 𝐞 𝐞𝐮 𝐟𝐢𝐳 𝐝𝐨 𝐂𝐨𝐫𝐢𝐧𝐭𝐡𝐢𝐚𝐧𝐬 𝐚 𝐦𝐢𝐧𝐡𝐚 𝐯𝐢𝐝𝐚 🦅🖤🤍•</v>
      </c>
      <c r="D725" s="2">
        <f>IFERROR(__xludf.DUMMYFUNCTION("""COMPUTED_VALUE"""),1.4289939284789187E-4)</f>
        <v>0.0001428993928</v>
      </c>
      <c r="E725" s="2" t="str">
        <f>IFERROR(__xludf.DUMMYFUNCTION("""COMPUTED_VALUE"""),"     30.083")</f>
        <v>     30.083</v>
      </c>
    </row>
    <row r="726">
      <c r="A726" s="2" t="str">
        <f>IFERROR(__xludf.DUMMYFUNCTION("""COMPUTED_VALUE"""),"CanalGov")</f>
        <v>CanalGov</v>
      </c>
      <c r="B726" s="2" t="str">
        <f>IFERROR(__xludf.DUMMYFUNCTION("""COMPUTED_VALUE"""),"canalgov")</f>
        <v>canalgov</v>
      </c>
      <c r="C726" s="2" t="str">
        <f>IFERROR(__xludf.DUMMYFUNCTION("""COMPUTED_VALUE"""),"Notícias e ações do Governo Federal e da Presidência da República 🇧🇷 Um veículo da EBC")</f>
        <v>Notícias e ações do Governo Federal e da Presidência da República 🇧🇷 Um veículo da EBC</v>
      </c>
      <c r="D726" s="2">
        <f>IFERROR(__xludf.DUMMYFUNCTION("""COMPUTED_VALUE"""),1.4289939284789187E-4)</f>
        <v>0.0001428993928</v>
      </c>
      <c r="E726" s="2" t="str">
        <f>IFERROR(__xludf.DUMMYFUNCTION("""COMPUTED_VALUE"""),"    347.706")</f>
        <v>    347.706</v>
      </c>
    </row>
    <row r="727">
      <c r="A727" s="2" t="str">
        <f>IFERROR(__xludf.DUMMYFUNCTION("""COMPUTED_VALUE"""),"Alexandre Gramiliki")</f>
        <v>Alexandre Gramiliki</v>
      </c>
      <c r="B727" s="2" t="str">
        <f>IFERROR(__xludf.DUMMYFUNCTION("""COMPUTED_VALUE"""),"gramiliki_")</f>
        <v>gramiliki_</v>
      </c>
      <c r="C727" s="2" t="str">
        <f>IFERROR(__xludf.DUMMYFUNCTION("""COMPUTED_VALUE"""),"Falo de video games e tecnologia, especialmente sobre Nintendo e Rockstar Games. Not for sale.")</f>
        <v>Falo de video games e tecnologia, especialmente sobre Nintendo e Rockstar Games. Not for sale.</v>
      </c>
      <c r="D727" s="2">
        <f>IFERROR(__xludf.DUMMYFUNCTION("""COMPUTED_VALUE"""),1.4289939284789187E-4)</f>
        <v>0.0001428993928</v>
      </c>
      <c r="E727" s="2" t="str">
        <f>IFERROR(__xludf.DUMMYFUNCTION("""COMPUTED_VALUE"""),"      1.561")</f>
        <v>      1.561</v>
      </c>
    </row>
    <row r="728">
      <c r="A728" s="2" t="str">
        <f>IFERROR(__xludf.DUMMYFUNCTION("""COMPUTED_VALUE"""),"Lívio Adelson")</f>
        <v>Lívio Adelson</v>
      </c>
      <c r="B728" s="2" t="str">
        <f>IFERROR(__xludf.DUMMYFUNCTION("""COMPUTED_VALUE"""),"livioadelson")</f>
        <v>livioadelson</v>
      </c>
      <c r="C728" s="2" t="str">
        <f>IFERROR(__xludf.DUMMYFUNCTION("""COMPUTED_VALUE"""),"“O dinheiro faz homens ricos, o conhecimento faz homens sábios, a humildade faz grandes homens.” Mahatma Gandhi")</f>
        <v>“O dinheiro faz homens ricos, o conhecimento faz homens sábios, a humildade faz grandes homens.” Mahatma Gandhi</v>
      </c>
      <c r="D728" s="2">
        <f>IFERROR(__xludf.DUMMYFUNCTION("""COMPUTED_VALUE"""),1.4289939284789187E-4)</f>
        <v>0.0001428993928</v>
      </c>
      <c r="E728" s="2" t="str">
        <f>IFERROR(__xludf.DUMMYFUNCTION("""COMPUTED_VALUE"""),"      2.281")</f>
        <v>      2.281</v>
      </c>
    </row>
    <row r="729">
      <c r="A729" s="2" t="str">
        <f>IFERROR(__xludf.DUMMYFUNCTION("""COMPUTED_VALUE"""),"luan vinicius lovato")</f>
        <v>luan vinicius lovato</v>
      </c>
      <c r="B729" s="2" t="str">
        <f>IFERROR(__xludf.DUMMYFUNCTION("""COMPUTED_VALUE"""),"luanlovato")</f>
        <v>luanlovato</v>
      </c>
      <c r="C729" s="2" t="str">
        <f>IFERROR(__xludf.DUMMYFUNCTION("""COMPUTED_VALUE"""),"Comunicador intuitivo animal e twitteiro nas horas vagas.      Nascido e criado no twitter. contato: lovatoluan@gmail.com https://t.co/z9fDVzywfh")</f>
        <v>Comunicador intuitivo animal e twitteiro nas horas vagas.      Nascido e criado no twitter. contato: lovatoluan@gmail.com https://t.co/z9fDVzywfh</v>
      </c>
      <c r="D729" s="2">
        <f>IFERROR(__xludf.DUMMYFUNCTION("""COMPUTED_VALUE"""),1.4289939284789187E-4)</f>
        <v>0.0001428993928</v>
      </c>
      <c r="E729" s="2" t="str">
        <f>IFERROR(__xludf.DUMMYFUNCTION("""COMPUTED_VALUE"""),"  1.073.614")</f>
        <v>  1.073.614</v>
      </c>
    </row>
    <row r="730">
      <c r="A730" s="2" t="str">
        <f>IFERROR(__xludf.DUMMYFUNCTION("""COMPUTED_VALUE"""),"Barbara Collevecchio")</f>
        <v>Barbara Collevecchio</v>
      </c>
      <c r="B730" s="2" t="str">
        <f>IFERROR(__xludf.DUMMYFUNCTION("""COMPUTED_VALUE"""),"colvieux")</f>
        <v>colvieux</v>
      </c>
      <c r="C730" s="2" t="str">
        <f>IFERROR(__xludf.DUMMYFUNCTION("""COMPUTED_VALUE"""),"Psicologa clinica,  analista in training #Aipa. Master-Diagnosi e Trattamento Disturbi Personalità con Mucci, Gabbard, Kernberg . Autrice “ il male che cura”")</f>
        <v>Psicologa clinica,  analista in training #Aipa. Master-Diagnosi e Trattamento Disturbi Personalità con Mucci, Gabbard, Kernberg . Autrice “ il male che cura”</v>
      </c>
      <c r="D730" s="2">
        <f>IFERROR(__xludf.DUMMYFUNCTION("""COMPUTED_VALUE"""),1.4289939284789187E-4)</f>
        <v>0.0001428993928</v>
      </c>
      <c r="E730" s="2" t="str">
        <f>IFERROR(__xludf.DUMMYFUNCTION("""COMPUTED_VALUE"""),"     42.680")</f>
        <v>     42.680</v>
      </c>
    </row>
    <row r="731">
      <c r="A731" s="2" t="str">
        <f>IFERROR(__xludf.DUMMYFUNCTION("""COMPUTED_VALUE"""),"RégLi 🇭🇺")</f>
        <v>RégLi 🇭🇺</v>
      </c>
      <c r="B731" s="2" t="str">
        <f>IFERROR(__xludf.DUMMYFUNCTION("""COMPUTED_VALUE"""),"jregliffc")</f>
        <v>jregliffc</v>
      </c>
      <c r="C731" s="2" t="str">
        <f>IFERROR(__xludf.DUMMYFUNCTION("""COMPUTED_VALUE"""),"perfil dedicado exclusivamente à defesa institucional do Fluminense Football Club")</f>
        <v>perfil dedicado exclusivamente à defesa institucional do Fluminense Football Club</v>
      </c>
      <c r="D731" s="2">
        <f>IFERROR(__xludf.DUMMYFUNCTION("""COMPUTED_VALUE"""),1.4289939284789187E-4)</f>
        <v>0.0001428993928</v>
      </c>
      <c r="E731" s="2" t="str">
        <f>IFERROR(__xludf.DUMMYFUNCTION("""COMPUTED_VALUE"""),"      1.294")</f>
        <v>      1.294</v>
      </c>
    </row>
    <row r="732">
      <c r="A732" s="2" t="str">
        <f>IFERROR(__xludf.DUMMYFUNCTION("""COMPUTED_VALUE"""),"Flamengo")</f>
        <v>Flamengo</v>
      </c>
      <c r="B732" s="2" t="str">
        <f>IFERROR(__xludf.DUMMYFUNCTION("""COMPUTED_VALUE"""),"flamengo")</f>
        <v>flamengo</v>
      </c>
      <c r="C732" s="2" t="str">
        <f>IFERROR(__xludf.DUMMYFUNCTION("""COMPUTED_VALUE"""),"Twitter Oficial do Clube de Regatas do Flamengo •Espanhol: @flamengo_es •Inglês: @flamengo_en •Esportes Olímpicos: @TimeFlamengo. Seja ST: https://t.co/X8JzrSImBZ")</f>
        <v>Twitter Oficial do Clube de Regatas do Flamengo •Espanhol: @flamengo_es •Inglês: @flamengo_en •Esportes Olímpicos: @TimeFlamengo. Seja ST: https://t.co/X8JzrSImBZ</v>
      </c>
      <c r="D732" s="2">
        <f>IFERROR(__xludf.DUMMYFUNCTION("""COMPUTED_VALUE"""),1.4289939284789187E-4)</f>
        <v>0.0001428993928</v>
      </c>
      <c r="E732" s="2" t="str">
        <f>IFERROR(__xludf.DUMMYFUNCTION("""COMPUTED_VALUE""")," 10.422.306")</f>
        <v> 10.422.306</v>
      </c>
    </row>
    <row r="733">
      <c r="A733" s="2" t="str">
        <f>IFERROR(__xludf.DUMMYFUNCTION("""COMPUTED_VALUE"""),"FFMS | PORDATA")</f>
        <v>FFMS | PORDATA</v>
      </c>
      <c r="B733" s="2" t="str">
        <f>IFERROR(__xludf.DUMMYFUNCTION("""COMPUTED_VALUE"""),"ffms_pordata")</f>
        <v>ffms_pordata</v>
      </c>
      <c r="C733" s="2" t="str">
        <f>IFERROR(__xludf.DUMMYFUNCTION("""COMPUTED_VALUE"""),"Conheça o retrato da sociedade portuguesa, com base nos estudos da #FFMS_PT e nos dados estatísticos da #Pordata, recolhidos junto de +60 entidades oficiais.")</f>
        <v>Conheça o retrato da sociedade portuguesa, com base nos estudos da #FFMS_PT e nos dados estatísticos da #Pordata, recolhidos junto de +60 entidades oficiais.</v>
      </c>
      <c r="D733" s="2">
        <f>IFERROR(__xludf.DUMMYFUNCTION("""COMPUTED_VALUE"""),1.4289939284789187E-4)</f>
        <v>0.0001428993928</v>
      </c>
      <c r="E733" s="2" t="str">
        <f>IFERROR(__xludf.DUMMYFUNCTION("""COMPUTED_VALUE"""),"     45.977")</f>
        <v>     45.977</v>
      </c>
    </row>
    <row r="734">
      <c r="A734" s="2" t="str">
        <f>IFERROR(__xludf.DUMMYFUNCTION("""COMPUTED_VALUE"""),"¡HOLA! TV")</f>
        <v>¡HOLA! TV</v>
      </c>
      <c r="B734" s="2" t="str">
        <f>IFERROR(__xludf.DUMMYFUNCTION("""COMPUTED_VALUE"""),"holatv")</f>
        <v>holatv</v>
      </c>
      <c r="C734" s="2" t="str">
        <f>IFERROR(__xludf.DUMMYFUNCTION("""COMPUTED_VALUE"""),"Tu revista ¡HOLA! llega a la TV para traerte información exclusiva del mundo de la moda, la realeza y tus celebridades favoritas.")</f>
        <v>Tu revista ¡HOLA! llega a la TV para traerte información exclusiva del mundo de la moda, la realeza y tus celebridades favoritas.</v>
      </c>
      <c r="D734" s="2">
        <f>IFERROR(__xludf.DUMMYFUNCTION("""COMPUTED_VALUE"""),1.4289939284789187E-4)</f>
        <v>0.0001428993928</v>
      </c>
      <c r="E734" s="2" t="str">
        <f>IFERROR(__xludf.DUMMYFUNCTION("""COMPUTED_VALUE"""),"     71.926")</f>
        <v>     71.926</v>
      </c>
    </row>
    <row r="735">
      <c r="A735" s="2" t="str">
        <f>IFERROR(__xludf.DUMMYFUNCTION("""COMPUTED_VALUE"""),"Yahoo Finance")</f>
        <v>Yahoo Finance</v>
      </c>
      <c r="B735" s="2" t="str">
        <f>IFERROR(__xludf.DUMMYFUNCTION("""COMPUTED_VALUE"""),"yahoofinance")</f>
        <v>yahoofinance</v>
      </c>
      <c r="C735" s="2" t="str">
        <f>IFERROR(__xludf.DUMMYFUNCTION("""COMPUTED_VALUE"""),"The world’s biggest business news platform: https://t.co/EhQ75nXob3 Get the free Yahoo Finance app &amp; subscribe to our morning newsletter, the Morning Brief ⬇️")</f>
        <v>The world’s biggest business news platform: https://t.co/EhQ75nXob3 Get the free Yahoo Finance app &amp; subscribe to our morning newsletter, the Morning Brief ⬇️</v>
      </c>
      <c r="D735" s="2">
        <f>IFERROR(__xludf.DUMMYFUNCTION("""COMPUTED_VALUE"""),1.4289939284789187E-4)</f>
        <v>0.0001428993928</v>
      </c>
      <c r="E735" s="2" t="str">
        <f>IFERROR(__xludf.DUMMYFUNCTION("""COMPUTED_VALUE"""),"  1.675.414")</f>
        <v>  1.675.414</v>
      </c>
    </row>
    <row r="736">
      <c r="A736" s="2" t="str">
        <f>IFERROR(__xludf.DUMMYFUNCTION("""COMPUTED_VALUE"""),"Dário Berger")</f>
        <v>Dário Berger</v>
      </c>
      <c r="B736" s="2" t="str">
        <f>IFERROR(__xludf.DUMMYFUNCTION("""COMPUTED_VALUE"""),"darioberger")</f>
        <v>darioberger</v>
      </c>
      <c r="C736" s="2" t="str">
        <f>IFERROR(__xludf.DUMMYFUNCTION("""COMPUTED_VALUE"""),"Formado em administração pela UFSC, empresário, fui vereador, prefeito eleito e reeleito de São José e Floripa. Atual Senador da República por SC. 🇧🇷")</f>
        <v>Formado em administração pela UFSC, empresário, fui vereador, prefeito eleito e reeleito de São José e Floripa. Atual Senador da República por SC. 🇧🇷</v>
      </c>
      <c r="D736" s="2">
        <f>IFERROR(__xludf.DUMMYFUNCTION("""COMPUTED_VALUE"""),1.4289939284789187E-4)</f>
        <v>0.0001428993928</v>
      </c>
      <c r="E736" s="2" t="str">
        <f>IFERROR(__xludf.DUMMYFUNCTION("""COMPUTED_VALUE"""),"     11.232")</f>
        <v>     11.232</v>
      </c>
    </row>
    <row r="737">
      <c r="A737" s="2" t="str">
        <f>IFERROR(__xludf.DUMMYFUNCTION("""COMPUTED_VALUE"""),"Quem é Satoshi")</f>
        <v>Quem é Satoshi</v>
      </c>
      <c r="B737" s="2" t="str">
        <f>IFERROR(__xludf.DUMMYFUNCTION("""COMPUTED_VALUE"""),"quem_e_satoshi")</f>
        <v>quem_e_satoshi</v>
      </c>
      <c r="C737" s="2" t="str">
        <f>IFERROR(__xludf.DUMMYFUNCTION("""COMPUTED_VALUE"""),"Economia, Bitcoin e memes! + de 3 milhões de pessoas impactadas por mês 🚀 / Apoie o canal 💪: https://t.co/84T5vC35VU")</f>
        <v>Economia, Bitcoin e memes! + de 3 milhões de pessoas impactadas por mês 🚀 / Apoie o canal 💪: https://t.co/84T5vC35VU</v>
      </c>
      <c r="D737" s="2">
        <f>IFERROR(__xludf.DUMMYFUNCTION("""COMPUTED_VALUE"""),1.4289939284789187E-4)</f>
        <v>0.0001428993928</v>
      </c>
      <c r="E737" s="2" t="str">
        <f>IFERROR(__xludf.DUMMYFUNCTION("""COMPUTED_VALUE"""),"     10.884")</f>
        <v>     10.884</v>
      </c>
    </row>
    <row r="738">
      <c r="A738" s="2" t="str">
        <f>IFERROR(__xludf.DUMMYFUNCTION("""COMPUTED_VALUE"""),"Thiago Monteiro")</f>
        <v>Thiago Monteiro</v>
      </c>
      <c r="B738" s="2" t="str">
        <f>IFERROR(__xludf.DUMMYFUNCTION("""COMPUTED_VALUE"""),"dthiagomonteiro")</f>
        <v>dthiagomonteiro</v>
      </c>
      <c r="C738" s="2" t="str">
        <f>IFERROR(__xludf.DUMMYFUNCTION("""COMPUTED_VALUE"""),"Tennis player.")</f>
        <v>Tennis player.</v>
      </c>
      <c r="D738" s="2">
        <f>IFERROR(__xludf.DUMMYFUNCTION("""COMPUTED_VALUE"""),1.4289939284789187E-4)</f>
        <v>0.0001428993928</v>
      </c>
      <c r="E738" s="2" t="str">
        <f>IFERROR(__xludf.DUMMYFUNCTION("""COMPUTED_VALUE"""),"      7.259")</f>
        <v>      7.259</v>
      </c>
    </row>
    <row r="739">
      <c r="A739" s="2" t="str">
        <f>IFERROR(__xludf.DUMMYFUNCTION("""COMPUTED_VALUE"""),"Papo de Tênis")</f>
        <v>Papo de Tênis</v>
      </c>
      <c r="B739" s="2" t="str">
        <f>IFERROR(__xludf.DUMMYFUNCTION("""COMPUTED_VALUE"""),"papodeteniscast")</f>
        <v>papodeteniscast</v>
      </c>
      <c r="C739" s="2" t="str">
        <f>IFERROR(__xludf.DUMMYFUNCTION("""COMPUTED_VALUE"""),"Podcast que fala sobre esportes mas em especial sobre tênis e toda quinta tem episódio novo nas plataformas . Feito por: Rai, Fred, Pelezista e Pedro.")</f>
        <v>Podcast que fala sobre esportes mas em especial sobre tênis e toda quinta tem episódio novo nas plataformas . Feito por: Rai, Fred, Pelezista e Pedro.</v>
      </c>
      <c r="D739" s="2">
        <f>IFERROR(__xludf.DUMMYFUNCTION("""COMPUTED_VALUE"""),1.4289939284789187E-4)</f>
        <v>0.0001428993928</v>
      </c>
      <c r="E739" s="2" t="str">
        <f>IFERROR(__xludf.DUMMYFUNCTION("""COMPUTED_VALUE"""),"      2.506")</f>
        <v>      2.506</v>
      </c>
    </row>
    <row r="740">
      <c r="A740" s="2" t="str">
        <f>IFERROR(__xludf.DUMMYFUNCTION("""COMPUTED_VALUE"""),"RAP MAIS")</f>
        <v>RAP MAIS</v>
      </c>
      <c r="B740" s="2" t="str">
        <f>IFERROR(__xludf.DUMMYFUNCTION("""COMPUTED_VALUE"""),"rapmais")</f>
        <v>rapmais</v>
      </c>
      <c r="C740" s="2" t="str">
        <f>IFERROR(__xludf.DUMMYFUNCTION("""COMPUTED_VALUE"""),"A principal fonte de informação sobre a cultura hip-hop no Brasil! Com notícias sobre rap, funk, lifestyle, esportes e muito MAIS! contato@rapmais.com")</f>
        <v>A principal fonte de informação sobre a cultura hip-hop no Brasil! Com notícias sobre rap, funk, lifestyle, esportes e muito MAIS! contato@rapmais.com</v>
      </c>
      <c r="D740" s="2">
        <f>IFERROR(__xludf.DUMMYFUNCTION("""COMPUTED_VALUE"""),1.4289939284789187E-4)</f>
        <v>0.0001428993928</v>
      </c>
      <c r="E740" s="2" t="str">
        <f>IFERROR(__xludf.DUMMYFUNCTION("""COMPUTED_VALUE"""),"    763.551")</f>
        <v>    763.551</v>
      </c>
    </row>
    <row r="741">
      <c r="A741" s="2" t="str">
        <f>IFERROR(__xludf.DUMMYFUNCTION("""COMPUTED_VALUE"""),"Moisés Barcia")</f>
        <v>Moisés Barcia</v>
      </c>
      <c r="B741" s="2" t="str">
        <f>IFERROR(__xludf.DUMMYFUNCTION("""COMPUTED_VALUE"""),"moises_barcia")</f>
        <v>moises_barcia</v>
      </c>
      <c r="C741" s="2" t="str">
        <f>IFERROR(__xludf.DUMMYFUNCTION("""COMPUTED_VALUE"""),"Editor e tradutor galego")</f>
        <v>Editor e tradutor galego</v>
      </c>
      <c r="D741" s="2">
        <f>IFERROR(__xludf.DUMMYFUNCTION("""COMPUTED_VALUE"""),1.4289939284789187E-4)</f>
        <v>0.0001428993928</v>
      </c>
      <c r="E741" s="2" t="str">
        <f>IFERROR(__xludf.DUMMYFUNCTION("""COMPUTED_VALUE"""),"      2.180")</f>
        <v>      2.180</v>
      </c>
    </row>
    <row r="742">
      <c r="A742" s="2" t="str">
        <f>IFERROR(__xludf.DUMMYFUNCTION("""COMPUTED_VALUE"""),"rocio castro")</f>
        <v>rocio castro</v>
      </c>
      <c r="B742" s="2" t="str">
        <f>IFERROR(__xludf.DUMMYFUNCTION("""COMPUTED_VALUE"""),"rociocastrot")</f>
        <v>rociocastrot</v>
      </c>
      <c r="C742" s="2" t="str">
        <f>IFERROR(__xludf.DUMMYFUNCTION("""COMPUTED_VALUE"""),"nada do humano me é alleo")</f>
        <v>nada do humano me é alleo</v>
      </c>
      <c r="D742" s="2">
        <f>IFERROR(__xludf.DUMMYFUNCTION("""COMPUTED_VALUE"""),1.4289939284789187E-4)</f>
        <v>0.0001428993928</v>
      </c>
      <c r="E742" s="2" t="str">
        <f>IFERROR(__xludf.DUMMYFUNCTION("""COMPUTED_VALUE"""),"      1.948")</f>
        <v>      1.948</v>
      </c>
    </row>
    <row r="743">
      <c r="A743" s="2" t="str">
        <f>IFERROR(__xludf.DUMMYFUNCTION("""COMPUTED_VALUE"""),"FC Porto")</f>
        <v>FC Porto</v>
      </c>
      <c r="B743" s="2" t="str">
        <f>IFERROR(__xludf.DUMMYFUNCTION("""COMPUTED_VALUE"""),"fcporto")</f>
        <v>fcporto</v>
      </c>
      <c r="C743" s="2" t="str">
        <f>IFERROR(__xludf.DUMMYFUNCTION("""COMPUTED_VALUE"""),"𝗔 𝗩𝗲𝗻𝗰𝗲𝗿 𝗱𝗲𝘀𝗱𝗲 𝟭𝟴𝟵𝟯 💙")</f>
        <v>𝗔 𝗩𝗲𝗻𝗰𝗲𝗿 𝗱𝗲𝘀𝗱𝗲 𝟭𝟴𝟵𝟯 💙</v>
      </c>
      <c r="D743" s="2">
        <f>IFERROR(__xludf.DUMMYFUNCTION("""COMPUTED_VALUE"""),1.4289939284789187E-4)</f>
        <v>0.0001428993928</v>
      </c>
      <c r="E743" s="2" t="str">
        <f>IFERROR(__xludf.DUMMYFUNCTION("""COMPUTED_VALUE"""),"  1.567.748")</f>
        <v>  1.567.748</v>
      </c>
    </row>
    <row r="744">
      <c r="A744" s="2" t="str">
        <f>IFERROR(__xludf.DUMMYFUNCTION("""COMPUTED_VALUE"""),"Mário André Macedo")</f>
        <v>Mário André Macedo</v>
      </c>
      <c r="B744" s="2" t="str">
        <f>IFERROR(__xludf.DUMMYFUNCTION("""COMPUTED_VALUE"""),"mmacedo_tweets")</f>
        <v>mmacedo_tweets</v>
      </c>
      <c r="C744" s="2" t="str">
        <f>IFERROR(__xludf.DUMMYFUNCTION("""COMPUTED_VALUE"""),"Candidato a Bastonário da Ordem dos Enfermeiros | SU Ped | Unidade de Saúde Pública Hospitalar |
Pai de dois 👶👶| no @healthnews_pt @publico e @novosemanario")</f>
        <v>Candidato a Bastonário da Ordem dos Enfermeiros | SU Ped | Unidade de Saúde Pública Hospitalar |
Pai de dois 👶👶| no @healthnews_pt @publico e @novosemanario</v>
      </c>
      <c r="D744" s="2">
        <f>IFERROR(__xludf.DUMMYFUNCTION("""COMPUTED_VALUE"""),1.4289939284789187E-4)</f>
        <v>0.0001428993928</v>
      </c>
      <c r="E744" s="2" t="str">
        <f>IFERROR(__xludf.DUMMYFUNCTION("""COMPUTED_VALUE"""),"     25.864")</f>
        <v>     25.864</v>
      </c>
    </row>
    <row r="745">
      <c r="A745" s="2" t="str">
        <f>IFERROR(__xludf.DUMMYFUNCTION("""COMPUTED_VALUE"""),"Horóscopo Capricórnio")</f>
        <v>Horóscopo Capricórnio</v>
      </c>
      <c r="B745" s="2" t="str">
        <f>IFERROR(__xludf.DUMMYFUNCTION("""COMPUTED_VALUE"""),"capricorniohv")</f>
        <v>capricorniohv</v>
      </c>
      <c r="C745" s="2" t="str">
        <f>IFERROR(__xludf.DUMMYFUNCTION("""COMPUTED_VALUE"""),"Signo de Capricórnio | Procurando por previsões, informações sobre seu signo e tudo sobre Astrologia? Acesse o Horóscopo Virtual e encontre tudo isso!")</f>
        <v>Signo de Capricórnio | Procurando por previsões, informações sobre seu signo e tudo sobre Astrologia? Acesse o Horóscopo Virtual e encontre tudo isso!</v>
      </c>
      <c r="D745" s="2">
        <f>IFERROR(__xludf.DUMMYFUNCTION("""COMPUTED_VALUE"""),1.4289939284789187E-4)</f>
        <v>0.0001428993928</v>
      </c>
      <c r="E745" s="2" t="str">
        <f>IFERROR(__xludf.DUMMYFUNCTION("""COMPUTED_VALUE"""),"      7.145")</f>
        <v>      7.145</v>
      </c>
    </row>
    <row r="746">
      <c r="A746" s="2" t="str">
        <f>IFERROR(__xludf.DUMMYFUNCTION("""COMPUTED_VALUE"""),"Horóscopo Peixes")</f>
        <v>Horóscopo Peixes</v>
      </c>
      <c r="B746" s="2" t="str">
        <f>IFERROR(__xludf.DUMMYFUNCTION("""COMPUTED_VALUE"""),"peixeshv")</f>
        <v>peixeshv</v>
      </c>
      <c r="C746" s="2" t="str">
        <f>IFERROR(__xludf.DUMMYFUNCTION("""COMPUTED_VALUE"""),"Signo de Peixes | Procurando por previsões, informações sobre o seu signo e tudo sobre Astrologia? Acesse o Horóscopo Virtual e encontre tudo isso e muito mais!")</f>
        <v>Signo de Peixes | Procurando por previsões, informações sobre o seu signo e tudo sobre Astrologia? Acesse o Horóscopo Virtual e encontre tudo isso e muito mais!</v>
      </c>
      <c r="D746" s="2">
        <f>IFERROR(__xludf.DUMMYFUNCTION("""COMPUTED_VALUE"""),1.4289939284789187E-4)</f>
        <v>0.0001428993928</v>
      </c>
      <c r="E746" s="2" t="str">
        <f>IFERROR(__xludf.DUMMYFUNCTION("""COMPUTED_VALUE"""),"      2.696")</f>
        <v>      2.696</v>
      </c>
    </row>
    <row r="747">
      <c r="A747" s="2" t="str">
        <f>IFERROR(__xludf.DUMMYFUNCTION("""COMPUTED_VALUE"""),"José Gusmão")</f>
        <v>José Gusmão</v>
      </c>
      <c r="B747" s="2" t="str">
        <f>IFERROR(__xludf.DUMMYFUNCTION("""COMPUTED_VALUE"""),"joseggusmao")</f>
        <v>joseggusmao</v>
      </c>
      <c r="C747" s="2" t="str">
        <f>IFERROR(__xludf.DUMMYFUNCTION("""COMPUTED_VALUE"""),"Economista | MEP, Deputado do Parlamento Europeu | Dirigente do @blocodeesquerda")</f>
        <v>Economista | MEP, Deputado do Parlamento Europeu | Dirigente do @blocodeesquerda</v>
      </c>
      <c r="D747" s="2">
        <f>IFERROR(__xludf.DUMMYFUNCTION("""COMPUTED_VALUE"""),1.4289939284789187E-4)</f>
        <v>0.0001428993928</v>
      </c>
      <c r="E747" s="2" t="str">
        <f>IFERROR(__xludf.DUMMYFUNCTION("""COMPUTED_VALUE"""),"     17.309")</f>
        <v>     17.309</v>
      </c>
    </row>
    <row r="748">
      <c r="A748" s="2" t="str">
        <f>IFERROR(__xludf.DUMMYFUNCTION("""COMPUTED_VALUE"""),"Sincerão")</f>
        <v>Sincerão</v>
      </c>
      <c r="B748" s="2" t="str">
        <f>IFERROR(__xludf.DUMMYFUNCTION("""COMPUTED_VALUE"""),"oficialsincerao")</f>
        <v>oficialsincerao</v>
      </c>
      <c r="C748" s="2" t="str">
        <f>IFERROR(__xludf.DUMMYFUNCTION("""COMPUTED_VALUE"""),"❌ Não sou o Ibra ❌ 📧 Contato: sinceraocontato@gmail.com . insta novo: @ iamsincerao")</f>
        <v>❌ Não sou o Ibra ❌ 📧 Contato: sinceraocontato@gmail.com . insta novo: @ iamsincerao</v>
      </c>
      <c r="D748" s="2">
        <f>IFERROR(__xludf.DUMMYFUNCTION("""COMPUTED_VALUE"""),1.4289939284789187E-4)</f>
        <v>0.0001428993928</v>
      </c>
      <c r="E748" s="2" t="str">
        <f>IFERROR(__xludf.DUMMYFUNCTION("""COMPUTED_VALUE"""),"    339.643")</f>
        <v>    339.643</v>
      </c>
    </row>
    <row r="749">
      <c r="A749" s="2" t="str">
        <f>IFERROR(__xludf.DUMMYFUNCTION("""COMPUTED_VALUE"""),"🔺️Rodrigo Raynner 🏆🏆🏆")</f>
        <v>🔺️Rodrigo Raynner 🏆🏆🏆</v>
      </c>
      <c r="B749" s="2" t="str">
        <f>IFERROR(__xludf.DUMMYFUNCTION("""COMPUTED_VALUE"""),"rodrigoraynner")</f>
        <v>rodrigoraynner</v>
      </c>
      <c r="C749" s="2" t="str">
        <f>IFERROR(__xludf.DUMMYFUNCTION("""COMPUTED_VALUE"""),"Se você é opositor do próprio time e baba ovo de político, você vai passar raiva aqui. E não tenta se explicar. Você tá todo errado!")</f>
        <v>Se você é opositor do próprio time e baba ovo de político, você vai passar raiva aqui. E não tenta se explicar. Você tá todo errado!</v>
      </c>
      <c r="D749" s="2">
        <f>IFERROR(__xludf.DUMMYFUNCTION("""COMPUTED_VALUE"""),1.4289939284789187E-4)</f>
        <v>0.0001428993928</v>
      </c>
      <c r="E749" s="2" t="str">
        <f>IFERROR(__xludf.DUMMYFUNCTION("""COMPUTED_VALUE"""),"     12.412")</f>
        <v>     12.412</v>
      </c>
    </row>
    <row r="750">
      <c r="A750" s="2" t="str">
        <f>IFERROR(__xludf.DUMMYFUNCTION("""COMPUTED_VALUE"""),"Danilo Gentili")</f>
        <v>Danilo Gentili</v>
      </c>
      <c r="B750" s="2" t="str">
        <f>IFERROR(__xludf.DUMMYFUNCTION("""COMPUTED_VALUE"""),"danilogentili")</f>
        <v>danilogentili</v>
      </c>
      <c r="C750" s="2" t="str">
        <f>IFERROR(__xludf.DUMMYFUNCTION("""COMPUTED_VALUE"""),"Desde 1979 estragando tudo e decepcionando pessoas.")</f>
        <v>Desde 1979 estragando tudo e decepcionando pessoas.</v>
      </c>
      <c r="D750" s="2">
        <f>IFERROR(__xludf.DUMMYFUNCTION("""COMPUTED_VALUE"""),1.4289939284789187E-4)</f>
        <v>0.0001428993928</v>
      </c>
      <c r="E750" s="2" t="str">
        <f>IFERROR(__xludf.DUMMYFUNCTION("""COMPUTED_VALUE""")," 17.207.073")</f>
        <v> 17.207.073</v>
      </c>
    </row>
    <row r="751">
      <c r="A751" s="2" t="str">
        <f>IFERROR(__xludf.DUMMYFUNCTION("""COMPUTED_VALUE"""),"Aston Martin Aramco Cognizant F1 Team")</f>
        <v>Aston Martin Aramco Cognizant F1 Team</v>
      </c>
      <c r="B751" s="2" t="str">
        <f>IFERROR(__xludf.DUMMYFUNCTION("""COMPUTED_VALUE"""),"astonmartinf1")</f>
        <v>astonmartinf1</v>
      </c>
      <c r="C751" s="2" t="str">
        <f>IFERROR(__xludf.DUMMYFUNCTION("""COMPUTED_VALUE"""),"The official Aston Martin Aramco Cognizant Formula One Team Twitter account. #IAM")</f>
        <v>The official Aston Martin Aramco Cognizant Formula One Team Twitter account. #IAM</v>
      </c>
      <c r="D751" s="2">
        <f>IFERROR(__xludf.DUMMYFUNCTION("""COMPUTED_VALUE"""),1.4289939284789187E-4)</f>
        <v>0.0001428993928</v>
      </c>
      <c r="E751" s="2" t="str">
        <f>IFERROR(__xludf.DUMMYFUNCTION("""COMPUTED_VALUE"""),"  2.151.675")</f>
        <v>  2.151.675</v>
      </c>
    </row>
    <row r="752">
      <c r="A752" s="2" t="str">
        <f>IFERROR(__xludf.DUMMYFUNCTION("""COMPUTED_VALUE"""),"Cannabis Brasil")</f>
        <v>Cannabis Brasil</v>
      </c>
      <c r="B752" s="2" t="str">
        <f>IFERROR(__xludf.DUMMYFUNCTION("""COMPUTED_VALUE"""),"canabisbrasil")</f>
        <v>canabisbrasil</v>
      </c>
      <c r="C752" s="2" t="str">
        <f>IFERROR(__xludf.DUMMYFUNCTION("""COMPUTED_VALUE"""),"📥 Parcerias via DM 📝 Paciente medicinal autorizado pela Anvisa 🎥 +420K Views Youtube 🟣@chapei_4i20 🟢@papelito_brasil")</f>
        <v>📥 Parcerias via DM 📝 Paciente medicinal autorizado pela Anvisa 🎥 +420K Views Youtube 🟣@chapei_4i20 🟢@papelito_brasil</v>
      </c>
      <c r="D752" s="2">
        <f>IFERROR(__xludf.DUMMYFUNCTION("""COMPUTED_VALUE"""),1.4289939284789187E-4)</f>
        <v>0.0001428993928</v>
      </c>
      <c r="E752" s="2" t="str">
        <f>IFERROR(__xludf.DUMMYFUNCTION("""COMPUTED_VALUE"""),"    109.874")</f>
        <v>    109.874</v>
      </c>
    </row>
    <row r="753">
      <c r="A753" s="2" t="str">
        <f>IFERROR(__xludf.DUMMYFUNCTION("""COMPUTED_VALUE"""),"Uelton Costa🇧🇷")</f>
        <v>Uelton Costa🇧🇷</v>
      </c>
      <c r="B753" s="2" t="str">
        <f>IFERROR(__xludf.DUMMYFUNCTION("""COMPUTED_VALUE"""),"ueltoncosta_")</f>
        <v>ueltoncosta_</v>
      </c>
      <c r="C753" s="2" t="str">
        <f>IFERROR(__xludf.DUMMYFUNCTION("""COMPUTED_VALUE"""),"Jurista, conservador, cristão, empreendedor e fundador do @CentroDoPoder. Conheça minha LIVRARIA👇🏻 https://t.co/8aGK2cKn7y")</f>
        <v>Jurista, conservador, cristão, empreendedor e fundador do @CentroDoPoder. Conheça minha LIVRARIA👇🏻 https://t.co/8aGK2cKn7y</v>
      </c>
      <c r="D753" s="2">
        <f>IFERROR(__xludf.DUMMYFUNCTION("""COMPUTED_VALUE"""),1.4289939284789187E-4)</f>
        <v>0.0001428993928</v>
      </c>
      <c r="E753" s="2" t="str">
        <f>IFERROR(__xludf.DUMMYFUNCTION("""COMPUTED_VALUE"""),"     96.405")</f>
        <v>     96.405</v>
      </c>
    </row>
    <row r="754">
      <c r="A754" s="2" t="str">
        <f>IFERROR(__xludf.DUMMYFUNCTION("""COMPUTED_VALUE"""),"Paulo Guedes🇧🇷")</f>
        <v>Paulo Guedes🇧🇷</v>
      </c>
      <c r="B754" s="2" t="str">
        <f>IFERROR(__xludf.DUMMYFUNCTION("""COMPUTED_VALUE"""),"guedesapoio")</f>
        <v>guedesapoio</v>
      </c>
      <c r="C754" s="2" t="str">
        <f>IFERROR(__xludf.DUMMYFUNCTION("""COMPUTED_VALUE"""),"Perfil de apoio ao Paulo Guedes. Ex-Ministro da Economia, mestre pela Universidade de Chicago, PH.S pela PUC-Rio/FGV")</f>
        <v>Perfil de apoio ao Paulo Guedes. Ex-Ministro da Economia, mestre pela Universidade de Chicago, PH.S pela PUC-Rio/FGV</v>
      </c>
      <c r="D754" s="2">
        <f>IFERROR(__xludf.DUMMYFUNCTION("""COMPUTED_VALUE"""),1.4289939284789187E-4)</f>
        <v>0.0001428993928</v>
      </c>
      <c r="E754" s="2" t="str">
        <f>IFERROR(__xludf.DUMMYFUNCTION("""COMPUTED_VALUE"""),"    151.595")</f>
        <v>    151.595</v>
      </c>
    </row>
    <row r="755">
      <c r="A755" s="2" t="str">
        <f>IFERROR(__xludf.DUMMYFUNCTION("""COMPUTED_VALUE"""),"Bruno Cardoso Reis")</f>
        <v>Bruno Cardoso Reis</v>
      </c>
      <c r="B755" s="2" t="str">
        <f>IFERROR(__xludf.DUMMYFUNCTION("""COMPUTED_VALUE"""),"bcreis37")</f>
        <v>bcreis37</v>
      </c>
      <c r="C755" s="2" t="str">
        <f>IFERROR(__xludf.DUMMYFUNCTION("""COMPUTED_VALUE"""),"Historian/security scholar based at https://t.co/HtWLIMhVrb trying to live up to the prejudice that Southern Europeans do not work hard. Tweeting on my own.")</f>
        <v>Historian/security scholar based at https://t.co/HtWLIMhVrb trying to live up to the prejudice that Southern Europeans do not work hard. Tweeting on my own.</v>
      </c>
      <c r="D755" s="2">
        <f>IFERROR(__xludf.DUMMYFUNCTION("""COMPUTED_VALUE"""),1.4289939284789187E-4)</f>
        <v>0.0001428993928</v>
      </c>
      <c r="E755" s="2" t="str">
        <f>IFERROR(__xludf.DUMMYFUNCTION("""COMPUTED_VALUE"""),"      3.031")</f>
        <v>      3.031</v>
      </c>
    </row>
    <row r="756">
      <c r="A756" s="2" t="str">
        <f>IFERROR(__xludf.DUMMYFUNCTION("""COMPUTED_VALUE"""),"emputecido")</f>
        <v>emputecido</v>
      </c>
      <c r="B756" s="2" t="str">
        <f>IFERROR(__xludf.DUMMYFUNCTION("""COMPUTED_VALUE"""),"oemputecido")</f>
        <v>oemputecido</v>
      </c>
      <c r="C756" s="2" t="str">
        <f>IFERROR(__xludf.DUMMYFUNCTION("""COMPUTED_VALUE"""),"o mais puto do site!")</f>
        <v>o mais puto do site!</v>
      </c>
      <c r="D756" s="2">
        <f>IFERROR(__xludf.DUMMYFUNCTION("""COMPUTED_VALUE"""),1.4289939284789187E-4)</f>
        <v>0.0001428993928</v>
      </c>
      <c r="E756" s="2" t="str">
        <f>IFERROR(__xludf.DUMMYFUNCTION("""COMPUTED_VALUE"""),"  2.811.983")</f>
        <v>  2.811.983</v>
      </c>
    </row>
    <row r="757">
      <c r="A757" s="2" t="str">
        <f>IFERROR(__xludf.DUMMYFUNCTION("""COMPUTED_VALUE"""),"Fabio Fazio")</f>
        <v>Fabio Fazio</v>
      </c>
      <c r="B757" s="2" t="str">
        <f>IFERROR(__xludf.DUMMYFUNCTION("""COMPUTED_VALUE"""),"fabfazio")</f>
        <v>fabfazio</v>
      </c>
      <c r="C757" s="2"/>
      <c r="D757" s="2">
        <f>IFERROR(__xludf.DUMMYFUNCTION("""COMPUTED_VALUE"""),1.4289939284789187E-4)</f>
        <v>0.0001428993928</v>
      </c>
      <c r="E757" s="2" t="str">
        <f>IFERROR(__xludf.DUMMYFUNCTION("""COMPUTED_VALUE"""),"    814.106")</f>
        <v>    814.106</v>
      </c>
    </row>
    <row r="758">
      <c r="A758" s="2" t="str">
        <f>IFERROR(__xludf.DUMMYFUNCTION("""COMPUTED_VALUE"""),"Che Tempo Che Fa")</f>
        <v>Che Tempo Che Fa</v>
      </c>
      <c r="B758" s="2" t="str">
        <f>IFERROR(__xludf.DUMMYFUNCTION("""COMPUTED_VALUE"""),"chetempochefa")</f>
        <v>chetempochefa</v>
      </c>
      <c r="C758" s="2" t="str">
        <f>IFERROR(__xludf.DUMMYFUNCTION("""COMPUTED_VALUE"""),"Account ufficiale... appena riaperto (quindi seguiteci). Da domenica 15 ottobre #CTCF torna sul @nove.")</f>
        <v>Account ufficiale... appena riaperto (quindi seguiteci). Da domenica 15 ottobre #CTCF torna sul @nove.</v>
      </c>
      <c r="D758" s="2">
        <f>IFERROR(__xludf.DUMMYFUNCTION("""COMPUTED_VALUE"""),1.4289939284789187E-4)</f>
        <v>0.0001428993928</v>
      </c>
      <c r="E758" s="2" t="str">
        <f>IFERROR(__xludf.DUMMYFUNCTION("""COMPUTED_VALUE"""),"     34.652")</f>
        <v>     34.652</v>
      </c>
    </row>
    <row r="759">
      <c r="A759" s="2" t="str">
        <f>IFERROR(__xludf.DUMMYFUNCTION("""COMPUTED_VALUE"""),"K-DAN OFICIAL")</f>
        <v>K-DAN OFICIAL</v>
      </c>
      <c r="B759" s="2" t="str">
        <f>IFERROR(__xludf.DUMMYFUNCTION("""COMPUTED_VALUE"""),"canalkdan")</f>
        <v>canalkdan</v>
      </c>
      <c r="C759" s="2" t="str">
        <f>IFERROR(__xludf.DUMMYFUNCTION("""COMPUTED_VALUE"""),"Atualizações de lives e vídeos do K-DAN ☆ FANWAR: SOFT BLOCK ☆ Conta oficial usada pelos adms do Dan e ele!
Conta fechada // só solicitar que aceitamos")</f>
        <v>Atualizações de lives e vídeos do K-DAN ☆ FANWAR: SOFT BLOCK ☆ Conta oficial usada pelos adms do Dan e ele!
Conta fechada // só solicitar que aceitamos</v>
      </c>
      <c r="D759" s="2">
        <f>IFERROR(__xludf.DUMMYFUNCTION("""COMPUTED_VALUE"""),1.4289939284789187E-4)</f>
        <v>0.0001428993928</v>
      </c>
      <c r="E759" s="2" t="str">
        <f>IFERROR(__xludf.DUMMYFUNCTION("""COMPUTED_VALUE"""),"      6.704")</f>
        <v>      6.704</v>
      </c>
    </row>
    <row r="760">
      <c r="A760" s="2" t="str">
        <f>IFERROR(__xludf.DUMMYFUNCTION("""COMPUTED_VALUE"""),"jlo")</f>
        <v>jlo</v>
      </c>
      <c r="B760" s="2" t="str">
        <f>IFERROR(__xludf.DUMMYFUNCTION("""COMPUTED_VALUE"""),"jlo")</f>
        <v>jlo</v>
      </c>
      <c r="C760" s="2" t="str">
        <f>IFERROR(__xludf.DUMMYFUNCTION("""COMPUTED_VALUE"""),"This Is Me…Now 💚")</f>
        <v>This Is Me…Now 💚</v>
      </c>
      <c r="D760" s="2">
        <f>IFERROR(__xludf.DUMMYFUNCTION("""COMPUTED_VALUE"""),1.4289939284789187E-4)</f>
        <v>0.0001428993928</v>
      </c>
      <c r="E760" s="2" t="str">
        <f>IFERROR(__xludf.DUMMYFUNCTION("""COMPUTED_VALUE""")," 44.887.750")</f>
        <v> 44.887.750</v>
      </c>
    </row>
    <row r="761">
      <c r="A761" s="2" t="str">
        <f>IFERROR(__xludf.DUMMYFUNCTION("""COMPUTED_VALUE"""),"Jennifer Lopez BR")</f>
        <v>Jennifer Lopez BR</v>
      </c>
      <c r="B761" s="2" t="str">
        <f>IFERROR(__xludf.DUMMYFUNCTION("""COMPUTED_VALUE"""),"jlobrasil")</f>
        <v>jlobrasil</v>
      </c>
      <c r="C761" s="2" t="str">
        <f>IFERROR(__xludf.DUMMYFUNCTION("""COMPUTED_VALUE"""),"The Biggest Source about Jennifer Lopez in the World. A Maior fonte sobre Jennifer Lopez, no mundo reconhecidos pela própria e sua equipe.")</f>
        <v>The Biggest Source about Jennifer Lopez in the World. A Maior fonte sobre Jennifer Lopez, no mundo reconhecidos pela própria e sua equipe.</v>
      </c>
      <c r="D761" s="2">
        <f>IFERROR(__xludf.DUMMYFUNCTION("""COMPUTED_VALUE"""),1.4289939284789187E-4)</f>
        <v>0.0001428993928</v>
      </c>
      <c r="E761" s="2" t="str">
        <f>IFERROR(__xludf.DUMMYFUNCTION("""COMPUTED_VALUE"""),"     16.185")</f>
        <v>     16.185</v>
      </c>
    </row>
    <row r="762">
      <c r="A762" s="2" t="str">
        <f>IFERROR(__xludf.DUMMYFUNCTION("""COMPUTED_VALUE"""),"solodax - (seguace di marione)")</f>
        <v>solodax - (seguace di marione)</v>
      </c>
      <c r="B762" s="2" t="str">
        <f>IFERROR(__xludf.DUMMYFUNCTION("""COMPUTED_VALUE"""),"solodax")</f>
        <v>solodax</v>
      </c>
      <c r="C762" s="2" t="str">
        <f>IFERROR(__xludf.DUMMYFUNCTION("""COMPUTED_VALUE"""),"residente in Alta Terronia, juventino sanguigno e rancoroso (la verità su calciopoli verrà a galla, prima o poi), appassionato di finanza derivata.")</f>
        <v>residente in Alta Terronia, juventino sanguigno e rancoroso (la verità su calciopoli verrà a galla, prima o poi), appassionato di finanza derivata.</v>
      </c>
      <c r="D762" s="2">
        <f>IFERROR(__xludf.DUMMYFUNCTION("""COMPUTED_VALUE"""),1.4289939284789187E-4)</f>
        <v>0.0001428993928</v>
      </c>
      <c r="E762" s="2" t="str">
        <f>IFERROR(__xludf.DUMMYFUNCTION("""COMPUTED_VALUE"""),"      1.360")</f>
        <v>      1.360</v>
      </c>
    </row>
    <row r="763">
      <c r="A763" s="2" t="str">
        <f>IFERROR(__xludf.DUMMYFUNCTION("""COMPUTED_VALUE"""),"Angelo Mellone")</f>
        <v>Angelo Mellone</v>
      </c>
      <c r="B763" s="2" t="str">
        <f>IFERROR(__xludf.DUMMYFUNCTION("""COMPUTED_VALUE"""),"angelomellone")</f>
        <v>angelomellone</v>
      </c>
      <c r="C763" s="2" t="str">
        <f>IFERROR(__xludf.DUMMYFUNCTION("""COMPUTED_VALUE"""),"💼  DayTime Director Rai
📖 Writer 
🖥 Tv Teacher @UniSalerno 
⚽️ @Official_SSLazio lover 
👦🧒👦 happy daddy 
Proudly italian 🇮🇹
Rt no endorsement")</f>
        <v>💼  DayTime Director Rai
📖 Writer 
🖥 Tv Teacher @UniSalerno 
⚽️ @Official_SSLazio lover 
👦🧒👦 happy daddy 
Proudly italian 🇮🇹
Rt no endorsement</v>
      </c>
      <c r="D763" s="2">
        <f>IFERROR(__xludf.DUMMYFUNCTION("""COMPUTED_VALUE"""),1.4289939284789187E-4)</f>
        <v>0.0001428993928</v>
      </c>
      <c r="E763" s="2" t="str">
        <f>IFERROR(__xludf.DUMMYFUNCTION("""COMPUTED_VALUE"""),"      6.557")</f>
        <v>      6.557</v>
      </c>
    </row>
    <row r="764">
      <c r="A764" s="2" t="str">
        <f>IFERROR(__xludf.DUMMYFUNCTION("""COMPUTED_VALUE"""),"Cinguetterai ")</f>
        <v>Cinguetterai </v>
      </c>
      <c r="B764" s="2" t="str">
        <f>IFERROR(__xludf.DUMMYFUNCTION("""COMPUTED_VALUE"""),"cinguetterai")</f>
        <v>cinguetterai</v>
      </c>
      <c r="C764" s="2" t="str">
        <f>IFERROR(__xludf.DUMMYFUNCTION("""COMPUTED_VALUE"""),"Un figlio e un fan di mamma Rai allattato dall’antenna | Notizie, commenti e live tweeting sul mondo Rai | Su Instagram: https://t.co/50bdVEhsP9")</f>
        <v>Un figlio e un fan di mamma Rai allattato dall’antenna | Notizie, commenti e live tweeting sul mondo Rai | Su Instagram: https://t.co/50bdVEhsP9</v>
      </c>
      <c r="D764" s="2">
        <f>IFERROR(__xludf.DUMMYFUNCTION("""COMPUTED_VALUE"""),1.4289939284789187E-4)</f>
        <v>0.0001428993928</v>
      </c>
      <c r="E764" s="2" t="str">
        <f>IFERROR(__xludf.DUMMYFUNCTION("""COMPUTED_VALUE"""),"     28.447")</f>
        <v>     28.447</v>
      </c>
    </row>
    <row r="765">
      <c r="A765" s="2" t="str">
        <f>IFERROR(__xludf.DUMMYFUNCTION("""COMPUTED_VALUE"""),"Bruno Meister")</f>
        <v>Bruno Meister</v>
      </c>
      <c r="B765" s="2" t="str">
        <f>IFERROR(__xludf.DUMMYFUNCTION("""COMPUTED_VALUE"""),"bruno_meister")</f>
        <v>bruno_meister</v>
      </c>
      <c r="C765" s="2" t="str">
        <f>IFERROR(__xludf.DUMMYFUNCTION("""COMPUTED_VALUE"""),"Natural 🌱 conta reserva @Bruno_meister2")</f>
        <v>Natural 🌱 conta reserva @Bruno_meister2</v>
      </c>
      <c r="D765" s="2">
        <f>IFERROR(__xludf.DUMMYFUNCTION("""COMPUTED_VALUE"""),1.4168170378603013E-4)</f>
        <v>0.0001416817038</v>
      </c>
      <c r="E765" s="2" t="str">
        <f>IFERROR(__xludf.DUMMYFUNCTION("""COMPUTED_VALUE"""),"      6.689")</f>
        <v>      6.689</v>
      </c>
    </row>
    <row r="766">
      <c r="A766" s="2" t="str">
        <f>IFERROR(__xludf.DUMMYFUNCTION("""COMPUTED_VALUE"""),"Helem")</f>
        <v>Helem</v>
      </c>
      <c r="B766" s="2" t="str">
        <f>IFERROR(__xludf.DUMMYFUNCTION("""COMPUTED_VALUE"""),"helemazevedo")</f>
        <v>helemazevedo</v>
      </c>
      <c r="C766" s="2" t="str">
        <f>IFERROR(__xludf.DUMMYFUNCTION("""COMPUTED_VALUE"""),"Turismo, hotelaria e café. ✈️ Eu vou, mas meu café vai junto ! Siga o @cafeviajante e participe da nossa comunidade!☕️  tthelem@gmail.com")</f>
        <v>Turismo, hotelaria e café. ✈️ Eu vou, mas meu café vai junto ! Siga o @cafeviajante e participe da nossa comunidade!☕️  tthelem@gmail.com</v>
      </c>
      <c r="D766" s="2">
        <f>IFERROR(__xludf.DUMMYFUNCTION("""COMPUTED_VALUE"""),1.4135894282986232E-4)</f>
        <v>0.0001413589428</v>
      </c>
      <c r="E766" s="2" t="str">
        <f>IFERROR(__xludf.DUMMYFUNCTION("""COMPUTED_VALUE"""),"     38.453")</f>
        <v>     38.453</v>
      </c>
    </row>
    <row r="767">
      <c r="A767" s="2" t="str">
        <f>IFERROR(__xludf.DUMMYFUNCTION("""COMPUTED_VALUE"""),"Fê em estado de Poesia💜")</f>
        <v>Fê em estado de Poesia💜</v>
      </c>
      <c r="B767" s="2" t="str">
        <f>IFERROR(__xludf.DUMMYFUNCTION("""COMPUTED_VALUE"""),"fe_notavel")</f>
        <v>fe_notavel</v>
      </c>
      <c r="C767" s="2" t="str">
        <f>IFERROR(__xludf.DUMMYFUNCTION("""COMPUTED_VALUE"""),"📚 A Intermitência das Coisas e Rasgos Dentro da Minha Própria Pele 
💻 Algumas Observações
💙 @criativoescrito
✉️ contato@algumasobservacoes.com
 😉 ela/dela")</f>
        <v>📚 A Intermitência das Coisas e Rasgos Dentro da Minha Própria Pele 
💻 Algumas Observações
💙 @criativoescrito
✉️ contato@algumasobservacoes.com
 😉 ela/dela</v>
      </c>
      <c r="D767" s="2">
        <f>IFERROR(__xludf.DUMMYFUNCTION("""COMPUTED_VALUE"""),1.3992596606892717E-4)</f>
        <v>0.0001399259661</v>
      </c>
      <c r="E767" s="2" t="str">
        <f>IFERROR(__xludf.DUMMYFUNCTION("""COMPUTED_VALUE"""),"      1.355")</f>
        <v>      1.355</v>
      </c>
    </row>
    <row r="768">
      <c r="A768" s="2" t="str">
        <f>IFERROR(__xludf.DUMMYFUNCTION("""COMPUTED_VALUE"""),"Tênis Para Além do Óbvio 🎾 (Alemzão)")</f>
        <v>Tênis Para Além do Óbvio 🎾 (Alemzão)</v>
      </c>
      <c r="B768" s="2" t="str">
        <f>IFERROR(__xludf.DUMMYFUNCTION("""COMPUTED_VALUE"""),"alemtenis")</f>
        <v>alemtenis</v>
      </c>
      <c r="C768" s="2" t="str">
        <f>IFERROR(__xludf.DUMMYFUNCTION("""COMPUTED_VALUE"""),"Aqui contamos histórias, analisamos o jogo dentro e fora da quadra e sempre miramos o tênis que vai para além do óbvio! tenisparaalemdoobvio@gmail.com")</f>
        <v>Aqui contamos histórias, analisamos o jogo dentro e fora da quadra e sempre miramos o tênis que vai para além do óbvio! tenisparaalemdoobvio@gmail.com</v>
      </c>
      <c r="D768" s="2">
        <f>IFERROR(__xludf.DUMMYFUNCTION("""COMPUTED_VALUE"""),1.3992596606892717E-4)</f>
        <v>0.0001399259661</v>
      </c>
      <c r="E768" s="2" t="str">
        <f>IFERROR(__xludf.DUMMYFUNCTION("""COMPUTED_VALUE"""),"     23.885")</f>
        <v>     23.885</v>
      </c>
    </row>
    <row r="769">
      <c r="A769" s="2" t="str">
        <f>IFERROR(__xludf.DUMMYFUNCTION("""COMPUTED_VALUE"""),"Leila Tornado")</f>
        <v>Leila Tornado</v>
      </c>
      <c r="B769" s="2" t="str">
        <f>IFERROR(__xludf.DUMMYFUNCTION("""COMPUTED_VALUE"""),"leitatornado")</f>
        <v>leitatornado</v>
      </c>
      <c r="C769" s="2" t="str">
        <f>IFERROR(__xludf.DUMMYFUNCTION("""COMPUTED_VALUE"""),"“Quando o instrumento do medo não funciona, a gente adquire um poder inimaginável” PH")</f>
        <v>“Quando o instrumento do medo não funciona, a gente adquire um poder inimaginável” PH</v>
      </c>
      <c r="D769" s="2">
        <f>IFERROR(__xludf.DUMMYFUNCTION("""COMPUTED_VALUE"""),1.3992596606892717E-4)</f>
        <v>0.0001399259661</v>
      </c>
      <c r="E769" s="2" t="str">
        <f>IFERROR(__xludf.DUMMYFUNCTION("""COMPUTED_VALUE"""),"      4.883")</f>
        <v>      4.883</v>
      </c>
    </row>
    <row r="770">
      <c r="A770" s="2" t="str">
        <f>IFERROR(__xludf.DUMMYFUNCTION("""COMPUTED_VALUE"""),"Iris Figueiredo")</f>
        <v>Iris Figueiredo</v>
      </c>
      <c r="B770" s="2" t="str">
        <f>IFERROR(__xludf.DUMMYFUNCTION("""COMPUTED_VALUE"""),"irisfigueiredo")</f>
        <v>irisfigueiredo</v>
      </c>
      <c r="C770" s="2" t="str">
        <f>IFERROR(__xludf.DUMMYFUNCTION("""COMPUTED_VALUE"""),"Escritora de “Céu sem estrelas” e “Um passo de cada vez” | Rep @trespontosag_ | 📬 Cx. Postal 108680 – CEP: 24710971 🩷💜💙")</f>
        <v>Escritora de “Céu sem estrelas” e “Um passo de cada vez” | Rep @trespontosag_ | 📬 Cx. Postal 108680 – CEP: 24710971 🩷💜💙</v>
      </c>
      <c r="D770" s="2">
        <f>IFERROR(__xludf.DUMMYFUNCTION("""COMPUTED_VALUE"""),1.3992596606892717E-4)</f>
        <v>0.0001399259661</v>
      </c>
      <c r="E770" s="2" t="str">
        <f>IFERROR(__xludf.DUMMYFUNCTION("""COMPUTED_VALUE"""),"     24.928")</f>
        <v>     24.928</v>
      </c>
    </row>
    <row r="771">
      <c r="A771" s="2" t="str">
        <f>IFERROR(__xludf.DUMMYFUNCTION("""COMPUTED_VALUE"""),"A IMPROVÁVEL HISTÓRIA DE NÓS DOIS EM PRÉ-VENDA")</f>
        <v>A IMPROVÁVEL HISTÓRIA DE NÓS DOIS EM PRÉ-VENDA</v>
      </c>
      <c r="B771" s="2" t="str">
        <f>IFERROR(__xludf.DUMMYFUNCTION("""COMPUTED_VALUE"""),"woeisrobs")</f>
        <v>woeisrobs</v>
      </c>
      <c r="C771" s="2" t="str">
        <f>IFERROR(__xludf.DUMMYFUNCTION("""COMPUTED_VALUE"""),"Yawo omo Ologunedé, escritor de romances Young Adult focados em jovens LGBTQ*, viciado em cultura pop e quase jornalista. Contato: rgabriel.autor@gmail.com")</f>
        <v>Yawo omo Ologunedé, escritor de romances Young Adult focados em jovens LGBTQ*, viciado em cultura pop e quase jornalista. Contato: rgabriel.autor@gmail.com</v>
      </c>
      <c r="D771" s="2">
        <f>IFERROR(__xludf.DUMMYFUNCTION("""COMPUTED_VALUE"""),1.3992596606892717E-4)</f>
        <v>0.0001399259661</v>
      </c>
      <c r="E771" s="2" t="str">
        <f>IFERROR(__xludf.DUMMYFUNCTION("""COMPUTED_VALUE"""),"      3.211")</f>
        <v>      3.211</v>
      </c>
    </row>
    <row r="772">
      <c r="A772" s="2" t="str">
        <f>IFERROR(__xludf.DUMMYFUNCTION("""COMPUTED_VALUE"""),"Allan dos Panos")</f>
        <v>Allan dos Panos</v>
      </c>
      <c r="B772" s="2" t="str">
        <f>IFERROR(__xludf.DUMMYFUNCTION("""COMPUTED_VALUE"""),"allandospanos")</f>
        <v>allandospanos</v>
      </c>
      <c r="C772" s="2" t="str">
        <f>IFERROR(__xludf.DUMMYFUNCTION("""COMPUTED_VALUE"""),"Produtor audiovisual no canal Allan dos Panos e no @o_antagonista 
https://t.co/hMvBUpqTUG")</f>
        <v>Produtor audiovisual no canal Allan dos Panos e no @o_antagonista 
https://t.co/hMvBUpqTUG</v>
      </c>
      <c r="D772" s="2">
        <f>IFERROR(__xludf.DUMMYFUNCTION("""COMPUTED_VALUE"""),1.3992596606892717E-4)</f>
        <v>0.0001399259661</v>
      </c>
      <c r="E772" s="2" t="str">
        <f>IFERROR(__xludf.DUMMYFUNCTION("""COMPUTED_VALUE"""),"     75.561")</f>
        <v>     75.561</v>
      </c>
    </row>
    <row r="773">
      <c r="A773" s="2" t="str">
        <f>IFERROR(__xludf.DUMMYFUNCTION("""COMPUTED_VALUE"""),"Priscilla")</f>
        <v>Priscilla</v>
      </c>
      <c r="B773" s="2" t="str">
        <f>IFERROR(__xludf.DUMMYFUNCTION("""COMPUTED_VALUE"""),"priscilllando")</f>
        <v>priscilllando</v>
      </c>
      <c r="C773" s="2" t="str">
        <f>IFERROR(__xludf.DUMMYFUNCTION("""COMPUTED_VALUE"""),"Político é pra ser cobrado, não idolatrado.")</f>
        <v>Político é pra ser cobrado, não idolatrado.</v>
      </c>
      <c r="D773" s="2">
        <f>IFERROR(__xludf.DUMMYFUNCTION("""COMPUTED_VALUE"""),1.3992596606892717E-4)</f>
        <v>0.0001399259661</v>
      </c>
      <c r="E773" s="2" t="str">
        <f>IFERROR(__xludf.DUMMYFUNCTION("""COMPUTED_VALUE"""),"     53.376")</f>
        <v>     53.376</v>
      </c>
    </row>
    <row r="774">
      <c r="A774" s="2" t="str">
        <f>IFERROR(__xludf.DUMMYFUNCTION("""COMPUTED_VALUE"""),"Insomniac Games")</f>
        <v>Insomniac Games</v>
      </c>
      <c r="B774" s="2" t="str">
        <f>IFERROR(__xludf.DUMMYFUNCTION("""COMPUTED_VALUE"""),"insomniacgames")</f>
        <v>insomniacgames</v>
      </c>
      <c r="C774" s="2" t="str">
        <f>IFERROR(__xludf.DUMMYFUNCTION("""COMPUTED_VALUE"""),"Developer of #SpiderMan2PS5, #WolverinePS5, #RatchetPS5, #MilesMoralesPS5 &amp; #SpiderManPS4. @PlayStation Studios.
Join our community: https://t.co/ADgLz5zaOH")</f>
        <v>Developer of #SpiderMan2PS5, #WolverinePS5, #RatchetPS5, #MilesMoralesPS5 &amp; #SpiderManPS4. @PlayStation Studios.
Join our community: https://t.co/ADgLz5zaOH</v>
      </c>
      <c r="D774" s="2">
        <f>IFERROR(__xludf.DUMMYFUNCTION("""COMPUTED_VALUE"""),1.3992596606892717E-4)</f>
        <v>0.0001399259661</v>
      </c>
      <c r="E774" s="2" t="str">
        <f>IFERROR(__xludf.DUMMYFUNCTION("""COMPUTED_VALUE"""),"  1.492.061")</f>
        <v>  1.492.061</v>
      </c>
    </row>
    <row r="775">
      <c r="A775" s="2" t="str">
        <f>IFERROR(__xludf.DUMMYFUNCTION("""COMPUTED_VALUE"""),"Mauricio Stycer")</f>
        <v>Mauricio Stycer</v>
      </c>
      <c r="B775" s="2" t="str">
        <f>IFERROR(__xludf.DUMMYFUNCTION("""COMPUTED_VALUE"""),"mauriciostycer")</f>
        <v>mauriciostycer</v>
      </c>
      <c r="C775" s="2" t="str">
        <f>IFERROR(__xludf.DUMMYFUNCTION("""COMPUTED_VALUE"""),"Colunista da Folha, autor de ""O Homem do Sapato Branco"", “Topa Tudo por Dinheiro” e “Adeus, Controle Remoto”.")</f>
        <v>Colunista da Folha, autor de "O Homem do Sapato Branco", “Topa Tudo por Dinheiro” e “Adeus, Controle Remoto”.</v>
      </c>
      <c r="D775" s="2">
        <f>IFERROR(__xludf.DUMMYFUNCTION("""COMPUTED_VALUE"""),1.3940384659422543E-4)</f>
        <v>0.0001394038466</v>
      </c>
      <c r="E775" s="2" t="str">
        <f>IFERROR(__xludf.DUMMYFUNCTION("""COMPUTED_VALUE"""),"    352.744")</f>
        <v>    352.744</v>
      </c>
    </row>
    <row r="776">
      <c r="A776" s="2" t="str">
        <f>IFERROR(__xludf.DUMMYFUNCTION("""COMPUTED_VALUE"""),"Jornal de Negócios")</f>
        <v>Jornal de Negócios</v>
      </c>
      <c r="B776" s="2" t="str">
        <f>IFERROR(__xludf.DUMMYFUNCTION("""COMPUTED_VALUE"""),"jnegocios")</f>
        <v>jnegocios</v>
      </c>
      <c r="C776" s="2" t="str">
        <f>IFERROR(__xludf.DUMMYFUNCTION("""COMPUTED_VALUE"""),"As #notícias mais relevantes nas áreas da #Economia, #Empresas e #Mercados. O Negócios tem as respostas: On time. On line. Nas bancas. Em qualquer lugar.")</f>
        <v>As #notícias mais relevantes nas áreas da #Economia, #Empresas e #Mercados. O Negócios tem as respostas: On time. On line. Nas bancas. Em qualquer lugar.</v>
      </c>
      <c r="D776" s="2">
        <f>IFERROR(__xludf.DUMMYFUNCTION("""COMPUTED_VALUE"""),1.3757200320224677E-4)</f>
        <v>0.0001375720032</v>
      </c>
      <c r="E776" s="2" t="str">
        <f>IFERROR(__xludf.DUMMYFUNCTION("""COMPUTED_VALUE"""),"    206.364")</f>
        <v>    206.364</v>
      </c>
    </row>
    <row r="777">
      <c r="A777" s="2" t="str">
        <f>IFERROR(__xludf.DUMMYFUNCTION("""COMPUTED_VALUE"""),"Republic Records")</f>
        <v>Republic Records</v>
      </c>
      <c r="B777" s="2" t="str">
        <f>IFERROR(__xludf.DUMMYFUNCTION("""COMPUTED_VALUE"""),"republicrecords")</f>
        <v>republicrecords</v>
      </c>
      <c r="C777" s="2"/>
      <c r="D777" s="2">
        <f>IFERROR(__xludf.DUMMYFUNCTION("""COMPUTED_VALUE"""),1.357962066536984E-4)</f>
        <v>0.0001357962067</v>
      </c>
      <c r="E777" s="2" t="str">
        <f>IFERROR(__xludf.DUMMYFUNCTION("""COMPUTED_VALUE"""),"    265.389")</f>
        <v>    265.389</v>
      </c>
    </row>
    <row r="778">
      <c r="A778" s="2" t="str">
        <f>IFERROR(__xludf.DUMMYFUNCTION("""COMPUTED_VALUE"""),"Universal Music Brasil")</f>
        <v>Universal Music Brasil</v>
      </c>
      <c r="B778" s="2" t="str">
        <f>IFERROR(__xludf.DUMMYFUNCTION("""COMPUTED_VALUE"""),"umusicbrasil")</f>
        <v>umusicbrasil</v>
      </c>
      <c r="C778" s="2" t="str">
        <f>IFERROR(__xludf.DUMMYFUNCTION("""COMPUTED_VALUE"""),"""𝓘 𝔀𝓪𝓷𝓷𝓪 𝓽𝓱𝓪𝓷𝓴 𝓶𝔂𝓼𝓮𝓵𝓯 𝓬𝓪𝓾𝓼𝓮 𝓘 𝔀𝓸𝓻𝓴 𝓼𝓸 𝓱𝓪𝓻𝓭""")</f>
        <v>"𝓘 𝔀𝓪𝓷𝓷𝓪 𝓽𝓱𝓪𝓷𝓴 𝓶𝔂𝓼𝓮𝓵𝓯 𝓬𝓪𝓾𝓼𝓮 𝓘 𝔀𝓸𝓻𝓴 𝓼𝓸 𝓱𝓪𝓻𝓭"</v>
      </c>
      <c r="D778" s="2">
        <f>IFERROR(__xludf.DUMMYFUNCTION("""COMPUTED_VALUE"""),1.357962066536984E-4)</f>
        <v>0.0001357962067</v>
      </c>
      <c r="E778" s="2" t="str">
        <f>IFERROR(__xludf.DUMMYFUNCTION("""COMPUTED_VALUE"""),"    195.003")</f>
        <v>    195.003</v>
      </c>
    </row>
    <row r="779">
      <c r="A779" s="2" t="str">
        <f>IFERROR(__xludf.DUMMYFUNCTION("""COMPUTED_VALUE"""),"Danilo Ardenghi")</f>
        <v>Danilo Ardenghi</v>
      </c>
      <c r="B779" s="2" t="str">
        <f>IFERROR(__xludf.DUMMYFUNCTION("""COMPUTED_VALUE"""),"daniloardenghi")</f>
        <v>daniloardenghi</v>
      </c>
      <c r="C779" s="2" t="str">
        <f>IFERROR(__xludf.DUMMYFUNCTION("""COMPUTED_VALUE"""),"Trabalho com dados. Fundei a Mais Retorno em 2017, falo sobre investimentos, tecnologia, mercado financeiro, saúde, vida, corrida e outros esportes no geral.")</f>
        <v>Trabalho com dados. Fundei a Mais Retorno em 2017, falo sobre investimentos, tecnologia, mercado financeiro, saúde, vida, corrida e outros esportes no geral.</v>
      </c>
      <c r="D779" s="2">
        <f>IFERROR(__xludf.DUMMYFUNCTION("""COMPUTED_VALUE"""),1.3508588803427904E-4)</f>
        <v>0.000135085888</v>
      </c>
      <c r="E779" s="2" t="str">
        <f>IFERROR(__xludf.DUMMYFUNCTION("""COMPUTED_VALUE"""),"      2.446")</f>
        <v>      2.446</v>
      </c>
    </row>
    <row r="780">
      <c r="A780" s="2" t="str">
        <f>IFERROR(__xludf.DUMMYFUNCTION("""COMPUTED_VALUE"""),"Dinheiro Vivo")</f>
        <v>Dinheiro Vivo</v>
      </c>
      <c r="B780" s="2" t="str">
        <f>IFERROR(__xludf.DUMMYFUNCTION("""COMPUTED_VALUE"""),"dinheiro_vivo")</f>
        <v>dinheiro_vivo</v>
      </c>
      <c r="C780" s="2" t="str">
        <f>IFERROR(__xludf.DUMMYFUNCTION("""COMPUTED_VALUE"""),"Há economia em tudo o que há.")</f>
        <v>Há economia em tudo o que há.</v>
      </c>
      <c r="D780" s="2">
        <f>IFERROR(__xludf.DUMMYFUNCTION("""COMPUTED_VALUE"""),1.322446135566017E-4)</f>
        <v>0.0001322446136</v>
      </c>
      <c r="E780" s="2" t="str">
        <f>IFERROR(__xludf.DUMMYFUNCTION("""COMPUTED_VALUE"""),"     56.506")</f>
        <v>     56.506</v>
      </c>
    </row>
    <row r="781">
      <c r="A781" s="2" t="str">
        <f>IFERROR(__xludf.DUMMYFUNCTION("""COMPUTED_VALUE"""),"Duarte Cordeiro")</f>
        <v>Duarte Cordeiro</v>
      </c>
      <c r="B781" s="2" t="str">
        <f>IFERROR(__xludf.DUMMYFUNCTION("""COMPUTED_VALUE"""),"duartecordeiro")</f>
        <v>duartecordeiro</v>
      </c>
      <c r="C781" s="2" t="str">
        <f>IFERROR(__xludf.DUMMYFUNCTION("""COMPUTED_VALUE"""),"Ministro do Ambiente e da Ação Climática -XXIII Governo Constitucional; Presidente PS FAUL")</f>
        <v>Ministro do Ambiente e da Ação Climática -XXIII Governo Constitucional; Presidente PS FAUL</v>
      </c>
      <c r="D781" s="2">
        <f>IFERROR(__xludf.DUMMYFUNCTION("""COMPUTED_VALUE"""),1.3181842238495006E-4)</f>
        <v>0.0001318184224</v>
      </c>
      <c r="E781" s="2" t="str">
        <f>IFERROR(__xludf.DUMMYFUNCTION("""COMPUTED_VALUE"""),"      6.471")</f>
        <v>      6.471</v>
      </c>
    </row>
    <row r="782">
      <c r="A782" s="2" t="str">
        <f>IFERROR(__xludf.DUMMYFUNCTION("""COMPUTED_VALUE"""),"Ambiente e Ação Climática PT")</f>
        <v>Ambiente e Ação Climática PT</v>
      </c>
      <c r="B782" s="2" t="str">
        <f>IFERROR(__xludf.DUMMYFUNCTION("""COMPUTED_VALUE"""),"ambiente_pt")</f>
        <v>ambiente_pt</v>
      </c>
      <c r="C782" s="2" t="str">
        <f>IFERROR(__xludf.DUMMYFUNCTION("""COMPUTED_VALUE"""),"Conta Oficial do Gabinete do Ministro do Ambiente e da Ação Climática - XXIII Governo")</f>
        <v>Conta Oficial do Gabinete do Ministro do Ambiente e da Ação Climática - XXIII Governo</v>
      </c>
      <c r="D782" s="2">
        <f>IFERROR(__xludf.DUMMYFUNCTION("""COMPUTED_VALUE"""),1.3181842238495006E-4)</f>
        <v>0.0001318184224</v>
      </c>
      <c r="E782" s="2" t="str">
        <f>IFERROR(__xludf.DUMMYFUNCTION("""COMPUTED_VALUE"""),"     16.382")</f>
        <v>     16.382</v>
      </c>
    </row>
    <row r="783">
      <c r="A783" s="2" t="str">
        <f>IFERROR(__xludf.DUMMYFUNCTION("""COMPUTED_VALUE"""),"EU_Eurostat")</f>
        <v>EU_Eurostat</v>
      </c>
      <c r="B783" s="2" t="str">
        <f>IFERROR(__xludf.DUMMYFUNCTION("""COMPUTED_VALUE"""),"eu_eurostat")</f>
        <v>eu_eurostat</v>
      </c>
      <c r="C783" s="2" t="str">
        <f>IFERROR(__xludf.DUMMYFUNCTION("""COMPUTED_VALUE"""),"Eurostat is the statistical office of the European Union. We provide high quality statistics and data on Europe.
Lawful good.
#AskEurostat")</f>
        <v>Eurostat is the statistical office of the European Union. We provide high quality statistics and data on Europe.
Lawful good.
#AskEurostat</v>
      </c>
      <c r="D783" s="2">
        <f>IFERROR(__xludf.DUMMYFUNCTION("""COMPUTED_VALUE"""),1.3181842238495006E-4)</f>
        <v>0.0001318184224</v>
      </c>
      <c r="E783" s="2" t="str">
        <f>IFERROR(__xludf.DUMMYFUNCTION("""COMPUTED_VALUE"""),"    247.894")</f>
        <v>    247.894</v>
      </c>
    </row>
    <row r="784">
      <c r="A784" s="2" t="str">
        <f>IFERROR(__xludf.DUMMYFUNCTION("""COMPUTED_VALUE"""),"Ministério da Educação | MEC")</f>
        <v>Ministério da Educação | MEC</v>
      </c>
      <c r="B784" s="2" t="str">
        <f>IFERROR(__xludf.DUMMYFUNCTION("""COMPUTED_VALUE"""),"min_educacao")</f>
        <v>min_educacao</v>
      </c>
      <c r="C784" s="2" t="str">
        <f>IFERROR(__xludf.DUMMYFUNCTION("""COMPUTED_VALUE"""),"Perfil oficial do Ministério da Educação para divulgação de serviços e esclarecimentos.")</f>
        <v>Perfil oficial do Ministério da Educação para divulgação de serviços e esclarecimentos.</v>
      </c>
      <c r="D784" s="2">
        <f>IFERROR(__xludf.DUMMYFUNCTION("""COMPUTED_VALUE"""),1.2950481316741279E-4)</f>
        <v>0.0001295048132</v>
      </c>
      <c r="E784" s="2" t="str">
        <f>IFERROR(__xludf.DUMMYFUNCTION("""COMPUTED_VALUE"""),"     19.567")</f>
        <v>     19.567</v>
      </c>
    </row>
    <row r="785">
      <c r="A785" s="2" t="str">
        <f>IFERROR(__xludf.DUMMYFUNCTION("""COMPUTED_VALUE"""),"mg1984")</f>
        <v>mg1984</v>
      </c>
      <c r="B785" s="2" t="str">
        <f>IFERROR(__xludf.DUMMYFUNCTION("""COMPUTED_VALUE"""),"mg_brasil1984")</f>
        <v>mg_brasil1984</v>
      </c>
      <c r="C785" s="2" t="str">
        <f>IFERROR(__xludf.DUMMYFUNCTION("""COMPUTED_VALUE"""),"Um por todos, e todos por um.")</f>
        <v>Um por todos, e todos por um.</v>
      </c>
      <c r="D785" s="2">
        <f>IFERROR(__xludf.DUMMYFUNCTION("""COMPUTED_VALUE"""),1.2869302045950495E-4)</f>
        <v>0.0001286930205</v>
      </c>
      <c r="E785" s="2" t="str">
        <f>IFERROR(__xludf.DUMMYFUNCTION("""COMPUTED_VALUE"""),"      2.021")</f>
        <v>      2.021</v>
      </c>
    </row>
    <row r="786">
      <c r="A786" s="2" t="str">
        <f>IFERROR(__xludf.DUMMYFUNCTION("""COMPUTED_VALUE"""),"Avalanche Portugues 🔺 🇧🇷 🇵🇹")</f>
        <v>Avalanche Portugues 🔺 🇧🇷 🇵🇹</v>
      </c>
      <c r="B786" s="2" t="str">
        <f>IFERROR(__xludf.DUMMYFUNCTION("""COMPUTED_VALUE"""),"avalanche_pt")</f>
        <v>avalanche_pt</v>
      </c>
      <c r="C786" s="2" t="str">
        <f>IFERROR(__xludf.DUMMYFUNCTION("""COMPUTED_VALUE"""),"@AvaLabsofficial criou o protocolo de consenso #Avalanche que reúne o que há de melhor nos protocolos Clássico e de Nakamoto. | $AVAX | Visite https://t.co/caVslJTLCw")</f>
        <v>@AvaLabsofficial criou o protocolo de consenso #Avalanche que reúne o que há de melhor nos protocolos Clássico e de Nakamoto. | $AVAX | Visite https://t.co/caVslJTLCw</v>
      </c>
      <c r="D786" s="2">
        <f>IFERROR(__xludf.DUMMYFUNCTION("""COMPUTED_VALUE"""),1.2869302045950495E-4)</f>
        <v>0.0001286930205</v>
      </c>
      <c r="E786" s="2" t="str">
        <f>IFERROR(__xludf.DUMMYFUNCTION("""COMPUTED_VALUE"""),"      1.521")</f>
        <v>      1.521</v>
      </c>
    </row>
    <row r="787">
      <c r="A787" s="2" t="str">
        <f>IFERROR(__xludf.DUMMYFUNCTION("""COMPUTED_VALUE"""),"Mariagrazia Midulla ")</f>
        <v>Mariagrazia Midulla </v>
      </c>
      <c r="B787" s="2" t="str">
        <f>IFERROR(__xludf.DUMMYFUNCTION("""COMPUTED_VALUE"""),"mgmidu")</f>
        <v>mgmidu</v>
      </c>
      <c r="C787" s="2" t="str">
        <f>IFERROR(__xludf.DUMMYFUNCTION("""COMPUTED_VALUE"""),"Head of Climate and Energy, WWF Italy. 
Opinioni e interessi personali. 
Nata a 319 ppm di CO2 (oggi siamo a oltre 415ppm).")</f>
        <v>Head of Climate and Energy, WWF Italy. 
Opinioni e interessi personali. 
Nata a 319 ppm di CO2 (oggi siamo a oltre 415ppm).</v>
      </c>
      <c r="D787" s="2">
        <f>IFERROR(__xludf.DUMMYFUNCTION("""COMPUTED_VALUE"""),1.2869302045950495E-4)</f>
        <v>0.0001286930205</v>
      </c>
      <c r="E787" s="2" t="str">
        <f>IFERROR(__xludf.DUMMYFUNCTION("""COMPUTED_VALUE"""),"      3.378")</f>
        <v>      3.378</v>
      </c>
    </row>
    <row r="788">
      <c r="A788" s="2" t="str">
        <f>IFERROR(__xludf.DUMMYFUNCTION("""COMPUTED_VALUE"""),"Erwin")</f>
        <v>Erwin</v>
      </c>
      <c r="B788" s="2" t="str">
        <f>IFERROR(__xludf.DUMMYFUNCTION("""COMPUTED_VALUE"""),"erwinfox52352")</f>
        <v>erwinfox52352</v>
      </c>
      <c r="C788" s="2"/>
      <c r="D788" s="2">
        <f>IFERROR(__xludf.DUMMYFUNCTION("""COMPUTED_VALUE"""),1.2869302045950495E-4)</f>
        <v>0.0001286930205</v>
      </c>
      <c r="E788" s="2" t="str">
        <f>IFERROR(__xludf.DUMMYFUNCTION("""COMPUTED_VALUE"""),"      1.953")</f>
        <v>      1.953</v>
      </c>
    </row>
    <row r="789">
      <c r="A789" s="2" t="str">
        <f>IFERROR(__xludf.DUMMYFUNCTION("""COMPUTED_VALUE"""),"Carlos Brandão 🇧🇷")</f>
        <v>Carlos Brandão 🇧🇷</v>
      </c>
      <c r="B789" s="2" t="str">
        <f>IFERROR(__xludf.DUMMYFUNCTION("""COMPUTED_VALUE"""),"carlosbrandaoma")</f>
        <v>carlosbrandaoma</v>
      </c>
      <c r="C789" s="13" t="str">
        <f>IFERROR(__xludf.DUMMYFUNCTION("""COMPUTED_VALUE"""),"https://t.co/Bq6qssRTNl")</f>
        <v>https://t.co/Bq6qssRTNl</v>
      </c>
      <c r="D789" s="2">
        <f>IFERROR(__xludf.DUMMYFUNCTION("""COMPUTED_VALUE"""),1.2869302045950495E-4)</f>
        <v>0.0001286930205</v>
      </c>
      <c r="E789" s="2" t="str">
        <f>IFERROR(__xludf.DUMMYFUNCTION("""COMPUTED_VALUE"""),"     32.501")</f>
        <v>     32.501</v>
      </c>
    </row>
    <row r="790">
      <c r="A790" s="2" t="str">
        <f>IFERROR(__xludf.DUMMYFUNCTION("""COMPUTED_VALUE"""),"DARK NEWS")</f>
        <v>DARK NEWS</v>
      </c>
      <c r="B790" s="2" t="str">
        <f>IFERROR(__xludf.DUMMYFUNCTION("""COMPUTED_VALUE"""),"fluxo_dark")</f>
        <v>fluxo_dark</v>
      </c>
      <c r="C790" s="2" t="str">
        <f>IFERROR(__xludf.DUMMYFUNCTION("""COMPUTED_VALUE"""),"Seguindo o @fluxogg")</f>
        <v>Seguindo o @fluxogg</v>
      </c>
      <c r="D790" s="2">
        <f>IFERROR(__xludf.DUMMYFUNCTION("""COMPUTED_VALUE"""),1.2869302045950495E-4)</f>
        <v>0.0001286930205</v>
      </c>
      <c r="E790" s="2" t="str">
        <f>IFERROR(__xludf.DUMMYFUNCTION("""COMPUTED_VALUE"""),"      5.959")</f>
        <v>      5.959</v>
      </c>
    </row>
    <row r="791">
      <c r="A791" s="2" t="str">
        <f>IFERROR(__xludf.DUMMYFUNCTION("""COMPUTED_VALUE"""),"debate y debate")</f>
        <v>debate y debate</v>
      </c>
      <c r="B791" s="2" t="str">
        <f>IFERROR(__xludf.DUMMYFUNCTION("""COMPUTED_VALUE"""),"debateydebate")</f>
        <v>debateydebate</v>
      </c>
      <c r="C791" s="2" t="str">
        <f>IFERROR(__xludf.DUMMYFUNCTION("""COMPUTED_VALUE"""),"Três estudantes de jornalismo falando besteiras futebolísticas")</f>
        <v>Três estudantes de jornalismo falando besteiras futebolísticas</v>
      </c>
      <c r="D791" s="2">
        <f>IFERROR(__xludf.DUMMYFUNCTION("""COMPUTED_VALUE"""),1.2869302045950495E-4)</f>
        <v>0.0001286930205</v>
      </c>
      <c r="E791" s="2" t="str">
        <f>IFERROR(__xludf.DUMMYFUNCTION("""COMPUTED_VALUE"""),"     27.506")</f>
        <v>     27.506</v>
      </c>
    </row>
    <row r="792">
      <c r="A792" s="2" t="str">
        <f>IFERROR(__xludf.DUMMYFUNCTION("""COMPUTED_VALUE"""),"▪️🏴‍☠️tchuck 🦇🔊 🇾🇪")</f>
        <v>▪️🏴‍☠️tchuck 🦇🔊 🇾🇪</v>
      </c>
      <c r="B792" s="2" t="str">
        <f>IFERROR(__xludf.DUMMYFUNCTION("""COMPUTED_VALUE"""),"thetchuck")</f>
        <v>thetchuck</v>
      </c>
      <c r="C792" s="2" t="str">
        <f>IFERROR(__xludf.DUMMYFUNCTION("""COMPUTED_VALUE"""),"Board game designer, AI programmer, aspiring football manager. Also loves spicy food. My opinions are my own. Tricolor desde nascença. Fechado com o Ceni!")</f>
        <v>Board game designer, AI programmer, aspiring football manager. Also loves spicy food. My opinions are my own. Tricolor desde nascença. Fechado com o Ceni!</v>
      </c>
      <c r="D792" s="2">
        <f>IFERROR(__xludf.DUMMYFUNCTION("""COMPUTED_VALUE"""),1.2869302045950495E-4)</f>
        <v>0.0001286930205</v>
      </c>
      <c r="E792" s="2" t="str">
        <f>IFERROR(__xludf.DUMMYFUNCTION("""COMPUTED_VALUE"""),"      1.061")</f>
        <v>      1.061</v>
      </c>
    </row>
    <row r="793">
      <c r="A793" s="2" t="str">
        <f>IFERROR(__xludf.DUMMYFUNCTION("""COMPUTED_VALUE"""),"Centeio")</f>
        <v>Centeio</v>
      </c>
      <c r="B793" s="2" t="str">
        <f>IFERROR(__xludf.DUMMYFUNCTION("""COMPUTED_VALUE"""),"paofatiado")</f>
        <v>paofatiado</v>
      </c>
      <c r="C793" s="2" t="str">
        <f>IFERROR(__xludf.DUMMYFUNCTION("""COMPUTED_VALUE"""),"Anti-fascista, Marxista-leninista, com gluten.")</f>
        <v>Anti-fascista, Marxista-leninista, com gluten.</v>
      </c>
      <c r="D793" s="2">
        <f>IFERROR(__xludf.DUMMYFUNCTION("""COMPUTED_VALUE"""),1.2869302045950495E-4)</f>
        <v>0.0001286930205</v>
      </c>
      <c r="E793" s="2" t="str">
        <f>IFERROR(__xludf.DUMMYFUNCTION("""COMPUTED_VALUE"""),"      1.830")</f>
        <v>      1.830</v>
      </c>
    </row>
    <row r="794">
      <c r="A794" s="2" t="str">
        <f>IFERROR(__xludf.DUMMYFUNCTION("""COMPUTED_VALUE"""),"cleyto")</f>
        <v>cleyto</v>
      </c>
      <c r="B794" s="2" t="str">
        <f>IFERROR(__xludf.DUMMYFUNCTION("""COMPUTED_VALUE"""),"cleytxnn")</f>
        <v>cleytxnn</v>
      </c>
      <c r="C794" s="2" t="str">
        <f>IFERROR(__xludf.DUMMYFUNCTION("""COMPUTED_VALUE"""),"não consigo ser nada além de eu mesmo")</f>
        <v>não consigo ser nada além de eu mesmo</v>
      </c>
      <c r="D794" s="2">
        <f>IFERROR(__xludf.DUMMYFUNCTION("""COMPUTED_VALUE"""),1.2869302045950495E-4)</f>
        <v>0.0001286930205</v>
      </c>
      <c r="E794" s="2" t="str">
        <f>IFERROR(__xludf.DUMMYFUNCTION("""COMPUTED_VALUE"""),"     69.125")</f>
        <v>     69.125</v>
      </c>
    </row>
    <row r="795">
      <c r="A795" s="2" t="str">
        <f>IFERROR(__xludf.DUMMYFUNCTION("""COMPUTED_VALUE"""),"Ruyter")</f>
        <v>Ruyter</v>
      </c>
      <c r="B795" s="2" t="str">
        <f>IFERROR(__xludf.DUMMYFUNCTION("""COMPUTED_VALUE"""),"poubelruyter")</f>
        <v>poubelruyter</v>
      </c>
      <c r="C795" s="2" t="str">
        <f>IFERROR(__xludf.DUMMYFUNCTION("""COMPUTED_VALUE"""),"Bilionário, filantropo, gênio e humilde. Seja bem vindo.")</f>
        <v>Bilionário, filantropo, gênio e humilde. Seja bem vindo.</v>
      </c>
      <c r="D795" s="2">
        <f>IFERROR(__xludf.DUMMYFUNCTION("""COMPUTED_VALUE"""),1.2869302045950495E-4)</f>
        <v>0.0001286930205</v>
      </c>
      <c r="E795" s="2" t="str">
        <f>IFERROR(__xludf.DUMMYFUNCTION("""COMPUTED_VALUE"""),"     62.943")</f>
        <v>     62.943</v>
      </c>
    </row>
    <row r="796">
      <c r="A796" s="2" t="str">
        <f>IFERROR(__xludf.DUMMYFUNCTION("""COMPUTED_VALUE"""),"WESLEY RODRI CAM¹³ 🥋")</f>
        <v>WESLEY RODRI CAM¹³ 🥋</v>
      </c>
      <c r="B796" s="2" t="str">
        <f>IFERROR(__xludf.DUMMYFUNCTION("""COMPUTED_VALUE"""),"weslleyxrs")</f>
        <v>weslleyxrs</v>
      </c>
      <c r="C796" s="2" t="str">
        <f>IFERROR(__xludf.DUMMYFUNCTION("""COMPUTED_VALUE"""),"@atletico
não leve a sério.")</f>
        <v>@atletico
não leve a sério.</v>
      </c>
      <c r="D796" s="2">
        <f>IFERROR(__xludf.DUMMYFUNCTION("""COMPUTED_VALUE"""),1.2869302045950495E-4)</f>
        <v>0.0001286930205</v>
      </c>
      <c r="E796" s="2" t="str">
        <f>IFERROR(__xludf.DUMMYFUNCTION("""COMPUTED_VALUE"""),"      1.530")</f>
        <v>      1.530</v>
      </c>
    </row>
    <row r="797">
      <c r="A797" s="2" t="str">
        <f>IFERROR(__xludf.DUMMYFUNCTION("""COMPUTED_VALUE"""),"Roberto França")</f>
        <v>Roberto França</v>
      </c>
      <c r="B797" s="2" t="str">
        <f>IFERROR(__xludf.DUMMYFUNCTION("""COMPUTED_VALUE"""),"_robertofranca")</f>
        <v>_robertofranca</v>
      </c>
      <c r="C797" s="2" t="str">
        <f>IFERROR(__xludf.DUMMYFUNCTION("""COMPUTED_VALUE"""),"Professor e Militante do PCO")</f>
        <v>Professor e Militante do PCO</v>
      </c>
      <c r="D797" s="2">
        <f>IFERROR(__xludf.DUMMYFUNCTION("""COMPUTED_VALUE"""),1.2869302045950495E-4)</f>
        <v>0.0001286930205</v>
      </c>
      <c r="E797" s="2" t="str">
        <f>IFERROR(__xludf.DUMMYFUNCTION("""COMPUTED_VALUE"""),"      2.006")</f>
        <v>      2.006</v>
      </c>
    </row>
    <row r="798">
      <c r="A798" s="2" t="str">
        <f>IFERROR(__xludf.DUMMYFUNCTION("""COMPUTED_VALUE"""),"Nane de Brito")</f>
        <v>Nane de Brito</v>
      </c>
      <c r="B798" s="2" t="str">
        <f>IFERROR(__xludf.DUMMYFUNCTION("""COMPUTED_VALUE"""),"nanedebrito48")</f>
        <v>nanedebrito48</v>
      </c>
      <c r="C798" s="2" t="str">
        <f>IFERROR(__xludf.DUMMYFUNCTION("""COMPUTED_VALUE"""),"Psicóloga ψ - Universidade Federal Fluminense 
Eleitora do Lula
Progressista/Humanista
Justiça e Igualdade social
Espiritualista independente de religião")</f>
        <v>Psicóloga ψ - Universidade Federal Fluminense 
Eleitora do Lula
Progressista/Humanista
Justiça e Igualdade social
Espiritualista independente de religião</v>
      </c>
      <c r="D798" s="2">
        <f>IFERROR(__xludf.DUMMYFUNCTION("""COMPUTED_VALUE"""),1.2869302045950495E-4)</f>
        <v>0.0001286930205</v>
      </c>
      <c r="E798" s="2" t="str">
        <f>IFERROR(__xludf.DUMMYFUNCTION("""COMPUTED_VALUE"""),"      5.357")</f>
        <v>      5.357</v>
      </c>
    </row>
    <row r="799">
      <c r="A799" s="2" t="str">
        <f>IFERROR(__xludf.DUMMYFUNCTION("""COMPUTED_VALUE"""),"Cino Ducci")</f>
        <v>Cino Ducci</v>
      </c>
      <c r="B799" s="2" t="str">
        <f>IFERROR(__xludf.DUMMYFUNCTION("""COMPUTED_VALUE"""),"candidoporzus")</f>
        <v>candidoporzus</v>
      </c>
      <c r="C799" s="2" t="str">
        <f>IFERROR(__xludf.DUMMYFUNCTION("""COMPUTED_VALUE"""),"Fratello di Ascanio. Il coraggio è la prima delle qualità umane, perché è quella che garantisce tutte le altre (W. Churchill) (Il comandante è di Elda)")</f>
        <v>Fratello di Ascanio. Il coraggio è la prima delle qualità umane, perché è quella che garantisce tutte le altre (W. Churchill) (Il comandante è di Elda)</v>
      </c>
      <c r="D799" s="2">
        <f>IFERROR(__xludf.DUMMYFUNCTION("""COMPUTED_VALUE"""),1.2869302045950495E-4)</f>
        <v>0.0001286930205</v>
      </c>
      <c r="E799" s="2" t="str">
        <f>IFERROR(__xludf.DUMMYFUNCTION("""COMPUTED_VALUE"""),"      3.594")</f>
        <v>      3.594</v>
      </c>
    </row>
    <row r="800">
      <c r="A800" s="2" t="str">
        <f>IFERROR(__xludf.DUMMYFUNCTION("""COMPUTED_VALUE"""),"Matheus Pé")</f>
        <v>Matheus Pé</v>
      </c>
      <c r="B800" s="2" t="str">
        <f>IFERROR(__xludf.DUMMYFUNCTION("""COMPUTED_VALUE"""),"matheuss_pe")</f>
        <v>matheuss_pe</v>
      </c>
      <c r="C800" s="2" t="str">
        <f>IFERROR(__xludf.DUMMYFUNCTION("""COMPUTED_VALUE"""),"Fotógrafo e repórter fotográfico, canhoto da cabeça aos pés e intolerante aos intolerantes. Meu twitter, minhas opiniões.")</f>
        <v>Fotógrafo e repórter fotográfico, canhoto da cabeça aos pés e intolerante aos intolerantes. Meu twitter, minhas opiniões.</v>
      </c>
      <c r="D800" s="2">
        <f>IFERROR(__xludf.DUMMYFUNCTION("""COMPUTED_VALUE"""),1.2869302045950495E-4)</f>
        <v>0.0001286930205</v>
      </c>
      <c r="E800" s="2" t="str">
        <f>IFERROR(__xludf.DUMMYFUNCTION("""COMPUTED_VALUE"""),"      4.039")</f>
        <v>      4.039</v>
      </c>
    </row>
    <row r="801">
      <c r="A801" s="2" t="str">
        <f>IFERROR(__xludf.DUMMYFUNCTION("""COMPUTED_VALUE"""),"JAY-Z AIRLINES - CAPINANDO O NADA COM ANITTA")</f>
        <v>JAY-Z AIRLINES - CAPINANDO O NADA COM ANITTA</v>
      </c>
      <c r="B801" s="2" t="str">
        <f>IFERROR(__xludf.DUMMYFUNCTION("""COMPUTED_VALUE"""),"raphaelalves")</f>
        <v>raphaelalves</v>
      </c>
      <c r="C801" s="2" t="str">
        <f>IFERROR(__xludf.DUMMYFUNCTION("""COMPUTED_VALUE"""),"exausto.")</f>
        <v>exausto.</v>
      </c>
      <c r="D801" s="2">
        <f>IFERROR(__xludf.DUMMYFUNCTION("""COMPUTED_VALUE"""),1.2869302045950495E-4)</f>
        <v>0.0001286930205</v>
      </c>
      <c r="E801" s="2" t="str">
        <f>IFERROR(__xludf.DUMMYFUNCTION("""COMPUTED_VALUE"""),"      4.027")</f>
        <v>      4.027</v>
      </c>
    </row>
    <row r="802">
      <c r="A802" s="2" t="str">
        <f>IFERROR(__xludf.DUMMYFUNCTION("""COMPUTED_VALUE"""),"oQuarterback")</f>
        <v>oQuarterback</v>
      </c>
      <c r="B802" s="2" t="str">
        <f>IFERROR(__xludf.DUMMYFUNCTION("""COMPUTED_VALUE"""),"oquarterback")</f>
        <v>oquarterback</v>
      </c>
      <c r="C802" s="2" t="str">
        <f>IFERROR(__xludf.DUMMYFUNCTION("""COMPUTED_VALUE"""),"As principais notícias do futebol americano mundial em um só lugar. Contato via DM.")</f>
        <v>As principais notícias do futebol americano mundial em um só lugar. Contato via DM.</v>
      </c>
      <c r="D802" s="2">
        <f>IFERROR(__xludf.DUMMYFUNCTION("""COMPUTED_VALUE"""),1.2869302045950495E-4)</f>
        <v>0.0001286930205</v>
      </c>
      <c r="E802" s="2" t="str">
        <f>IFERROR(__xludf.DUMMYFUNCTION("""COMPUTED_VALUE"""),"     74.587")</f>
        <v>     74.587</v>
      </c>
    </row>
    <row r="803">
      <c r="A803" s="2" t="str">
        <f>IFERROR(__xludf.DUMMYFUNCTION("""COMPUTED_VALUE"""),"Coast to Coast Brasil | NBA")</f>
        <v>Coast to Coast Brasil | NBA</v>
      </c>
      <c r="B803" s="2" t="str">
        <f>IFERROR(__xludf.DUMMYFUNCTION("""COMPUTED_VALUE"""),"brasilcoast2")</f>
        <v>brasilcoast2</v>
      </c>
      <c r="C803" s="2" t="str">
        <f>IFERROR(__xludf.DUMMYFUNCTION("""COMPUTED_VALUE"""),"• Diariamente cobrindo o grande mundo da NBA! 🏀 • Notícias, análises e (muito bom) humor!!! CONTATO ➡️coast2coastbrasil@gmail.com")</f>
        <v>• Diariamente cobrindo o grande mundo da NBA! 🏀 • Notícias, análises e (muito bom) humor!!! CONTATO ➡️coast2coastbrasil@gmail.com</v>
      </c>
      <c r="D803" s="2">
        <f>IFERROR(__xludf.DUMMYFUNCTION("""COMPUTED_VALUE"""),1.2869302045950495E-4)</f>
        <v>0.0001286930205</v>
      </c>
      <c r="E803" s="2" t="str">
        <f>IFERROR(__xludf.DUMMYFUNCTION("""COMPUTED_VALUE"""),"    147.158")</f>
        <v>    147.158</v>
      </c>
    </row>
    <row r="804">
      <c r="A804" s="2" t="str">
        <f>IFERROR(__xludf.DUMMYFUNCTION("""COMPUTED_VALUE"""),"LucianoPrado")</f>
        <v>LucianoPrado</v>
      </c>
      <c r="B804" s="2" t="str">
        <f>IFERROR(__xludf.DUMMYFUNCTION("""COMPUTED_VALUE"""),"lucalberto5")</f>
        <v>lucalberto5</v>
      </c>
      <c r="C804" s="2" t="str">
        <f>IFERROR(__xludf.DUMMYFUNCTION("""COMPUTED_VALUE"""),"Cidadão")</f>
        <v>Cidadão</v>
      </c>
      <c r="D804" s="2">
        <f>IFERROR(__xludf.DUMMYFUNCTION("""COMPUTED_VALUE"""),1.2869302045950495E-4)</f>
        <v>0.0001286930205</v>
      </c>
      <c r="E804" s="2" t="str">
        <f>IFERROR(__xludf.DUMMYFUNCTION("""COMPUTED_VALUE"""),"      1.903")</f>
        <v>      1.903</v>
      </c>
    </row>
    <row r="805">
      <c r="A805" s="2" t="str">
        <f>IFERROR(__xludf.DUMMYFUNCTION("""COMPUTED_VALUE"""),"Edvan de Oliveira")</f>
        <v>Edvan de Oliveira</v>
      </c>
      <c r="B805" s="2" t="str">
        <f>IFERROR(__xludf.DUMMYFUNCTION("""COMPUTED_VALUE"""),"edvanolivera_")</f>
        <v>edvanolivera_</v>
      </c>
      <c r="C805" s="2" t="str">
        <f>IFERROR(__xludf.DUMMYFUNCTION("""COMPUTED_VALUE"""),"Se alguém precisa de religião para ser bom, a pessoa não é boa — é um cão adestrado.")</f>
        <v>Se alguém precisa de religião para ser bom, a pessoa não é boa — é um cão adestrado.</v>
      </c>
      <c r="D805" s="2">
        <f>IFERROR(__xludf.DUMMYFUNCTION("""COMPUTED_VALUE"""),1.2869302045950495E-4)</f>
        <v>0.0001286930205</v>
      </c>
      <c r="E805" s="2" t="str">
        <f>IFERROR(__xludf.DUMMYFUNCTION("""COMPUTED_VALUE"""),"      1.846")</f>
        <v>      1.846</v>
      </c>
    </row>
    <row r="806">
      <c r="A806" s="2" t="str">
        <f>IFERROR(__xludf.DUMMYFUNCTION("""COMPUTED_VALUE"""),"Leinha")</f>
        <v>Leinha</v>
      </c>
      <c r="B806" s="2" t="str">
        <f>IFERROR(__xludf.DUMMYFUNCTION("""COMPUTED_VALUE"""),"cristoluz1000")</f>
        <v>cristoluz1000</v>
      </c>
      <c r="C806" s="2" t="str">
        <f>IFERROR(__xludf.DUMMYFUNCTION("""COMPUTED_VALUE"""),"Cristã, casada, mãe e avó, conservadora, de direita, com muito orgulho!!! 🇧🇷🇧🇷🇧🇷🇧🇷🇧🇷🇧🇷")</f>
        <v>Cristã, casada, mãe e avó, conservadora, de direita, com muito orgulho!!! 🇧🇷🇧🇷🇧🇷🇧🇷🇧🇷🇧🇷</v>
      </c>
      <c r="D806" s="2">
        <f>IFERROR(__xludf.DUMMYFUNCTION("""COMPUTED_VALUE"""),1.2869302045950495E-4)</f>
        <v>0.0001286930205</v>
      </c>
      <c r="E806" s="2" t="str">
        <f>IFERROR(__xludf.DUMMYFUNCTION("""COMPUTED_VALUE"""),"      4.282")</f>
        <v>      4.282</v>
      </c>
    </row>
    <row r="807">
      <c r="A807" s="2" t="str">
        <f>IFERROR(__xludf.DUMMYFUNCTION("""COMPUTED_VALUE"""),"Cooper")</f>
        <v>Cooper</v>
      </c>
      <c r="B807" s="2" t="str">
        <f>IFERROR(__xludf.DUMMYFUNCTION("""COMPUTED_VALUE"""),"cooperfsss")</f>
        <v>cooperfsss</v>
      </c>
      <c r="C807" s="2"/>
      <c r="D807" s="2">
        <f>IFERROR(__xludf.DUMMYFUNCTION("""COMPUTED_VALUE"""),1.2869302045950495E-4)</f>
        <v>0.0001286930205</v>
      </c>
      <c r="E807" s="2" t="str">
        <f>IFERROR(__xludf.DUMMYFUNCTION("""COMPUTED_VALUE"""),"      1.488")</f>
        <v>      1.488</v>
      </c>
    </row>
    <row r="808">
      <c r="A808" s="2" t="str">
        <f>IFERROR(__xludf.DUMMYFUNCTION("""COMPUTED_VALUE"""),"STF")</f>
        <v>STF</v>
      </c>
      <c r="B808" s="2" t="str">
        <f>IFERROR(__xludf.DUMMYFUNCTION("""COMPUTED_VALUE"""),"stf_oficial")</f>
        <v>stf_oficial</v>
      </c>
      <c r="C808" s="2" t="str">
        <f>IFERROR(__xludf.DUMMYFUNCTION("""COMPUTED_VALUE"""),"O STF é o órgão de cúpula do Poder Judiciário, responsável pela guarda da Constituição Federal, conforme previsto no art. 102. Veja mais em https://t.co/YTBKgCDFb8")</f>
        <v>O STF é o órgão de cúpula do Poder Judiciário, responsável pela guarda da Constituição Federal, conforme previsto no art. 102. Veja mais em https://t.co/YTBKgCDFb8</v>
      </c>
      <c r="D808" s="2">
        <f>IFERROR(__xludf.DUMMYFUNCTION("""COMPUTED_VALUE"""),1.2869302045950495E-4)</f>
        <v>0.0001286930205</v>
      </c>
      <c r="E808" s="2" t="str">
        <f>IFERROR(__xludf.DUMMYFUNCTION("""COMPUTED_VALUE"""),"  2.726.646")</f>
        <v>  2.726.646</v>
      </c>
    </row>
    <row r="809">
      <c r="A809" s="2" t="str">
        <f>IFERROR(__xludf.DUMMYFUNCTION("""COMPUTED_VALUE"""),"🔰Ana LuízaⓂ️🐕")</f>
        <v>🔰Ana LuízaⓂ️🐕</v>
      </c>
      <c r="B809" s="2" t="str">
        <f>IFERROR(__xludf.DUMMYFUNCTION("""COMPUTED_VALUE"""),"analuizaholan10")</f>
        <v>analuizaholan10</v>
      </c>
      <c r="C809" s="2" t="str">
        <f>IFERROR(__xludf.DUMMYFUNCTION("""COMPUTED_VALUE"""),"Brasileira indignada com à corrupção e impunidade. LAVAJATISTA, ativista, antipetista, ambientalista e desarmamentista.
#QuemMandouMatarMoro")</f>
        <v>Brasileira indignada com à corrupção e impunidade. LAVAJATISTA, ativista, antipetista, ambientalista e desarmamentista.
#QuemMandouMatarMoro</v>
      </c>
      <c r="D809" s="2">
        <f>IFERROR(__xludf.DUMMYFUNCTION("""COMPUTED_VALUE"""),1.2869302045950495E-4)</f>
        <v>0.0001286930205</v>
      </c>
      <c r="E809" s="2" t="str">
        <f>IFERROR(__xludf.DUMMYFUNCTION("""COMPUTED_VALUE"""),"      8.133")</f>
        <v>      8.133</v>
      </c>
    </row>
    <row r="810">
      <c r="A810" s="2" t="str">
        <f>IFERROR(__xludf.DUMMYFUNCTION("""COMPUTED_VALUE"""),"Billy the Kid")</f>
        <v>Billy the Kid</v>
      </c>
      <c r="B810" s="2" t="str">
        <f>IFERROR(__xludf.DUMMYFUNCTION("""COMPUTED_VALUE"""),"billydedireita")</f>
        <v>billydedireita</v>
      </c>
      <c r="C810" s="2"/>
      <c r="D810" s="2">
        <f>IFERROR(__xludf.DUMMYFUNCTION("""COMPUTED_VALUE"""),1.2869302045950495E-4)</f>
        <v>0.0001286930205</v>
      </c>
      <c r="E810" s="2" t="str">
        <f>IFERROR(__xludf.DUMMYFUNCTION("""COMPUTED_VALUE"""),"      1.988")</f>
        <v>      1.988</v>
      </c>
    </row>
    <row r="811">
      <c r="A811" s="2" t="str">
        <f>IFERROR(__xludf.DUMMYFUNCTION("""COMPUTED_VALUE"""),"Fernanda")</f>
        <v>Fernanda</v>
      </c>
      <c r="B811" s="2" t="str">
        <f>IFERROR(__xludf.DUMMYFUNCTION("""COMPUTED_VALUE"""),"nan_bicalho")</f>
        <v>nan_bicalho</v>
      </c>
      <c r="C811" s="2" t="str">
        <f>IFERROR(__xludf.DUMMYFUNCTION("""COMPUTED_VALUE"""),"@Cruzeiro")</f>
        <v>@Cruzeiro</v>
      </c>
      <c r="D811" s="2">
        <f>IFERROR(__xludf.DUMMYFUNCTION("""COMPUTED_VALUE"""),1.2869302045950495E-4)</f>
        <v>0.0001286930205</v>
      </c>
      <c r="E811" s="2" t="str">
        <f>IFERROR(__xludf.DUMMYFUNCTION("""COMPUTED_VALUE"""),"      6.349")</f>
        <v>      6.349</v>
      </c>
    </row>
    <row r="812">
      <c r="A812" s="2" t="str">
        <f>IFERROR(__xludf.DUMMYFUNCTION("""COMPUTED_VALUE"""),"Paula Schmitt")</f>
        <v>Paula Schmitt</v>
      </c>
      <c r="B812" s="2" t="str">
        <f>IFERROR(__xludf.DUMMYFUNCTION("""COMPUTED_VALUE"""),"schmittpaula")</f>
        <v>schmittpaula</v>
      </c>
      <c r="C812" s="2" t="str">
        <f>IFERROR(__xludf.DUMMYFUNCTION("""COMPUTED_VALUE"""),"Mideast correspondent; PolSci AUB, RollingStone, GQ, Folha, Estado, @972mag; karate fighter, aspiring hitman. Author of Eudemonia &amp; Spies. Thursdays on Poder360")</f>
        <v>Mideast correspondent; PolSci AUB, RollingStone, GQ, Folha, Estado, @972mag; karate fighter, aspiring hitman. Author of Eudemonia &amp; Spies. Thursdays on Poder360</v>
      </c>
      <c r="D812" s="2">
        <f>IFERROR(__xludf.DUMMYFUNCTION("""COMPUTED_VALUE"""),1.2869302045950495E-4)</f>
        <v>0.0001286930205</v>
      </c>
      <c r="E812" s="2" t="str">
        <f>IFERROR(__xludf.DUMMYFUNCTION("""COMPUTED_VALUE"""),"    135.192")</f>
        <v>    135.192</v>
      </c>
    </row>
    <row r="813">
      <c r="A813" s="2" t="str">
        <f>IFERROR(__xludf.DUMMYFUNCTION("""COMPUTED_VALUE"""),"SecomVc")</f>
        <v>SecomVc</v>
      </c>
      <c r="B813" s="2" t="str">
        <f>IFERROR(__xludf.DUMMYFUNCTION("""COMPUTED_VALUE"""),"secomvc")</f>
        <v>secomvc</v>
      </c>
      <c r="C813" s="2" t="str">
        <f>IFERROR(__xludf.DUMMYFUNCTION("""COMPUTED_VALUE"""),"Bem-vindos ao SecomVc, canal da Secretaria de Comunicação Social da Presidência. 🇧🇷 Saiba tudo sobre as principais ações do Governo do Brasil:")</f>
        <v>Bem-vindos ao SecomVc, canal da Secretaria de Comunicação Social da Presidência. 🇧🇷 Saiba tudo sobre as principais ações do Governo do Brasil:</v>
      </c>
      <c r="D813" s="2">
        <f>IFERROR(__xludf.DUMMYFUNCTION("""COMPUTED_VALUE"""),1.2869302045950495E-4)</f>
        <v>0.0001286930205</v>
      </c>
      <c r="E813" s="2" t="str">
        <f>IFERROR(__xludf.DUMMYFUNCTION("""COMPUTED_VALUE"""),"    284.799")</f>
        <v>    284.799</v>
      </c>
    </row>
    <row r="814">
      <c r="A814" s="2" t="str">
        <f>IFERROR(__xludf.DUMMYFUNCTION("""COMPUTED_VALUE"""),"Polícia Militar do Estado de São Paulo")</f>
        <v>Polícia Militar do Estado de São Paulo</v>
      </c>
      <c r="B814" s="2" t="str">
        <f>IFERROR(__xludf.DUMMYFUNCTION("""COMPUTED_VALUE"""),"pmesp")</f>
        <v>pmesp</v>
      </c>
      <c r="C814" s="2" t="str">
        <f>IFERROR(__xludf.DUMMYFUNCTION("""COMPUTED_VALUE"""),"https://t.co/Qzj8KiAVVB - Bem-vindo à página oficial da Polícia Militar do Estado de São Paulo! Em caso de crime, ligue 190 ou Disque-Denúncia 181.")</f>
        <v>https://t.co/Qzj8KiAVVB - Bem-vindo à página oficial da Polícia Militar do Estado de São Paulo! Em caso de crime, ligue 190 ou Disque-Denúncia 181.</v>
      </c>
      <c r="D814" s="2">
        <f>IFERROR(__xludf.DUMMYFUNCTION("""COMPUTED_VALUE"""),1.2869302045950495E-4)</f>
        <v>0.0001286930205</v>
      </c>
      <c r="E814" s="2" t="str">
        <f>IFERROR(__xludf.DUMMYFUNCTION("""COMPUTED_VALUE"""),"    718.213")</f>
        <v>    718.213</v>
      </c>
    </row>
    <row r="815">
      <c r="A815" s="2" t="str">
        <f>IFERROR(__xludf.DUMMYFUNCTION("""COMPUTED_VALUE"""),"ROSSATTI♨")</f>
        <v>ROSSATTI♨</v>
      </c>
      <c r="B815" s="2" t="str">
        <f>IFERROR(__xludf.DUMMYFUNCTION("""COMPUTED_VALUE"""),"chaserossatti")</f>
        <v>chaserossatti</v>
      </c>
      <c r="C815" s="2"/>
      <c r="D815" s="2">
        <f>IFERROR(__xludf.DUMMYFUNCTION("""COMPUTED_VALUE"""),1.2869302045950495E-4)</f>
        <v>0.0001286930205</v>
      </c>
      <c r="E815" s="2" t="str">
        <f>IFERROR(__xludf.DUMMYFUNCTION("""COMPUTED_VALUE"""),"      1.479")</f>
        <v>      1.479</v>
      </c>
    </row>
    <row r="816">
      <c r="A816" s="2" t="str">
        <f>IFERROR(__xludf.DUMMYFUNCTION("""COMPUTED_VALUE"""),"Ivanildo Terceiro")</f>
        <v>Ivanildo Terceiro</v>
      </c>
      <c r="B816" s="2" t="str">
        <f>IFERROR(__xludf.DUMMYFUNCTION("""COMPUTED_VALUE"""),"ivanildoiii")</f>
        <v>ivanildoiii</v>
      </c>
      <c r="C816" s="2" t="str">
        <f>IFERROR(__xludf.DUMMYFUNCTION("""COMPUTED_VALUE"""),"Assistant Director of Marketing no @SFLiberty. 
Alumnus @FNFreiheit
Ama e defende a liberdade alheia. Todas as opiniões aqui são minhas e apenas minhas.")</f>
        <v>Assistant Director of Marketing no @SFLiberty. 
Alumnus @FNFreiheit
Ama e defende a liberdade alheia. Todas as opiniões aqui são minhas e apenas minhas.</v>
      </c>
      <c r="D816" s="2">
        <f>IFERROR(__xludf.DUMMYFUNCTION("""COMPUTED_VALUE"""),1.2869302045950495E-4)</f>
        <v>0.0001286930205</v>
      </c>
      <c r="E816" s="2" t="str">
        <f>IFERROR(__xludf.DUMMYFUNCTION("""COMPUTED_VALUE"""),"     21.675")</f>
        <v>     21.675</v>
      </c>
    </row>
    <row r="817">
      <c r="A817" s="2" t="str">
        <f>IFERROR(__xludf.DUMMYFUNCTION("""COMPUTED_VALUE"""),"Sistema Eminem")</f>
        <v>Sistema Eminem</v>
      </c>
      <c r="B817" s="2" t="str">
        <f>IFERROR(__xludf.DUMMYFUNCTION("""COMPUTED_VALUE"""),"emimotopapi")</f>
        <v>emimotopapi</v>
      </c>
      <c r="C817" s="2" t="str">
        <f>IFERROR(__xludf.DUMMYFUNCTION("""COMPUTED_VALUE"""),"Prazer, nós somos o Sistema Eminem. Somos 18 identidades. Paz, Amor e Empatia 🕊️ ❤️✌️ TDI")</f>
        <v>Prazer, nós somos o Sistema Eminem. Somos 18 identidades. Paz, Amor e Empatia 🕊️ ❤️✌️ TDI</v>
      </c>
      <c r="D817" s="2">
        <f>IFERROR(__xludf.DUMMYFUNCTION("""COMPUTED_VALUE"""),1.2869302045950495E-4)</f>
        <v>0.0001286930205</v>
      </c>
      <c r="E817" s="2" t="str">
        <f>IFERROR(__xludf.DUMMYFUNCTION("""COMPUTED_VALUE"""),"      3.235")</f>
        <v>      3.235</v>
      </c>
    </row>
    <row r="818">
      <c r="A818" s="2" t="str">
        <f>IFERROR(__xludf.DUMMYFUNCTION("""COMPUTED_VALUE"""),"ERIKA HILTON")</f>
        <v>ERIKA HILTON</v>
      </c>
      <c r="B818" s="2" t="str">
        <f>IFERROR(__xludf.DUMMYFUNCTION("""COMPUTED_VALUE"""),"erikakhilton")</f>
        <v>erikakhilton</v>
      </c>
      <c r="C818" s="2" t="str">
        <f>IFERROR(__xludf.DUMMYFUNCTION("""COMPUTED_VALUE"""),"Ativista e Deputada Federal (23-27) - PSOL/SP
Vice presidenta da CDHMIR da Câmara dos Deputados.
Vereadora mais votada do Brasil em 2020.")</f>
        <v>Ativista e Deputada Federal (23-27) - PSOL/SP
Vice presidenta da CDHMIR da Câmara dos Deputados.
Vereadora mais votada do Brasil em 2020.</v>
      </c>
      <c r="D818" s="2">
        <f>IFERROR(__xludf.DUMMYFUNCTION("""COMPUTED_VALUE"""),1.2869302045950495E-4)</f>
        <v>0.0001286930205</v>
      </c>
      <c r="E818" s="2" t="str">
        <f>IFERROR(__xludf.DUMMYFUNCTION("""COMPUTED_VALUE"""),"    408.207")</f>
        <v>    408.207</v>
      </c>
    </row>
    <row r="819">
      <c r="A819" s="2" t="str">
        <f>IFERROR(__xludf.DUMMYFUNCTION("""COMPUTED_VALUE"""),"Ana Lucia Nobica Marques")</f>
        <v>Ana Lucia Nobica Marques</v>
      </c>
      <c r="B819" s="2" t="str">
        <f>IFERROR(__xludf.DUMMYFUNCTION("""COMPUTED_VALUE"""),"ananobica")</f>
        <v>ananobica</v>
      </c>
      <c r="C819" s="2" t="str">
        <f>IFERROR(__xludf.DUMMYFUNCTION("""COMPUTED_VALUE"""),"Aposentada, Boa de Briga Verbal e Gramatical;
Paciência Zero as injustiça;
Esquerda  por Natureza.
Só sigo quem me Segue 😉
1️⃣3️⃣🇧🇷")</f>
        <v>Aposentada, Boa de Briga Verbal e Gramatical;
Paciência Zero as injustiça;
Esquerda  por Natureza.
Só sigo quem me Segue 😉
1️⃣3️⃣🇧🇷</v>
      </c>
      <c r="D819" s="2">
        <f>IFERROR(__xludf.DUMMYFUNCTION("""COMPUTED_VALUE"""),1.2869302045950495E-4)</f>
        <v>0.0001286930205</v>
      </c>
      <c r="E819" s="2" t="str">
        <f>IFERROR(__xludf.DUMMYFUNCTION("""COMPUTED_VALUE"""),"      1.154")</f>
        <v>      1.154</v>
      </c>
    </row>
    <row r="820">
      <c r="A820" s="2" t="str">
        <f>IFERROR(__xludf.DUMMYFUNCTION("""COMPUTED_VALUE"""),"Catnyanbinary")</f>
        <v>Catnyanbinary</v>
      </c>
      <c r="B820" s="2" t="str">
        <f>IFERROR(__xludf.DUMMYFUNCTION("""COMPUTED_VALUE"""),"3_catboy")</f>
        <v>3_catboy</v>
      </c>
      <c r="C820" s="2" t="str">
        <f>IFERROR(__xludf.DUMMYFUNCTION("""COMPUTED_VALUE"""),"Nyanbinary - anypronouns  - femboy tático do Kim Jong Un - Comunista - Amante de Leviathan e Demiurgo - 🚫 Não sou conta NSFW 🚫 -")</f>
        <v>Nyanbinary - anypronouns  - femboy tático do Kim Jong Un - Comunista - Amante de Leviathan e Demiurgo - 🚫 Não sou conta NSFW 🚫 -</v>
      </c>
      <c r="D820" s="2">
        <f>IFERROR(__xludf.DUMMYFUNCTION("""COMPUTED_VALUE"""),1.2869302045950495E-4)</f>
        <v>0.0001286930205</v>
      </c>
      <c r="E820" s="2" t="str">
        <f>IFERROR(__xludf.DUMMYFUNCTION("""COMPUTED_VALUE"""),"      2.071")</f>
        <v>      2.071</v>
      </c>
    </row>
    <row r="821">
      <c r="A821" s="2" t="str">
        <f>IFERROR(__xludf.DUMMYFUNCTION("""COMPUTED_VALUE"""),"Rhaenyro Targaryen")</f>
        <v>Rhaenyro Targaryen</v>
      </c>
      <c r="B821" s="2" t="str">
        <f>IFERROR(__xludf.DUMMYFUNCTION("""COMPUTED_VALUE"""),"danfmbis")</f>
        <v>danfmbis</v>
      </c>
      <c r="C821" s="2" t="str">
        <f>IFERROR(__xludf.DUMMYFUNCTION("""COMPUTED_VALUE"""),"Há alguns anos minha mãe surpreendeu a medicina, trazendo ao mundo um ser lindo, safado,inteligente, gostoso e com mente brilhante...e cá estou eu
♐sagitarianjo")</f>
        <v>Há alguns anos minha mãe surpreendeu a medicina, trazendo ao mundo um ser lindo, safado,inteligente, gostoso e com mente brilhante...e cá estou eu
♐sagitarianjo</v>
      </c>
      <c r="D821" s="2">
        <f>IFERROR(__xludf.DUMMYFUNCTION("""COMPUTED_VALUE"""),1.2869302045950495E-4)</f>
        <v>0.0001286930205</v>
      </c>
      <c r="E821" s="2" t="str">
        <f>IFERROR(__xludf.DUMMYFUNCTION("""COMPUTED_VALUE"""),"      1.055")</f>
        <v>      1.055</v>
      </c>
    </row>
    <row r="822">
      <c r="A822" s="2" t="str">
        <f>IFERROR(__xludf.DUMMYFUNCTION("""COMPUTED_VALUE"""),"Kim D. Paim")</f>
        <v>Kim D. Paim</v>
      </c>
      <c r="B822" s="2" t="str">
        <f>IFERROR(__xludf.DUMMYFUNCTION("""COMPUTED_VALUE"""),"kimpaim")</f>
        <v>kimpaim</v>
      </c>
      <c r="C822" s="2" t="str">
        <f>IFERROR(__xludf.DUMMYFUNCTION("""COMPUTED_VALUE"""),"Jornalista. 
https://t.co/RkKUcrHo8Y
O homem que se tornará o Rei dos Piratas 🏴‍☠️
Telegram: https://t.co/pxAM8dIjay")</f>
        <v>Jornalista. 
https://t.co/RkKUcrHo8Y
O homem que se tornará o Rei dos Piratas 🏴‍☠️
Telegram: https://t.co/pxAM8dIjay</v>
      </c>
      <c r="D822" s="2">
        <f>IFERROR(__xludf.DUMMYFUNCTION("""COMPUTED_VALUE"""),1.2869302045950495E-4)</f>
        <v>0.0001286930205</v>
      </c>
      <c r="E822" s="2" t="str">
        <f>IFERROR(__xludf.DUMMYFUNCTION("""COMPUTED_VALUE"""),"  1.335.768")</f>
        <v>  1.335.768</v>
      </c>
    </row>
    <row r="823">
      <c r="A823" s="2" t="str">
        <f>IFERROR(__xludf.DUMMYFUNCTION("""COMPUTED_VALUE"""),"Mr. Miyagi The Dragon")</f>
        <v>Mr. Miyagi The Dragon</v>
      </c>
      <c r="B823" s="2" t="str">
        <f>IFERROR(__xludf.DUMMYFUNCTION("""COMPUTED_VALUE"""),"miyagithedragon")</f>
        <v>miyagithedragon</v>
      </c>
      <c r="C823" s="2"/>
      <c r="D823" s="2">
        <f>IFERROR(__xludf.DUMMYFUNCTION("""COMPUTED_VALUE"""),1.2869302045950495E-4)</f>
        <v>0.0001286930205</v>
      </c>
      <c r="E823" s="2" t="str">
        <f>IFERROR(__xludf.DUMMYFUNCTION("""COMPUTED_VALUE"""),"      1.704")</f>
        <v>      1.704</v>
      </c>
    </row>
    <row r="824">
      <c r="A824" s="2" t="str">
        <f>IFERROR(__xludf.DUMMYFUNCTION("""COMPUTED_VALUE"""),"Dama de Ferro")</f>
        <v>Dama de Ferro</v>
      </c>
      <c r="B824" s="2" t="str">
        <f>IFERROR(__xludf.DUMMYFUNCTION("""COMPUTED_VALUE"""),"damadeferroofic")</f>
        <v>damadeferroofic</v>
      </c>
      <c r="C824" s="2" t="str">
        <f>IFERROR(__xludf.DUMMYFUNCTION("""COMPUTED_VALUE"""),"Página dedicada a Margaret Thatcher conhecida como Dama de Ferro. Falamos sobre cotidiano, direito, economia, entretenimento e política. Sempre com humor.")</f>
        <v>Página dedicada a Margaret Thatcher conhecida como Dama de Ferro. Falamos sobre cotidiano, direito, economia, entretenimento e política. Sempre com humor.</v>
      </c>
      <c r="D824" s="2">
        <f>IFERROR(__xludf.DUMMYFUNCTION("""COMPUTED_VALUE"""),1.2869302045950495E-4)</f>
        <v>0.0001286930205</v>
      </c>
      <c r="E824" s="2" t="str">
        <f>IFERROR(__xludf.DUMMYFUNCTION("""COMPUTED_VALUE"""),"  1.024.730")</f>
        <v>  1.024.730</v>
      </c>
    </row>
    <row r="825">
      <c r="A825" s="2" t="str">
        <f>IFERROR(__xludf.DUMMYFUNCTION("""COMPUTED_VALUE"""),"José Correia Guedes")</f>
        <v>José Correia Guedes</v>
      </c>
      <c r="B825" s="2" t="str">
        <f>IFERROR(__xludf.DUMMYFUNCTION("""COMPUTED_VALUE"""),"cpt340")</f>
        <v>cpt340</v>
      </c>
      <c r="C825" s="2" t="str">
        <f>IFERROR(__xludf.DUMMYFUNCTION("""COMPUTED_VALUE"""),"Comandante da TAP na reforma, agora avô no activo. Muito mais difícil. Autor dos livros O Aviador, Carlos Bleck e Na Rota do Yankee Clipper.")</f>
        <v>Comandante da TAP na reforma, agora avô no activo. Muito mais difícil. Autor dos livros O Aviador, Carlos Bleck e Na Rota do Yankee Clipper.</v>
      </c>
      <c r="D825" s="2">
        <f>IFERROR(__xludf.DUMMYFUNCTION("""COMPUTED_VALUE"""),1.2869302045950495E-4)</f>
        <v>0.0001286930205</v>
      </c>
      <c r="E825" s="2" t="str">
        <f>IFERROR(__xludf.DUMMYFUNCTION("""COMPUTED_VALUE"""),"     23.432")</f>
        <v>     23.432</v>
      </c>
    </row>
    <row r="826">
      <c r="A826" s="2" t="str">
        <f>IFERROR(__xludf.DUMMYFUNCTION("""COMPUTED_VALUE"""),"GugaNoblat")</f>
        <v>GugaNoblat</v>
      </c>
      <c r="B826" s="2" t="str">
        <f>IFERROR(__xludf.DUMMYFUNCTION("""COMPUTED_VALUE"""),"guganoblat")</f>
        <v>guganoblat</v>
      </c>
      <c r="C826" s="2" t="str">
        <f>IFERROR(__xludf.DUMMYFUNCTION("""COMPUTED_VALUE"""),"Fiz O Globo, Combate, CQC, A Liga , Pânico e Morning Show. Comentarista do ICL notícias. Apelidado carinhosamente pelo Bolsonaro de Cérebro Mofado.")</f>
        <v>Fiz O Globo, Combate, CQC, A Liga , Pânico e Morning Show. Comentarista do ICL notícias. Apelidado carinhosamente pelo Bolsonaro de Cérebro Mofado.</v>
      </c>
      <c r="D826" s="2">
        <f>IFERROR(__xludf.DUMMYFUNCTION("""COMPUTED_VALUE"""),1.2869302045950495E-4)</f>
        <v>0.0001286930205</v>
      </c>
      <c r="E826" s="2" t="str">
        <f>IFERROR(__xludf.DUMMYFUNCTION("""COMPUTED_VALUE"""),"    440.351")</f>
        <v>    440.351</v>
      </c>
    </row>
    <row r="827">
      <c r="A827" s="2" t="str">
        <f>IFERROR(__xludf.DUMMYFUNCTION("""COMPUTED_VALUE"""),"fried")</f>
        <v>fried</v>
      </c>
      <c r="B827" s="2" t="str">
        <f>IFERROR(__xludf.DUMMYFUNCTION("""COMPUTED_VALUE"""),"friedhardt")</f>
        <v>friedhardt</v>
      </c>
      <c r="C827" s="2" t="str">
        <f>IFERROR(__xludf.DUMMYFUNCTION("""COMPUTED_VALUE"""),"atenção eu não quero debater")</f>
        <v>atenção eu não quero debater</v>
      </c>
      <c r="D827" s="2">
        <f>IFERROR(__xludf.DUMMYFUNCTION("""COMPUTED_VALUE"""),1.2869302045950495E-4)</f>
        <v>0.0001286930205</v>
      </c>
      <c r="E827" s="2" t="str">
        <f>IFERROR(__xludf.DUMMYFUNCTION("""COMPUTED_VALUE"""),"     41.245")</f>
        <v>     41.245</v>
      </c>
    </row>
    <row r="828">
      <c r="A828" s="2" t="str">
        <f>IFERROR(__xludf.DUMMYFUNCTION("""COMPUTED_VALUE"""),"SEJ Johnsson")</f>
        <v>SEJ Johnsson</v>
      </c>
      <c r="B828" s="2" t="str">
        <f>IFERROR(__xludf.DUMMYFUNCTION("""COMPUTED_VALUE"""),"sej_johnsson")</f>
        <v>sej_johnsson</v>
      </c>
      <c r="C828" s="2" t="str">
        <f>IFERROR(__xludf.DUMMYFUNCTION("""COMPUTED_VALUE"""),"The best is yet to come.. “Com sorte vc atravessa o mundo, sem sorte vc não atravessa a rua.” NRodrigues ... on my way to nowhere")</f>
        <v>The best is yet to come.. “Com sorte vc atravessa o mundo, sem sorte vc não atravessa a rua.” NRodrigues ... on my way to nowhere</v>
      </c>
      <c r="D828" s="2">
        <f>IFERROR(__xludf.DUMMYFUNCTION("""COMPUTED_VALUE"""),1.2869302045950495E-4)</f>
        <v>0.0001286930205</v>
      </c>
      <c r="E828" s="2" t="str">
        <f>IFERROR(__xludf.DUMMYFUNCTION("""COMPUTED_VALUE"""),"      1.141")</f>
        <v>      1.141</v>
      </c>
    </row>
    <row r="829">
      <c r="A829" s="2" t="str">
        <f>IFERROR(__xludf.DUMMYFUNCTION("""COMPUTED_VALUE"""),"Willzera Legacy ®")</f>
        <v>Willzera Legacy ®</v>
      </c>
      <c r="B829" s="2" t="str">
        <f>IFERROR(__xludf.DUMMYFUNCTION("""COMPUTED_VALUE"""),"wiiillzeratv")</f>
        <v>wiiillzeratv</v>
      </c>
      <c r="C829" s="2" t="str">
        <f>IFERROR(__xludf.DUMMYFUNCTION("""COMPUTED_VALUE"""),"falando sobre jogos que eu gosto e fazendo sorteio")</f>
        <v>falando sobre jogos que eu gosto e fazendo sorteio</v>
      </c>
      <c r="D829" s="2">
        <f>IFERROR(__xludf.DUMMYFUNCTION("""COMPUTED_VALUE"""),1.2869302045950495E-4)</f>
        <v>0.0001286930205</v>
      </c>
      <c r="E829" s="2" t="str">
        <f>IFERROR(__xludf.DUMMYFUNCTION("""COMPUTED_VALUE"""),"      2.238")</f>
        <v>      2.238</v>
      </c>
    </row>
    <row r="830">
      <c r="A830" s="2" t="str">
        <f>IFERROR(__xludf.DUMMYFUNCTION("""COMPUTED_VALUE"""),"Canal GOAT")</f>
        <v>Canal GOAT</v>
      </c>
      <c r="B830" s="2" t="str">
        <f>IFERROR(__xludf.DUMMYFUNCTION("""COMPUTED_VALUE"""),"canalgoatbr")</f>
        <v>canalgoatbr</v>
      </c>
      <c r="C830" s="2" t="str">
        <f>IFERROR(__xludf.DUMMYFUNCTION("""COMPUTED_VALUE"""),"Liga da Arábia Saudita, Brasileirão Série C, NWSL, Copa Argentina, Brasileirão de Futebol Americano e muito mais. GRÁTIS! Inscreva-se @canalgoatbr 🐐")</f>
        <v>Liga da Arábia Saudita, Brasileirão Série C, NWSL, Copa Argentina, Brasileirão de Futebol Americano e muito mais. GRÁTIS! Inscreva-se @canalgoatbr 🐐</v>
      </c>
      <c r="D830" s="2">
        <f>IFERROR(__xludf.DUMMYFUNCTION("""COMPUTED_VALUE"""),1.2869302045950495E-4)</f>
        <v>0.0001286930205</v>
      </c>
      <c r="E830" s="2" t="str">
        <f>IFERROR(__xludf.DUMMYFUNCTION("""COMPUTED_VALUE"""),"     34.151")</f>
        <v>     34.151</v>
      </c>
    </row>
    <row r="831">
      <c r="A831" s="2" t="str">
        <f>IFERROR(__xludf.DUMMYFUNCTION("""COMPUTED_VALUE"""),"دوري روشن السعودي")</f>
        <v>دوري روشن السعودي</v>
      </c>
      <c r="B831" s="2" t="str">
        <f>IFERROR(__xludf.DUMMYFUNCTION("""COMPUTED_VALUE"""),"spl")</f>
        <v>spl</v>
      </c>
      <c r="C831" s="2" t="str">
        <f>IFERROR(__xludf.DUMMYFUNCTION("""COMPUTED_VALUE"""),"الحساب الرسمي لـ #دوري_روشن_السعودي | The official twitter account for Roshn Saudi League | English account @SPL_EN")</f>
        <v>الحساب الرسمي لـ #دوري_روشن_السعودي | The official twitter account for Roshn Saudi League | English account @SPL_EN</v>
      </c>
      <c r="D831" s="2">
        <f>IFERROR(__xludf.DUMMYFUNCTION("""COMPUTED_VALUE"""),1.2869302045950495E-4)</f>
        <v>0.0001286930205</v>
      </c>
      <c r="E831" s="2" t="str">
        <f>IFERROR(__xludf.DUMMYFUNCTION("""COMPUTED_VALUE"""),"  2.065.390")</f>
        <v>  2.065.390</v>
      </c>
    </row>
    <row r="832">
      <c r="A832" s="2" t="str">
        <f>IFERROR(__xludf.DUMMYFUNCTION("""COMPUTED_VALUE"""),"𝐌𝐚𝐫𝐜𝐨𝐬 𝐌𝐨𝐭𝐭𝐚")</f>
        <v>𝐌𝐚𝐫𝐜𝐨𝐬 𝐌𝐨𝐭𝐭𝐚</v>
      </c>
      <c r="B832" s="2" t="str">
        <f>IFERROR(__xludf.DUMMYFUNCTION("""COMPUTED_VALUE"""),"mottamarcos")</f>
        <v>mottamarcos</v>
      </c>
      <c r="C832" s="2" t="str">
        <f>IFERROR(__xludf.DUMMYFUNCTION("""COMPUTED_VALUE"""),"𝐄𝐬𝐩𝐨𝐫𝐭𝐞 𝐞 𝐄𝐧𝐭𝐫𝐞𝐭𝐞𝐧𝐢𝐦𝐞𝐧𝐭𝐨 @bicharaemotta @hubstage @canalGOATBR▪️Lecturer at @laliga @realmadridue @isdemasters @esade &amp; @FIFAcom")</f>
        <v>𝐄𝐬𝐩𝐨𝐫𝐭𝐞 𝐞 𝐄𝐧𝐭𝐫𝐞𝐭𝐞𝐧𝐢𝐦𝐞𝐧𝐭𝐨 @bicharaemotta @hubstage @canalGOATBR▪️Lecturer at @laliga @realmadridue @isdemasters @esade &amp; @FIFAcom</v>
      </c>
      <c r="D832" s="2">
        <f>IFERROR(__xludf.DUMMYFUNCTION("""COMPUTED_VALUE"""),1.2869302045950495E-4)</f>
        <v>0.0001286930205</v>
      </c>
      <c r="E832" s="2" t="str">
        <f>IFERROR(__xludf.DUMMYFUNCTION("""COMPUTED_VALUE"""),"     71.243")</f>
        <v>     71.243</v>
      </c>
    </row>
    <row r="833">
      <c r="A833" s="2" t="str">
        <f>IFERROR(__xludf.DUMMYFUNCTION("""COMPUTED_VALUE"""),"Mattos")</f>
        <v>Mattos</v>
      </c>
      <c r="B833" s="2" t="str">
        <f>IFERROR(__xludf.DUMMYFUNCTION("""COMPUTED_VALUE"""),"mattos_tips")</f>
        <v>mattos_tips</v>
      </c>
      <c r="C833" s="2" t="str">
        <f>IFERROR(__xludf.DUMMYFUNCTION("""COMPUTED_VALUE"""),"Gravo e posto todas minhas apostas desde Março 2023 no Youtube.
Estudante de Estatística UFMG.
Grupo free 👇🏻")</f>
        <v>Gravo e posto todas minhas apostas desde Março 2023 no Youtube.
Estudante de Estatística UFMG.
Grupo free 👇🏻</v>
      </c>
      <c r="D833" s="2">
        <f>IFERROR(__xludf.DUMMYFUNCTION("""COMPUTED_VALUE"""),1.2869302045950495E-4)</f>
        <v>0.0001286930205</v>
      </c>
      <c r="E833" s="2" t="str">
        <f>IFERROR(__xludf.DUMMYFUNCTION("""COMPUTED_VALUE"""),"      3.415")</f>
        <v>      3.415</v>
      </c>
    </row>
    <row r="834">
      <c r="A834" s="2" t="str">
        <f>IFERROR(__xludf.DUMMYFUNCTION("""COMPUTED_VALUE"""),"Ada Lovelace 1️⃣3️⃣")</f>
        <v>Ada Lovelace 1️⃣3️⃣</v>
      </c>
      <c r="B834" s="2" t="str">
        <f>IFERROR(__xludf.DUMMYFUNCTION("""COMPUTED_VALUE"""),"andre_info")</f>
        <v>andre_info</v>
      </c>
      <c r="C834" s="2" t="str">
        <f>IFERROR(__xludf.DUMMYFUNCTION("""COMPUTED_VALUE"""),"Space to information flow")</f>
        <v>Space to information flow</v>
      </c>
      <c r="D834" s="2">
        <f>IFERROR(__xludf.DUMMYFUNCTION("""COMPUTED_VALUE"""),1.2869302045950495E-4)</f>
        <v>0.0001286930205</v>
      </c>
      <c r="E834" s="2" t="str">
        <f>IFERROR(__xludf.DUMMYFUNCTION("""COMPUTED_VALUE"""),"      2.900")</f>
        <v>      2.900</v>
      </c>
    </row>
    <row r="835">
      <c r="A835" s="2" t="str">
        <f>IFERROR(__xludf.DUMMYFUNCTION("""COMPUTED_VALUE"""),"Guilherme Rennó")</f>
        <v>Guilherme Rennó</v>
      </c>
      <c r="B835" s="2" t="str">
        <f>IFERROR(__xludf.DUMMYFUNCTION("""COMPUTED_VALUE"""),"rennoguil")</f>
        <v>rennoguil</v>
      </c>
      <c r="C835" s="2" t="str">
        <f>IFERROR(__xludf.DUMMYFUNCTION("""COMPUTED_VALUE"""),"Fundador &amp; CEO da Criptomaníacos")</f>
        <v>Fundador &amp; CEO da Criptomaníacos</v>
      </c>
      <c r="D835" s="2">
        <f>IFERROR(__xludf.DUMMYFUNCTION("""COMPUTED_VALUE"""),1.2869302045950495E-4)</f>
        <v>0.0001286930205</v>
      </c>
      <c r="E835" s="2" t="str">
        <f>IFERROR(__xludf.DUMMYFUNCTION("""COMPUTED_VALUE"""),"     80.114")</f>
        <v>     80.114</v>
      </c>
    </row>
    <row r="836">
      <c r="A836" s="2" t="str">
        <f>IFERROR(__xludf.DUMMYFUNCTION("""COMPUTED_VALUE"""),"Enzo Landon🕰️ ✈️")</f>
        <v>Enzo Landon🕰️ ✈️</v>
      </c>
      <c r="B836" s="2" t="str">
        <f>IFERROR(__xludf.DUMMYFUNCTION("""COMPUTED_VALUE"""),"folkrobin_828")</f>
        <v>folkrobin_828</v>
      </c>
      <c r="C836" s="2" t="str">
        <f>IFERROR(__xludf.DUMMYFUNCTION("""COMPUTED_VALUE"""),"Stranger Things 4X06 (31:19)")</f>
        <v>Stranger Things 4X06 (31:19)</v>
      </c>
      <c r="D836" s="2">
        <f>IFERROR(__xludf.DUMMYFUNCTION("""COMPUTED_VALUE"""),1.2869302045950495E-4)</f>
        <v>0.0001286930205</v>
      </c>
      <c r="E836" s="2" t="str">
        <f>IFERROR(__xludf.DUMMYFUNCTION("""COMPUTED_VALUE"""),"      2.881")</f>
        <v>      2.881</v>
      </c>
    </row>
    <row r="837">
      <c r="A837" s="2" t="str">
        <f>IFERROR(__xludf.DUMMYFUNCTION("""COMPUTED_VALUE"""),"Lola Aronovich")</f>
        <v>Lola Aronovich</v>
      </c>
      <c r="B837" s="2" t="str">
        <f>IFERROR(__xludf.DUMMYFUNCTION("""COMPUTED_VALUE"""),"lolaescreva")</f>
        <v>lolaescreva</v>
      </c>
      <c r="C837" s="2" t="str">
        <f>IFERROR(__xludf.DUMMYFUNCTION("""COMPUTED_VALUE"""),"Professora da UFC, feminista, logicamente de esquerda, blogueira há 15 anos. Tenho tb um canal no YT https://t.co/HoJVP1J6Y5 Ingrata com o patriarcado desde criancinha.")</f>
        <v>Professora da UFC, feminista, logicamente de esquerda, blogueira há 15 anos. Tenho tb um canal no YT https://t.co/HoJVP1J6Y5 Ingrata com o patriarcado desde criancinha.</v>
      </c>
      <c r="D837" s="2">
        <f>IFERROR(__xludf.DUMMYFUNCTION("""COMPUTED_VALUE"""),1.2869302045950495E-4)</f>
        <v>0.0001286930205</v>
      </c>
      <c r="E837" s="2" t="str">
        <f>IFERROR(__xludf.DUMMYFUNCTION("""COMPUTED_VALUE"""),"    209.016")</f>
        <v>    209.016</v>
      </c>
    </row>
    <row r="838">
      <c r="A838" s="2" t="str">
        <f>IFERROR(__xludf.DUMMYFUNCTION("""COMPUTED_VALUE"""),"Améliaconta1")</f>
        <v>Améliaconta1</v>
      </c>
      <c r="B838" s="2" t="str">
        <f>IFERROR(__xludf.DUMMYFUNCTION("""COMPUTED_VALUE"""),"ameliaconta1")</f>
        <v>ameliaconta1</v>
      </c>
      <c r="C838" s="2" t="str">
        <f>IFERROR(__xludf.DUMMYFUNCTION("""COMPUTED_VALUE"""),"LULA PRESIDENTE ELEITO 🇧🇷🇧🇷🇧🇷🇧🇷")</f>
        <v>LULA PRESIDENTE ELEITO 🇧🇷🇧🇷🇧🇷🇧🇷</v>
      </c>
      <c r="D838" s="2">
        <f>IFERROR(__xludf.DUMMYFUNCTION("""COMPUTED_VALUE"""),1.2869302045950495E-4)</f>
        <v>0.0001286930205</v>
      </c>
      <c r="E838" s="2" t="str">
        <f>IFERROR(__xludf.DUMMYFUNCTION("""COMPUTED_VALUE"""),"      5.797")</f>
        <v>      5.797</v>
      </c>
    </row>
    <row r="839">
      <c r="A839" s="2" t="str">
        <f>IFERROR(__xludf.DUMMYFUNCTION("""COMPUTED_VALUE"""),"Elza")</f>
        <v>Elza</v>
      </c>
      <c r="B839" s="2" t="str">
        <f>IFERROR(__xludf.DUMMYFUNCTION("""COMPUTED_VALUE"""),"elza_ge")</f>
        <v>elza_ge</v>
      </c>
      <c r="C839" s="2" t="str">
        <f>IFERROR(__xludf.DUMMYFUNCTION("""COMPUTED_VALUE"""),"Renda-se,como eu me rendi.Mergulhe no q vc ñ conhece como eu mergulhei. Não se preocupe em entender, viver ultrapassa qualquer entendimento.
(Clarice Lispector)")</f>
        <v>Renda-se,como eu me rendi.Mergulhe no q vc ñ conhece como eu mergulhei. Não se preocupe em entender, viver ultrapassa qualquer entendimento.
(Clarice Lispector)</v>
      </c>
      <c r="D839" s="2">
        <f>IFERROR(__xludf.DUMMYFUNCTION("""COMPUTED_VALUE"""),1.2869302045950495E-4)</f>
        <v>0.0001286930205</v>
      </c>
      <c r="E839" s="2" t="str">
        <f>IFERROR(__xludf.DUMMYFUNCTION("""COMPUTED_VALUE"""),"      3.850")</f>
        <v>      3.850</v>
      </c>
    </row>
    <row r="840">
      <c r="A840" s="2" t="str">
        <f>IFERROR(__xludf.DUMMYFUNCTION("""COMPUTED_VALUE"""),"Shitpost só que de verdade")</f>
        <v>Shitpost só que de verdade</v>
      </c>
      <c r="B840" s="2" t="str">
        <f>IFERROR(__xludf.DUMMYFUNCTION("""COMPUTED_VALUE"""),"shitpostverdade")</f>
        <v>shitpostverdade</v>
      </c>
      <c r="C840" s="2" t="str">
        <f>IFERROR(__xludf.DUMMYFUNCTION("""COMPUTED_VALUE"""),"MEMES estranhos e de origem extremamente duvidosa contato: shitpostsoquedeverdade@gmail.com
 adm: @leinad_nadiel")</f>
        <v>MEMES estranhos e de origem extremamente duvidosa contato: shitpostsoquedeverdade@gmail.com
 adm: @leinad_nadiel</v>
      </c>
      <c r="D840" s="2">
        <f>IFERROR(__xludf.DUMMYFUNCTION("""COMPUTED_VALUE"""),1.2869302045950495E-4)</f>
        <v>0.0001286930205</v>
      </c>
      <c r="E840" s="2" t="str">
        <f>IFERROR(__xludf.DUMMYFUNCTION("""COMPUTED_VALUE"""),"  1.925.426")</f>
        <v>  1.925.426</v>
      </c>
    </row>
    <row r="841">
      <c r="A841" s="2" t="str">
        <f>IFERROR(__xludf.DUMMYFUNCTION("""COMPUTED_VALUE"""),"Più Europa")</f>
        <v>Più Europa</v>
      </c>
      <c r="B841" s="2" t="str">
        <f>IFERROR(__xludf.DUMMYFUNCTION("""COMPUTED_VALUE"""),"piu_europa")</f>
        <v>piu_europa</v>
      </c>
      <c r="C841" s="2" t="str">
        <f>IFERROR(__xludf.DUMMYFUNCTION("""COMPUTED_VALUE"""),"Fai #UnPassoPiùAvanti. 
Iscriviti a Più Europa: https://t.co/LZOAbeEgcv")</f>
        <v>Fai #UnPassoPiùAvanti. 
Iscriviti a Più Europa: https://t.co/LZOAbeEgcv</v>
      </c>
      <c r="D841" s="2">
        <f>IFERROR(__xludf.DUMMYFUNCTION("""COMPUTED_VALUE"""),1.2869302045950495E-4)</f>
        <v>0.0001286930205</v>
      </c>
      <c r="E841" s="2" t="str">
        <f>IFERROR(__xludf.DUMMYFUNCTION("""COMPUTED_VALUE"""),"     57.746")</f>
        <v>     57.746</v>
      </c>
    </row>
    <row r="842">
      <c r="A842" s="2" t="str">
        <f>IFERROR(__xludf.DUMMYFUNCTION("""COMPUTED_VALUE"""),"Piercamillo Falasca 🇮🇹🇪🇺")</f>
        <v>Piercamillo Falasca 🇮🇹🇪🇺</v>
      </c>
      <c r="B842" s="2" t="str">
        <f>IFERROR(__xludf.DUMMYFUNCTION("""COMPUTED_VALUE"""),"pier_falasca")</f>
        <v>pier_falasca</v>
      </c>
      <c r="C842" s="2" t="str">
        <f>IFERROR(__xludf.DUMMYFUNCTION("""COMPUTED_VALUE"""),"Vice segretario di @Piu_Europa. Terrone 2.0. Europa, Nato, Vaccini. Con Carolina nella vita.")</f>
        <v>Vice segretario di @Piu_Europa. Terrone 2.0. Europa, Nato, Vaccini. Con Carolina nella vita.</v>
      </c>
      <c r="D842" s="2">
        <f>IFERROR(__xludf.DUMMYFUNCTION("""COMPUTED_VALUE"""),1.2869302045950495E-4)</f>
        <v>0.0001286930205</v>
      </c>
      <c r="E842" s="2" t="str">
        <f>IFERROR(__xludf.DUMMYFUNCTION("""COMPUTED_VALUE"""),"     12.368")</f>
        <v>     12.368</v>
      </c>
    </row>
    <row r="843">
      <c r="A843" s="2" t="str">
        <f>IFERROR(__xludf.DUMMYFUNCTION("""COMPUTED_VALUE"""),"Tucker Carlson")</f>
        <v>Tucker Carlson</v>
      </c>
      <c r="B843" s="2" t="str">
        <f>IFERROR(__xludf.DUMMYFUNCTION("""COMPUTED_VALUE"""),"tuckercarlson")</f>
        <v>tuckercarlson</v>
      </c>
      <c r="C843" s="2"/>
      <c r="D843" s="2">
        <f>IFERROR(__xludf.DUMMYFUNCTION("""COMPUTED_VALUE"""),1.2869302045950495E-4)</f>
        <v>0.0001286930205</v>
      </c>
      <c r="E843" s="2" t="str">
        <f>IFERROR(__xludf.DUMMYFUNCTION("""COMPUTED_VALUE""")," 10.253.861")</f>
        <v> 10.253.861</v>
      </c>
    </row>
    <row r="844">
      <c r="A844" s="2" t="str">
        <f>IFERROR(__xludf.DUMMYFUNCTION("""COMPUTED_VALUE"""),"Piro")</f>
        <v>Piro</v>
      </c>
      <c r="B844" s="2" t="str">
        <f>IFERROR(__xludf.DUMMYFUNCTION("""COMPUTED_VALUE"""),"piroinsano")</f>
        <v>piroinsano</v>
      </c>
      <c r="C844" s="2" t="str">
        <f>IFERROR(__xludf.DUMMYFUNCTION("""COMPUTED_VALUE"""),"What we do in life, echoes in eternity. Republicano. Libertad, Rock y Pesca.")</f>
        <v>What we do in life, echoes in eternity. Republicano. Libertad, Rock y Pesca.</v>
      </c>
      <c r="D844" s="2">
        <f>IFERROR(__xludf.DUMMYFUNCTION("""COMPUTED_VALUE"""),1.2869302045950495E-4)</f>
        <v>0.0001286930205</v>
      </c>
      <c r="E844" s="2" t="str">
        <f>IFERROR(__xludf.DUMMYFUNCTION("""COMPUTED_VALUE"""),"     25.703")</f>
        <v>     25.703</v>
      </c>
    </row>
    <row r="845">
      <c r="A845" s="2" t="str">
        <f>IFERROR(__xludf.DUMMYFUNCTION("""COMPUTED_VALUE"""),"🇨🇦Chantal Dugdale❤️💙💛")</f>
        <v>🇨🇦Chantal Dugdale❤️💙💛</v>
      </c>
      <c r="B845" s="2" t="str">
        <f>IFERROR(__xludf.DUMMYFUNCTION("""COMPUTED_VALUE"""),"cldonline")</f>
        <v>cldonline</v>
      </c>
      <c r="C845" s="2" t="str">
        <f>IFERROR(__xludf.DUMMYFUNCTION("""COMPUTED_VALUE"""),"(BBA) #NAFO Humanitarian: Freedom, Justice, Human Rights, Democracy. Reading, research, watching, listening, learning, = building dreams")</f>
        <v>(BBA) #NAFO Humanitarian: Freedom, Justice, Human Rights, Democracy. Reading, research, watching, listening, learning, = building dreams</v>
      </c>
      <c r="D845" s="2">
        <f>IFERROR(__xludf.DUMMYFUNCTION("""COMPUTED_VALUE"""),1.2869302045950495E-4)</f>
        <v>0.0001286930205</v>
      </c>
      <c r="E845" s="2" t="str">
        <f>IFERROR(__xludf.DUMMYFUNCTION("""COMPUTED_VALUE"""),"      2.845")</f>
        <v>      2.845</v>
      </c>
    </row>
    <row r="846">
      <c r="A846" s="2" t="str">
        <f>IFERROR(__xludf.DUMMYFUNCTION("""COMPUTED_VALUE"""),"AloizioMercadante TV")</f>
        <v>AloizioMercadante TV</v>
      </c>
      <c r="B846" s="2" t="str">
        <f>IFERROR(__xludf.DUMMYFUNCTION("""COMPUTED_VALUE"""),"mercadantetv")</f>
        <v>mercadantetv</v>
      </c>
      <c r="C846" s="2" t="str">
        <f>IFERROR(__xludf.DUMMYFUNCTION("""COMPUTED_VALUE"""),"Acompanhe aqui as principais notícias, agenda e vídeos de Aloizio Mercadante, candidato do PT ao governo do estado de São Paulo")</f>
        <v>Acompanhe aqui as principais notícias, agenda e vídeos de Aloizio Mercadante, candidato do PT ao governo do estado de São Paulo</v>
      </c>
      <c r="D846" s="2">
        <f>IFERROR(__xludf.DUMMYFUNCTION("""COMPUTED_VALUE"""),1.273844769075269E-4)</f>
        <v>0.0001273844769</v>
      </c>
      <c r="E846" s="2" t="str">
        <f>IFERROR(__xludf.DUMMYFUNCTION("""COMPUTED_VALUE"""),"      1.308")</f>
        <v>      1.308</v>
      </c>
    </row>
    <row r="847">
      <c r="A847" s="2" t="str">
        <f>IFERROR(__xludf.DUMMYFUNCTION("""COMPUTED_VALUE"""),"RONALDO SILVA")</f>
        <v>RONALDO SILVA</v>
      </c>
      <c r="B847" s="2" t="str">
        <f>IFERROR(__xludf.DUMMYFUNCTION("""COMPUTED_VALUE"""),"sronaldo")</f>
        <v>sronaldo</v>
      </c>
      <c r="C847" s="2" t="str">
        <f>IFERROR(__xludf.DUMMYFUNCTION("""COMPUTED_VALUE"""),"Safety Engineer 12y in O&amp;G. I have the Certification as Supervisor of Radio Protection by CNEN, Nuclear Agency  #oilandgasmooc")</f>
        <v>Safety Engineer 12y in O&amp;G. I have the Certification as Supervisor of Radio Protection by CNEN, Nuclear Agency  #oilandgasmooc</v>
      </c>
      <c r="D847" s="2">
        <f>IFERROR(__xludf.DUMMYFUNCTION("""COMPUTED_VALUE"""),1.2734003261299193E-4)</f>
        <v>0.0001273400326</v>
      </c>
      <c r="E847" s="2" t="str">
        <f>IFERROR(__xludf.DUMMYFUNCTION("""COMPUTED_VALUE"""),"      2.298")</f>
        <v>      2.298</v>
      </c>
    </row>
    <row r="848">
      <c r="A848" s="2" t="str">
        <f>IFERROR(__xludf.DUMMYFUNCTION("""COMPUTED_VALUE"""),"Giampiero #facciamorete #TorinoFC #libdem")</f>
        <v>Giampiero #facciamorete #TorinoFC #libdem</v>
      </c>
      <c r="B848" s="2" t="str">
        <f>IFERROR(__xludf.DUMMYFUNCTION("""COMPUTED_VALUE"""),"giampierobiglia")</f>
        <v>giampierobiglia</v>
      </c>
      <c r="C848" s="2" t="str">
        <f>IFERROR(__xludf.DUMMYFUNCTION("""COMPUTED_VALUE"""),"#facciamorete #libdem #FBPE #TorinoFC #antifa")</f>
        <v>#facciamorete #libdem #FBPE #TorinoFC #antifa</v>
      </c>
      <c r="D848" s="2">
        <f>IFERROR(__xludf.DUMMYFUNCTION("""COMPUTED_VALUE"""),1.2734003261299193E-4)</f>
        <v>0.0001273400326</v>
      </c>
      <c r="E848" s="2" t="str">
        <f>IFERROR(__xludf.DUMMYFUNCTION("""COMPUTED_VALUE"""),"      4.629")</f>
        <v>      4.629</v>
      </c>
    </row>
    <row r="849">
      <c r="A849" s="2" t="str">
        <f>IFERROR(__xludf.DUMMYFUNCTION("""COMPUTED_VALUE"""),"QGui • FUNK RAVE 👽")</f>
        <v>QGui • FUNK RAVE 👽</v>
      </c>
      <c r="B849" s="2" t="str">
        <f>IFERROR(__xludf.DUMMYFUNCTION("""COMPUTED_VALUE"""),"nittergui")</f>
        <v>nittergui</v>
      </c>
      <c r="C849" s="2" t="str">
        <f>IFERROR(__xludf.DUMMYFUNCTION("""COMPUTED_VALUE"""),"- Made in Honório 📺 - 
 - Versions of Me! 👥  i love
Anitter 🇧🇷 + pra CUP - 🏆 Sigam- Nos")</f>
        <v>- Made in Honório 📺 - 
 - Versions of Me! 👥  i love
Anitter 🇧🇷 + pra CUP - 🏆 Sigam- Nos</v>
      </c>
      <c r="D849" s="2">
        <f>IFERROR(__xludf.DUMMYFUNCTION("""COMPUTED_VALUE"""),1.273400326129919E-4)</f>
        <v>0.0001273400326</v>
      </c>
      <c r="E849" s="2" t="str">
        <f>IFERROR(__xludf.DUMMYFUNCTION("""COMPUTED_VALUE"""),"      1.013")</f>
        <v>      1.013</v>
      </c>
    </row>
    <row r="850">
      <c r="A850" s="2" t="str">
        <f>IFERROR(__xludf.DUMMYFUNCTION("""COMPUTED_VALUE"""),"𝐂𝐚𝐮𝐞𝐳𝐢𝐧")</f>
        <v>𝐂𝐚𝐮𝐞𝐳𝐢𝐧</v>
      </c>
      <c r="B850" s="2" t="str">
        <f>IFERROR(__xludf.DUMMYFUNCTION("""COMPUTED_VALUE"""),"cacanitto")</f>
        <v>cacanitto</v>
      </c>
      <c r="C850" s="2" t="str">
        <f>IFERROR(__xludf.DUMMYFUNCTION("""COMPUTED_VALUE"""),"Anitta is the largest exporter of brazilian culture to the world | Fan account")</f>
        <v>Anitta is the largest exporter of brazilian culture to the world | Fan account</v>
      </c>
      <c r="D850" s="2">
        <f>IFERROR(__xludf.DUMMYFUNCTION("""COMPUTED_VALUE"""),1.273400326129919E-4)</f>
        <v>0.0001273400326</v>
      </c>
      <c r="E850" s="2" t="str">
        <f>IFERROR(__xludf.DUMMYFUNCTION("""COMPUTED_VALUE"""),"      1.288")</f>
        <v>      1.288</v>
      </c>
    </row>
    <row r="851">
      <c r="A851" s="2" t="str">
        <f>IFERROR(__xludf.DUMMYFUNCTION("""COMPUTED_VALUE"""),"Luís Roberto Barroso")</f>
        <v>Luís Roberto Barroso</v>
      </c>
      <c r="B851" s="2" t="str">
        <f>IFERROR(__xludf.DUMMYFUNCTION("""COMPUTED_VALUE"""),"lrobertobarroso")</f>
        <v>lrobertobarroso</v>
      </c>
      <c r="C851" s="2" t="str">
        <f>IFERROR(__xludf.DUMMYFUNCTION("""COMPUTED_VALUE"""),"Ministro do Supremo Tribunal Federal, professor na UERJ e colaborador acadêmico na Harvard Kennedy School.")</f>
        <v>Ministro do Supremo Tribunal Federal, professor na UERJ e colaborador acadêmico na Harvard Kennedy School.</v>
      </c>
      <c r="D851" s="2">
        <f>IFERROR(__xludf.DUMMYFUNCTION("""COMPUTED_VALUE"""),1.273400326129919E-4)</f>
        <v>0.0001273400326</v>
      </c>
      <c r="E851" s="2" t="str">
        <f>IFERROR(__xludf.DUMMYFUNCTION("""COMPUTED_VALUE"""),"    418.282")</f>
        <v>    418.282</v>
      </c>
    </row>
    <row r="852">
      <c r="A852" s="2" t="str">
        <f>IFERROR(__xludf.DUMMYFUNCTION("""COMPUTED_VALUE"""),"Gilmar Mendes")</f>
        <v>Gilmar Mendes</v>
      </c>
      <c r="B852" s="2" t="str">
        <f>IFERROR(__xludf.DUMMYFUNCTION("""COMPUTED_VALUE"""),"gilmarmendes")</f>
        <v>gilmarmendes</v>
      </c>
      <c r="C852" s="2" t="str">
        <f>IFERROR(__xludf.DUMMYFUNCTION("""COMPUTED_VALUE"""),"Ministro do Supremo Tribunal Federal")</f>
        <v>Ministro do Supremo Tribunal Federal</v>
      </c>
      <c r="D852" s="2">
        <f>IFERROR(__xludf.DUMMYFUNCTION("""COMPUTED_VALUE"""),1.273400326129919E-4)</f>
        <v>0.0001273400326</v>
      </c>
      <c r="E852" s="2" t="str">
        <f>IFERROR(__xludf.DUMMYFUNCTION("""COMPUTED_VALUE"""),"    519.251")</f>
        <v>    519.251</v>
      </c>
    </row>
    <row r="853">
      <c r="A853" s="2" t="str">
        <f>IFERROR(__xludf.DUMMYFUNCTION("""COMPUTED_VALUE"""),"🦂Eliani Carvalho🦂 ❤️")</f>
        <v>🦂Eliani Carvalho🦂 ❤️</v>
      </c>
      <c r="B853" s="2" t="str">
        <f>IFERROR(__xludf.DUMMYFUNCTION("""COMPUTED_VALUE"""),"elianic4rvalhoo")</f>
        <v>elianic4rvalhoo</v>
      </c>
      <c r="C853" s="2" t="str">
        <f>IFERROR(__xludf.DUMMYFUNCTION("""COMPUTED_VALUE"""),"🍒Vermelho é a cor mais quente ❤️Antifa,Humanista, contra o racismo e racistas, homofobia,transfobia,misoginia/mãe Bichológica- LULA Presidente")</f>
        <v>🍒Vermelho é a cor mais quente ❤️Antifa,Humanista, contra o racismo e racistas, homofobia,transfobia,misoginia/mãe Bichológica- LULA Presidente</v>
      </c>
      <c r="D853" s="2">
        <f>IFERROR(__xludf.DUMMYFUNCTION("""COMPUTED_VALUE"""),1.273400326129919E-4)</f>
        <v>0.0001273400326</v>
      </c>
      <c r="E853" s="2" t="str">
        <f>IFERROR(__xludf.DUMMYFUNCTION("""COMPUTED_VALUE"""),"      6.864")</f>
        <v>      6.864</v>
      </c>
    </row>
    <row r="854">
      <c r="A854" s="2" t="str">
        <f>IFERROR(__xludf.DUMMYFUNCTION("""COMPUTED_VALUE"""),"Torino Football Club")</f>
        <v>Torino Football Club</v>
      </c>
      <c r="B854" s="2" t="str">
        <f>IFERROR(__xludf.DUMMYFUNCTION("""COMPUTED_VALUE"""),"torinofc_1906")</f>
        <v>torinofc_1906</v>
      </c>
      <c r="C854" s="2" t="str">
        <f>IFERROR(__xludf.DUMMYFUNCTION("""COMPUTED_VALUE"""),"Pagina ufficiale Torino Football Club 🐂   @torinofc1906_en 🇬🇧🇺🇸")</f>
        <v>Pagina ufficiale Torino Football Club 🐂   @torinofc1906_en 🇬🇧🇺🇸</v>
      </c>
      <c r="D854" s="2">
        <f>IFERROR(__xludf.DUMMYFUNCTION("""COMPUTED_VALUE"""),1.273400326129919E-4)</f>
        <v>0.0001273400326</v>
      </c>
      <c r="E854" s="2" t="str">
        <f>IFERROR(__xludf.DUMMYFUNCTION("""COMPUTED_VALUE"""),"    448.364")</f>
        <v>    448.364</v>
      </c>
    </row>
    <row r="855">
      <c r="A855" s="2" t="str">
        <f>IFERROR(__xludf.DUMMYFUNCTION("""COMPUTED_VALUE"""),"Io uguale io (la ragazza del pesto)")</f>
        <v>Io uguale io (la ragazza del pesto)</v>
      </c>
      <c r="B855" s="2" t="str">
        <f>IFERROR(__xludf.DUMMYFUNCTION("""COMPUTED_VALUE"""),"frabrunaaaaaa")</f>
        <v>frabrunaaaaaa</v>
      </c>
      <c r="C855" s="2" t="str">
        <f>IFERROR(__xludf.DUMMYFUNCTION("""COMPUTED_VALUE"""),"Genovese tifosa del Toro, nata sotto il segno dello scorpione ma nell’epoca sbagliata 🦂🥱")</f>
        <v>Genovese tifosa del Toro, nata sotto il segno dello scorpione ma nell’epoca sbagliata 🦂🥱</v>
      </c>
      <c r="D855" s="2">
        <f>IFERROR(__xludf.DUMMYFUNCTION("""COMPUTED_VALUE"""),1.273400326129919E-4)</f>
        <v>0.0001273400326</v>
      </c>
      <c r="E855" s="2" t="str">
        <f>IFERROR(__xludf.DUMMYFUNCTION("""COMPUTED_VALUE"""),"      1.677")</f>
        <v>      1.677</v>
      </c>
    </row>
    <row r="856">
      <c r="A856" s="2" t="str">
        <f>IFERROR(__xludf.DUMMYFUNCTION("""COMPUTED_VALUE"""),"João Nemer")</f>
        <v>João Nemer</v>
      </c>
      <c r="B856" s="2" t="str">
        <f>IFERROR(__xludf.DUMMYFUNCTION("""COMPUTED_VALUE"""),"nemerpiro")</f>
        <v>nemerpiro</v>
      </c>
      <c r="C856" s="2" t="str">
        <f>IFERROR(__xludf.DUMMYFUNCTION("""COMPUTED_VALUE"""),"Cidadão da República das Bananas
° Torne-se parte da matilha!
""Canecai-lhes os incompetentes, ignorantes e os despirocados.""
           -Nemer, Piroca")</f>
        <v>Cidadão da República das Bananas
° Torne-se parte da matilha!
"Canecai-lhes os incompetentes, ignorantes e os despirocados."
           -Nemer, Piroca</v>
      </c>
      <c r="D856" s="2">
        <f>IFERROR(__xludf.DUMMYFUNCTION("""COMPUTED_VALUE"""),1.273400326129919E-4)</f>
        <v>0.0001273400326</v>
      </c>
      <c r="E856" s="2" t="str">
        <f>IFERROR(__xludf.DUMMYFUNCTION("""COMPUTED_VALUE"""),"      1.588")</f>
        <v>      1.588</v>
      </c>
    </row>
    <row r="857">
      <c r="A857" s="2" t="str">
        <f>IFERROR(__xludf.DUMMYFUNCTION("""COMPUTED_VALUE"""),"Renato B£ck")</f>
        <v>Renato B£ck</v>
      </c>
      <c r="B857" s="2" t="str">
        <f>IFERROR(__xludf.DUMMYFUNCTION("""COMPUTED_VALUE"""),"renato83beck")</f>
        <v>renato83beck</v>
      </c>
      <c r="C857" s="2" t="str">
        <f>IFERROR(__xludf.DUMMYFUNCTION("""COMPUTED_VALUE"""),"Mestre em história, Petista desde criancinha e filiado ao PT desde 1999, Colorado da cabeça aos pés hehehehe Gado vaza... aqui é @lulaoficial")</f>
        <v>Mestre em história, Petista desde criancinha e filiado ao PT desde 1999, Colorado da cabeça aos pés hehehehe Gado vaza... aqui é @lulaoficial</v>
      </c>
      <c r="D857" s="2">
        <f>IFERROR(__xludf.DUMMYFUNCTION("""COMPUTED_VALUE"""),1.2734003261289249E-4)</f>
        <v>0.0001273400326</v>
      </c>
      <c r="E857" s="2" t="str">
        <f>IFERROR(__xludf.DUMMYFUNCTION("""COMPUTED_VALUE"""),"      3.084")</f>
        <v>      3.084</v>
      </c>
    </row>
    <row r="858">
      <c r="A858" s="2" t="str">
        <f>IFERROR(__xludf.DUMMYFUNCTION("""COMPUTED_VALUE"""),"Geraldo Burigo, CEA")</f>
        <v>Geraldo Burigo, CEA</v>
      </c>
      <c r="B858" s="2" t="str">
        <f>IFERROR(__xludf.DUMMYFUNCTION("""COMPUTED_VALUE"""),"geraldoburigo")</f>
        <v>geraldoburigo</v>
      </c>
      <c r="C858" s="2" t="str">
        <f>IFERROR(__xludf.DUMMYFUNCTION("""COMPUTED_VALUE"""),"Engenheiro pós graduado em Finanças | Consultor CVM |
Investidor Qualificado |
ETFs |   O simples que funciona | Factor investing")</f>
        <v>Engenheiro pós graduado em Finanças | Consultor CVM |
Investidor Qualificado |
ETFs |   O simples que funciona | Factor investing</v>
      </c>
      <c r="D858" s="2">
        <f>IFERROR(__xludf.DUMMYFUNCTION("""COMPUTED_VALUE"""),1.2656206460124692E-4)</f>
        <v>0.0001265620646</v>
      </c>
      <c r="E858" s="2" t="str">
        <f>IFERROR(__xludf.DUMMYFUNCTION("""COMPUTED_VALUE"""),"      2.151")</f>
        <v>      2.151</v>
      </c>
    </row>
    <row r="859">
      <c r="A859" s="2" t="str">
        <f>IFERROR(__xludf.DUMMYFUNCTION("""COMPUTED_VALUE"""),"Lula PT nos Trends")</f>
        <v>Lula PT nos Trends</v>
      </c>
      <c r="B859" s="2" t="str">
        <f>IFERROR(__xludf.DUMMYFUNCTION("""COMPUTED_VALUE"""),"lulaptnostrends")</f>
        <v>lulaptnostrends</v>
      </c>
      <c r="C859" s="2" t="str">
        <f>IFERROR(__xludf.DUMMYFUNCTION("""COMPUTED_VALUE"""),"Comitê Virtual Lula e o PT - A Luta Não Para Nunca")</f>
        <v>Comitê Virtual Lula e o PT - A Luta Não Para Nunca</v>
      </c>
      <c r="D859" s="2">
        <f>IFERROR(__xludf.DUMMYFUNCTION("""COMPUTED_VALUE"""),1.2491089663497183E-4)</f>
        <v>0.0001249108966</v>
      </c>
      <c r="E859" s="2" t="str">
        <f>IFERROR(__xludf.DUMMYFUNCTION("""COMPUTED_VALUE"""),"      2.843")</f>
        <v>      2.843</v>
      </c>
    </row>
    <row r="860">
      <c r="A860" s="2" t="str">
        <f>IFERROR(__xludf.DUMMYFUNCTION("""COMPUTED_VALUE"""),"Alexandre PT")</f>
        <v>Alexandre PT</v>
      </c>
      <c r="B860" s="2" t="str">
        <f>IFERROR(__xludf.DUMMYFUNCTION("""COMPUTED_VALUE"""),"alexandrept13cv")</f>
        <v>alexandrept13cv</v>
      </c>
      <c r="C860" s="2" t="str">
        <f>IFERROR(__xludf.DUMMYFUNCTION("""COMPUTED_VALUE"""),"Adm de Empresas, MBA Executivo em Finanças #PetistaSeguePetista")</f>
        <v>Adm de Empresas, MBA Executivo em Finanças #PetistaSeguePetista</v>
      </c>
      <c r="D860" s="2">
        <f>IFERROR(__xludf.DUMMYFUNCTION("""COMPUTED_VALUE"""),1.2491089663497183E-4)</f>
        <v>0.0001249108966</v>
      </c>
      <c r="E860" s="2" t="str">
        <f>IFERROR(__xludf.DUMMYFUNCTION("""COMPUTED_VALUE"""),"     19.201")</f>
        <v>     19.201</v>
      </c>
    </row>
    <row r="861">
      <c r="A861" s="2" t="str">
        <f>IFERROR(__xludf.DUMMYFUNCTION("""COMPUTED_VALUE"""),"Alexandre")</f>
        <v>Alexandre</v>
      </c>
      <c r="B861" s="2" t="str">
        <f>IFERROR(__xludf.DUMMYFUNCTION("""COMPUTED_VALUE"""),"alexand92840726")</f>
        <v>alexand92840726</v>
      </c>
      <c r="C861" s="2" t="str">
        <f>IFERROR(__xludf.DUMMYFUNCTION("""COMPUTED_VALUE"""),"Lider/Membro do projeto ""Lula e PT nos trends do Twitter""
#Vote13")</f>
        <v>Lider/Membro do projeto "Lula e PT nos trends do Twitter"
#Vote13</v>
      </c>
      <c r="D861" s="2">
        <f>IFERROR(__xludf.DUMMYFUNCTION("""COMPUTED_VALUE"""),1.2491089663497183E-4)</f>
        <v>0.0001249108966</v>
      </c>
      <c r="E861" s="2" t="str">
        <f>IFERROR(__xludf.DUMMYFUNCTION("""COMPUTED_VALUE"""),"     37.018")</f>
        <v>     37.018</v>
      </c>
    </row>
    <row r="862">
      <c r="A862" s="2" t="str">
        <f>IFERROR(__xludf.DUMMYFUNCTION("""COMPUTED_VALUE"""),"Vinicius Paiva")</f>
        <v>Vinicius Paiva</v>
      </c>
      <c r="B862" s="2" t="str">
        <f>IFERROR(__xludf.DUMMYFUNCTION("""COMPUTED_VALUE"""),"vpaiva_btj")</f>
        <v>vpaiva_btj</v>
      </c>
      <c r="C862" s="2" t="str">
        <f>IFERROR(__xludf.DUMMYFUNCTION("""COMPUTED_VALUE"""),"Ex-autor do Blog Teoria dos Jogos. Flamengo e mkt.
Você já leu muito de minha autoria por aí sem saber.
Mas agora saberá! Parcerias divulgação de conteúdo: DM")</f>
        <v>Ex-autor do Blog Teoria dos Jogos. Flamengo e mkt.
Você já leu muito de minha autoria por aí sem saber.
Mas agora saberá! Parcerias divulgação de conteúdo: DM</v>
      </c>
      <c r="D862" s="2">
        <f>IFERROR(__xludf.DUMMYFUNCTION("""COMPUTED_VALUE"""),1.2463405691996585E-4)</f>
        <v>0.0001246340569</v>
      </c>
      <c r="E862" s="2" t="str">
        <f>IFERROR(__xludf.DUMMYFUNCTION("""COMPUTED_VALUE"""),"     13.413")</f>
        <v>     13.413</v>
      </c>
    </row>
    <row r="863">
      <c r="A863" s="2" t="str">
        <f>IFERROR(__xludf.DUMMYFUNCTION("""COMPUTED_VALUE"""),"Quotidiano di Puglia")</f>
        <v>Quotidiano di Puglia</v>
      </c>
      <c r="B863" s="2" t="str">
        <f>IFERROR(__xludf.DUMMYFUNCTION("""COMPUTED_VALUE"""),"quoti_puglia")</f>
        <v>quoti_puglia</v>
      </c>
      <c r="C863" s="2" t="str">
        <f>IFERROR(__xludf.DUMMYFUNCTION("""COMPUTED_VALUE"""),"Nuovo Quotidiano di Puglia - Brindisi, Lecce, Taranto")</f>
        <v>Nuovo Quotidiano di Puglia - Brindisi, Lecce, Taranto</v>
      </c>
      <c r="D863" s="2">
        <f>IFERROR(__xludf.DUMMYFUNCTION("""COMPUTED_VALUE"""),1.225369257578706E-4)</f>
        <v>0.0001225369258</v>
      </c>
      <c r="E863" s="2" t="str">
        <f>IFERROR(__xludf.DUMMYFUNCTION("""COMPUTED_VALUE"""),"     21.821")</f>
        <v>     21.821</v>
      </c>
    </row>
    <row r="864">
      <c r="A864" s="2" t="str">
        <f>IFERROR(__xludf.DUMMYFUNCTION("""COMPUTED_VALUE"""),"Cisl Puglia")</f>
        <v>Cisl Puglia</v>
      </c>
      <c r="B864" s="2" t="str">
        <f>IFERROR(__xludf.DUMMYFUNCTION("""COMPUTED_VALUE"""),"cislpuglia")</f>
        <v>cislpuglia</v>
      </c>
      <c r="C864" s="2" t="str">
        <f>IFERROR(__xludf.DUMMYFUNCTION("""COMPUTED_VALUE"""),"🇮🇹 Unione Sindacale Regionale - Segretario generale @CastellucciAnto")</f>
        <v>🇮🇹 Unione Sindacale Regionale - Segretario generale @CastellucciAnto</v>
      </c>
      <c r="D864" s="2">
        <f>IFERROR(__xludf.DUMMYFUNCTION("""COMPUTED_VALUE"""),1.225369257578706E-4)</f>
        <v>0.0001225369258</v>
      </c>
      <c r="E864" s="2" t="str">
        <f>IFERROR(__xludf.DUMMYFUNCTION("""COMPUTED_VALUE"""),"      4.078")</f>
        <v>      4.078</v>
      </c>
    </row>
    <row r="865">
      <c r="A865" s="2" t="str">
        <f>IFERROR(__xludf.DUMMYFUNCTION("""COMPUTED_VALUE"""),"CISL Nazionale")</f>
        <v>CISL Nazionale</v>
      </c>
      <c r="B865" s="2" t="str">
        <f>IFERROR(__xludf.DUMMYFUNCTION("""COMPUTED_VALUE"""),"cislnazionale")</f>
        <v>cislnazionale</v>
      </c>
      <c r="C865" s="2" t="str">
        <f>IFERROR(__xludf.DUMMYFUNCTION("""COMPUTED_VALUE"""),"La Cisl è un sindacato libero, pluralista, autonomo da schieramenti politici che conta oggi 4 milioni e mezzo di iscritti")</f>
        <v>La Cisl è un sindacato libero, pluralista, autonomo da schieramenti politici che conta oggi 4 milioni e mezzo di iscritti</v>
      </c>
      <c r="D865" s="2">
        <f>IFERROR(__xludf.DUMMYFUNCTION("""COMPUTED_VALUE"""),1.225369257578706E-4)</f>
        <v>0.0001225369258</v>
      </c>
      <c r="E865" s="2" t="str">
        <f>IFERROR(__xludf.DUMMYFUNCTION("""COMPUTED_VALUE"""),"     32.618")</f>
        <v>     32.618</v>
      </c>
    </row>
    <row r="866">
      <c r="A866" s="2" t="str">
        <f>IFERROR(__xludf.DUMMYFUNCTION("""COMPUTED_VALUE"""),"LyondellBasell")</f>
        <v>LyondellBasell</v>
      </c>
      <c r="B866" s="2" t="str">
        <f>IFERROR(__xludf.DUMMYFUNCTION("""COMPUTED_VALUE"""),"lyondellbasell")</f>
        <v>lyondellbasell</v>
      </c>
      <c r="C866" s="2" t="str">
        <f>IFERROR(__xludf.DUMMYFUNCTION("""COMPUTED_VALUE"""),"We are LyondellBasell – a leader in the global chemical industry creating solutions for everyday sustainable living.")</f>
        <v>We are LyondellBasell – a leader in the global chemical industry creating solutions for everyday sustainable living.</v>
      </c>
      <c r="D866" s="2">
        <f>IFERROR(__xludf.DUMMYFUNCTION("""COMPUTED_VALUE"""),1.225369257578706E-4)</f>
        <v>0.0001225369258</v>
      </c>
      <c r="E866" s="2" t="str">
        <f>IFERROR(__xludf.DUMMYFUNCTION("""COMPUTED_VALUE"""),"     11.601")</f>
        <v>     11.601</v>
      </c>
    </row>
    <row r="867">
      <c r="A867" s="2" t="str">
        <f>IFERROR(__xludf.DUMMYFUNCTION("""COMPUTED_VALUE"""),"Faz o L e Sorria - O Futuro Voltou")</f>
        <v>Faz o L e Sorria - O Futuro Voltou</v>
      </c>
      <c r="B867" s="2" t="str">
        <f>IFERROR(__xludf.DUMMYFUNCTION("""COMPUTED_VALUE"""),"fazolesorria")</f>
        <v>fazolesorria</v>
      </c>
      <c r="C867" s="2" t="str">
        <f>IFERROR(__xludf.DUMMYFUNCTION("""COMPUTED_VALUE"""),"Nova Primavera - Conta do Comitê Projeto Lula e o PT nos Trends")</f>
        <v>Nova Primavera - Conta do Comitê Projeto Lula e o PT nos Trends</v>
      </c>
      <c r="D867" s="2">
        <f>IFERROR(__xludf.DUMMYFUNCTION("""COMPUTED_VALUE"""),1.223829380125974E-4)</f>
        <v>0.000122382938</v>
      </c>
      <c r="E867" s="2" t="str">
        <f>IFERROR(__xludf.DUMMYFUNCTION("""COMPUTED_VALUE"""),"      1.483")</f>
        <v>      1.483</v>
      </c>
    </row>
    <row r="868">
      <c r="A868" s="2" t="str">
        <f>IFERROR(__xludf.DUMMYFUNCTION("""COMPUTED_VALUE"""),"Jurandir Filho")</f>
        <v>Jurandir Filho</v>
      </c>
      <c r="B868" s="2" t="str">
        <f>IFERROR(__xludf.DUMMYFUNCTION("""COMPUTED_VALUE"""),"jurandirfilho")</f>
        <v>jurandirfilho</v>
      </c>
      <c r="C868" s="2" t="str">
        <f>IFERROR(__xludf.DUMMYFUNCTION("""COMPUTED_VALUE"""),"Cientista e provocador da cultura pop. 🔍 || Criador do @rapadura e host do #RapaduraCast 🍿 || Criador e host do @99Vidas 🕹 || A vida voa, aproveita!! 🤙🦁")</f>
        <v>Cientista e provocador da cultura pop. 🔍 || Criador do @rapadura e host do #RapaduraCast 🍿 || Criador e host do @99Vidas 🕹 || A vida voa, aproveita!! 🤙🦁</v>
      </c>
      <c r="D868" s="2">
        <f>IFERROR(__xludf.DUMMYFUNCTION("""COMPUTED_VALUE"""),1.2158983426531149E-4)</f>
        <v>0.0001215898343</v>
      </c>
      <c r="E868" s="2" t="str">
        <f>IFERROR(__xludf.DUMMYFUNCTION("""COMPUTED_VALUE"""),"    175.186")</f>
        <v>    175.186</v>
      </c>
    </row>
    <row r="869">
      <c r="A869" s="2" t="str">
        <f>IFERROR(__xludf.DUMMYFUNCTION("""COMPUTED_VALUE"""),"Paulo Cappelli")</f>
        <v>Paulo Cappelli</v>
      </c>
      <c r="B869" s="2" t="str">
        <f>IFERROR(__xludf.DUMMYFUNCTION("""COMPUTED_VALUE"""),"paulocappelli_")</f>
        <v>paulocappelli_</v>
      </c>
      <c r="C869" s="2" t="str">
        <f>IFERROR(__xludf.DUMMYFUNCTION("""COMPUTED_VALUE"""),"Jornalista. Colunista no @metropoles. Contato: paulo.cappelli@metropoles.com / (61) 99923-7789")</f>
        <v>Jornalista. Colunista no @metropoles. Contato: paulo.cappelli@metropoles.com / (61) 99923-7789</v>
      </c>
      <c r="D869" s="2">
        <f>IFERROR(__xludf.DUMMYFUNCTION("""COMPUTED_VALUE"""),1.2158983426531149E-4)</f>
        <v>0.0001215898343</v>
      </c>
      <c r="E869" s="2" t="str">
        <f>IFERROR(__xludf.DUMMYFUNCTION("""COMPUTED_VALUE"""),"     10.809")</f>
        <v>     10.809</v>
      </c>
    </row>
    <row r="870">
      <c r="A870" s="2" t="str">
        <f>IFERROR(__xludf.DUMMYFUNCTION("""COMPUTED_VALUE"""),"André Rizek")</f>
        <v>André Rizek</v>
      </c>
      <c r="B870" s="2" t="str">
        <f>IFERROR(__xludf.DUMMYFUNCTION("""COMPUTED_VALUE"""),"andrizek")</f>
        <v>andrizek</v>
      </c>
      <c r="C870" s="2" t="str">
        <f>IFERROR(__xludf.DUMMYFUNCTION("""COMPUTED_VALUE"""),"Em atualização...")</f>
        <v>Em atualização...</v>
      </c>
      <c r="D870" s="2">
        <f>IFERROR(__xludf.DUMMYFUNCTION("""COMPUTED_VALUE"""),1.2158983426531149E-4)</f>
        <v>0.0001215898343</v>
      </c>
      <c r="E870" s="2" t="str">
        <f>IFERROR(__xludf.DUMMYFUNCTION("""COMPUTED_VALUE"""),"  2.106.248")</f>
        <v>  2.106.248</v>
      </c>
    </row>
    <row r="871">
      <c r="A871" s="2" t="str">
        <f>IFERROR(__xludf.DUMMYFUNCTION("""COMPUTED_VALUE"""),"marcelo silva")</f>
        <v>marcelo silva</v>
      </c>
      <c r="B871" s="2" t="str">
        <f>IFERROR(__xludf.DUMMYFUNCTION("""COMPUTED_VALUE"""),"marcelosilva_to")</f>
        <v>marcelosilva_to</v>
      </c>
      <c r="C871" s="2" t="str">
        <f>IFERROR(__xludf.DUMMYFUNCTION("""COMPUTED_VALUE"""),"Jornalista e Publicitário, diretor da Agência Public,  MBA em marketing político, Especialista em Gestão Pública e Sociedade, advogado e documentarista.  
..")</f>
        <v>Jornalista e Publicitário, diretor da Agência Public,  MBA em marketing político, Especialista em Gestão Pública e Sociedade, advogado e documentarista.  
..</v>
      </c>
      <c r="D871" s="2">
        <f>IFERROR(__xludf.DUMMYFUNCTION("""COMPUTED_VALUE"""),1.2158983426531149E-4)</f>
        <v>0.0001215898343</v>
      </c>
      <c r="E871" s="2" t="str">
        <f>IFERROR(__xludf.DUMMYFUNCTION("""COMPUTED_VALUE"""),"      8.584")</f>
        <v>      8.584</v>
      </c>
    </row>
    <row r="872">
      <c r="A872" s="2" t="str">
        <f>IFERROR(__xludf.DUMMYFUNCTION("""COMPUTED_VALUE"""),"HIX Capital")</f>
        <v>HIX Capital</v>
      </c>
      <c r="B872" s="2" t="str">
        <f>IFERROR(__xludf.DUMMYFUNCTION("""COMPUTED_VALUE"""),"capitalhix")</f>
        <v>capitalhix</v>
      </c>
      <c r="C872" s="2" t="str">
        <f>IFERROR(__xludf.DUMMYFUNCTION("""COMPUTED_VALUE"""),"A HIX Capital é uma gestora brasileira independente dedicada a investimentos em ações.")</f>
        <v>A HIX Capital é uma gestora brasileira independente dedicada a investimentos em ações.</v>
      </c>
      <c r="D872" s="2">
        <f>IFERROR(__xludf.DUMMYFUNCTION("""COMPUTED_VALUE"""),1.2158983426531149E-4)</f>
        <v>0.0001215898343</v>
      </c>
      <c r="E872" s="2" t="str">
        <f>IFERROR(__xludf.DUMMYFUNCTION("""COMPUTED_VALUE"""),"      1.373")</f>
        <v>      1.373</v>
      </c>
    </row>
    <row r="873">
      <c r="A873" s="2" t="str">
        <f>IFERROR(__xludf.DUMMYFUNCTION("""COMPUTED_VALUE"""),"Real Investor Asset Management")</f>
        <v>Real Investor Asset Management</v>
      </c>
      <c r="B873" s="2" t="str">
        <f>IFERROR(__xludf.DUMMYFUNCTION("""COMPUTED_VALUE"""),"realinvestor_am")</f>
        <v>realinvestor_am</v>
      </c>
      <c r="C873" s="2" t="str">
        <f>IFERROR(__xludf.DUMMYFUNCTION("""COMPUTED_VALUE"""),"▫️ For investors, not speculators .")</f>
        <v>▫️ For investors, not speculators .</v>
      </c>
      <c r="D873" s="2">
        <f>IFERROR(__xludf.DUMMYFUNCTION("""COMPUTED_VALUE"""),1.2158983426531149E-4)</f>
        <v>0.0001215898343</v>
      </c>
      <c r="E873" s="2" t="str">
        <f>IFERROR(__xludf.DUMMYFUNCTION("""COMPUTED_VALUE"""),"      7.958")</f>
        <v>      7.958</v>
      </c>
    </row>
    <row r="874">
      <c r="A874" s="2" t="str">
        <f>IFERROR(__xludf.DUMMYFUNCTION("""COMPUTED_VALUE"""),"Trígono Capital")</f>
        <v>Trígono Capital</v>
      </c>
      <c r="B874" s="2" t="str">
        <f>IFERROR(__xludf.DUMMYFUNCTION("""COMPUTED_VALUE"""),"trigonocapital")</f>
        <v>trigonocapital</v>
      </c>
      <c r="C874" s="2" t="str">
        <f>IFERROR(__xludf.DUMMYFUNCTION("""COMPUTED_VALUE"""),"Gestora de ações com forte viés para small caps e crédito privado.                         
Trígono Capital, além do óbvio.
Day: https://t.co/n9YMwrFwhz")</f>
        <v>Gestora de ações com forte viés para small caps e crédito privado.                         
Trígono Capital, além do óbvio.
Day: https://t.co/n9YMwrFwhz</v>
      </c>
      <c r="D874" s="2">
        <f>IFERROR(__xludf.DUMMYFUNCTION("""COMPUTED_VALUE"""),1.2158983426531149E-4)</f>
        <v>0.0001215898343</v>
      </c>
      <c r="E874" s="2" t="str">
        <f>IFERROR(__xludf.DUMMYFUNCTION("""COMPUTED_VALUE"""),"     13.519")</f>
        <v>     13.519</v>
      </c>
    </row>
    <row r="875">
      <c r="A875" s="2" t="str">
        <f>IFERROR(__xludf.DUMMYFUNCTION("""COMPUTED_VALUE"""),"Jansen Costa")</f>
        <v>Jansen Costa</v>
      </c>
      <c r="B875" s="2" t="str">
        <f>IFERROR(__xludf.DUMMYFUNCTION("""COMPUTED_VALUE"""),"costa_jansen")</f>
        <v>costa_jansen</v>
      </c>
      <c r="C875" s="2" t="str">
        <f>IFERROR(__xludf.DUMMYFUNCTION("""COMPUTED_VALUE"""),"🏆 + R$ 2,7 bilhões de clientes 🏊🚴🏃Ironman 🇧🇷 2013|2014 💰Invista com a @fatorialinvest")</f>
        <v>🏆 + R$ 2,7 bilhões de clientes 🏊🚴🏃Ironman 🇧🇷 2013|2014 💰Invista com a @fatorialinvest</v>
      </c>
      <c r="D875" s="2">
        <f>IFERROR(__xludf.DUMMYFUNCTION("""COMPUTED_VALUE"""),1.2158983426531149E-4)</f>
        <v>0.0001215898343</v>
      </c>
      <c r="E875" s="2" t="str">
        <f>IFERROR(__xludf.DUMMYFUNCTION("""COMPUTED_VALUE"""),"      6.487")</f>
        <v>      6.487</v>
      </c>
    </row>
    <row r="876">
      <c r="A876" s="2" t="str">
        <f>IFERROR(__xludf.DUMMYFUNCTION("""COMPUTED_VALUE"""),"Partito Democratico 🇮🇹 🇪🇺")</f>
        <v>Partito Democratico 🇮🇹 🇪🇺</v>
      </c>
      <c r="B876" s="2" t="str">
        <f>IFERROR(__xludf.DUMMYFUNCTION("""COMPUTED_VALUE"""),"pdnetwork")</f>
        <v>pdnetwork</v>
      </c>
      <c r="C876" s="2" t="str">
        <f>IFERROR(__xludf.DUMMYFUNCTION("""COMPUTED_VALUE"""),"Account ufficiale del Partito Democratico. 
Segretaria nazionale: Elly Schlein @ellyesse")</f>
        <v>Account ufficiale del Partito Democratico. 
Segretaria nazionale: Elly Schlein @ellyesse</v>
      </c>
      <c r="D876" s="2">
        <f>IFERROR(__xludf.DUMMYFUNCTION("""COMPUTED_VALUE"""),1.2158983426531149E-4)</f>
        <v>0.0001215898343</v>
      </c>
      <c r="E876" s="2" t="str">
        <f>IFERROR(__xludf.DUMMYFUNCTION("""COMPUTED_VALUE"""),"    422.719")</f>
        <v>    422.719</v>
      </c>
    </row>
    <row r="877">
      <c r="A877" s="2" t="str">
        <f>IFERROR(__xludf.DUMMYFUNCTION("""COMPUTED_VALUE"""),"Daniela Santanchè")</f>
        <v>Daniela Santanchè</v>
      </c>
      <c r="B877" s="2" t="str">
        <f>IFERROR(__xludf.DUMMYFUNCTION("""COMPUTED_VALUE"""),"dsantanche")</f>
        <v>dsantanche</v>
      </c>
      <c r="C877" s="2" t="str">
        <f>IFERROR(__xludf.DUMMYFUNCTION("""COMPUTED_VALUE"""),"Ministro del Turismo della Repubblica Italiana 🇮🇹")</f>
        <v>Ministro del Turismo della Repubblica Italiana 🇮🇹</v>
      </c>
      <c r="D877" s="2">
        <f>IFERROR(__xludf.DUMMYFUNCTION("""COMPUTED_VALUE"""),1.2158983426531149E-4)</f>
        <v>0.0001215898343</v>
      </c>
      <c r="E877" s="2" t="str">
        <f>IFERROR(__xludf.DUMMYFUNCTION("""COMPUTED_VALUE"""),"    207.096")</f>
        <v>    207.096</v>
      </c>
    </row>
    <row r="878">
      <c r="A878" s="2" t="str">
        <f>IFERROR(__xludf.DUMMYFUNCTION("""COMPUTED_VALUE"""),"Giorgio Spaziani Testa")</f>
        <v>Giorgio Spaziani Testa</v>
      </c>
      <c r="B878" s="2" t="str">
        <f>IFERROR(__xludf.DUMMYFUNCTION("""COMPUTED_VALUE"""),"gspazianitesta")</f>
        <v>gspazianitesta</v>
      </c>
      <c r="C878" s="2"/>
      <c r="D878" s="2">
        <f>IFERROR(__xludf.DUMMYFUNCTION("""COMPUTED_VALUE"""),1.2158983426531149E-4)</f>
        <v>0.0001215898343</v>
      </c>
      <c r="E878" s="2" t="str">
        <f>IFERROR(__xludf.DUMMYFUNCTION("""COMPUTED_VALUE"""),"      7.347")</f>
        <v>      7.347</v>
      </c>
    </row>
    <row r="879">
      <c r="A879" s="2" t="str">
        <f>IFERROR(__xludf.DUMMYFUNCTION("""COMPUTED_VALUE"""),"Marco A. Ferraz")</f>
        <v>Marco A. Ferraz</v>
      </c>
      <c r="B879" s="2" t="str">
        <f>IFERROR(__xludf.DUMMYFUNCTION("""COMPUTED_VALUE"""),"marcoferraz85")</f>
        <v>marcoferraz85</v>
      </c>
      <c r="C879" s="2" t="str">
        <f>IFERROR(__xludf.DUMMYFUNCTION("""COMPUTED_VALUE"""),"Instagram: @marcoferraz85
Jornalista Multimídia
MBA em Comunicação e marketing em mídias digitais")</f>
        <v>Instagram: @marcoferraz85
Jornalista Multimídia
MBA em Comunicação e marketing em mídias digitais</v>
      </c>
      <c r="D879" s="2">
        <f>IFERROR(__xludf.DUMMYFUNCTION("""COMPUTED_VALUE"""),1.2158983426531149E-4)</f>
        <v>0.0001215898343</v>
      </c>
      <c r="E879" s="2" t="str">
        <f>IFERROR(__xludf.DUMMYFUNCTION("""COMPUTED_VALUE"""),"      2.917")</f>
        <v>      2.917</v>
      </c>
    </row>
    <row r="880">
      <c r="A880" s="2" t="str">
        <f>IFERROR(__xludf.DUMMYFUNCTION("""COMPUTED_VALUE"""),"davi rodrigues")</f>
        <v>davi rodrigues</v>
      </c>
      <c r="B880" s="2" t="str">
        <f>IFERROR(__xludf.DUMMYFUNCTION("""COMPUTED_VALUE"""),"davirdesouza")</f>
        <v>davirdesouza</v>
      </c>
      <c r="C880" s="2"/>
      <c r="D880" s="2">
        <f>IFERROR(__xludf.DUMMYFUNCTION("""COMPUTED_VALUE"""),1.2158983426531149E-4)</f>
        <v>0.0001215898343</v>
      </c>
      <c r="E880" s="2" t="str">
        <f>IFERROR(__xludf.DUMMYFUNCTION("""COMPUTED_VALUE"""),"      1.070")</f>
        <v>      1.070</v>
      </c>
    </row>
    <row r="881">
      <c r="A881" s="2" t="str">
        <f>IFERROR(__xludf.DUMMYFUNCTION("""COMPUTED_VALUE"""),"opMoon")</f>
        <v>opMoon</v>
      </c>
      <c r="B881" s="2" t="str">
        <f>IFERROR(__xludf.DUMMYFUNCTION("""COMPUTED_VALUE"""),"opmoonapp")</f>
        <v>opmoonapp</v>
      </c>
      <c r="C881" s="2" t="str">
        <f>IFERROR(__xludf.DUMMYFUNCTION("""COMPUTED_VALUE"""),"opMoon is a cutting-edge crypto project leveraging the emerging #opBNB blockchain to introduce a novel reflection token.
#opMoon
TG: https://t.co/DJTBSMvCVG")</f>
        <v>opMoon is a cutting-edge crypto project leveraging the emerging #opBNB blockchain to introduce a novel reflection token.
#opMoon
TG: https://t.co/DJTBSMvCVG</v>
      </c>
      <c r="D881" s="2">
        <f>IFERROR(__xludf.DUMMYFUNCTION("""COMPUTED_VALUE"""),1.2158983426531149E-4)</f>
        <v>0.0001215898343</v>
      </c>
      <c r="E881" s="2" t="str">
        <f>IFERROR(__xludf.DUMMYFUNCTION("""COMPUTED_VALUE"""),"      4.550")</f>
        <v>      4.550</v>
      </c>
    </row>
    <row r="882">
      <c r="A882" s="2" t="str">
        <f>IFERROR(__xludf.DUMMYFUNCTION("""COMPUTED_VALUE"""),"Lucas Tanaka")</f>
        <v>Lucas Tanaka</v>
      </c>
      <c r="B882" s="2" t="str">
        <f>IFERROR(__xludf.DUMMYFUNCTION("""COMPUTED_VALUE"""),"lucastanaka")</f>
        <v>lucastanaka</v>
      </c>
      <c r="C882" s="2" t="str">
        <f>IFERROR(__xludf.DUMMYFUNCTION("""COMPUTED_VALUE"""),"Uma das loucuras que já fiz pra ver o Galão jogar! 👇
https://t.co/fk6Oa9TYRU")</f>
        <v>Uma das loucuras que já fiz pra ver o Galão jogar! 👇
https://t.co/fk6Oa9TYRU</v>
      </c>
      <c r="D882" s="2">
        <f>IFERROR(__xludf.DUMMYFUNCTION("""COMPUTED_VALUE"""),1.2158983426531149E-4)</f>
        <v>0.0001215898343</v>
      </c>
      <c r="E882" s="2" t="str">
        <f>IFERROR(__xludf.DUMMYFUNCTION("""COMPUTED_VALUE"""),"     47.722")</f>
        <v>     47.722</v>
      </c>
    </row>
    <row r="883">
      <c r="A883" s="2" t="str">
        <f>IFERROR(__xludf.DUMMYFUNCTION("""COMPUTED_VALUE"""),"douglas")</f>
        <v>douglas</v>
      </c>
      <c r="B883" s="2" t="str">
        <f>IFERROR(__xludf.DUMMYFUNCTION("""COMPUTED_VALUE"""),"eusouaquelequee")</f>
        <v>eusouaquelequee</v>
      </c>
      <c r="C883" s="2"/>
      <c r="D883" s="2">
        <f>IFERROR(__xludf.DUMMYFUNCTION("""COMPUTED_VALUE"""),1.2158983426531149E-4)</f>
        <v>0.0001215898343</v>
      </c>
      <c r="E883" s="2" t="str">
        <f>IFERROR(__xludf.DUMMYFUNCTION("""COMPUTED_VALUE"""),"      1.405")</f>
        <v>      1.405</v>
      </c>
    </row>
    <row r="884">
      <c r="A884" s="2" t="str">
        <f>IFERROR(__xludf.DUMMYFUNCTION("""COMPUTED_VALUE"""),"todo dia anitters passando vergonha")</f>
        <v>todo dia anitters passando vergonha</v>
      </c>
      <c r="B884" s="2" t="str">
        <f>IFERROR(__xludf.DUMMYFUNCTION("""COMPUTED_VALUE"""),"tododiaanitters")</f>
        <v>tododiaanitters</v>
      </c>
      <c r="C884" s="2" t="str">
        <f>IFERROR(__xludf.DUMMYFUNCTION("""COMPUTED_VALUE"""),"Coletânea de prints vergonhosos e criminosos de um dos fandoms mais micosos da Internet. | Parody Account/Fan Account.")</f>
        <v>Coletânea de prints vergonhosos e criminosos de um dos fandoms mais micosos da Internet. | Parody Account/Fan Account.</v>
      </c>
      <c r="D884" s="2">
        <f>IFERROR(__xludf.DUMMYFUNCTION("""COMPUTED_VALUE"""),1.2158983426531149E-4)</f>
        <v>0.0001215898343</v>
      </c>
      <c r="E884" s="2" t="str">
        <f>IFERROR(__xludf.DUMMYFUNCTION("""COMPUTED_VALUE"""),"     33.883")</f>
        <v>     33.883</v>
      </c>
    </row>
    <row r="885">
      <c r="A885" s="2" t="str">
        <f>IFERROR(__xludf.DUMMYFUNCTION("""COMPUTED_VALUE"""),"gui")</f>
        <v>gui</v>
      </c>
      <c r="B885" s="2" t="str">
        <f>IFERROR(__xludf.DUMMYFUNCTION("""COMPUTED_VALUE"""),"doperotic")</f>
        <v>doperotic</v>
      </c>
      <c r="C885" s="2"/>
      <c r="D885" s="2">
        <f>IFERROR(__xludf.DUMMYFUNCTION("""COMPUTED_VALUE"""),1.2158983426531149E-4)</f>
        <v>0.0001215898343</v>
      </c>
      <c r="E885" s="2" t="str">
        <f>IFERROR(__xludf.DUMMYFUNCTION("""COMPUTED_VALUE"""),"      7.415")</f>
        <v>      7.415</v>
      </c>
    </row>
    <row r="886">
      <c r="A886" s="2" t="str">
        <f>IFERROR(__xludf.DUMMYFUNCTION("""COMPUTED_VALUE"""),"Moments of Brazilian Politics")</f>
        <v>Moments of Brazilian Politics</v>
      </c>
      <c r="B886" s="2" t="str">
        <f>IFERROR(__xludf.DUMMYFUNCTION("""COMPUTED_VALUE"""),"momentsofbrazi1")</f>
        <v>momentsofbrazi1</v>
      </c>
      <c r="C886" s="2" t="str">
        <f>IFERROR(__xludf.DUMMYFUNCTION("""COMPUTED_VALUE"""),"Moments of Brazilian Politics. Send DM with images of brazil politics.")</f>
        <v>Moments of Brazilian Politics. Send DM with images of brazil politics.</v>
      </c>
      <c r="D886" s="2">
        <f>IFERROR(__xludf.DUMMYFUNCTION("""COMPUTED_VALUE"""),1.2158983426531149E-4)</f>
        <v>0.0001215898343</v>
      </c>
      <c r="E886" s="2" t="str">
        <f>IFERROR(__xludf.DUMMYFUNCTION("""COMPUTED_VALUE"""),"     30.188")</f>
        <v>     30.188</v>
      </c>
    </row>
    <row r="887">
      <c r="A887" s="2" t="str">
        <f>IFERROR(__xludf.DUMMYFUNCTION("""COMPUTED_VALUE"""),"Fábio")</f>
        <v>Fábio</v>
      </c>
      <c r="B887" s="2" t="str">
        <f>IFERROR(__xludf.DUMMYFUNCTION("""COMPUTED_VALUE"""),"_fabinhu_r_")</f>
        <v>_fabinhu_r_</v>
      </c>
      <c r="C887" s="2" t="str">
        <f>IFERROR(__xludf.DUMMYFUNCTION("""COMPUTED_VALUE"""),"Escritor independente")</f>
        <v>Escritor independente</v>
      </c>
      <c r="D887" s="2">
        <f>IFERROR(__xludf.DUMMYFUNCTION("""COMPUTED_VALUE"""),1.2158983426531149E-4)</f>
        <v>0.0001215898343</v>
      </c>
      <c r="E887" s="2" t="str">
        <f>IFERROR(__xludf.DUMMYFUNCTION("""COMPUTED_VALUE"""),"      1.338")</f>
        <v>      1.338</v>
      </c>
    </row>
    <row r="888">
      <c r="A888" s="2" t="str">
        <f>IFERROR(__xludf.DUMMYFUNCTION("""COMPUTED_VALUE"""),"Renovato")</f>
        <v>Renovato</v>
      </c>
      <c r="B888" s="2" t="str">
        <f>IFERROR(__xludf.DUMMYFUNCTION("""COMPUTED_VALUE"""),"arturenovato")</f>
        <v>arturenovato</v>
      </c>
      <c r="C888" s="2" t="str">
        <f>IFERROR(__xludf.DUMMYFUNCTION("""COMPUTED_VALUE"""),"Designer 
portifólio: https://t.co/MTe7AxUN3s")</f>
        <v>Designer 
portifólio: https://t.co/MTe7AxUN3s</v>
      </c>
      <c r="D888" s="2">
        <f>IFERROR(__xludf.DUMMYFUNCTION("""COMPUTED_VALUE"""),1.2158983426531149E-4)</f>
        <v>0.0001215898343</v>
      </c>
      <c r="E888" s="2" t="str">
        <f>IFERROR(__xludf.DUMMYFUNCTION("""COMPUTED_VALUE"""),"      8.407")</f>
        <v>      8.407</v>
      </c>
    </row>
    <row r="889">
      <c r="A889" s="2" t="str">
        <f>IFERROR(__xludf.DUMMYFUNCTION("""COMPUTED_VALUE"""),"Major rd 🧸✨")</f>
        <v>Major rd 🧸✨</v>
      </c>
      <c r="B889" s="2" t="str">
        <f>IFERROR(__xludf.DUMMYFUNCTION("""COMPUTED_VALUE"""),"eumajorrd")</f>
        <v>eumajorrd</v>
      </c>
      <c r="C889" s="2" t="str">
        <f>IFERROR(__xludf.DUMMYFUNCTION("""COMPUTED_VALUE"""),"Ascensão do Cisne Negro 🦢 @bcgamebrasil")</f>
        <v>Ascensão do Cisne Negro 🦢 @bcgamebrasil</v>
      </c>
      <c r="D889" s="2">
        <f>IFERROR(__xludf.DUMMYFUNCTION("""COMPUTED_VALUE"""),1.2158983426531149E-4)</f>
        <v>0.0001215898343</v>
      </c>
      <c r="E889" s="2" t="str">
        <f>IFERROR(__xludf.DUMMYFUNCTION("""COMPUTED_VALUE"""),"    251.561")</f>
        <v>    251.561</v>
      </c>
    </row>
    <row r="890">
      <c r="A890" s="2" t="str">
        <f>IFERROR(__xludf.DUMMYFUNCTION("""COMPUTED_VALUE"""),"G!Gi")</f>
        <v>G!Gi</v>
      </c>
      <c r="B890" s="2" t="str">
        <f>IFERROR(__xludf.DUMMYFUNCTION("""COMPUTED_VALUE"""),"ogguki")</f>
        <v>ogguki</v>
      </c>
      <c r="C890" s="2" t="str">
        <f>IFERROR(__xludf.DUMMYFUNCTION("""COMPUTED_VALUE"""),"͏͏ ͏͏ ͏͏ ͏͏ ͏ #JIMIN #꾹 🐾")</f>
        <v>͏͏ ͏͏ ͏͏ ͏͏ ͏ #JIMIN #꾹 🐾</v>
      </c>
      <c r="D890" s="2">
        <f>IFERROR(__xludf.DUMMYFUNCTION("""COMPUTED_VALUE"""),1.2158983426531149E-4)</f>
        <v>0.0001215898343</v>
      </c>
      <c r="E890" s="2" t="str">
        <f>IFERROR(__xludf.DUMMYFUNCTION("""COMPUTED_VALUE"""),"     36.136")</f>
        <v>     36.136</v>
      </c>
    </row>
    <row r="891">
      <c r="A891" s="2" t="str">
        <f>IFERROR(__xludf.DUMMYFUNCTION("""COMPUTED_VALUE"""),"Neymar Jr")</f>
        <v>Neymar Jr</v>
      </c>
      <c r="B891" s="2" t="str">
        <f>IFERROR(__xludf.DUMMYFUNCTION("""COMPUTED_VALUE"""),"neymarjr")</f>
        <v>neymarjr</v>
      </c>
      <c r="C891" s="2" t="str">
        <f>IFERROR(__xludf.DUMMYFUNCTION("""COMPUTED_VALUE"""),"Filho de Deus, Pai, Feliz e Ousado !")</f>
        <v>Filho de Deus, Pai, Feliz e Ousado !</v>
      </c>
      <c r="D891" s="2">
        <f>IFERROR(__xludf.DUMMYFUNCTION("""COMPUTED_VALUE"""),1.2158983426531149E-4)</f>
        <v>0.0001215898343</v>
      </c>
      <c r="E891" s="2" t="str">
        <f>IFERROR(__xludf.DUMMYFUNCTION("""COMPUTED_VALUE""")," 62.847.611")</f>
        <v> 62.847.611</v>
      </c>
    </row>
    <row r="892">
      <c r="A892" s="2" t="str">
        <f>IFERROR(__xludf.DUMMYFUNCTION("""COMPUTED_VALUE"""),"Giorgia Meloni")</f>
        <v>Giorgia Meloni</v>
      </c>
      <c r="B892" s="2" t="str">
        <f>IFERROR(__xludf.DUMMYFUNCTION("""COMPUTED_VALUE"""),"giorgiameloni")</f>
        <v>giorgiameloni</v>
      </c>
      <c r="C892" s="2" t="str">
        <f>IFERROR(__xludf.DUMMYFUNCTION("""COMPUTED_VALUE"""),"Presidente del Consiglio dei Ministri della Repubblica Italiana")</f>
        <v>Presidente del Consiglio dei Ministri della Repubblica Italiana</v>
      </c>
      <c r="D892" s="2">
        <f>IFERROR(__xludf.DUMMYFUNCTION("""COMPUTED_VALUE"""),1.2158983426531149E-4)</f>
        <v>0.0001215898343</v>
      </c>
      <c r="E892" s="2" t="str">
        <f>IFERROR(__xludf.DUMMYFUNCTION("""COMPUTED_VALUE"""),"  2.017.122")</f>
        <v>  2.017.122</v>
      </c>
    </row>
    <row r="893">
      <c r="A893" s="2" t="str">
        <f>IFERROR(__xludf.DUMMYFUNCTION("""COMPUTED_VALUE"""),"UOL")</f>
        <v>UOL</v>
      </c>
      <c r="B893" s="2" t="str">
        <f>IFERROR(__xludf.DUMMYFUNCTION("""COMPUTED_VALUE"""),"uol")</f>
        <v>uol</v>
      </c>
      <c r="C893" s="2" t="str">
        <f>IFERROR(__xludf.DUMMYFUNCTION("""COMPUTED_VALUE"""),"📸 Instagram https://t.co/EJrdF7w0qP
📺 Canal UOL https://t.co/OjClfS9rlt
🤳 TikTok https://t.co/JcU2Db5LmP
✨ UOL Prime https://t.co/KSUWI9xQCv")</f>
        <v>📸 Instagram https://t.co/EJrdF7w0qP
📺 Canal UOL https://t.co/OjClfS9rlt
🤳 TikTok https://t.co/JcU2Db5LmP
✨ UOL Prime https://t.co/KSUWI9xQCv</v>
      </c>
      <c r="D893" s="2">
        <f>IFERROR(__xludf.DUMMYFUNCTION("""COMPUTED_VALUE"""),1.2158983426531149E-4)</f>
        <v>0.0001215898343</v>
      </c>
      <c r="E893" s="2" t="str">
        <f>IFERROR(__xludf.DUMMYFUNCTION("""COMPUTED_VALUE"""),"  2.841.953")</f>
        <v>  2.841.953</v>
      </c>
    </row>
    <row r="894">
      <c r="A894" s="2" t="str">
        <f>IFERROR(__xludf.DUMMYFUNCTION("""COMPUTED_VALUE"""),"UOL Esporte")</f>
        <v>UOL Esporte</v>
      </c>
      <c r="B894" s="2" t="str">
        <f>IFERROR(__xludf.DUMMYFUNCTION("""COMPUTED_VALUE"""),"uolesporte")</f>
        <v>uolesporte</v>
      </c>
      <c r="C894" s="2" t="str">
        <f>IFERROR(__xludf.DUMMYFUNCTION("""COMPUTED_VALUE"""),"Resultados, notícias, entrevistas, fotos, vídeos e os bastidores do esporte. Acompanhe ao vivo os principais eventos esportivos no Brasil e do mundo.")</f>
        <v>Resultados, notícias, entrevistas, fotos, vídeos e os bastidores do esporte. Acompanhe ao vivo os principais eventos esportivos no Brasil e do mundo.</v>
      </c>
      <c r="D894" s="2">
        <f>IFERROR(__xludf.DUMMYFUNCTION("""COMPUTED_VALUE"""),1.2158983426531149E-4)</f>
        <v>0.0001215898343</v>
      </c>
      <c r="E894" s="2" t="str">
        <f>IFERROR(__xludf.DUMMYFUNCTION("""COMPUTED_VALUE"""),"  1.571.627")</f>
        <v>  1.571.627</v>
      </c>
    </row>
    <row r="895">
      <c r="A895" s="2" t="str">
        <f>IFERROR(__xludf.DUMMYFUNCTION("""COMPUTED_VALUE"""),"Júnior Masters")</f>
        <v>Júnior Masters</v>
      </c>
      <c r="B895" s="2" t="str">
        <f>IFERROR(__xludf.DUMMYFUNCTION("""COMPUTED_VALUE"""),"juniorex")</f>
        <v>juniorex</v>
      </c>
      <c r="C895" s="2" t="str">
        <f>IFERROR(__xludf.DUMMYFUNCTION("""COMPUTED_VALUE"""),"Católico, Esposo Amoroso, Produtor de conteúdo, Host do Redcast e projeto de maromba.")</f>
        <v>Católico, Esposo Amoroso, Produtor de conteúdo, Host do Redcast e projeto de maromba.</v>
      </c>
      <c r="D895" s="2">
        <f>IFERROR(__xludf.DUMMYFUNCTION("""COMPUTED_VALUE"""),1.2158983426531149E-4)</f>
        <v>0.0001215898343</v>
      </c>
      <c r="E895" s="2" t="str">
        <f>IFERROR(__xludf.DUMMYFUNCTION("""COMPUTED_VALUE"""),"      4.256")</f>
        <v>      4.256</v>
      </c>
    </row>
    <row r="896">
      <c r="A896" s="2" t="str">
        <f>IFERROR(__xludf.DUMMYFUNCTION("""COMPUTED_VALUE"""),"Rosbifes Falantes 🥩")</f>
        <v>Rosbifes Falantes 🥩</v>
      </c>
      <c r="B896" s="2" t="str">
        <f>IFERROR(__xludf.DUMMYFUNCTION("""COMPUTED_VALUE"""),"rosbifestalk")</f>
        <v>rosbifestalk</v>
      </c>
      <c r="C896" s="2" t="str">
        <f>IFERROR(__xludf.DUMMYFUNCTION("""COMPUTED_VALUE"""),"Health • Gym • Investments • libertarian •  Cosmology • Technology • Gynocentrism • Travels • Talk • Ontlogy • Switzerland • Brazil • #Bitcoin •  Redpill 💊")</f>
        <v>Health • Gym • Investments • libertarian •  Cosmology • Technology • Gynocentrism • Travels • Talk • Ontlogy • Switzerland • Brazil • #Bitcoin •  Redpill 💊</v>
      </c>
      <c r="D896" s="2">
        <f>IFERROR(__xludf.DUMMYFUNCTION("""COMPUTED_VALUE"""),1.2158983426531149E-4)</f>
        <v>0.0001215898343</v>
      </c>
      <c r="E896" s="2" t="str">
        <f>IFERROR(__xludf.DUMMYFUNCTION("""COMPUTED_VALUE"""),"     19.716")</f>
        <v>     19.716</v>
      </c>
    </row>
    <row r="897">
      <c r="A897" s="2" t="str">
        <f>IFERROR(__xludf.DUMMYFUNCTION("""COMPUTED_VALUE"""),"Guilherme Boulos")</f>
        <v>Guilherme Boulos</v>
      </c>
      <c r="B897" s="2" t="str">
        <f>IFERROR(__xludf.DUMMYFUNCTION("""COMPUTED_VALUE"""),"guilhermeboulos")</f>
        <v>guilhermeboulos</v>
      </c>
      <c r="C897" s="2" t="str">
        <f>IFERROR(__xludf.DUMMYFUNCTION("""COMPUTED_VALUE"""),"Professor e Deputado Federal eleito por SP com mais de 1 milhão de votos.")</f>
        <v>Professor e Deputado Federal eleito por SP com mais de 1 milhão de votos.</v>
      </c>
      <c r="D897" s="2">
        <f>IFERROR(__xludf.DUMMYFUNCTION("""COMPUTED_VALUE"""),1.1732792254879542E-4)</f>
        <v>0.0001173279225</v>
      </c>
      <c r="E897" s="2" t="str">
        <f>IFERROR(__xludf.DUMMYFUNCTION("""COMPUTED_VALUE"""),"  2.247.243")</f>
        <v>  2.247.243</v>
      </c>
    </row>
    <row r="898">
      <c r="A898" s="2" t="str">
        <f>IFERROR(__xludf.DUMMYFUNCTION("""COMPUTED_VALUE"""),"Roberto Requião")</f>
        <v>Roberto Requião</v>
      </c>
      <c r="B898" s="2" t="str">
        <f>IFERROR(__xludf.DUMMYFUNCTION("""COMPUTED_VALUE"""),"requiaooficial")</f>
        <v>requiaooficial</v>
      </c>
      <c r="C898" s="2"/>
      <c r="D898" s="2">
        <f>IFERROR(__xludf.DUMMYFUNCTION("""COMPUTED_VALUE"""),1.1732792254879542E-4)</f>
        <v>0.0001173279225</v>
      </c>
      <c r="E898" s="2" t="str">
        <f>IFERROR(__xludf.DUMMYFUNCTION("""COMPUTED_VALUE"""),"    320.595")</f>
        <v>    320.595</v>
      </c>
    </row>
    <row r="899">
      <c r="A899" s="2" t="str">
        <f>IFERROR(__xludf.DUMMYFUNCTION("""COMPUTED_VALUE"""),"Miguel Jr Gyn🚩🚩🚩💯🦂")</f>
        <v>Miguel Jr Gyn🚩🚩🚩💯🦂</v>
      </c>
      <c r="B899" s="2" t="str">
        <f>IFERROR(__xludf.DUMMYFUNCTION("""COMPUTED_VALUE"""),"gynmiguel")</f>
        <v>gynmiguel</v>
      </c>
      <c r="C899" s="2" t="str">
        <f>IFERROR(__xludf.DUMMYFUNCTION("""COMPUTED_VALUE"""),"Nenhuma quantidade de evidencia irá persuadir um idiota!
Argumento de burro é coice!")</f>
        <v>Nenhuma quantidade de evidencia irá persuadir um idiota!
Argumento de burro é coice!</v>
      </c>
      <c r="D899" s="2">
        <f>IFERROR(__xludf.DUMMYFUNCTION("""COMPUTED_VALUE"""),1.1732792254879542E-4)</f>
        <v>0.0001173279225</v>
      </c>
      <c r="E899" s="2" t="str">
        <f>IFERROR(__xludf.DUMMYFUNCTION("""COMPUTED_VALUE"""),"     34.427")</f>
        <v>     34.427</v>
      </c>
    </row>
    <row r="900">
      <c r="A900" s="2" t="str">
        <f>IFERROR(__xludf.DUMMYFUNCTION("""COMPUTED_VALUE"""),"Thiago dos Reis 🇧🇷")</f>
        <v>Thiago dos Reis 🇧🇷</v>
      </c>
      <c r="B900" s="2" t="str">
        <f>IFERROR(__xludf.DUMMYFUNCTION("""COMPUTED_VALUE"""),"thiagoresiste")</f>
        <v>thiagoresiste</v>
      </c>
      <c r="C900" s="2" t="str">
        <f>IFERROR(__xludf.DUMMYFUNCTION("""COMPUTED_VALUE"""),"Estou com Lula, quem também está, segue aí!")</f>
        <v>Estou com Lula, quem também está, segue aí!</v>
      </c>
      <c r="D900" s="2">
        <f>IFERROR(__xludf.DUMMYFUNCTION("""COMPUTED_VALUE"""),1.1732792254879542E-4)</f>
        <v>0.0001173279225</v>
      </c>
      <c r="E900" s="2" t="str">
        <f>IFERROR(__xludf.DUMMYFUNCTION("""COMPUTED_VALUE"""),"    390.111")</f>
        <v>    390.111</v>
      </c>
    </row>
    <row r="901">
      <c r="A901" s="2" t="str">
        <f>IFERROR(__xludf.DUMMYFUNCTION("""COMPUTED_VALUE"""),"Canchero.")</f>
        <v>Canchero.</v>
      </c>
      <c r="B901" s="2" t="str">
        <f>IFERROR(__xludf.DUMMYFUNCTION("""COMPUTED_VALUE"""),"gs3_lu")</f>
        <v>gs3_lu</v>
      </c>
      <c r="C901" s="2" t="str">
        <f>IFERROR(__xludf.DUMMYFUNCTION("""COMPUTED_VALUE"""),"Club de Regatas Vasco da Gama y nada más. ✠ ¹⁸⁹⁸")</f>
        <v>Club de Regatas Vasco da Gama y nada más. ✠ ¹⁸⁹⁸</v>
      </c>
      <c r="D901" s="2">
        <f>IFERROR(__xludf.DUMMYFUNCTION("""COMPUTED_VALUE"""),1.1732792254879542E-4)</f>
        <v>0.0001173279225</v>
      </c>
      <c r="E901" s="2" t="str">
        <f>IFERROR(__xludf.DUMMYFUNCTION("""COMPUTED_VALUE"""),"      4.560")</f>
        <v>      4.560</v>
      </c>
    </row>
    <row r="902">
      <c r="A902" s="2" t="str">
        <f>IFERROR(__xludf.DUMMYFUNCTION("""COMPUTED_VALUE"""),"DataFut")</f>
        <v>DataFut</v>
      </c>
      <c r="B902" s="2" t="str">
        <f>IFERROR(__xludf.DUMMYFUNCTION("""COMPUTED_VALUE"""),"datafutebol")</f>
        <v>datafutebol</v>
      </c>
      <c r="C902" s="2" t="str">
        <f>IFERROR(__xludf.DUMMYFUNCTION("""COMPUTED_VALUE"""),"Dados e Opiniões sobre Futebol  📊🗣️
Contact : iolncant@gmail.com / football data analysis / Ciências de Dados e IA na PUCRS")</f>
        <v>Dados e Opiniões sobre Futebol  📊🗣️
Contact : iolncant@gmail.com / football data analysis / Ciências de Dados e IA na PUCRS</v>
      </c>
      <c r="D902" s="2">
        <f>IFERROR(__xludf.DUMMYFUNCTION("""COMPUTED_VALUE"""),1.1732792254879542E-4)</f>
        <v>0.0001173279225</v>
      </c>
      <c r="E902" s="2" t="str">
        <f>IFERROR(__xludf.DUMMYFUNCTION("""COMPUTED_VALUE"""),"     32.898")</f>
        <v>     32.898</v>
      </c>
    </row>
    <row r="903">
      <c r="A903" s="2" t="str">
        <f>IFERROR(__xludf.DUMMYFUNCTION("""COMPUTED_VALUE"""),"O Lobo da B3")</f>
        <v>O Lobo da B3</v>
      </c>
      <c r="B903" s="2" t="str">
        <f>IFERROR(__xludf.DUMMYFUNCTION("""COMPUTED_VALUE"""),"wolfofb3")</f>
        <v>wolfofb3</v>
      </c>
      <c r="C903" s="2" t="str">
        <f>IFERROR(__xludf.DUMMYFUNCTION("""COMPUTED_VALUE"""),"Estude, trabalhe e invista.")</f>
        <v>Estude, trabalhe e invista.</v>
      </c>
      <c r="D903" s="2">
        <f>IFERROR(__xludf.DUMMYFUNCTION("""COMPUTED_VALUE"""),1.1732792254879542E-4)</f>
        <v>0.0001173279225</v>
      </c>
      <c r="E903" s="2" t="str">
        <f>IFERROR(__xludf.DUMMYFUNCTION("""COMPUTED_VALUE"""),"      2.156")</f>
        <v>      2.156</v>
      </c>
    </row>
    <row r="904">
      <c r="A904" s="2" t="str">
        <f>IFERROR(__xludf.DUMMYFUNCTION("""COMPUTED_VALUE"""),"Renato Souza")</f>
        <v>Renato Souza</v>
      </c>
      <c r="B904" s="2" t="str">
        <f>IFERROR(__xludf.DUMMYFUNCTION("""COMPUTED_VALUE"""),"reporterenato")</f>
        <v>reporterenato</v>
      </c>
      <c r="C904" s="2" t="str">
        <f>IFERROR(__xludf.DUMMYFUNCTION("""COMPUTED_VALUE"""),"Repórter de política do Correio Braziliense, em Brasília. Setorista de Judiciário. Pós-graduando em perícia cibernética.
Parcerias: renatoradioacao@gmail.com")</f>
        <v>Repórter de política do Correio Braziliense, em Brasília. Setorista de Judiciário. Pós-graduando em perícia cibernética.
Parcerias: renatoradioacao@gmail.com</v>
      </c>
      <c r="D904" s="2">
        <f>IFERROR(__xludf.DUMMYFUNCTION("""COMPUTED_VALUE"""),1.1732792254879542E-4)</f>
        <v>0.0001173279225</v>
      </c>
      <c r="E904" s="2" t="str">
        <f>IFERROR(__xludf.DUMMYFUNCTION("""COMPUTED_VALUE"""),"    126.018")</f>
        <v>    126.018</v>
      </c>
    </row>
    <row r="905">
      <c r="A905" s="2" t="str">
        <f>IFERROR(__xludf.DUMMYFUNCTION("""COMPUTED_VALUE"""),"Kika")</f>
        <v>Kika</v>
      </c>
      <c r="B905" s="2" t="str">
        <f>IFERROR(__xludf.DUMMYFUNCTION("""COMPUTED_VALUE"""),"tudinovo")</f>
        <v>tudinovo</v>
      </c>
      <c r="C905" s="2" t="str">
        <f>IFERROR(__xludf.DUMMYFUNCTION("""COMPUTED_VALUE"""),"Minha versão da história 🪭")</f>
        <v>Minha versão da história 🪭</v>
      </c>
      <c r="D905" s="2">
        <f>IFERROR(__xludf.DUMMYFUNCTION("""COMPUTED_VALUE"""),1.1732792254879542E-4)</f>
        <v>0.0001173279225</v>
      </c>
      <c r="E905" s="2" t="str">
        <f>IFERROR(__xludf.DUMMYFUNCTION("""COMPUTED_VALUE"""),"      6.188")</f>
        <v>      6.188</v>
      </c>
    </row>
    <row r="906">
      <c r="A906" s="2" t="str">
        <f>IFERROR(__xludf.DUMMYFUNCTION("""COMPUTED_VALUE"""),"jack d.")</f>
        <v>jack d.</v>
      </c>
      <c r="B906" s="2" t="str">
        <f>IFERROR(__xludf.DUMMYFUNCTION("""COMPUTED_VALUE"""),"azzevedown")</f>
        <v>azzevedown</v>
      </c>
      <c r="C906" s="2" t="str">
        <f>IFERROR(__xludf.DUMMYFUNCTION("""COMPUTED_VALUE"""),"it isn't hell if everybody knows my name tonight // #dbdmobile: mamifera")</f>
        <v>it isn't hell if everybody knows my name tonight // #dbdmobile: mamifera</v>
      </c>
      <c r="D906" s="2">
        <f>IFERROR(__xludf.DUMMYFUNCTION("""COMPUTED_VALUE"""),1.1732792254879542E-4)</f>
        <v>0.0001173279225</v>
      </c>
      <c r="E906" s="2" t="str">
        <f>IFERROR(__xludf.DUMMYFUNCTION("""COMPUTED_VALUE"""),"      1.916")</f>
        <v>      1.916</v>
      </c>
    </row>
    <row r="907">
      <c r="A907" s="2" t="str">
        <f>IFERROR(__xludf.DUMMYFUNCTION("""COMPUTED_VALUE"""),"Rodrigo Rangel")</f>
        <v>Rodrigo Rangel</v>
      </c>
      <c r="B907" s="2" t="str">
        <f>IFERROR(__xludf.DUMMYFUNCTION("""COMPUTED_VALUE"""),"rodrigo_rangel")</f>
        <v>rodrigo_rangel</v>
      </c>
      <c r="C907" s="2" t="str">
        <f>IFERROR(__xludf.DUMMYFUNCTION("""COMPUTED_VALUE"""),"Sempre repórter. Colunista no @Metropoles. Três vezes Prêmio Esso. Prêmio Latino-americano de Jornalismo Investigativo de 2022")</f>
        <v>Sempre repórter. Colunista no @Metropoles. Três vezes Prêmio Esso. Prêmio Latino-americano de Jornalismo Investigativo de 2022</v>
      </c>
      <c r="D907" s="2">
        <f>IFERROR(__xludf.DUMMYFUNCTION("""COMPUTED_VALUE"""),1.1732792254879542E-4)</f>
        <v>0.0001173279225</v>
      </c>
      <c r="E907" s="2" t="str">
        <f>IFERROR(__xludf.DUMMYFUNCTION("""COMPUTED_VALUE"""),"     71.619")</f>
        <v>     71.619</v>
      </c>
    </row>
    <row r="908">
      <c r="A908" s="2" t="str">
        <f>IFERROR(__xludf.DUMMYFUNCTION("""COMPUTED_VALUE"""),"Brasil, País Digital")</f>
        <v>Brasil, País Digital</v>
      </c>
      <c r="B908" s="2" t="str">
        <f>IFERROR(__xludf.DUMMYFUNCTION("""COMPUTED_VALUE"""),"brpaisdigital")</f>
        <v>brpaisdigital</v>
      </c>
      <c r="C908" s="2" t="str">
        <f>IFERROR(__xludf.DUMMYFUNCTION("""COMPUTED_VALUE"""),"Brasil, País Digital é uma iniciativa que torna mais acessível a compreensão e o debate de temas ligados às tecnologias, gestão de dados e seus benefícios.")</f>
        <v>Brasil, País Digital é uma iniciativa que torna mais acessível a compreensão e o debate de temas ligados às tecnologias, gestão de dados e seus benefícios.</v>
      </c>
      <c r="D908" s="2">
        <f>IFERROR(__xludf.DUMMYFUNCTION("""COMPUTED_VALUE"""),1.1732792254879542E-4)</f>
        <v>0.0001173279225</v>
      </c>
      <c r="E908" s="2" t="str">
        <f>IFERROR(__xludf.DUMMYFUNCTION("""COMPUTED_VALUE"""),"      2.447")</f>
        <v>      2.447</v>
      </c>
    </row>
    <row r="909">
      <c r="A909" s="2" t="str">
        <f>IFERROR(__xludf.DUMMYFUNCTION("""COMPUTED_VALUE"""),"Afonso Borges")</f>
        <v>Afonso Borges</v>
      </c>
      <c r="B909" s="2" t="str">
        <f>IFERROR(__xludf.DUMMYFUNCTION("""COMPUTED_VALUE"""),"afonsoborges")</f>
        <v>afonsoborges</v>
      </c>
      <c r="C909" s="2" t="str">
        <f>IFERROR(__xludf.DUMMYFUNCTION("""COMPUTED_VALUE"""),"Jornalista, escritor e gestor cultural. Antirracista. Criador do @sempreumpapo @fliaraxa @flitabira @fliparacatu  // Podcast @mondolivro na @radioalvorada")</f>
        <v>Jornalista, escritor e gestor cultural. Antirracista. Criador do @sempreumpapo @fliaraxa @flitabira @fliparacatu  // Podcast @mondolivro na @radioalvorada</v>
      </c>
      <c r="D909" s="2">
        <f>IFERROR(__xludf.DUMMYFUNCTION("""COMPUTED_VALUE"""),1.1732792254879542E-4)</f>
        <v>0.0001173279225</v>
      </c>
      <c r="E909" s="2" t="str">
        <f>IFERROR(__xludf.DUMMYFUNCTION("""COMPUTED_VALUE"""),"     17.809")</f>
        <v>     17.809</v>
      </c>
    </row>
    <row r="910">
      <c r="A910" s="2" t="str">
        <f>IFERROR(__xludf.DUMMYFUNCTION("""COMPUTED_VALUE"""),"Newman 🌾")</f>
        <v>Newman 🌾</v>
      </c>
      <c r="B910" s="2" t="str">
        <f>IFERROR(__xludf.DUMMYFUNCTION("""COMPUTED_VALUE"""),"liberdadenumen")</f>
        <v>liberdadenumen</v>
      </c>
      <c r="C910" s="2" t="str">
        <f>IFERROR(__xludf.DUMMYFUNCTION("""COMPUTED_VALUE"""),"🌚🏆🌞 @segurocaos @liberdademidia 🍄🌲")</f>
        <v>🌚🏆🌞 @segurocaos @liberdademidia 🍄🌲</v>
      </c>
      <c r="D910" s="2">
        <f>IFERROR(__xludf.DUMMYFUNCTION("""COMPUTED_VALUE"""),1.1732792254879542E-4)</f>
        <v>0.0001173279225</v>
      </c>
      <c r="E910" s="2" t="str">
        <f>IFERROR(__xludf.DUMMYFUNCTION("""COMPUTED_VALUE"""),"     37.383")</f>
        <v>     37.383</v>
      </c>
    </row>
    <row r="911">
      <c r="A911" s="2" t="str">
        <f>IFERROR(__xludf.DUMMYFUNCTION("""COMPUTED_VALUE"""),"Ministério de Portos e Aeroportos")</f>
        <v>Ministério de Portos e Aeroportos</v>
      </c>
      <c r="B911" s="2" t="str">
        <f>IFERROR(__xludf.DUMMYFUNCTION("""COMPUTED_VALUE"""),"mporoficial")</f>
        <v>mporoficial</v>
      </c>
      <c r="C911" s="2" t="str">
        <f>IFERROR(__xludf.DUMMYFUNCTION("""COMPUTED_VALUE"""),"Perfil oficial do Ministério de Portos e Aeroportos 🚢✈️")</f>
        <v>Perfil oficial do Ministério de Portos e Aeroportos 🚢✈️</v>
      </c>
      <c r="D911" s="2">
        <f>IFERROR(__xludf.DUMMYFUNCTION("""COMPUTED_VALUE"""),1.1732792254879542E-4)</f>
        <v>0.0001173279225</v>
      </c>
      <c r="E911" s="2" t="str">
        <f>IFERROR(__xludf.DUMMYFUNCTION("""COMPUTED_VALUE"""),"     56.789")</f>
        <v>     56.789</v>
      </c>
    </row>
    <row r="912">
      <c r="A912" s="2" t="str">
        <f>IFERROR(__xludf.DUMMYFUNCTION("""COMPUTED_VALUE"""),"Ministério do Turismo")</f>
        <v>Ministério do Turismo</v>
      </c>
      <c r="B912" s="2" t="str">
        <f>IFERROR(__xludf.DUMMYFUNCTION("""COMPUTED_VALUE"""),"mturismo")</f>
        <v>mturismo</v>
      </c>
      <c r="C912" s="2" t="str">
        <f>IFERROR(__xludf.DUMMYFUNCTION("""COMPUTED_VALUE"""),"Perfil oficial do Ministério do Turismo do Brasil")</f>
        <v>Perfil oficial do Ministério do Turismo do Brasil</v>
      </c>
      <c r="D912" s="2">
        <f>IFERROR(__xludf.DUMMYFUNCTION("""COMPUTED_VALUE"""),1.1732792254879542E-4)</f>
        <v>0.0001173279225</v>
      </c>
      <c r="E912" s="2" t="str">
        <f>IFERROR(__xludf.DUMMYFUNCTION("""COMPUTED_VALUE"""),"    582.468")</f>
        <v>    582.468</v>
      </c>
    </row>
    <row r="913">
      <c r="A913" s="2" t="str">
        <f>IFERROR(__xludf.DUMMYFUNCTION("""COMPUTED_VALUE"""),"gui")</f>
        <v>gui</v>
      </c>
      <c r="B913" s="2" t="str">
        <f>IFERROR(__xludf.DUMMYFUNCTION("""COMPUTED_VALUE"""),"goldoneves")</f>
        <v>goldoneves</v>
      </c>
      <c r="C913" s="2" t="str">
        <f>IFERROR(__xludf.DUMMYFUNCTION("""COMPUTED_VALUE"""),"jurídico gabriel neves • fan account")</f>
        <v>jurídico gabriel neves • fan account</v>
      </c>
      <c r="D913" s="2">
        <f>IFERROR(__xludf.DUMMYFUNCTION("""COMPUTED_VALUE"""),1.1732792254879542E-4)</f>
        <v>0.0001173279225</v>
      </c>
      <c r="E913" s="2" t="str">
        <f>IFERROR(__xludf.DUMMYFUNCTION("""COMPUTED_VALUE"""),"     32.245")</f>
        <v>     32.245</v>
      </c>
    </row>
    <row r="914">
      <c r="A914" s="2" t="str">
        <f>IFERROR(__xludf.DUMMYFUNCTION("""COMPUTED_VALUE"""),"RTP")</f>
        <v>RTP</v>
      </c>
      <c r="B914" s="2" t="str">
        <f>IFERROR(__xludf.DUMMYFUNCTION("""COMPUTED_VALUE"""),"rtppt")</f>
        <v>rtppt</v>
      </c>
      <c r="C914" s="2" t="str">
        <f>IFERROR(__xludf.DUMMYFUNCTION("""COMPUTED_VALUE"""),"Rádio e Televisão de Portugal. Sempre Ligados. @RTP1 @RTP2 @playrtp @rtppalco @antena1rtp @antena2rtp @antena3rtp @rtpmadeira @acoresrtp @rtparena @rtpnoticias")</f>
        <v>Rádio e Televisão de Portugal. Sempre Ligados. @RTP1 @RTP2 @playrtp @rtppalco @antena1rtp @antena2rtp @antena3rtp @rtpmadeira @acoresrtp @rtparena @rtpnoticias</v>
      </c>
      <c r="D914" s="2">
        <f>IFERROR(__xludf.DUMMYFUNCTION("""COMPUTED_VALUE"""),1.1732792254879542E-4)</f>
        <v>0.0001173279225</v>
      </c>
      <c r="E914" s="2" t="str">
        <f>IFERROR(__xludf.DUMMYFUNCTION("""COMPUTED_VALUE"""),"    589.236")</f>
        <v>    589.236</v>
      </c>
    </row>
    <row r="915">
      <c r="A915" s="2" t="str">
        <f>IFERROR(__xludf.DUMMYFUNCTION("""COMPUTED_VALUE"""),"SIC Notícias")</f>
        <v>SIC Notícias</v>
      </c>
      <c r="B915" s="2" t="str">
        <f>IFERROR(__xludf.DUMMYFUNCTION("""COMPUTED_VALUE"""),"sicnoticias")</f>
        <v>sicnoticias</v>
      </c>
      <c r="C915" s="2" t="str">
        <f>IFERROR(__xludf.DUMMYFUNCTION("""COMPUTED_VALUE"""),"O como e o porquê das notícias de #ultimahora, a análise e a #opiniao que interessa. Siga #portugal e o mundo com a #sicnoticias")</f>
        <v>O como e o porquê das notícias de #ultimahora, a análise e a #opiniao que interessa. Siga #portugal e o mundo com a #sicnoticias</v>
      </c>
      <c r="D915" s="2">
        <f>IFERROR(__xludf.DUMMYFUNCTION("""COMPUTED_VALUE"""),1.1732792254879542E-4)</f>
        <v>0.0001173279225</v>
      </c>
      <c r="E915" s="2" t="str">
        <f>IFERROR(__xludf.DUMMYFUNCTION("""COMPUTED_VALUE"""),"  1.043.885")</f>
        <v>  1.043.885</v>
      </c>
    </row>
    <row r="916">
      <c r="A916" s="2" t="str">
        <f>IFERROR(__xludf.DUMMYFUNCTION("""COMPUTED_VALUE"""),"Tesla Charging")</f>
        <v>Tesla Charging</v>
      </c>
      <c r="B916" s="2" t="str">
        <f>IFERROR(__xludf.DUMMYFUNCTION("""COMPUTED_VALUE"""),"teslacharging")</f>
        <v>teslacharging</v>
      </c>
      <c r="C916" s="2" t="str">
        <f>IFERROR(__xludf.DUMMYFUNCTION("""COMPUTED_VALUE"""),"New Supercharger sites, announcements and all things charging.")</f>
        <v>New Supercharger sites, announcements and all things charging.</v>
      </c>
      <c r="D916" s="2">
        <f>IFERROR(__xludf.DUMMYFUNCTION("""COMPUTED_VALUE"""),1.1732792254879542E-4)</f>
        <v>0.0001173279225</v>
      </c>
      <c r="E916" s="2" t="str">
        <f>IFERROR(__xludf.DUMMYFUNCTION("""COMPUTED_VALUE"""),"    154.180")</f>
        <v>    154.180</v>
      </c>
    </row>
    <row r="917">
      <c r="A917" s="2" t="str">
        <f>IFERROR(__xludf.DUMMYFUNCTION("""COMPUTED_VALUE"""),"Tesla")</f>
        <v>Tesla</v>
      </c>
      <c r="B917" s="2" t="str">
        <f>IFERROR(__xludf.DUMMYFUNCTION("""COMPUTED_VALUE"""),"tesla")</f>
        <v>tesla</v>
      </c>
      <c r="C917" s="2" t="str">
        <f>IFERROR(__xludf.DUMMYFUNCTION("""COMPUTED_VALUE"""),"Electric vehicles, giant batteries &amp; solar")</f>
        <v>Electric vehicles, giant batteries &amp; solar</v>
      </c>
      <c r="D917" s="2">
        <f>IFERROR(__xludf.DUMMYFUNCTION("""COMPUTED_VALUE"""),1.1732792254879542E-4)</f>
        <v>0.0001173279225</v>
      </c>
      <c r="E917" s="2" t="str">
        <f>IFERROR(__xludf.DUMMYFUNCTION("""COMPUTED_VALUE""")," 20.931.065")</f>
        <v> 20.931.065</v>
      </c>
    </row>
    <row r="918">
      <c r="A918" s="2" t="str">
        <f>IFERROR(__xludf.DUMMYFUNCTION("""COMPUTED_VALUE"""),"Gleisi Hoffmann")</f>
        <v>Gleisi Hoffmann</v>
      </c>
      <c r="B918" s="2" t="str">
        <f>IFERROR(__xludf.DUMMYFUNCTION("""COMPUTED_VALUE"""),"gleisi")</f>
        <v>gleisi</v>
      </c>
      <c r="C918" s="2" t="str">
        <f>IFERROR(__xludf.DUMMYFUNCTION("""COMPUTED_VALUE"""),"Deputada federal pelo Paraná e Presidenta Nacional do Partido dos Trabalhadores ⭐")</f>
        <v>Deputada federal pelo Paraná e Presidenta Nacional do Partido dos Trabalhadores ⭐</v>
      </c>
      <c r="D918" s="2">
        <f>IFERROR(__xludf.DUMMYFUNCTION("""COMPUTED_VALUE"""),1.1701460669349247E-4)</f>
        <v>0.0001170146067</v>
      </c>
      <c r="E918" s="2" t="str">
        <f>IFERROR(__xludf.DUMMYFUNCTION("""COMPUTED_VALUE"""),"  1.229.897")</f>
        <v>  1.229.897</v>
      </c>
    </row>
    <row r="919">
      <c r="A919" s="2" t="str">
        <f>IFERROR(__xludf.DUMMYFUNCTION("""COMPUTED_VALUE"""),"giancarlo loquenzi")</f>
        <v>giancarlo loquenzi</v>
      </c>
      <c r="B919" s="2" t="str">
        <f>IFERROR(__xludf.DUMMYFUNCTION("""COMPUTED_VALUE"""),"gloquenzi")</f>
        <v>gloquenzi</v>
      </c>
      <c r="C919" s="2" t="str">
        <f>IFERROR(__xludf.DUMMYFUNCTION("""COMPUTED_VALUE"""),"Fermi! Tanto non farete mai centro. La Bestia che cercate voi, voi ci siete dentro (g.c.)")</f>
        <v>Fermi! Tanto non farete mai centro. La Bestia che cercate voi, voi ci siete dentro (g.c.)</v>
      </c>
      <c r="D919" s="2">
        <f>IFERROR(__xludf.DUMMYFUNCTION("""COMPUTED_VALUE"""),1.1541006227636319E-4)</f>
        <v>0.0001154100623</v>
      </c>
      <c r="E919" s="2" t="str">
        <f>IFERROR(__xludf.DUMMYFUNCTION("""COMPUTED_VALUE"""),"     40.848")</f>
        <v>     40.848</v>
      </c>
    </row>
    <row r="920">
      <c r="A920" s="2" t="str">
        <f>IFERROR(__xludf.DUMMYFUNCTION("""COMPUTED_VALUE"""),"annarita digiorgio")</f>
        <v>annarita digiorgio</v>
      </c>
      <c r="B920" s="2" t="str">
        <f>IFERROR(__xludf.DUMMYFUNCTION("""COMPUTED_VALUE"""),"ardigiorgio")</f>
        <v>ardigiorgio</v>
      </c>
      <c r="C920" s="2" t="str">
        <f>IFERROR(__xludf.DUMMYFUNCTION("""COMPUTED_VALUE"""),"tu insulti, io monetizzo.")</f>
        <v>tu insulti, io monetizzo.</v>
      </c>
      <c r="D920" s="2">
        <f>IFERROR(__xludf.DUMMYFUNCTION("""COMPUTED_VALUE"""),1.1541006227636319E-4)</f>
        <v>0.0001154100623</v>
      </c>
      <c r="E920" s="2" t="str">
        <f>IFERROR(__xludf.DUMMYFUNCTION("""COMPUTED_VALUE"""),"     30.559")</f>
        <v>     30.559</v>
      </c>
    </row>
    <row r="921">
      <c r="A921" s="2" t="str">
        <f>IFERROR(__xludf.DUMMYFUNCTION("""COMPUTED_VALUE"""),"Patrizia Feletig")</f>
        <v>Patrizia Feletig</v>
      </c>
      <c r="B921" s="2" t="str">
        <f>IFERROR(__xludf.DUMMYFUNCTION("""COMPUTED_VALUE"""),"citypat1")</f>
        <v>citypat1</v>
      </c>
      <c r="C921" s="2" t="str">
        <f>IFERROR(__xludf.DUMMYFUNCTION("""COMPUTED_VALUE"""),"Curiosa by design Operaia della tastiera
Scritto di energia, natura, 007 e fiaba per bambini
Copernicana
https://t.co/FyomfNKi9s
https://t.co/2Fk9IFhuRM
http://am")</f>
        <v>Curiosa by design Operaia della tastiera
Scritto di energia, natura, 007 e fiaba per bambini
Copernicana
https://t.co/FyomfNKi9s
https://t.co/2Fk9IFhuRM
http://am</v>
      </c>
      <c r="D921" s="2">
        <f>IFERROR(__xludf.DUMMYFUNCTION("""COMPUTED_VALUE"""),1.1541006227636319E-4)</f>
        <v>0.0001154100623</v>
      </c>
      <c r="E921" s="2" t="str">
        <f>IFERROR(__xludf.DUMMYFUNCTION("""COMPUTED_VALUE"""),"      4.104")</f>
        <v>      4.104</v>
      </c>
    </row>
    <row r="922">
      <c r="A922" s="2" t="str">
        <f>IFERROR(__xludf.DUMMYFUNCTION("""COMPUTED_VALUE"""),"Amici della Terra")</f>
        <v>Amici della Terra</v>
      </c>
      <c r="B922" s="2" t="str">
        <f>IFERROR(__xludf.DUMMYFUNCTION("""COMPUTED_VALUE"""),"amicidellaterra")</f>
        <v>amicidellaterra</v>
      </c>
      <c r="C922" s="2" t="str">
        <f>IFERROR(__xludf.DUMMYFUNCTION("""COMPUTED_VALUE"""),"Dal 1978 promuoviamo politiche e comportamenti orientati alla protezione dell'ambiente e allo sviluppo sostenibile.")</f>
        <v>Dal 1978 promuoviamo politiche e comportamenti orientati alla protezione dell'ambiente e allo sviluppo sostenibile.</v>
      </c>
      <c r="D922" s="2">
        <f>IFERROR(__xludf.DUMMYFUNCTION("""COMPUTED_VALUE"""),1.1541006227636319E-4)</f>
        <v>0.0001154100623</v>
      </c>
      <c r="E922" s="2" t="str">
        <f>IFERROR(__xludf.DUMMYFUNCTION("""COMPUTED_VALUE"""),"      2.679")</f>
        <v>      2.679</v>
      </c>
    </row>
    <row r="923">
      <c r="A923" s="2" t="str">
        <f>IFERROR(__xludf.DUMMYFUNCTION("""COMPUTED_VALUE"""),"jacopo giliberto")</f>
        <v>jacopo giliberto</v>
      </c>
      <c r="B923" s="2" t="str">
        <f>IFERROR(__xludf.DUMMYFUNCTION("""COMPUTED_VALUE"""),"jacopogiliberto")</f>
        <v>jacopogiliberto</v>
      </c>
      <c r="C923" s="2" t="str">
        <f>IFERROR(__xludf.DUMMYFUNCTION("""COMPUTED_VALUE"""),"(venezia 1961-vivente). trend-setter, iconico, resiliente, olistico, di tendenza, ridefinisce il concetto di giornalista. 
telegram https://t.co/3VYYkJBqN5")</f>
        <v>(venezia 1961-vivente). trend-setter, iconico, resiliente, olistico, di tendenza, ridefinisce il concetto di giornalista. 
telegram https://t.co/3VYYkJBqN5</v>
      </c>
      <c r="D923" s="2">
        <f>IFERROR(__xludf.DUMMYFUNCTION("""COMPUTED_VALUE"""),1.1541006227636319E-4)</f>
        <v>0.0001154100623</v>
      </c>
      <c r="E923" s="2" t="str">
        <f>IFERROR(__xludf.DUMMYFUNCTION("""COMPUTED_VALUE"""),"     13.508")</f>
        <v>     13.508</v>
      </c>
    </row>
    <row r="924">
      <c r="A924" s="2" t="str">
        <f>IFERROR(__xludf.DUMMYFUNCTION("""COMPUTED_VALUE"""),"Claudio Borghi A.")</f>
        <v>Claudio Borghi A.</v>
      </c>
      <c r="B924" s="2" t="str">
        <f>IFERROR(__xludf.DUMMYFUNCTION("""COMPUTED_VALUE"""),"borghi_claudio")</f>
        <v>borghi_claudio</v>
      </c>
      <c r="C924" s="2" t="str">
        <f>IFERROR(__xludf.DUMMYFUNCTION("""COMPUTED_VALUE"""),"Senatore della Repubblica Italiana eletto in Toscana per la Lega.")</f>
        <v>Senatore della Repubblica Italiana eletto in Toscana per la Lega.</v>
      </c>
      <c r="D924" s="2">
        <f>IFERROR(__xludf.DUMMYFUNCTION("""COMPUTED_VALUE"""),1.1448664807111804E-4)</f>
        <v>0.0001144866481</v>
      </c>
      <c r="E924" s="2" t="str">
        <f>IFERROR(__xludf.DUMMYFUNCTION("""COMPUTED_VALUE"""),"    170.818")</f>
        <v>    170.818</v>
      </c>
    </row>
    <row r="925">
      <c r="A925" s="2" t="str">
        <f>IFERROR(__xludf.DUMMYFUNCTION("""COMPUTED_VALUE"""),"Reinaldo Azevedo")</f>
        <v>Reinaldo Azevedo</v>
      </c>
      <c r="B925" s="2" t="str">
        <f>IFERROR(__xludf.DUMMYFUNCTION("""COMPUTED_VALUE"""),"reinaldoazevedo")</f>
        <v>reinaldoazevedo</v>
      </c>
      <c r="C925" s="2" t="str">
        <f>IFERROR(__xludf.DUMMYFUNCTION("""COMPUTED_VALUE"""),"Reinaldo Azevedo, jornalista, é âncora de “O É da Coisa”, na BandNews FM e BandaNews Tv. É colunista do UOL.  e Folha. Está também no Reconversa, no Youtube")</f>
        <v>Reinaldo Azevedo, jornalista, é âncora de “O É da Coisa”, na BandNews FM e BandaNews Tv. É colunista do UOL.  e Folha. Está também no Reconversa, no Youtube</v>
      </c>
      <c r="D925" s="2">
        <f>IFERROR(__xludf.DUMMYFUNCTION("""COMPUTED_VALUE"""),1.1448664807111804E-4)</f>
        <v>0.0001144866481</v>
      </c>
      <c r="E925" s="2" t="str">
        <f>IFERROR(__xludf.DUMMYFUNCTION("""COMPUTED_VALUE"""),"  1.605.687")</f>
        <v>  1.605.687</v>
      </c>
    </row>
    <row r="926">
      <c r="A926" s="2" t="str">
        <f>IFERROR(__xludf.DUMMYFUNCTION("""COMPUTED_VALUE"""),"Deltan Dallagnol")</f>
        <v>Deltan Dallagnol</v>
      </c>
      <c r="B926" s="2" t="str">
        <f>IFERROR(__xludf.DUMMYFUNCTION("""COMPUTED_VALUE"""),"deltanmd")</f>
        <v>deltanmd</v>
      </c>
      <c r="C926" s="2" t="str">
        <f>IFERROR(__xludf.DUMMYFUNCTION("""COMPUTED_VALUE"""),"🇧🇷 Deputado federal mais votado do Paraná, eleito com o voto de 344.917 paranaenses")</f>
        <v>🇧🇷 Deputado federal mais votado do Paraná, eleito com o voto de 344.917 paranaenses</v>
      </c>
      <c r="D926" s="2">
        <f>IFERROR(__xludf.DUMMYFUNCTION("""COMPUTED_VALUE"""),1.1448664807111804E-4)</f>
        <v>0.0001144866481</v>
      </c>
      <c r="E926" s="2" t="str">
        <f>IFERROR(__xludf.DUMMYFUNCTION("""COMPUTED_VALUE"""),"  1.752.560")</f>
        <v>  1.752.560</v>
      </c>
    </row>
    <row r="927">
      <c r="A927" s="2" t="str">
        <f>IFERROR(__xludf.DUMMYFUNCTION("""COMPUTED_VALUE"""),"Dayanne Reinhold")</f>
        <v>Dayanne Reinhold</v>
      </c>
      <c r="B927" s="2" t="str">
        <f>IFERROR(__xludf.DUMMYFUNCTION("""COMPUTED_VALUE"""),"reinholddayanne")</f>
        <v>reinholddayanne</v>
      </c>
      <c r="C927" s="2" t="str">
        <f>IFERROR(__xludf.DUMMYFUNCTION("""COMPUTED_VALUE"""),"Instagram @dayreinhold")</f>
        <v>Instagram @dayreinhold</v>
      </c>
      <c r="D927" s="2">
        <f>IFERROR(__xludf.DUMMYFUNCTION("""COMPUTED_VALUE"""),1.1448664807111804E-4)</f>
        <v>0.0001144866481</v>
      </c>
      <c r="E927" s="2" t="str">
        <f>IFERROR(__xludf.DUMMYFUNCTION("""COMPUTED_VALUE"""),"      7.558")</f>
        <v>      7.558</v>
      </c>
    </row>
    <row r="928">
      <c r="A928" s="2" t="str">
        <f>IFERROR(__xludf.DUMMYFUNCTION("""COMPUTED_VALUE"""),"Universal Music Group")</f>
        <v>Universal Music Group</v>
      </c>
      <c r="B928" s="2" t="str">
        <f>IFERROR(__xludf.DUMMYFUNCTION("""COMPUTED_VALUE"""),"umg")</f>
        <v>umg</v>
      </c>
      <c r="C928" s="2" t="str">
        <f>IFERROR(__xludf.DUMMYFUNCTION("""COMPUTED_VALUE"""),"The world's leading music company.")</f>
        <v>The world's leading music company.</v>
      </c>
      <c r="D928" s="2">
        <f>IFERROR(__xludf.DUMMYFUNCTION("""COMPUTED_VALUE"""),1.1448664807111804E-4)</f>
        <v>0.0001144866481</v>
      </c>
      <c r="E928" s="2" t="str">
        <f>IFERROR(__xludf.DUMMYFUNCTION("""COMPUTED_VALUE"""),"    697.819")</f>
        <v>    697.819</v>
      </c>
    </row>
    <row r="929">
      <c r="A929" s="2" t="str">
        <f>IFERROR(__xludf.DUMMYFUNCTION("""COMPUTED_VALUE"""),"QG da Anitta")</f>
        <v>QG da Anitta</v>
      </c>
      <c r="B929" s="2" t="str">
        <f>IFERROR(__xludf.DUMMYFUNCTION("""COMPUTED_VALUE"""),"qgdaanitta")</f>
        <v>qgdaanitta</v>
      </c>
      <c r="C929" s="2" t="str">
        <f>IFERROR(__xludf.DUMMYFUNCTION("""COMPUTED_VALUE"""),"Perfil Oficial Central de fãs da Cantora Anitta, atualizado pela equipe da cantora | Instagram: qgdaanitta")</f>
        <v>Perfil Oficial Central de fãs da Cantora Anitta, atualizado pela equipe da cantora | Instagram: qgdaanitta</v>
      </c>
      <c r="D929" s="2">
        <f>IFERROR(__xludf.DUMMYFUNCTION("""COMPUTED_VALUE"""),1.1448664807111804E-4)</f>
        <v>0.0001144866481</v>
      </c>
      <c r="E929" s="2" t="str">
        <f>IFERROR(__xludf.DUMMYFUNCTION("""COMPUTED_VALUE"""),"    153.058")</f>
        <v>    153.058</v>
      </c>
    </row>
    <row r="930">
      <c r="A930" s="2" t="str">
        <f>IFERROR(__xludf.DUMMYFUNCTION("""COMPUTED_VALUE"""),"Acesso Anitta | Fan Account")</f>
        <v>Acesso Anitta | Fan Account</v>
      </c>
      <c r="B930" s="2" t="str">
        <f>IFERROR(__xludf.DUMMYFUNCTION("""COMPUTED_VALUE"""),"acessoanittar")</f>
        <v>acessoanittar</v>
      </c>
      <c r="C930" s="2" t="str">
        <f>IFERROR(__xludf.DUMMYFUNCTION("""COMPUTED_VALUE"""),"Principal portal de informações sobre a cantora Anitta | Source about the brazilian singer Anitta. (Fan Account) Certified by: @RepublicRecords")</f>
        <v>Principal portal de informações sobre a cantora Anitta | Source about the brazilian singer Anitta. (Fan Account) Certified by: @RepublicRecords</v>
      </c>
      <c r="D930" s="2">
        <f>IFERROR(__xludf.DUMMYFUNCTION("""COMPUTED_VALUE"""),1.1448664807111804E-4)</f>
        <v>0.0001144866481</v>
      </c>
      <c r="E930" s="2" t="str">
        <f>IFERROR(__xludf.DUMMYFUNCTION("""COMPUTED_VALUE"""),"     96.617")</f>
        <v>     96.617</v>
      </c>
    </row>
    <row r="931">
      <c r="A931" s="2" t="str">
        <f>IFERROR(__xludf.DUMMYFUNCTION("""COMPUTED_VALUE"""),"Samsung Brasil")</f>
        <v>Samsung Brasil</v>
      </c>
      <c r="B931" s="2" t="str">
        <f>IFERROR(__xludf.DUMMYFUNCTION("""COMPUTED_VALUE"""),"samsungbrasil")</f>
        <v>samsungbrasil</v>
      </c>
      <c r="C931" s="2" t="str">
        <f>IFERROR(__xludf.DUMMYFUNCTION("""COMPUTED_VALUE"""),"#IssoÉFlip")</f>
        <v>#IssoÉFlip</v>
      </c>
      <c r="D931" s="2">
        <f>IFERROR(__xludf.DUMMYFUNCTION("""COMPUTED_VALUE"""),1.1448664807111804E-4)</f>
        <v>0.0001144866481</v>
      </c>
      <c r="E931" s="2" t="str">
        <f>IFERROR(__xludf.DUMMYFUNCTION("""COMPUTED_VALUE"""),"    814.687")</f>
        <v>    814.687</v>
      </c>
    </row>
    <row r="932">
      <c r="A932" s="2" t="str">
        <f>IFERROR(__xludf.DUMMYFUNCTION("""COMPUTED_VALUE"""),"pai soltaram")</f>
        <v>pai soltaram</v>
      </c>
      <c r="B932" s="2" t="str">
        <f>IFERROR(__xludf.DUMMYFUNCTION("""COMPUTED_VALUE"""),"paisoltaram")</f>
        <v>paisoltaram</v>
      </c>
      <c r="C932" s="2" t="str">
        <f>IFERROR(__xludf.DUMMYFUNCTION("""COMPUTED_VALUE"""),"⚽️ 😳 Ganhe 130% de bônus no primeiro depósito na minha patrocinadora 1xbet usando o cupom: bonus130porcento link https://t.co/zJeHLmRDkD meu Telegram👇🏼")</f>
        <v>⚽️ 😳 Ganhe 130% de bônus no primeiro depósito na minha patrocinadora 1xbet usando o cupom: bonus130porcento link https://t.co/zJeHLmRDkD meu Telegram👇🏼</v>
      </c>
      <c r="D932" s="2">
        <f>IFERROR(__xludf.DUMMYFUNCTION("""COMPUTED_VALUE"""),1.1448664807111804E-4)</f>
        <v>0.0001144866481</v>
      </c>
      <c r="E932" s="2" t="str">
        <f>IFERROR(__xludf.DUMMYFUNCTION("""COMPUTED_VALUE"""),"    121.742")</f>
        <v>    121.742</v>
      </c>
    </row>
    <row r="933">
      <c r="A933" s="2" t="str">
        <f>IFERROR(__xludf.DUMMYFUNCTION("""COMPUTED_VALUE"""),"🚩🍀Karla ⭐🚩 Lula13")</f>
        <v>🚩🍀Karla ⭐🚩 Lula13</v>
      </c>
      <c r="B933" s="2" t="str">
        <f>IFERROR(__xludf.DUMMYFUNCTION("""COMPUTED_VALUE"""),"sequeira_kg")</f>
        <v>sequeira_kg</v>
      </c>
      <c r="C933" s="2" t="str">
        <f>IFERROR(__xludf.DUMMYFUNCTION("""COMPUTED_VALUE"""),"Estou aqui para aprender e lutar pelo que acredito: amor, democracia, direitos humanos, meio ambiente. O caminho é a esquerda. #PelaUnidadeAmericaLatina")</f>
        <v>Estou aqui para aprender e lutar pelo que acredito: amor, democracia, direitos humanos, meio ambiente. O caminho é a esquerda. #PelaUnidadeAmericaLatina</v>
      </c>
      <c r="D933" s="2">
        <f>IFERROR(__xludf.DUMMYFUNCTION("""COMPUTED_VALUE"""),1.1352168065982523E-4)</f>
        <v>0.0001135216807</v>
      </c>
      <c r="E933" s="2" t="str">
        <f>IFERROR(__xludf.DUMMYFUNCTION("""COMPUTED_VALUE"""),"      9.969")</f>
        <v>      9.969</v>
      </c>
    </row>
    <row r="934">
      <c r="A934" s="2" t="str">
        <f>IFERROR(__xludf.DUMMYFUNCTION("""COMPUTED_VALUE"""),"Flo Lula da Silva")</f>
        <v>Flo Lula da Silva</v>
      </c>
      <c r="B934" s="2" t="str">
        <f>IFERROR(__xludf.DUMMYFUNCTION("""COMPUTED_VALUE"""),"rosangelajaspe4")</f>
        <v>rosangelajaspe4</v>
      </c>
      <c r="C934" s="2" t="str">
        <f>IFERROR(__xludf.DUMMYFUNCTION("""COMPUTED_VALUE"""),"VOU VOTAR NO LULA E NO PT DE PONTA À PONTA🚩🚩🚩🚩")</f>
        <v>VOU VOTAR NO LULA E NO PT DE PONTA À PONTA🚩🚩🚩🚩</v>
      </c>
      <c r="D934" s="2">
        <f>IFERROR(__xludf.DUMMYFUNCTION("""COMPUTED_VALUE"""),1.1352168065982523E-4)</f>
        <v>0.0001135216807</v>
      </c>
      <c r="E934" s="2" t="str">
        <f>IFERROR(__xludf.DUMMYFUNCTION("""COMPUTED_VALUE"""),"      1.650")</f>
        <v>      1.650</v>
      </c>
    </row>
    <row r="935">
      <c r="A935" s="2" t="str">
        <f>IFERROR(__xludf.DUMMYFUNCTION("""COMPUTED_VALUE"""),"Samuel Felix🚩")</f>
        <v>Samuel Felix🚩</v>
      </c>
      <c r="B935" s="2" t="str">
        <f>IFERROR(__xludf.DUMMYFUNCTION("""COMPUTED_VALUE"""),"parasamuel")</f>
        <v>parasamuel</v>
      </c>
      <c r="C935" s="2" t="str">
        <f>IFERROR(__xludf.DUMMYFUNCTION("""COMPUTED_VALUE"""),"Filiado ao PT 
Líder e Integrante Comitê Lula e o PT nos Trends Agora é só o Amor Petista segue Petista #LulaBrasilDeTodos")</f>
        <v>Filiado ao PT 
Líder e Integrante Comitê Lula e o PT nos Trends Agora é só o Amor Petista segue Petista #LulaBrasilDeTodos</v>
      </c>
      <c r="D935" s="2">
        <f>IFERROR(__xludf.DUMMYFUNCTION("""COMPUTED_VALUE"""),1.1352168065982523E-4)</f>
        <v>0.0001135216807</v>
      </c>
      <c r="E935" s="2" t="str">
        <f>IFERROR(__xludf.DUMMYFUNCTION("""COMPUTED_VALUE"""),"     22.774")</f>
        <v>     22.774</v>
      </c>
    </row>
    <row r="936">
      <c r="A936" s="2" t="str">
        <f>IFERROR(__xludf.DUMMYFUNCTION("""COMPUTED_VALUE"""),"Corriere della Sera")</f>
        <v>Corriere della Sera</v>
      </c>
      <c r="B936" s="2" t="str">
        <f>IFERROR(__xludf.DUMMYFUNCTION("""COMPUTED_VALUE"""),"corriere")</f>
        <v>corriere</v>
      </c>
      <c r="C936" s="2" t="str">
        <f>IFERROR(__xludf.DUMMYFUNCTION("""COMPUTED_VALUE"""),"L'informazione in 280 caratteri, 24 ore su 24. Siamo anche su Instagram e su Tik Tok  @corriere")</f>
        <v>L'informazione in 280 caratteri, 24 ore su 24. Siamo anche su Instagram e su Tik Tok  @corriere</v>
      </c>
      <c r="D936" s="2">
        <f>IFERROR(__xludf.DUMMYFUNCTION("""COMPUTED_VALUE"""),1.1245716630134849E-4)</f>
        <v>0.0001124571663</v>
      </c>
      <c r="E936" s="2" t="str">
        <f>IFERROR(__xludf.DUMMYFUNCTION("""COMPUTED_VALUE"""),"  2.761.798")</f>
        <v>  2.761.798</v>
      </c>
    </row>
    <row r="937">
      <c r="A937" s="2" t="str">
        <f>IFERROR(__xludf.DUMMYFUNCTION("""COMPUTED_VALUE"""),"Lorenzo Castellini Pulici")</f>
        <v>Lorenzo Castellini Pulici</v>
      </c>
      <c r="B937" s="2" t="str">
        <f>IFERROR(__xludf.DUMMYFUNCTION("""COMPUTED_VALUE"""),"lorenzo32843904")</f>
        <v>lorenzo32843904</v>
      </c>
      <c r="C937" s="2" t="str">
        <f>IFERROR(__xludf.DUMMYFUNCTION("""COMPUTED_VALUE"""),"Appassionato di storia, politica, scienza, economia. Ingegnere di formazione ma ammiratore di chi ha cultura umanistica. Antifa.
Liberale e liberista.")</f>
        <v>Appassionato di storia, politica, scienza, economia. Ingegnere di formazione ma ammiratore di chi ha cultura umanistica. Antifa.
Liberale e liberista.</v>
      </c>
      <c r="D937" s="2">
        <f>IFERROR(__xludf.DUMMYFUNCTION("""COMPUTED_VALUE"""),1.1245716630134849E-4)</f>
        <v>0.0001124571663</v>
      </c>
      <c r="E937" s="2" t="str">
        <f>IFERROR(__xludf.DUMMYFUNCTION("""COMPUTED_VALUE"""),"      3.360")</f>
        <v>      3.360</v>
      </c>
    </row>
    <row r="938">
      <c r="A938" s="2" t="str">
        <f>IFERROR(__xludf.DUMMYFUNCTION("""COMPUTED_VALUE"""),"Sandro Brusco")</f>
        <v>Sandro Brusco</v>
      </c>
      <c r="B938" s="2" t="str">
        <f>IFERROR(__xludf.DUMMYFUNCTION("""COMPUTED_VALUE"""),"brusco_sandro")</f>
        <v>brusco_sandro</v>
      </c>
      <c r="C938" s="2" t="str">
        <f>IFERROR(__xludf.DUMMYFUNCTION("""COMPUTED_VALUE"""),"Professor of economics, Stony Brook University.")</f>
        <v>Professor of economics, Stony Brook University.</v>
      </c>
      <c r="D938" s="2">
        <f>IFERROR(__xludf.DUMMYFUNCTION("""COMPUTED_VALUE"""),1.1245716630134849E-4)</f>
        <v>0.0001124571663</v>
      </c>
      <c r="E938" s="2" t="str">
        <f>IFERROR(__xludf.DUMMYFUNCTION("""COMPUTED_VALUE"""),"     27.174")</f>
        <v>     27.174</v>
      </c>
    </row>
    <row r="939">
      <c r="A939" s="2" t="str">
        <f>IFERROR(__xludf.DUMMYFUNCTION("""COMPUTED_VALUE"""),"Carlo Piana (Kappa)")</f>
        <v>Carlo Piana (Kappa)</v>
      </c>
      <c r="B939" s="2" t="str">
        <f>IFERROR(__xludf.DUMMYFUNCTION("""COMPUTED_VALUE"""),"carlopiana")</f>
        <v>carlopiana</v>
      </c>
      <c r="C939" s="2" t="str">
        <f>IFERROR(__xludf.DUMMYFUNCTION("""COMPUTED_VALUE"""),"Lawyer, IT &amp; TLC Law. Free Software and digital liberties advocate from Italy, Europe. I see you @carlopiana@mastodon.uno when this ship wrecks")</f>
        <v>Lawyer, IT &amp; TLC Law. Free Software and digital liberties advocate from Italy, Europe. I see you @carlopiana@mastodon.uno when this ship wrecks</v>
      </c>
      <c r="D939" s="2">
        <f>IFERROR(__xludf.DUMMYFUNCTION("""COMPUTED_VALUE"""),1.1245716630134849E-4)</f>
        <v>0.0001124571663</v>
      </c>
      <c r="E939" s="2" t="str">
        <f>IFERROR(__xludf.DUMMYFUNCTION("""COMPUTED_VALUE"""),"      6.633")</f>
        <v>      6.633</v>
      </c>
    </row>
    <row r="940">
      <c r="A940" s="2" t="str">
        <f>IFERROR(__xludf.DUMMYFUNCTION("""COMPUTED_VALUE"""),"Claudio 🇮🇹🇪🇺🇬🇧 #LibDem #ItaliaViva #FBPE")</f>
        <v>Claudio 🇮🇹🇪🇺🇬🇧 #LibDem #ItaliaViva #FBPE</v>
      </c>
      <c r="B940" s="2" t="str">
        <f>IFERROR(__xludf.DUMMYFUNCTION("""COMPUTED_VALUE"""),"cciavaroli")</f>
        <v>cciavaroli</v>
      </c>
      <c r="C940" s="2" t="str">
        <f>IFERROR(__xludf.DUMMYFUNCTION("""COMPUTED_VALUE"""),"54 y.o, Christian. Lib Dem in England,  Italia Viva in Italy . Working on health . #StandupwithUkraine")</f>
        <v>54 y.o, Christian. Lib Dem in England,  Italia Viva in Italy . Working on health . #StandupwithUkraine</v>
      </c>
      <c r="D940" s="2">
        <f>IFERROR(__xludf.DUMMYFUNCTION("""COMPUTED_VALUE"""),1.1245716630134849E-4)</f>
        <v>0.0001124571663</v>
      </c>
      <c r="E940" s="2" t="str">
        <f>IFERROR(__xludf.DUMMYFUNCTION("""COMPUTED_VALUE"""),"      4.890")</f>
        <v>      4.890</v>
      </c>
    </row>
    <row r="941">
      <c r="A941" s="2" t="str">
        <f>IFERROR(__xludf.DUMMYFUNCTION("""COMPUTED_VALUE"""),"LUDMILLA")</f>
        <v>LUDMILLA</v>
      </c>
      <c r="B941" s="2" t="str">
        <f>IFERROR(__xludf.DUMMYFUNCTION("""COMPUTED_VALUE"""),"ludmilla")</f>
        <v>ludmilla</v>
      </c>
      <c r="C941" s="2" t="str">
        <f>IFERROR(__xludf.DUMMYFUNCTION("""COMPUTED_VALUE"""),"Grammy Winner 
""Vilã Live"" out now!")</f>
        <v>Grammy Winner 
"Vilã Live" out now!</v>
      </c>
      <c r="D941" s="2">
        <f>IFERROR(__xludf.DUMMYFUNCTION("""COMPUTED_VALUE"""),1.1232808265521473E-4)</f>
        <v>0.0001123280827</v>
      </c>
      <c r="E941" s="2" t="str">
        <f>IFERROR(__xludf.DUMMYFUNCTION("""COMPUTED_VALUE""")," 11.017.512")</f>
        <v> 11.017.512</v>
      </c>
    </row>
    <row r="942">
      <c r="A942" s="2" t="str">
        <f>IFERROR(__xludf.DUMMYFUNCTION("""COMPUTED_VALUE"""),"Hugo Gloss")</f>
        <v>Hugo Gloss</v>
      </c>
      <c r="B942" s="2" t="str">
        <f>IFERROR(__xludf.DUMMYFUNCTION("""COMPUTED_VALUE"""),"hugogloss")</f>
        <v>hugogloss</v>
      </c>
      <c r="C942" s="2" t="str">
        <f>IFERROR(__xludf.DUMMYFUNCTION("""COMPUTED_VALUE"""),"Brazilian Entertainment Website. In Beyoncé we trust!")</f>
        <v>Brazilian Entertainment Website. In Beyoncé we trust!</v>
      </c>
      <c r="D942" s="2">
        <f>IFERROR(__xludf.DUMMYFUNCTION("""COMPUTED_VALUE"""),1.1232808265521473E-4)</f>
        <v>0.0001123280827</v>
      </c>
      <c r="E942" s="2" t="str">
        <f>IFERROR(__xludf.DUMMYFUNCTION("""COMPUTED_VALUE"""),"  5.405.291")</f>
        <v>  5.405.291</v>
      </c>
    </row>
    <row r="943">
      <c r="A943" s="2" t="str">
        <f>IFERROR(__xludf.DUMMYFUNCTION("""COMPUTED_VALUE"""),"Maria A. Arruda")</f>
        <v>Maria A. Arruda</v>
      </c>
      <c r="B943" s="2" t="str">
        <f>IFERROR(__xludf.DUMMYFUNCTION("""COMPUTED_VALUE"""),"mariaar63229425")</f>
        <v>mariaar63229425</v>
      </c>
      <c r="C943" s="2" t="str">
        <f>IFERROR(__xludf.DUMMYFUNCTION("""COMPUTED_VALUE"""),"o povo quer Lula presidente 13. sem medo de ser feliz.")</f>
        <v>o povo quer Lula presidente 13. sem medo de ser feliz.</v>
      </c>
      <c r="D943" s="2">
        <f>IFERROR(__xludf.DUMMYFUNCTION("""COMPUTED_VALUE"""),1.1166949165787773E-4)</f>
        <v>0.0001116694917</v>
      </c>
      <c r="E943" s="2" t="str">
        <f>IFERROR(__xludf.DUMMYFUNCTION("""COMPUTED_VALUE"""),"      1.066")</f>
        <v>      1.066</v>
      </c>
    </row>
    <row r="944">
      <c r="A944" s="2" t="str">
        <f>IFERROR(__xludf.DUMMYFUNCTION("""COMPUTED_VALUE"""),"Maria")</f>
        <v>Maria</v>
      </c>
      <c r="B944" s="2" t="str">
        <f>IFERROR(__xludf.DUMMYFUNCTION("""COMPUTED_VALUE"""),"mardefeli")</f>
        <v>mardefeli</v>
      </c>
      <c r="C944" s="2" t="str">
        <f>IFERROR(__xludf.DUMMYFUNCTION("""COMPUTED_VALUE"""),"Vivendo e aprendendo a viver.“Amigos a gente encontra”.")</f>
        <v>Vivendo e aprendendo a viver.“Amigos a gente encontra”.</v>
      </c>
      <c r="D944" s="2">
        <f>IFERROR(__xludf.DUMMYFUNCTION("""COMPUTED_VALUE"""),1.1166949165787773E-4)</f>
        <v>0.0001116694917</v>
      </c>
      <c r="E944" s="2" t="str">
        <f>IFERROR(__xludf.DUMMYFUNCTION("""COMPUTED_VALUE"""),"      3.374")</f>
        <v>      3.374</v>
      </c>
    </row>
    <row r="945">
      <c r="A945" s="2" t="str">
        <f>IFERROR(__xludf.DUMMYFUNCTION("""COMPUTED_VALUE"""),"JURIDICANTIFA UAI SÔ")</f>
        <v>JURIDICANTIFA UAI SÔ</v>
      </c>
      <c r="B945" s="2" t="str">
        <f>IFERROR(__xludf.DUMMYFUNCTION("""COMPUTED_VALUE"""),"marcliomoraisa1")</f>
        <v>marcliomoraisa1</v>
      </c>
      <c r="C945" s="2" t="str">
        <f>IFERROR(__xludf.DUMMYFUNCTION("""COMPUTED_VALUE"""),"A GENTE QUER TER VOZ ATIVA, NO NOSSO DESTINO MANDAR🚩♻️🏳️‍🌈🏳☮")</f>
        <v>A GENTE QUER TER VOZ ATIVA, NO NOSSO DESTINO MANDAR🚩♻️🏳️‍🌈🏳☮</v>
      </c>
      <c r="D945" s="2">
        <f>IFERROR(__xludf.DUMMYFUNCTION("""COMPUTED_VALUE"""),1.1166949165787773E-4)</f>
        <v>0.0001116694917</v>
      </c>
      <c r="E945" s="2" t="str">
        <f>IFERROR(__xludf.DUMMYFUNCTION("""COMPUTED_VALUE"""),"      1.301")</f>
        <v>      1.301</v>
      </c>
    </row>
    <row r="946">
      <c r="A946" s="2" t="str">
        <f>IFERROR(__xludf.DUMMYFUNCTION("""COMPUTED_VALUE"""),"lu13")</f>
        <v>lu13</v>
      </c>
      <c r="B946" s="2" t="str">
        <f>IFERROR(__xludf.DUMMYFUNCTION("""COMPUTED_VALUE"""),"lu13luiza")</f>
        <v>lu13luiza</v>
      </c>
      <c r="C946" s="2" t="str">
        <f>IFERROR(__xludf.DUMMYFUNCTION("""COMPUTED_VALUE"""),""" A vida é uma prova difícil.
E não adianta querer copiar as respostas da vida de outros...
As perguntas são diferentes .""")</f>
        <v>" A vida é uma prova difícil.
E não adianta querer copiar as respostas da vida de outros...
As perguntas são diferentes ."</v>
      </c>
      <c r="D946" s="2">
        <f>IFERROR(__xludf.DUMMYFUNCTION("""COMPUTED_VALUE"""),1.1166949165787773E-4)</f>
        <v>0.0001116694917</v>
      </c>
      <c r="E946" s="2" t="str">
        <f>IFERROR(__xludf.DUMMYFUNCTION("""COMPUTED_VALUE"""),"      6.422")</f>
        <v>      6.422</v>
      </c>
    </row>
    <row r="947">
      <c r="A947" s="2" t="str">
        <f>IFERROR(__xludf.DUMMYFUNCTION("""COMPUTED_VALUE"""),"Macris Moraes")</f>
        <v>Macris Moraes</v>
      </c>
      <c r="B947" s="2" t="str">
        <f>IFERROR(__xludf.DUMMYFUNCTION("""COMPUTED_VALUE"""),"macmoraes1")</f>
        <v>macmoraes1</v>
      </c>
      <c r="C947" s="2" t="str">
        <f>IFERROR(__xludf.DUMMYFUNCTION("""COMPUTED_VALUE"""),"Mulher, mãe, enfermeira,sagitariana, espírita,casada.Amo a vida, os meus pets,o Fluminense🇭🇺.Sou grata por tudo que sou 🌻❤️✌️🏳️‍🌈☮️🚩🚩")</f>
        <v>Mulher, mãe, enfermeira,sagitariana, espírita,casada.Amo a vida, os meus pets,o Fluminense🇭🇺.Sou grata por tudo que sou 🌻❤️✌️🏳️‍🌈☮️🚩🚩</v>
      </c>
      <c r="D947" s="2">
        <f>IFERROR(__xludf.DUMMYFUNCTION("""COMPUTED_VALUE"""),1.116694916578777E-4)</f>
        <v>0.0001116694917</v>
      </c>
      <c r="E947" s="2" t="str">
        <f>IFERROR(__xludf.DUMMYFUNCTION("""COMPUTED_VALUE"""),"      3.084")</f>
        <v>      3.084</v>
      </c>
    </row>
    <row r="948">
      <c r="A948" s="2" t="str">
        <f>IFERROR(__xludf.DUMMYFUNCTION("""COMPUTED_VALUE"""),"FC Barcelona")</f>
        <v>FC Barcelona</v>
      </c>
      <c r="B948" s="2" t="str">
        <f>IFERROR(__xludf.DUMMYFUNCTION("""COMPUTED_VALUE"""),"fcbarcelona_es")</f>
        <v>fcbarcelona_es</v>
      </c>
      <c r="C948" s="2" t="str">
        <f>IFERROR(__xludf.DUMMYFUNCTION("""COMPUTED_VALUE"""),"Cuenta oficial del FC Barcelona")</f>
        <v>Cuenta oficial del FC Barcelona</v>
      </c>
      <c r="D948" s="2">
        <f>IFERROR(__xludf.DUMMYFUNCTION("""COMPUTED_VALUE"""),1.0959592970790288E-4)</f>
        <v>0.0001095959297</v>
      </c>
      <c r="E948" s="2" t="str">
        <f>IFERROR(__xludf.DUMMYFUNCTION("""COMPUTED_VALUE""")," 21.589.317")</f>
        <v> 21.589.317</v>
      </c>
    </row>
    <row r="949">
      <c r="A949" s="2" t="str">
        <f>IFERROR(__xludf.DUMMYFUNCTION("""COMPUTED_VALUE"""),"ELEVEN Portugal")</f>
        <v>ELEVEN Portugal</v>
      </c>
      <c r="B949" s="2" t="str">
        <f>IFERROR(__xludf.DUMMYFUNCTION("""COMPUTED_VALUE"""),"elevensports_pt")</f>
        <v>elevensports_pt</v>
      </c>
      <c r="C949" s="2" t="str">
        <f>IFERROR(__xludf.DUMMYFUNCTION("""COMPUTED_VALUE"""),"ELEVEN é agora na DAZN 💪 Canal Oficial da Champions League, Premier League, LaLiga, Ligue 1, Bundesliga, NFL, WTA, Formula E, e muito mais.")</f>
        <v>ELEVEN é agora na DAZN 💪 Canal Oficial da Champions League, Premier League, LaLiga, Ligue 1, Bundesliga, NFL, WTA, Formula E, e muito mais.</v>
      </c>
      <c r="D949" s="2">
        <f>IFERROR(__xludf.DUMMYFUNCTION("""COMPUTED_VALUE"""),1.0959592970790288E-4)</f>
        <v>0.0001095959297</v>
      </c>
      <c r="E949" s="2" t="str">
        <f>IFERROR(__xludf.DUMMYFUNCTION("""COMPUTED_VALUE"""),"    194.794")</f>
        <v>    194.794</v>
      </c>
    </row>
    <row r="950">
      <c r="A950" s="2" t="str">
        <f>IFERROR(__xludf.DUMMYFUNCTION("""COMPUTED_VALUE"""),"UnicajaCB")</f>
        <v>UnicajaCB</v>
      </c>
      <c r="B950" s="2" t="str">
        <f>IFERROR(__xludf.DUMMYFUNCTION("""COMPUTED_VALUE"""),"unicajacb")</f>
        <v>unicajacb</v>
      </c>
      <c r="C950" s="2" t="str">
        <f>IFERROR(__xludf.DUMMYFUNCTION("""COMPUTED_VALUE"""),"Twitter OFICIAL del Unicaja Baloncesto de Málaga. @ACBCOM @BasketballCL Liga Challenge")</f>
        <v>Twitter OFICIAL del Unicaja Baloncesto de Málaga. @ACBCOM @BasketballCL Liga Challenge</v>
      </c>
      <c r="D950" s="2">
        <f>IFERROR(__xludf.DUMMYFUNCTION("""COMPUTED_VALUE"""),1.0959592970790288E-4)</f>
        <v>0.0001095959297</v>
      </c>
      <c r="E950" s="2" t="str">
        <f>IFERROR(__xludf.DUMMYFUNCTION("""COMPUTED_VALUE"""),"     90.489")</f>
        <v>     90.489</v>
      </c>
    </row>
    <row r="951">
      <c r="A951" s="2" t="str">
        <f>IFERROR(__xludf.DUMMYFUNCTION("""COMPUTED_VALUE"""),"UCAM Murcia")</f>
        <v>UCAM Murcia</v>
      </c>
      <c r="B951" s="2" t="str">
        <f>IFERROR(__xludf.DUMMYFUNCTION("""COMPUTED_VALUE"""),"ucammurcia")</f>
        <v>ucammurcia</v>
      </c>
      <c r="C951" s="2" t="str">
        <f>IFERROR(__xludf.DUMMYFUNCTION("""COMPUTED_VALUE"""),"¡Bienvenidos al Twitter Oficial del UCAM Murcia Club de Baloncesto. Representando a la Región de Murcia en la @ACBCOM y @BasketballCL. #TheLegacy")</f>
        <v>¡Bienvenidos al Twitter Oficial del UCAM Murcia Club de Baloncesto. Representando a la Región de Murcia en la @ACBCOM y @BasketballCL. #TheLegacy</v>
      </c>
      <c r="D951" s="2">
        <f>IFERROR(__xludf.DUMMYFUNCTION("""COMPUTED_VALUE"""),1.0959592970790288E-4)</f>
        <v>0.0001095959297</v>
      </c>
      <c r="E951" s="2" t="str">
        <f>IFERROR(__xludf.DUMMYFUNCTION("""COMPUTED_VALUE"""),"     69.856")</f>
        <v>     69.856</v>
      </c>
    </row>
    <row r="952">
      <c r="A952" s="2" t="str">
        <f>IFERROR(__xludf.DUMMYFUNCTION("""COMPUTED_VALUE"""),"Real Madrid Basket")</f>
        <v>Real Madrid Basket</v>
      </c>
      <c r="B952" s="2" t="str">
        <f>IFERROR(__xludf.DUMMYFUNCTION("""COMPUTED_VALUE"""),"rmbaloncesto")</f>
        <v>rmbaloncesto</v>
      </c>
      <c r="C952" s="2" t="str">
        <f>IFERROR(__xludf.DUMMYFUNCTION("""COMPUTED_VALUE"""),"🏀 Cuenta oficial del Real Madrid Baloncesto. Official account of Real Madrid Basketball.")</f>
        <v>🏀 Cuenta oficial del Real Madrid Baloncesto. Official account of Real Madrid Basketball.</v>
      </c>
      <c r="D952" s="2">
        <f>IFERROR(__xludf.DUMMYFUNCTION("""COMPUTED_VALUE"""),1.0959592970790288E-4)</f>
        <v>0.0001095959297</v>
      </c>
      <c r="E952" s="2" t="str">
        <f>IFERROR(__xludf.DUMMYFUNCTION("""COMPUTED_VALUE"""),"    791.167")</f>
        <v>    791.167</v>
      </c>
    </row>
    <row r="953">
      <c r="A953" s="2" t="str">
        <f>IFERROR(__xludf.DUMMYFUNCTION("""COMPUTED_VALUE"""),"Barça Basket")</f>
        <v>Barça Basket</v>
      </c>
      <c r="B953" s="2" t="str">
        <f>IFERROR(__xludf.DUMMYFUNCTION("""COMPUTED_VALUE"""),"fcbbasket")</f>
        <v>fcbbasket</v>
      </c>
      <c r="C953" s="2" t="str">
        <f>IFERROR(__xludf.DUMMYFUNCTION("""COMPUTED_VALUE"""),"🏀💙❤Official Barça Basketball account.         
🏆2x Euroleague
🏆20x ACB
🏆27x Copa")</f>
        <v>🏀💙❤Official Barça Basketball account.         
🏆2x Euroleague
🏆20x ACB
🏆27x Copa</v>
      </c>
      <c r="D953" s="2">
        <f>IFERROR(__xludf.DUMMYFUNCTION("""COMPUTED_VALUE"""),1.0959592970790288E-4)</f>
        <v>0.0001095959297</v>
      </c>
      <c r="E953" s="2" t="str">
        <f>IFERROR(__xludf.DUMMYFUNCTION("""COMPUTED_VALUE"""),"    654.128")</f>
        <v>    654.128</v>
      </c>
    </row>
    <row r="954">
      <c r="A954" s="2" t="str">
        <f>IFERROR(__xludf.DUMMYFUNCTION("""COMPUTED_VALUE"""),"Liga Endesa")</f>
        <v>Liga Endesa</v>
      </c>
      <c r="B954" s="2" t="str">
        <f>IFERROR(__xludf.DUMMYFUNCTION("""COMPUTED_VALUE"""),"acbcom")</f>
        <v>acbcom</v>
      </c>
      <c r="C954" s="2" t="str">
        <f>IFERROR(__xludf.DUMMYFUNCTION("""COMPUTED_VALUE"""),"Twitter oficial de la #LigaEndesa y la ACB. ¡Disfruta del baloncesto con nosotros!")</f>
        <v>Twitter oficial de la #LigaEndesa y la ACB. ¡Disfruta del baloncesto con nosotros!</v>
      </c>
      <c r="D954" s="2">
        <f>IFERROR(__xludf.DUMMYFUNCTION("""COMPUTED_VALUE"""),1.0959592970790288E-4)</f>
        <v>0.0001095959297</v>
      </c>
      <c r="E954" s="2" t="str">
        <f>IFERROR(__xludf.DUMMYFUNCTION("""COMPUTED_VALUE"""),"    429.890")</f>
        <v>    429.890</v>
      </c>
    </row>
    <row r="955">
      <c r="A955" s="2" t="str">
        <f>IFERROR(__xludf.DUMMYFUNCTION("""COMPUTED_VALUE"""),"Giuseppe Zollino")</f>
        <v>Giuseppe Zollino</v>
      </c>
      <c r="B955" s="2" t="str">
        <f>IFERROR(__xludf.DUMMYFUNCTION("""COMPUTED_VALUE"""),"gizollino")</f>
        <v>gizollino</v>
      </c>
      <c r="C955" s="2" t="str">
        <f>IFERROR(__xludf.DUMMYFUNCTION("""COMPUTED_VALUE"""),"Tecnica ed Economia dell'Energia e Impianti Nucleari a @UniPadova; qui solo opinioni personali. Responsabile Energia&amp;Ambiente Segreteria Nazionale @Azione_it")</f>
        <v>Tecnica ed Economia dell'Energia e Impianti Nucleari a @UniPadova; qui solo opinioni personali. Responsabile Energia&amp;Ambiente Segreteria Nazionale @Azione_it</v>
      </c>
      <c r="D955" s="2">
        <f>IFERROR(__xludf.DUMMYFUNCTION("""COMPUTED_VALUE"""),1.0880409911576328E-4)</f>
        <v>0.0001088040991</v>
      </c>
      <c r="E955" s="2" t="str">
        <f>IFERROR(__xludf.DUMMYFUNCTION("""COMPUTED_VALUE"""),"      5.302")</f>
        <v>      5.302</v>
      </c>
    </row>
    <row r="956">
      <c r="A956" s="2" t="str">
        <f>IFERROR(__xludf.DUMMYFUNCTION("""COMPUTED_VALUE"""),"Daniel 💙")</f>
        <v>Daniel 💙</v>
      </c>
      <c r="B956" s="2" t="str">
        <f>IFERROR(__xludf.DUMMYFUNCTION("""COMPUTED_VALUE"""),"piauidaniel")</f>
        <v>piauidaniel</v>
      </c>
      <c r="C956" s="2" t="str">
        <f>IFERROR(__xludf.DUMMYFUNCTION("""COMPUTED_VALUE"""),"""Uma longa jornada começa com um simples passo.""
Confúcio")</f>
        <v>"Uma longa jornada começa com um simples passo."
Confúcio</v>
      </c>
      <c r="D956" s="2">
        <f>IFERROR(__xludf.DUMMYFUNCTION("""COMPUTED_VALUE"""),1.0880409911576328E-4)</f>
        <v>0.0001088040991</v>
      </c>
      <c r="E956" s="2" t="str">
        <f>IFERROR(__xludf.DUMMYFUNCTION("""COMPUTED_VALUE"""),"      1.325")</f>
        <v>      1.325</v>
      </c>
    </row>
    <row r="957">
      <c r="A957" s="2" t="str">
        <f>IFERROR(__xludf.DUMMYFUNCTION("""COMPUTED_VALUE"""),"Marcelo Fayh - FIIs")</f>
        <v>Marcelo Fayh - FIIs</v>
      </c>
      <c r="B957" s="2" t="str">
        <f>IFERROR(__xludf.DUMMYFUNCTION("""COMPUTED_VALUE"""),"marcelofayh")</f>
        <v>marcelofayh</v>
      </c>
      <c r="C957" s="2" t="str">
        <f>IFERROR(__xludf.DUMMYFUNCTION("""COMPUTED_VALUE"""),"Especialista em FIIs
Analista CNPI
Investidor desde 2007
Autor do livro Método Fayh: Descubra Como Escolher os Melhores Fundos Imobiliários")</f>
        <v>Especialista em FIIs
Analista CNPI
Investidor desde 2007
Autor do livro Método Fayh: Descubra Como Escolher os Melhores Fundos Imobiliários</v>
      </c>
      <c r="D957" s="2">
        <f>IFERROR(__xludf.DUMMYFUNCTION("""COMPUTED_VALUE"""),1.0880409911576328E-4)</f>
        <v>0.0001088040991</v>
      </c>
      <c r="E957" s="2" t="str">
        <f>IFERROR(__xludf.DUMMYFUNCTION("""COMPUTED_VALUE"""),"      3.514")</f>
        <v>      3.514</v>
      </c>
    </row>
    <row r="958">
      <c r="A958" s="2" t="str">
        <f>IFERROR(__xludf.DUMMYFUNCTION("""COMPUTED_VALUE"""),"Pierluigi Battista")</f>
        <v>Pierluigi Battista</v>
      </c>
      <c r="B958" s="2" t="str">
        <f>IFERROR(__xludf.DUMMYFUNCTION("""COMPUTED_VALUE"""),"pierluigibattis")</f>
        <v>pierluigibattis</v>
      </c>
      <c r="C958" s="2" t="str">
        <f>IFERROR(__xludf.DUMMYFUNCTION("""COMPUTED_VALUE"""),"Uscita di sicurezza , Saul Bellow, Rione Monti tradito, Huffington Post #grandefirma")</f>
        <v>Uscita di sicurezza , Saul Bellow, Rione Monti tradito, Huffington Post #grandefirma</v>
      </c>
      <c r="D958" s="2">
        <f>IFERROR(__xludf.DUMMYFUNCTION("""COMPUTED_VALUE"""),1.0688623884333105E-4)</f>
        <v>0.0001068862388</v>
      </c>
      <c r="E958" s="2" t="str">
        <f>IFERROR(__xludf.DUMMYFUNCTION("""COMPUTED_VALUE"""),"    124.362")</f>
        <v>    124.362</v>
      </c>
    </row>
    <row r="959">
      <c r="A959" s="2" t="str">
        <f>IFERROR(__xludf.DUMMYFUNCTION("""COMPUTED_VALUE"""),"Carlo Stagnaro 🏴󠁧󠁢󠁥󠁮󠁧󠁿🇺🇦")</f>
        <v>Carlo Stagnaro 🏴󠁧󠁢󠁥󠁮󠁧󠁿🇺🇦</v>
      </c>
      <c r="B959" s="2" t="str">
        <f>IFERROR(__xludf.DUMMYFUNCTION("""COMPUTED_VALUE"""),"carlostagnaro")</f>
        <v>carlostagnaro</v>
      </c>
      <c r="C959" s="2" t="str">
        <f>IFERROR(__xludf.DUMMYFUNCTION("""COMPUTED_VALUE"""),"join the dark side: we have neoliberal conspiracies / @istbrunoleoni / @theoryanddata / con @asaravalle ho scritto *Molte riforme per nulla* (@marsilioeditori)")</f>
        <v>join the dark side: we have neoliberal conspiracies / @istbrunoleoni / @theoryanddata / con @asaravalle ho scritto *Molte riforme per nulla* (@marsilioeditori)</v>
      </c>
      <c r="D959" s="2">
        <f>IFERROR(__xludf.DUMMYFUNCTION("""COMPUTED_VALUE"""),1.0688623884333105E-4)</f>
        <v>0.0001068862388</v>
      </c>
      <c r="E959" s="2" t="str">
        <f>IFERROR(__xludf.DUMMYFUNCTION("""COMPUTED_VALUE"""),"     43.164")</f>
        <v>     43.164</v>
      </c>
    </row>
    <row r="960">
      <c r="A960" s="2" t="str">
        <f>IFERROR(__xludf.DUMMYFUNCTION("""COMPUTED_VALUE"""),"Carmelo Palma 🇮🇹🇪🇺")</f>
        <v>Carmelo Palma 🇮🇹🇪🇺</v>
      </c>
      <c r="B960" s="2" t="str">
        <f>IFERROR(__xludf.DUMMYFUNCTION("""COMPUTED_VALUE"""),"carmelopalma")</f>
        <v>carmelopalma</v>
      </c>
      <c r="C960" s="2" t="str">
        <f>IFERROR(__xludf.DUMMYFUNCTION("""COMPUTED_VALUE"""),"Torinese, 54 anni, giornalista, direttore di https://t.co/HZYJbDzoHI. Scrive anche su https://t.co/1RjX1R5SkL e https://t.co/Fzpsd8zdlp")</f>
        <v>Torinese, 54 anni, giornalista, direttore di https://t.co/HZYJbDzoHI. Scrive anche su https://t.co/1RjX1R5SkL e https://t.co/Fzpsd8zdlp</v>
      </c>
      <c r="D960" s="2">
        <f>IFERROR(__xludf.DUMMYFUNCTION("""COMPUTED_VALUE"""),1.0688623884333105E-4)</f>
        <v>0.0001068862388</v>
      </c>
      <c r="E960" s="2" t="str">
        <f>IFERROR(__xludf.DUMMYFUNCTION("""COMPUTED_VALUE"""),"      6.925")</f>
        <v>      6.925</v>
      </c>
    </row>
    <row r="961">
      <c r="A961" s="2" t="str">
        <f>IFERROR(__xludf.DUMMYFUNCTION("""COMPUTED_VALUE"""),"laura cesaretti 🇺🇦🇪🇺")</f>
        <v>laura cesaretti 🇺🇦🇪🇺</v>
      </c>
      <c r="B961" s="2" t="str">
        <f>IFERROR(__xludf.DUMMYFUNCTION("""COMPUTED_VALUE"""),"lauracesaretti1")</f>
        <v>lauracesaretti1</v>
      </c>
      <c r="C961" s="2" t="str">
        <f>IFERROR(__xludf.DUMMYFUNCTION("""COMPUTED_VALUE"""),"giornalista, Il Giornale (ex Radio Radicale, Il Foglio) - Le opinioni qui espresse sono di qualcun altro")</f>
        <v>giornalista, Il Giornale (ex Radio Radicale, Il Foglio) - Le opinioni qui espresse sono di qualcun altro</v>
      </c>
      <c r="D961" s="2">
        <f>IFERROR(__xludf.DUMMYFUNCTION("""COMPUTED_VALUE"""),1.0688623884333105E-4)</f>
        <v>0.0001068862388</v>
      </c>
      <c r="E961" s="2" t="str">
        <f>IFERROR(__xludf.DUMMYFUNCTION("""COMPUTED_VALUE"""),"     23.626")</f>
        <v>     23.626</v>
      </c>
    </row>
    <row r="962">
      <c r="A962" s="2" t="str">
        <f>IFERROR(__xludf.DUMMYFUNCTION("""COMPUTED_VALUE"""),"Mineirinho de BH")</f>
        <v>Mineirinho de BH</v>
      </c>
      <c r="B962" s="2" t="str">
        <f>IFERROR(__xludf.DUMMYFUNCTION("""COMPUTED_VALUE"""),"tallumsanto")</f>
        <v>tallumsanto</v>
      </c>
      <c r="C962" s="2" t="str">
        <f>IFERROR(__xludf.DUMMYFUNCTION("""COMPUTED_VALUE"""),"Comentarista político, com viés de Esquerda! E se a religião se imiscuir, trato de Religião também.")</f>
        <v>Comentarista político, com viés de Esquerda! E se a religião se imiscuir, trato de Religião também.</v>
      </c>
      <c r="D962" s="2">
        <f>IFERROR(__xludf.DUMMYFUNCTION("""COMPUTED_VALUE"""),1.0630417916897293E-4)</f>
        <v>0.0001063041792</v>
      </c>
      <c r="E962" s="2" t="str">
        <f>IFERROR(__xludf.DUMMYFUNCTION("""COMPUTED_VALUE"""),"      2.234")</f>
        <v>      2.234</v>
      </c>
    </row>
    <row r="963">
      <c r="A963" s="2" t="str">
        <f>IFERROR(__xludf.DUMMYFUNCTION("""COMPUTED_VALUE"""),"矮大紧的我")</f>
        <v>矮大紧的我</v>
      </c>
      <c r="B963" s="2" t="str">
        <f>IFERROR(__xludf.DUMMYFUNCTION("""COMPUTED_VALUE"""),"aidajin_002")</f>
        <v>aidajin_002</v>
      </c>
      <c r="C963" s="2" t="str">
        <f>IFERROR(__xludf.DUMMYFUNCTION("""COMPUTED_VALUE"""),"Doll player, focus on portrait shooting. GYNOID Doll #13R 170cm, Style: INS, modern, minimalist, light luxury, sports, leisure")</f>
        <v>Doll player, focus on portrait shooting. GYNOID Doll #13R 170cm, Style: INS, modern, minimalist, light luxury, sports, leisure</v>
      </c>
      <c r="D963" s="2">
        <f>IFERROR(__xludf.DUMMYFUNCTION("""COMPUTED_VALUE"""),1.059628246380859E-4)</f>
        <v>0.0001059628246</v>
      </c>
      <c r="E963" s="2" t="str">
        <f>IFERROR(__xludf.DUMMYFUNCTION("""COMPUTED_VALUE"""),"      2.417")</f>
        <v>      2.417</v>
      </c>
    </row>
    <row r="964">
      <c r="A964" s="2" t="str">
        <f>IFERROR(__xludf.DUMMYFUNCTION("""COMPUTED_VALUE"""),"松永紅葉")</f>
        <v>松永紅葉</v>
      </c>
      <c r="B964" s="2" t="str">
        <f>IFERROR(__xludf.DUMMYFUNCTION("""COMPUTED_VALUE"""),"kouyouwp")</f>
        <v>kouyouwp</v>
      </c>
      <c r="C964" s="2" t="str">
        <f>IFERROR(__xludf.DUMMYFUNCTION("""COMPUTED_VALUE"""),"1日1枚イラストを公開し続けて、現在10年目になりました。様々な要素を取り入れつつ、より良いと感じて頂けるイラストを作成していきたいと思います。https://t.co/gSBvUnDOLp")</f>
        <v>1日1枚イラストを公開し続けて、現在10年目になりました。様々な要素を取り入れつつ、より良いと感じて頂けるイラストを作成していきたいと思います。https://t.co/gSBvUnDOLp</v>
      </c>
      <c r="D964" s="2">
        <f>IFERROR(__xludf.DUMMYFUNCTION("""COMPUTED_VALUE"""),1.059628246380859E-4)</f>
        <v>0.0001059628246</v>
      </c>
      <c r="E964" s="2" t="str">
        <f>IFERROR(__xludf.DUMMYFUNCTION("""COMPUTED_VALUE"""),"     23.513")</f>
        <v>     23.513</v>
      </c>
    </row>
    <row r="965">
      <c r="A965" s="2" t="str">
        <f>IFERROR(__xludf.DUMMYFUNCTION("""COMPUTED_VALUE"""),"ねでぃあ®")</f>
        <v>ねでぃあ®</v>
      </c>
      <c r="B965" s="2" t="str">
        <f>IFERROR(__xludf.DUMMYFUNCTION("""COMPUTED_VALUE"""),"nediarrrr")</f>
        <v>nediarrrr</v>
      </c>
      <c r="C965" s="2" t="str">
        <f>IFERROR(__xludf.DUMMYFUNCTION("""COMPUTED_VALUE"""),"◆イラスト描いてます　　　　
【yjmt2015toro@gmail.com】
【https://t.co/9TqQS7lG1d】
【 https://t.co/XNjM9pj5dO 】
【 https://t.co/vnYnkUtXQg】")</f>
        <v>◆イラスト描いてます　　　　
【yjmt2015toro@gmail.com】
【https://t.co/9TqQS7lG1d】
【 https://t.co/XNjM9pj5dO 】
【 https://t.co/vnYnkUtXQg】</v>
      </c>
      <c r="D965" s="2">
        <f>IFERROR(__xludf.DUMMYFUNCTION("""COMPUTED_VALUE"""),1.059628246380859E-4)</f>
        <v>0.0001059628246</v>
      </c>
      <c r="E965" s="2" t="str">
        <f>IFERROR(__xludf.DUMMYFUNCTION("""COMPUTED_VALUE"""),"    234.256")</f>
        <v>    234.256</v>
      </c>
    </row>
    <row r="966">
      <c r="A966" s="2" t="str">
        <f>IFERROR(__xludf.DUMMYFUNCTION("""COMPUTED_VALUE"""),"Na-Ga🎳")</f>
        <v>Na-Ga🎳</v>
      </c>
      <c r="B966" s="2" t="str">
        <f>IFERROR(__xludf.DUMMYFUNCTION("""COMPUTED_VALUE"""),"iktd13_")</f>
        <v>iktd13_</v>
      </c>
      <c r="C966" s="2" t="str">
        <f>IFERROR(__xludf.DUMMYFUNCTION("""COMPUTED_VALUE"""),"PCゲーム作ったりしてます。")</f>
        <v>PCゲーム作ったりしてます。</v>
      </c>
      <c r="D966" s="2">
        <f>IFERROR(__xludf.DUMMYFUNCTION("""COMPUTED_VALUE"""),1.059628246380859E-4)</f>
        <v>0.0001059628246</v>
      </c>
      <c r="E966" s="2" t="str">
        <f>IFERROR(__xludf.DUMMYFUNCTION("""COMPUTED_VALUE"""),"    132.734")</f>
        <v>    132.734</v>
      </c>
    </row>
    <row r="967">
      <c r="A967" s="2" t="str">
        <f>IFERROR(__xludf.DUMMYFUNCTION("""COMPUTED_VALUE"""),"chomo")</f>
        <v>chomo</v>
      </c>
      <c r="B967" s="2" t="str">
        <f>IFERROR(__xludf.DUMMYFUNCTION("""COMPUTED_VALUE"""),"tkaz2009")</f>
        <v>tkaz2009</v>
      </c>
      <c r="C967" s="2" t="str">
        <f>IFERROR(__xludf.DUMMYFUNCTION("""COMPUTED_VALUE"""),"最近はほぼAI絵になりつつあります。
地味目で少しラフなタッチの絵が好みなので、好きなものをちまちま紹介していこうと思います。
AI絵は下記で公開してます↓
pixiv：https://t.co/B0xqKlcCNX
patreon：https://t.co/bsftjDCqEQ")</f>
        <v>最近はほぼAI絵になりつつあります。
地味目で少しラフなタッチの絵が好みなので、好きなものをちまちま紹介していこうと思います。
AI絵は下記で公開してます↓
pixiv：https://t.co/B0xqKlcCNX
patreon：https://t.co/bsftjDCqEQ</v>
      </c>
      <c r="D967" s="2">
        <f>IFERROR(__xludf.DUMMYFUNCTION("""COMPUTED_VALUE"""),1.059628246380859E-4)</f>
        <v>0.0001059628246</v>
      </c>
      <c r="E967" s="2" t="str">
        <f>IFERROR(__xludf.DUMMYFUNCTION("""COMPUTED_VALUE"""),"     22.322")</f>
        <v>     22.322</v>
      </c>
    </row>
    <row r="968">
      <c r="A968" s="2" t="str">
        <f>IFERROR(__xludf.DUMMYFUNCTION("""COMPUTED_VALUE"""),"逆流茶会")</f>
        <v>逆流茶会</v>
      </c>
      <c r="B968" s="2" t="str">
        <f>IFERROR(__xludf.DUMMYFUNCTION("""COMPUTED_VALUE"""),"niliuchahui")</f>
        <v>niliuchahui</v>
      </c>
      <c r="C968" s="2" t="str">
        <f>IFERROR(__xludf.DUMMYFUNCTION("""COMPUTED_VALUE"""),"Original illustrator group
creat cute&amp;ecchi waifus
patreon→https://t.co/cB85PtQvn4 
fanbox→https://t.co/pb3BQ6iYdQ
Pixiv→https://t.co/SoN6NKY6w8")</f>
        <v>Original illustrator group
creat cute&amp;ecchi waifus
patreon→https://t.co/cB85PtQvn4 
fanbox→https://t.co/pb3BQ6iYdQ
Pixiv→https://t.co/SoN6NKY6w8</v>
      </c>
      <c r="D968" s="2">
        <f>IFERROR(__xludf.DUMMYFUNCTION("""COMPUTED_VALUE"""),1.059628246380859E-4)</f>
        <v>0.0001059628246</v>
      </c>
      <c r="E968" s="2" t="str">
        <f>IFERROR(__xludf.DUMMYFUNCTION("""COMPUTED_VALUE"""),"    258.855")</f>
        <v>    258.855</v>
      </c>
    </row>
    <row r="969">
      <c r="A969" s="2" t="str">
        <f>IFERROR(__xludf.DUMMYFUNCTION("""COMPUTED_VALUE"""),"Bezlya")</f>
        <v>Bezlya</v>
      </c>
      <c r="B969" s="2" t="str">
        <f>IFERROR(__xludf.DUMMYFUNCTION("""COMPUTED_VALUE"""),"bezlya1")</f>
        <v>bezlya1</v>
      </c>
      <c r="C969" s="2" t="str">
        <f>IFERROR(__xludf.DUMMYFUNCTION("""COMPUTED_VALUE"""),"私達は人形に魂を注ぎ込むクリエイター集団であり。ラブドールの生産と研究に全力で取り組み、一体一体心を込めて作り上げています。当社は世界有数のシリコン&amp;TPE製のラブドールメーカーで、実用性、リアリティ、芸術創作性の先駆者として未来へ歩みだします。
公式サイト：https://t.co/r3UJVcclFJ")</f>
        <v>私達は人形に魂を注ぎ込むクリエイター集団であり。ラブドールの生産と研究に全力で取り組み、一体一体心を込めて作り上げています。当社は世界有数のシリコン&amp;TPE製のラブドールメーカーで、実用性、リアリティ、芸術創作性の先駆者として未来へ歩みだします。
公式サイト：https://t.co/r3UJVcclFJ</v>
      </c>
      <c r="D969" s="2">
        <f>IFERROR(__xludf.DUMMYFUNCTION("""COMPUTED_VALUE"""),1.059628246380859E-4)</f>
        <v>0.0001059628246</v>
      </c>
      <c r="E969" s="2" t="str">
        <f>IFERROR(__xludf.DUMMYFUNCTION("""COMPUTED_VALUE"""),"     11.163")</f>
        <v>     11.163</v>
      </c>
    </row>
    <row r="970">
      <c r="A970" s="2" t="str">
        <f>IFERROR(__xludf.DUMMYFUNCTION("""COMPUTED_VALUE"""),"ターキー415。💕")</f>
        <v>ターキー415。💕</v>
      </c>
      <c r="B970" s="2" t="str">
        <f>IFERROR(__xludf.DUMMYFUNCTION("""COMPUTED_VALUE"""),"imucolo415")</f>
        <v>imucolo415</v>
      </c>
      <c r="C970" s="2" t="str">
        <f>IFERROR(__xludf.DUMMYFUNCTION("""COMPUTED_VALUE"""),"猫🐈‍⬛、昭和アニメ、銃(ハンドガン)、🥃ウイスキー。（浅く適当に☺）
ドル歴は2020年2月〜。
2021年８月〜 イムちゃん。
カメラ：SONY α-5100 レンズ：E16-50ズーム 56mm単焦点。")</f>
        <v>猫🐈‍⬛、昭和アニメ、銃(ハンドガン)、🥃ウイスキー。（浅く適当に☺）
ドル歴は2020年2月〜。
2021年８月〜 イムちゃん。
カメラ：SONY α-5100 レンズ：E16-50ズーム 56mm単焦点。</v>
      </c>
      <c r="D970" s="2">
        <f>IFERROR(__xludf.DUMMYFUNCTION("""COMPUTED_VALUE"""),1.059628246380859E-4)</f>
        <v>0.0001059628246</v>
      </c>
      <c r="E970" s="2" t="str">
        <f>IFERROR(__xludf.DUMMYFUNCTION("""COMPUTED_VALUE"""),"      2.339")</f>
        <v>      2.339</v>
      </c>
    </row>
    <row r="971">
      <c r="A971" s="2" t="str">
        <f>IFERROR(__xludf.DUMMYFUNCTION("""COMPUTED_VALUE"""),"ECO")</f>
        <v>ECO</v>
      </c>
      <c r="B971" s="2" t="str">
        <f>IFERROR(__xludf.DUMMYFUNCTION("""COMPUTED_VALUE"""),"eco_pt")</f>
        <v>eco_pt</v>
      </c>
      <c r="C971" s="2" t="str">
        <f>IFERROR(__xludf.DUMMYFUNCTION("""COMPUTED_VALUE"""),"O ECO é um jornal digital que junta uma plataforma tecnológica inovadora a um jornalismo independente e próximo dos leitores.")</f>
        <v>O ECO é um jornal digital que junta uma plataforma tecnológica inovadora a um jornalismo independente e próximo dos leitores.</v>
      </c>
      <c r="D971" s="2">
        <f>IFERROR(__xludf.DUMMYFUNCTION("""COMPUTED_VALUE"""),1.0560766532837622E-4)</f>
        <v>0.0001056076653</v>
      </c>
      <c r="E971" s="2" t="str">
        <f>IFERROR(__xludf.DUMMYFUNCTION("""COMPUTED_VALUE"""),"     51.519")</f>
        <v>     51.519</v>
      </c>
    </row>
    <row r="972">
      <c r="A972" s="2" t="str">
        <f>IFERROR(__xludf.DUMMYFUNCTION("""COMPUTED_VALUE"""),"Gonçalo Levy Cordeiro")</f>
        <v>Gonçalo Levy Cordeiro</v>
      </c>
      <c r="B972" s="2" t="str">
        <f>IFERROR(__xludf.DUMMYFUNCTION("""COMPUTED_VALUE"""),"glevycordeiro")</f>
        <v>glevycordeiro</v>
      </c>
      <c r="C972" s="2" t="str">
        <f>IFERROR(__xludf.DUMMYFUNCTION("""COMPUTED_VALUE"""),"Liberal convicto.")</f>
        <v>Liberal convicto.</v>
      </c>
      <c r="D972" s="2">
        <f>IFERROR(__xludf.DUMMYFUNCTION("""COMPUTED_VALUE"""),1.0560766532837622E-4)</f>
        <v>0.0001056076653</v>
      </c>
      <c r="E972" s="2" t="str">
        <f>IFERROR(__xludf.DUMMYFUNCTION("""COMPUTED_VALUE"""),"      6.610")</f>
        <v>      6.610</v>
      </c>
    </row>
    <row r="973">
      <c r="A973" s="2" t="str">
        <f>IFERROR(__xludf.DUMMYFUNCTION("""COMPUTED_VALUE"""),"Expresso")</f>
        <v>Expresso</v>
      </c>
      <c r="B973" s="2" t="str">
        <f>IFERROR(__xludf.DUMMYFUNCTION("""COMPUTED_VALUE"""),"expresso")</f>
        <v>expresso</v>
      </c>
      <c r="C973" s="2" t="str">
        <f>IFERROR(__xludf.DUMMYFUNCTION("""COMPUTED_VALUE"""),"As notícias que lhe dão liberdade para pensar.")</f>
        <v>As notícias que lhe dão liberdade para pensar.</v>
      </c>
      <c r="D973" s="2">
        <f>IFERROR(__xludf.DUMMYFUNCTION("""COMPUTED_VALUE"""),1.0560766532837622E-4)</f>
        <v>0.0001056076653</v>
      </c>
      <c r="E973" s="2" t="str">
        <f>IFERROR(__xludf.DUMMYFUNCTION("""COMPUTED_VALUE"""),"    619.414")</f>
        <v>    619.414</v>
      </c>
    </row>
    <row r="974">
      <c r="A974" s="2" t="str">
        <f>IFERROR(__xludf.DUMMYFUNCTION("""COMPUTED_VALUE"""),"Cláudio 🚩")</f>
        <v>Cláudio 🚩</v>
      </c>
      <c r="B974" s="2" t="str">
        <f>IFERROR(__xludf.DUMMYFUNCTION("""COMPUTED_VALUE"""),"claudiolula13")</f>
        <v>claudiolula13</v>
      </c>
      <c r="C974" s="2" t="str">
        <f>IFERROR(__xludf.DUMMYFUNCTION("""COMPUTED_VALUE"""),"Conta pessoal transformada em instrumento de defesa de LULA e de mais alguns.
Por uma sociedade com valores humanos!")</f>
        <v>Conta pessoal transformada em instrumento de defesa de LULA e de mais alguns.
Por uma sociedade com valores humanos!</v>
      </c>
      <c r="D974" s="2">
        <f>IFERROR(__xludf.DUMMYFUNCTION("""COMPUTED_VALUE"""),1.0196558143098074E-4)</f>
        <v>0.0001019655814</v>
      </c>
      <c r="E974" s="2" t="str">
        <f>IFERROR(__xludf.DUMMYFUNCTION("""COMPUTED_VALUE"""),"      7.789")</f>
        <v>      7.789</v>
      </c>
    </row>
    <row r="975">
      <c r="A975" s="2" t="str">
        <f>IFERROR(__xludf.DUMMYFUNCTION("""COMPUTED_VALUE"""),"Manosp")</f>
        <v>Manosp</v>
      </c>
      <c r="B975" s="2" t="str">
        <f>IFERROR(__xludf.DUMMYFUNCTION("""COMPUTED_VALUE"""),"manosp17")</f>
        <v>manosp17</v>
      </c>
      <c r="C975" s="2" t="str">
        <f>IFERROR(__xludf.DUMMYFUNCTION("""COMPUTED_VALUE"""),"homem")</f>
        <v>homem</v>
      </c>
      <c r="D975" s="2">
        <f>IFERROR(__xludf.DUMMYFUNCTION("""COMPUTED_VALUE"""),1.0196558143098074E-4)</f>
        <v>0.0001019655814</v>
      </c>
      <c r="E975" s="2" t="str">
        <f>IFERROR(__xludf.DUMMYFUNCTION("""COMPUTED_VALUE"""),"      1.671")</f>
        <v>      1.671</v>
      </c>
    </row>
    <row r="976">
      <c r="A976" s="2" t="str">
        <f>IFERROR(__xludf.DUMMYFUNCTION("""COMPUTED_VALUE"""),"Warley Lopes")</f>
        <v>Warley Lopes</v>
      </c>
      <c r="B976" s="2" t="str">
        <f>IFERROR(__xludf.DUMMYFUNCTION("""COMPUTED_VALUE"""),"warley_lopes")</f>
        <v>warley_lopes</v>
      </c>
      <c r="C976" s="2" t="str">
        <f>IFERROR(__xludf.DUMMYFUNCTION("""COMPUTED_VALUE"""),"Ativista social, membro Federação Brasil da Esperança e vacinado 🔬💉Goianidade 
Ele diz que se dane o que vão pensar de mim, ele diz eles vão falar de mim ❤🎼")</f>
        <v>Ativista social, membro Federação Brasil da Esperança e vacinado 🔬💉Goianidade 
Ele diz que se dane o que vão pensar de mim, ele diz eles vão falar de mim ❤🎼</v>
      </c>
      <c r="D976" s="2">
        <f>IFERROR(__xludf.DUMMYFUNCTION("""COMPUTED_VALUE"""),1.0196558143098074E-4)</f>
        <v>0.0001019655814</v>
      </c>
      <c r="E976" s="2" t="str">
        <f>IFERROR(__xludf.DUMMYFUNCTION("""COMPUTED_VALUE"""),"      4.699")</f>
        <v>      4.699</v>
      </c>
    </row>
    <row r="977">
      <c r="A977" s="2" t="str">
        <f>IFERROR(__xludf.DUMMYFUNCTION("""COMPUTED_VALUE"""),"Pedro Ruas")</f>
        <v>Pedro Ruas</v>
      </c>
      <c r="B977" s="2" t="str">
        <f>IFERROR(__xludf.DUMMYFUNCTION("""COMPUTED_VALUE"""),"pedroruaspsol")</f>
        <v>pedroruaspsol</v>
      </c>
      <c r="C977" s="2" t="str">
        <f>IFERROR(__xludf.DUMMYFUNCTION("""COMPUTED_VALUE"""),"ADVOGADO de trabalhadores e militante SOCIALISTA! Canais: https://t.co/bgjaUJ7u2H  https://t.co/rQRIbNfyVJ?…
https://t.co/k6OzJ3g2Jy")</f>
        <v>ADVOGADO de trabalhadores e militante SOCIALISTA! Canais: https://t.co/bgjaUJ7u2H  https://t.co/rQRIbNfyVJ?…
https://t.co/k6OzJ3g2Jy</v>
      </c>
      <c r="D977" s="2">
        <f>IFERROR(__xludf.DUMMYFUNCTION("""COMPUTED_VALUE"""),1.0196558143098074E-4)</f>
        <v>0.0001019655814</v>
      </c>
      <c r="E977" s="2" t="str">
        <f>IFERROR(__xludf.DUMMYFUNCTION("""COMPUTED_VALUE"""),"     52.599")</f>
        <v>     52.599</v>
      </c>
    </row>
    <row r="978">
      <c r="A978" s="2" t="str">
        <f>IFERROR(__xludf.DUMMYFUNCTION("""COMPUTED_VALUE"""),"almore🚩🚩🚩")</f>
        <v>almore🚩🚩🚩</v>
      </c>
      <c r="B978" s="2" t="str">
        <f>IFERROR(__xludf.DUMMYFUNCTION("""COMPUTED_VALUE"""),"portolejos")</f>
        <v>portolejos</v>
      </c>
      <c r="C978" s="2"/>
      <c r="D978" s="2">
        <f>IFERROR(__xludf.DUMMYFUNCTION("""COMPUTED_VALUE"""),1.0196558143098074E-4)</f>
        <v>0.0001019655814</v>
      </c>
      <c r="E978" s="2" t="str">
        <f>IFERROR(__xludf.DUMMYFUNCTION("""COMPUTED_VALUE"""),"      2.233")</f>
        <v>      2.233</v>
      </c>
    </row>
    <row r="979">
      <c r="A979" s="2" t="str">
        <f>IFERROR(__xludf.DUMMYFUNCTION("""COMPUTED_VALUE"""),"Neides Abreu")</f>
        <v>Neides Abreu</v>
      </c>
      <c r="B979" s="2" t="str">
        <f>IFERROR(__xludf.DUMMYFUNCTION("""COMPUTED_VALUE"""),"neidesabreu")</f>
        <v>neidesabreu</v>
      </c>
      <c r="C979" s="2" t="str">
        <f>IFERROR(__xludf.DUMMYFUNCTION("""COMPUTED_VALUE"""),"Autenticidade, Verdadeira, Crítica, Solicita, Perseverante e de Esquerda🚩🚩por Natureza.")</f>
        <v>Autenticidade, Verdadeira, Crítica, Solicita, Perseverante e de Esquerda🚩🚩por Natureza.</v>
      </c>
      <c r="D979" s="2">
        <f>IFERROR(__xludf.DUMMYFUNCTION("""COMPUTED_VALUE"""),1.0196558143098074E-4)</f>
        <v>0.0001019655814</v>
      </c>
      <c r="E979" s="2" t="str">
        <f>IFERROR(__xludf.DUMMYFUNCTION("""COMPUTED_VALUE"""),"      2.265")</f>
        <v>      2.265</v>
      </c>
    </row>
    <row r="980">
      <c r="A980" s="2" t="str">
        <f>IFERROR(__xludf.DUMMYFUNCTION("""COMPUTED_VALUE"""),"Maria Silveira Silva🚩🚩🚩")</f>
        <v>Maria Silveira Silva🚩🚩🚩</v>
      </c>
      <c r="B980" s="2" t="str">
        <f>IFERROR(__xludf.DUMMYFUNCTION("""COMPUTED_VALUE"""),"mariasilveirasi")</f>
        <v>mariasilveirasi</v>
      </c>
      <c r="C980" s="2" t="str">
        <f>IFERROR(__xludf.DUMMYFUNCTION("""COMPUTED_VALUE"""),"Sou um ser em construção, sou muitas! as vezes doce, as vezes amarga, em dúvida, mas sempre em busca de ser a cada dia uma pessoa melhor.")</f>
        <v>Sou um ser em construção, sou muitas! as vezes doce, as vezes amarga, em dúvida, mas sempre em busca de ser a cada dia uma pessoa melhor.</v>
      </c>
      <c r="D980" s="2">
        <f>IFERROR(__xludf.DUMMYFUNCTION("""COMPUTED_VALUE"""),1.0196558143098074E-4)</f>
        <v>0.0001019655814</v>
      </c>
      <c r="E980" s="2" t="str">
        <f>IFERROR(__xludf.DUMMYFUNCTION("""COMPUTED_VALUE"""),"      2.070")</f>
        <v>      2.070</v>
      </c>
    </row>
    <row r="981">
      <c r="A981" s="2" t="str">
        <f>IFERROR(__xludf.DUMMYFUNCTION("""COMPUTED_VALUE"""),"Jorjor")</f>
        <v>Jorjor</v>
      </c>
      <c r="B981" s="2" t="str">
        <f>IFERROR(__xludf.DUMMYFUNCTION("""COMPUTED_VALUE"""),"jorjorff")</f>
        <v>jorjorff</v>
      </c>
      <c r="C981" s="2" t="str">
        <f>IFERROR(__xludf.DUMMYFUNCTION("""COMPUTED_VALUE"""),"Feminista, antifascista, antirracista, esquerdista, e gremista. Filha de Iansã. Publicitária. Louca por plantas, música e animais. Lula Presidente! 🚩")</f>
        <v>Feminista, antifascista, antirracista, esquerdista, e gremista. Filha de Iansã. Publicitária. Louca por plantas, música e animais. Lula Presidente! 🚩</v>
      </c>
      <c r="D981" s="2">
        <f>IFERROR(__xludf.DUMMYFUNCTION("""COMPUTED_VALUE"""),1.0196558143098074E-4)</f>
        <v>0.0001019655814</v>
      </c>
      <c r="E981" s="2" t="str">
        <f>IFERROR(__xludf.DUMMYFUNCTION("""COMPUTED_VALUE"""),"      8.777")</f>
        <v>      8.777</v>
      </c>
    </row>
    <row r="982">
      <c r="A982" s="2" t="str">
        <f>IFERROR(__xludf.DUMMYFUNCTION("""COMPUTED_VALUE"""),"Hugo Cardoso Dos Santos Ptista 13")</f>
        <v>Hugo Cardoso Dos Santos Ptista 13</v>
      </c>
      <c r="B982" s="2" t="str">
        <f>IFERROR(__xludf.DUMMYFUNCTION("""COMPUTED_VALUE"""),"hugocardo")</f>
        <v>hugocardo</v>
      </c>
      <c r="C982" s="2" t="str">
        <f>IFERROR(__xludf.DUMMYFUNCTION("""COMPUTED_VALUE"""),"Tenho robe trabalho com madeira PTista doente")</f>
        <v>Tenho robe trabalho com madeira PTista doente</v>
      </c>
      <c r="D982" s="2">
        <f>IFERROR(__xludf.DUMMYFUNCTION("""COMPUTED_VALUE"""),1.0196558143098074E-4)</f>
        <v>0.0001019655814</v>
      </c>
      <c r="E982" s="2" t="str">
        <f>IFERROR(__xludf.DUMMYFUNCTION("""COMPUTED_VALUE"""),"      2.845")</f>
        <v>      2.845</v>
      </c>
    </row>
    <row r="983">
      <c r="A983" s="2" t="str">
        <f>IFERROR(__xludf.DUMMYFUNCTION("""COMPUTED_VALUE"""),"Daniel")</f>
        <v>Daniel</v>
      </c>
      <c r="B983" s="2" t="str">
        <f>IFERROR(__xludf.DUMMYFUNCTION("""COMPUTED_VALUE"""),"danielr_2607")</f>
        <v>danielr_2607</v>
      </c>
      <c r="C983" s="2" t="str">
        <f>IFERROR(__xludf.DUMMYFUNCTION("""COMPUTED_VALUE"""),"Historiador martiano de alma. Fidelista de corazón.")</f>
        <v>Historiador martiano de alma. Fidelista de corazón.</v>
      </c>
      <c r="D983" s="2">
        <f>IFERROR(__xludf.DUMMYFUNCTION("""COMPUTED_VALUE"""),1.0196558143098074E-4)</f>
        <v>0.0001019655814</v>
      </c>
      <c r="E983" s="2" t="str">
        <f>IFERROR(__xludf.DUMMYFUNCTION("""COMPUTED_VALUE"""),"      5.838")</f>
        <v>      5.838</v>
      </c>
    </row>
    <row r="984">
      <c r="A984" s="2" t="str">
        <f>IFERROR(__xludf.DUMMYFUNCTION("""COMPUTED_VALUE"""),"ESTOU COM LULA, PRESIDENTE DE TODOS OS BRASILEIROS")</f>
        <v>ESTOU COM LULA, PRESIDENTE DE TODOS OS BRASILEIROS</v>
      </c>
      <c r="B984" s="2" t="str">
        <f>IFERROR(__xludf.DUMMYFUNCTION("""COMPUTED_VALUE"""),"carlosrafer")</f>
        <v>carlosrafer</v>
      </c>
      <c r="C984" s="2" t="str">
        <f>IFERROR(__xludf.DUMMYFUNCTION("""COMPUTED_VALUE"""),"VOTEI NO LULA13 PELA VOLTA DA DEMOCRACIA E DA CIVILIDADE EM NOSSO PAÍS , RESPEITA MEU VOTO E OS OUTROS 60.345.998 EM LULA, AGORA UM PRESIDENTE DE TODOS.")</f>
        <v>VOTEI NO LULA13 PELA VOLTA DA DEMOCRACIA E DA CIVILIDADE EM NOSSO PAÍS , RESPEITA MEU VOTO E OS OUTROS 60.345.998 EM LULA, AGORA UM PRESIDENTE DE TODOS.</v>
      </c>
      <c r="D984" s="2">
        <f>IFERROR(__xludf.DUMMYFUNCTION("""COMPUTED_VALUE"""),1.0196558143098074E-4)</f>
        <v>0.0001019655814</v>
      </c>
      <c r="E984" s="2" t="str">
        <f>IFERROR(__xludf.DUMMYFUNCTION("""COMPUTED_VALUE"""),"     12.645")</f>
        <v>     12.645</v>
      </c>
    </row>
    <row r="985">
      <c r="A985" s="2" t="str">
        <f>IFERROR(__xludf.DUMMYFUNCTION("""COMPUTED_VALUE"""),"antonio pereira🇧🇷🚩 #blogantoniopereira")</f>
        <v>antonio pereira🇧🇷🚩 #blogantoniopereira</v>
      </c>
      <c r="B985" s="2" t="str">
        <f>IFERROR(__xludf.DUMMYFUNCTION("""COMPUTED_VALUE"""),"antoniotoinho07")</f>
        <v>antoniotoinho07</v>
      </c>
      <c r="C985" s="2" t="str">
        <f>IFERROR(__xludf.DUMMYFUNCTION("""COMPUTED_VALUE"""),"Especialista em jornalismo sindical. Fundador da Cooperativa dos Jornalistas e Gráficos do estado de Alagoas - https://t.co/AM2NDZOksB…")</f>
        <v>Especialista em jornalismo sindical. Fundador da Cooperativa dos Jornalistas e Gráficos do estado de Alagoas - https://t.co/AM2NDZOksB…</v>
      </c>
      <c r="D985" s="2">
        <f>IFERROR(__xludf.DUMMYFUNCTION("""COMPUTED_VALUE"""),1.0196558143098074E-4)</f>
        <v>0.0001019655814</v>
      </c>
      <c r="E985" s="2" t="str">
        <f>IFERROR(__xludf.DUMMYFUNCTION("""COMPUTED_VALUE"""),"     11.065")</f>
        <v>     11.065</v>
      </c>
    </row>
    <row r="986">
      <c r="A986" s="2" t="str">
        <f>IFERROR(__xludf.DUMMYFUNCTION("""COMPUTED_VALUE"""),"Pedro A.F.M.Menezes")</f>
        <v>Pedro A.F.M.Menezes</v>
      </c>
      <c r="B986" s="2" t="str">
        <f>IFERROR(__xludf.DUMMYFUNCTION("""COMPUTED_VALUE"""),"vaipassarmais")</f>
        <v>vaipassarmais</v>
      </c>
      <c r="C986" s="2" t="str">
        <f>IFERROR(__xludf.DUMMYFUNCTION("""COMPUTED_VALUE"""),"Conta 2. Sempre à esquerda 1️⃣3️⃣🚩🤜🤛
Botafoguense 🔥 Imp.Serrano 🥁. Economista por opção. Prof. de piano 🎹 e violão 🎸por paixão❤️.
Casado e muito feliz!")</f>
        <v>Conta 2. Sempre à esquerda 1️⃣3️⃣🚩🤜🤛
Botafoguense 🔥 Imp.Serrano 🥁. Economista por opção. Prof. de piano 🎹 e violão 🎸por paixão❤️.
Casado e muito feliz!</v>
      </c>
      <c r="D986" s="2">
        <f>IFERROR(__xludf.DUMMYFUNCTION("""COMPUTED_VALUE"""),1.0196558143098074E-4)</f>
        <v>0.0001019655814</v>
      </c>
      <c r="E986" s="2" t="str">
        <f>IFERROR(__xludf.DUMMYFUNCTION("""COMPUTED_VALUE"""),"     14.047")</f>
        <v>     14.047</v>
      </c>
    </row>
    <row r="987">
      <c r="A987" s="2" t="str">
        <f>IFERROR(__xludf.DUMMYFUNCTION("""COMPUTED_VALUE"""),"Ricardo Souza")</f>
        <v>Ricardo Souza</v>
      </c>
      <c r="B987" s="2" t="str">
        <f>IFERROR(__xludf.DUMMYFUNCTION("""COMPUTED_VALUE"""),"ricardotambia")</f>
        <v>ricardotambia</v>
      </c>
      <c r="C987" s="2" t="str">
        <f>IFERROR(__xludf.DUMMYFUNCTION("""COMPUTED_VALUE"""),"SEM MEDO DE SER FELIZ E ORGULHOSO POR ESTA DO LADO CERTO DA HISTORIA.
#EsquerdistassegueEsquerdistas")</f>
        <v>SEM MEDO DE SER FELIZ E ORGULHOSO POR ESTA DO LADO CERTO DA HISTORIA.
#EsquerdistassegueEsquerdistas</v>
      </c>
      <c r="D987" s="2">
        <f>IFERROR(__xludf.DUMMYFUNCTION("""COMPUTED_VALUE"""),1.0196558143098074E-4)</f>
        <v>0.0001019655814</v>
      </c>
      <c r="E987" s="2" t="str">
        <f>IFERROR(__xludf.DUMMYFUNCTION("""COMPUTED_VALUE"""),"     14.347")</f>
        <v>     14.347</v>
      </c>
    </row>
    <row r="988">
      <c r="A988" s="2" t="str">
        <f>IFERROR(__xludf.DUMMYFUNCTION("""COMPUTED_VALUE"""),"Paulo Sérgio 1️⃣3️⃣♥️ 🇧🇷🙏🏿💉🌍💉🚩 💯")</f>
        <v>Paulo Sérgio 1️⃣3️⃣♥️ 🇧🇷🙏🏿💉🌍💉🚩 💯</v>
      </c>
      <c r="B988" s="2" t="str">
        <f>IFERROR(__xludf.DUMMYFUNCTION("""COMPUTED_VALUE"""),"pauloconfianca")</f>
        <v>pauloconfianca</v>
      </c>
      <c r="C988" s="2" t="str">
        <f>IFERROR(__xludf.DUMMYFUNCTION("""COMPUTED_VALUE"""),"Autônomo:TÉC EM ALIMENTOS,opinando na área política e afins.Sou apenas um alguém na multidão,amante da justiça social Pix: paulozulum@gmail.com
agradecido")</f>
        <v>Autônomo:TÉC EM ALIMENTOS,opinando na área política e afins.Sou apenas um alguém na multidão,amante da justiça social Pix: paulozulum@gmail.com
agradecido</v>
      </c>
      <c r="D988" s="2">
        <f>IFERROR(__xludf.DUMMYFUNCTION("""COMPUTED_VALUE"""),1.0196558143098074E-4)</f>
        <v>0.0001019655814</v>
      </c>
      <c r="E988" s="2" t="str">
        <f>IFERROR(__xludf.DUMMYFUNCTION("""COMPUTED_VALUE"""),"      6.881")</f>
        <v>      6.881</v>
      </c>
    </row>
    <row r="989">
      <c r="A989" s="2" t="str">
        <f>IFERROR(__xludf.DUMMYFUNCTION("""COMPUTED_VALUE"""),"Militancia PT13")</f>
        <v>Militancia PT13</v>
      </c>
      <c r="B989" s="2" t="str">
        <f>IFERROR(__xludf.DUMMYFUNCTION("""COMPUTED_VALUE"""),"militanciapt13")</f>
        <v>militanciapt13</v>
      </c>
      <c r="C989" s="2" t="str">
        <f>IFERROR(__xludf.DUMMYFUNCTION("""COMPUTED_VALUE"""),"Coletivo de Petistas para defender as hashtags do Lula e do PT")</f>
        <v>Coletivo de Petistas para defender as hashtags do Lula e do PT</v>
      </c>
      <c r="D989" s="2">
        <f>IFERROR(__xludf.DUMMYFUNCTION("""COMPUTED_VALUE"""),1.0196558143098074E-4)</f>
        <v>0.0001019655814</v>
      </c>
      <c r="E989" s="2" t="str">
        <f>IFERROR(__xludf.DUMMYFUNCTION("""COMPUTED_VALUE"""),"      3.476")</f>
        <v>      3.476</v>
      </c>
    </row>
    <row r="990">
      <c r="A990" s="2" t="str">
        <f>IFERROR(__xludf.DUMMYFUNCTION("""COMPUTED_VALUE"""),"Moacir Haverroth")</f>
        <v>Moacir Haverroth</v>
      </c>
      <c r="B990" s="2" t="str">
        <f>IFERROR(__xludf.DUMMYFUNCTION("""COMPUTED_VALUE"""),"kotanh")</f>
        <v>kotanh</v>
      </c>
      <c r="C990" s="2" t="str">
        <f>IFERROR(__xludf.DUMMYFUNCTION("""COMPUTED_VALUE"""),"🚩Biólogo, M Sc Antropologia Social, D Sc Saúde Pública,  Fisioterapeuta. 🚩")</f>
        <v>🚩Biólogo, M Sc Antropologia Social, D Sc Saúde Pública,  Fisioterapeuta. 🚩</v>
      </c>
      <c r="D990" s="2">
        <f>IFERROR(__xludf.DUMMYFUNCTION("""COMPUTED_VALUE"""),1.0196558143098074E-4)</f>
        <v>0.0001019655814</v>
      </c>
      <c r="E990" s="2" t="str">
        <f>IFERROR(__xludf.DUMMYFUNCTION("""COMPUTED_VALUE"""),"      2.606")</f>
        <v>      2.606</v>
      </c>
    </row>
    <row r="991">
      <c r="A991" s="2" t="str">
        <f>IFERROR(__xludf.DUMMYFUNCTION("""COMPUTED_VALUE"""),"Jayson Keyby")</f>
        <v>Jayson Keyby</v>
      </c>
      <c r="B991" s="2" t="str">
        <f>IFERROR(__xludf.DUMMYFUNCTION("""COMPUTED_VALUE"""),"jaysonkeyby")</f>
        <v>jaysonkeyby</v>
      </c>
      <c r="C991" s="2" t="str">
        <f>IFERROR(__xludf.DUMMYFUNCTION("""COMPUTED_VALUE"""),"Advogado. Sudestino. Atleticano.Pai de Menina. Antifascista. @jaysonkeyby")</f>
        <v>Advogado. Sudestino. Atleticano.Pai de Menina. Antifascista. @jaysonkeyby</v>
      </c>
      <c r="D991" s="2">
        <f>IFERROR(__xludf.DUMMYFUNCTION("""COMPUTED_VALUE"""),1.0196558143098074E-4)</f>
        <v>0.0001019655814</v>
      </c>
      <c r="E991" s="2" t="str">
        <f>IFERROR(__xludf.DUMMYFUNCTION("""COMPUTED_VALUE"""),"      2.099")</f>
        <v>      2.099</v>
      </c>
    </row>
    <row r="992">
      <c r="A992" s="2" t="str">
        <f>IFERROR(__xludf.DUMMYFUNCTION("""COMPUTED_VALUE"""),"Gregori Rasputin")</f>
        <v>Gregori Rasputin</v>
      </c>
      <c r="B992" s="2" t="str">
        <f>IFERROR(__xludf.DUMMYFUNCTION("""COMPUTED_VALUE"""),"gregorirasputi5")</f>
        <v>gregorirasputi5</v>
      </c>
      <c r="C992" s="2" t="str">
        <f>IFERROR(__xludf.DUMMYFUNCTION("""COMPUTED_VALUE"""),"La utopía")</f>
        <v>La utopía</v>
      </c>
      <c r="D992" s="2">
        <f>IFERROR(__xludf.DUMMYFUNCTION("""COMPUTED_VALUE"""),1.0196558143098074E-4)</f>
        <v>0.0001019655814</v>
      </c>
      <c r="E992" s="2" t="str">
        <f>IFERROR(__xludf.DUMMYFUNCTION("""COMPUTED_VALUE"""),"      1.702")</f>
        <v>      1.702</v>
      </c>
    </row>
    <row r="993">
      <c r="A993" s="2" t="str">
        <f>IFERROR(__xludf.DUMMYFUNCTION("""COMPUTED_VALUE"""),"Silva Santana")</f>
        <v>Silva Santana</v>
      </c>
      <c r="B993" s="2" t="str">
        <f>IFERROR(__xludf.DUMMYFUNCTION("""COMPUTED_VALUE"""),"everson68bh")</f>
        <v>everson68bh</v>
      </c>
      <c r="C993" s="2" t="str">
        <f>IFERROR(__xludf.DUMMYFUNCTION("""COMPUTED_VALUE"""),"Trabalhador")</f>
        <v>Trabalhador</v>
      </c>
      <c r="D993" s="2">
        <f>IFERROR(__xludf.DUMMYFUNCTION("""COMPUTED_VALUE"""),1.0196558143098074E-4)</f>
        <v>0.0001019655814</v>
      </c>
      <c r="E993" s="2" t="str">
        <f>IFERROR(__xludf.DUMMYFUNCTION("""COMPUTED_VALUE"""),"      4.636")</f>
        <v>      4.636</v>
      </c>
    </row>
    <row r="994">
      <c r="A994" s="2" t="str">
        <f>IFERROR(__xludf.DUMMYFUNCTION("""COMPUTED_VALUE"""),"Trabalhadores, unívos.🚩🚩🚩")</f>
        <v>Trabalhadores, unívos.🚩🚩🚩</v>
      </c>
      <c r="B994" s="2" t="str">
        <f>IFERROR(__xludf.DUMMYFUNCTION("""COMPUTED_VALUE"""),"dosbetta")</f>
        <v>dosbetta</v>
      </c>
      <c r="C994" s="2" t="str">
        <f>IFERROR(__xludf.DUMMYFUNCTION("""COMPUTED_VALUE"""),"Estudante de serviço social e militante...
#Forabolsonaro
Casado e pai. Estudando Serviço social.")</f>
        <v>Estudante de serviço social e militante...
#Forabolsonaro
Casado e pai. Estudando Serviço social.</v>
      </c>
      <c r="D994" s="2">
        <f>IFERROR(__xludf.DUMMYFUNCTION("""COMPUTED_VALUE"""),1.0196558143098074E-4)</f>
        <v>0.0001019655814</v>
      </c>
      <c r="E994" s="2" t="str">
        <f>IFERROR(__xludf.DUMMYFUNCTION("""COMPUTED_VALUE"""),"      4.168")</f>
        <v>      4.168</v>
      </c>
    </row>
    <row r="995">
      <c r="A995" s="2" t="str">
        <f>IFERROR(__xludf.DUMMYFUNCTION("""COMPUTED_VALUE"""),"Fenix20")</f>
        <v>Fenix20</v>
      </c>
      <c r="B995" s="2" t="str">
        <f>IFERROR(__xludf.DUMMYFUNCTION("""COMPUTED_VALUE"""),"anandacajueiro")</f>
        <v>anandacajueiro</v>
      </c>
      <c r="C995" s="2" t="str">
        <f>IFERROR(__xludf.DUMMYFUNCTION("""COMPUTED_VALUE"""),"A vida é uma arte!🚩🚩   
🌼💖🌵
A arte de viver em harmonia♥️
fora do curral... À ESQUERDA🚩")</f>
        <v>A vida é uma arte!🚩🚩   
🌼💖🌵
A arte de viver em harmonia♥️
fora do curral... À ESQUERDA🚩</v>
      </c>
      <c r="D995" s="2">
        <f>IFERROR(__xludf.DUMMYFUNCTION("""COMPUTED_VALUE"""),1.0196558143098074E-4)</f>
        <v>0.0001019655814</v>
      </c>
      <c r="E995" s="2" t="str">
        <f>IFERROR(__xludf.DUMMYFUNCTION("""COMPUTED_VALUE"""),"      4.283")</f>
        <v>      4.283</v>
      </c>
    </row>
    <row r="996">
      <c r="A996" s="2" t="str">
        <f>IFERROR(__xludf.DUMMYFUNCTION("""COMPUTED_VALUE"""),"Lulista🚩✨")</f>
        <v>Lulista🚩✨</v>
      </c>
      <c r="B996" s="2" t="str">
        <f>IFERROR(__xludf.DUMMYFUNCTION("""COMPUTED_VALUE"""),"clulista")</f>
        <v>clulista</v>
      </c>
      <c r="C996" s="2" t="str">
        <f>IFERROR(__xludf.DUMMYFUNCTION("""COMPUTED_VALUE"""),"Filiada ao PT 🌟Vamos em frente, mas sempre à Esquerda! 💯Lula🚩 
#LulaEsperançaDoBrasil 🚩⭐ 2° conta🤜🤛")</f>
        <v>Filiada ao PT 🌟Vamos em frente, mas sempre à Esquerda! 💯Lula🚩 
#LulaEsperançaDoBrasil 🚩⭐ 2° conta🤜🤛</v>
      </c>
      <c r="D996" s="2">
        <f>IFERROR(__xludf.DUMMYFUNCTION("""COMPUTED_VALUE"""),1.0196558143098074E-4)</f>
        <v>0.0001019655814</v>
      </c>
      <c r="E996" s="2" t="str">
        <f>IFERROR(__xludf.DUMMYFUNCTION("""COMPUTED_VALUE"""),"      4.460")</f>
        <v>      4.460</v>
      </c>
    </row>
    <row r="997">
      <c r="A997" s="2" t="str">
        <f>IFERROR(__xludf.DUMMYFUNCTION("""COMPUTED_VALUE"""),"CleuzaC (conta reserva)")</f>
        <v>CleuzaC (conta reserva)</v>
      </c>
      <c r="B997" s="2" t="str">
        <f>IFERROR(__xludf.DUMMYFUNCTION("""COMPUTED_VALUE"""),"cleuzaturc")</f>
        <v>cleuzaturc</v>
      </c>
      <c r="C997" s="2" t="str">
        <f>IFERROR(__xludf.DUMMYFUNCTION("""COMPUTED_VALUE"""),"Sou Turismóloga, adoro viajar e conhecer novas culturas! O sucesso profissional é sonho, turismo a realização desse sonho!")</f>
        <v>Sou Turismóloga, adoro viajar e conhecer novas culturas! O sucesso profissional é sonho, turismo a realização desse sonho!</v>
      </c>
      <c r="D997" s="2">
        <f>IFERROR(__xludf.DUMMYFUNCTION("""COMPUTED_VALUE"""),1.0196558143098074E-4)</f>
        <v>0.0001019655814</v>
      </c>
      <c r="E997" s="2" t="str">
        <f>IFERROR(__xludf.DUMMYFUNCTION("""COMPUTED_VALUE"""),"      9.969")</f>
        <v>      9.969</v>
      </c>
    </row>
    <row r="998">
      <c r="A998" s="2" t="str">
        <f>IFERROR(__xludf.DUMMYFUNCTION("""COMPUTED_VALUE"""),"Celia de Moura")</f>
        <v>Celia de Moura</v>
      </c>
      <c r="B998" s="2" t="str">
        <f>IFERROR(__xludf.DUMMYFUNCTION("""COMPUTED_VALUE"""),"borgescm")</f>
        <v>borgescm</v>
      </c>
      <c r="C998" s="2" t="str">
        <f>IFERROR(__xludf.DUMMYFUNCTION("""COMPUTED_VALUE"""),"🚩arquiteta,Petista e Lulista desde 1989!Esquerda sempre!🇻🇳🇻🇳🇻🇳Fluminense de coração!")</f>
        <v>🚩arquiteta,Petista e Lulista desde 1989!Esquerda sempre!🇻🇳🇻🇳🇻🇳Fluminense de coração!</v>
      </c>
      <c r="D998" s="2">
        <f>IFERROR(__xludf.DUMMYFUNCTION("""COMPUTED_VALUE"""),1.0196558143098074E-4)</f>
        <v>0.0001019655814</v>
      </c>
      <c r="E998" s="2" t="str">
        <f>IFERROR(__xludf.DUMMYFUNCTION("""COMPUTED_VALUE"""),"     27.399")</f>
        <v>     27.399</v>
      </c>
    </row>
    <row r="999">
      <c r="A999" s="2" t="str">
        <f>IFERROR(__xludf.DUMMYFUNCTION("""COMPUTED_VALUE"""),"lizete maciel 🌻❤🌻🌻")</f>
        <v>lizete maciel 🌻❤🌻🌻</v>
      </c>
      <c r="B999" s="2" t="str">
        <f>IFERROR(__xludf.DUMMYFUNCTION("""COMPUTED_VALUE"""),"liz6macielgmai1")</f>
        <v>liz6macielgmai1</v>
      </c>
      <c r="C999" s="2" t="str">
        <f>IFERROR(__xludf.DUMMYFUNCTION("""COMPUTED_VALUE"""),"casada")</f>
        <v>casada</v>
      </c>
      <c r="D999" s="2">
        <f>IFERROR(__xludf.DUMMYFUNCTION("""COMPUTED_VALUE"""),1.0196558143098074E-4)</f>
        <v>0.0001019655814</v>
      </c>
      <c r="E999" s="2" t="str">
        <f>IFERROR(__xludf.DUMMYFUNCTION("""COMPUTED_VALUE"""),"      5.922")</f>
        <v>      5.922</v>
      </c>
    </row>
    <row r="1000">
      <c r="A1000" s="2" t="str">
        <f>IFERROR(__xludf.DUMMYFUNCTION("""COMPUTED_VALUE"""),"Suzete")</f>
        <v>Suzete</v>
      </c>
      <c r="B1000" s="2" t="str">
        <f>IFERROR(__xludf.DUMMYFUNCTION("""COMPUTED_VALUE"""),"suzetemendes12")</f>
        <v>suzetemendes12</v>
      </c>
      <c r="C1000" s="2"/>
      <c r="D1000" s="2">
        <f>IFERROR(__xludf.DUMMYFUNCTION("""COMPUTED_VALUE"""),1.0196558143098074E-4)</f>
        <v>0.0001019655814</v>
      </c>
      <c r="E1000" s="2" t="str">
        <f>IFERROR(__xludf.DUMMYFUNCTION("""COMPUTED_VALUE"""),"     11.275")</f>
        <v>     11.275</v>
      </c>
    </row>
    <row r="1001">
      <c r="A1001" s="2" t="str">
        <f>IFERROR(__xludf.DUMMYFUNCTION("""COMPUTED_VALUE"""),"Capitã Lulista 🔺️ ForaZema")</f>
        <v>Capitã Lulista 🔺️ ForaZema</v>
      </c>
      <c r="B1001" s="2" t="str">
        <f>IFERROR(__xludf.DUMMYFUNCTION("""COMPUTED_VALUE"""),"lacerdaeh")</f>
        <v>lacerdaeh</v>
      </c>
      <c r="C1001" s="2" t="str">
        <f>IFERROR(__xludf.DUMMYFUNCTION("""COMPUTED_VALUE"""),"Ex-coxinha 🚫
Lutemos por eleições sem fake news
Salve a Amazônia 🌳
Jogadora de gamão.")</f>
        <v>Ex-coxinha 🚫
Lutemos por eleições sem fake news
Salve a Amazônia 🌳
Jogadora de gamão.</v>
      </c>
      <c r="D1001" s="2">
        <f>IFERROR(__xludf.DUMMYFUNCTION("""COMPUTED_VALUE"""),1.0196558143098074E-4)</f>
        <v>0.0001019655814</v>
      </c>
      <c r="E1001" s="2" t="str">
        <f>IFERROR(__xludf.DUMMYFUNCTION("""COMPUTED_VALUE"""),"     13.941")</f>
        <v>     13.941</v>
      </c>
    </row>
    <row r="1002">
      <c r="A1002" s="2" t="str">
        <f>IFERROR(__xludf.DUMMYFUNCTION("""COMPUTED_VALUE"""),"ANTONIO AUGUSTO")</f>
        <v>ANTONIO AUGUSTO</v>
      </c>
      <c r="B1002" s="2" t="str">
        <f>IFERROR(__xludf.DUMMYFUNCTION("""COMPUTED_VALUE"""),"aaleono1aaleono")</f>
        <v>aaleono1aaleono</v>
      </c>
      <c r="C1002" s="2" t="str">
        <f>IFERROR(__xludf.DUMMYFUNCTION("""COMPUTED_VALUE"""),"2023🇧🇷 LULA 13🚩 Não Bato Tambor pra Golpista Dançar.")</f>
        <v>2023🇧🇷 LULA 13🚩 Não Bato Tambor pra Golpista Dançar.</v>
      </c>
      <c r="D1002" s="2">
        <f>IFERROR(__xludf.DUMMYFUNCTION("""COMPUTED_VALUE"""),1.0196558143098073E-4)</f>
        <v>0.0001019655814</v>
      </c>
      <c r="E1002" s="2" t="str">
        <f>IFERROR(__xludf.DUMMYFUNCTION("""COMPUTED_VALUE"""),"      8.325")</f>
        <v>      8.325</v>
      </c>
    </row>
    <row r="1003">
      <c r="A1003" s="2" t="str">
        <f>IFERROR(__xludf.DUMMYFUNCTION("""COMPUTED_VALUE"""),"Luiza 🇧🇷🇻🇳")</f>
        <v>Luiza 🇧🇷🇻🇳</v>
      </c>
      <c r="B1003" s="2" t="str">
        <f>IFERROR(__xludf.DUMMYFUNCTION("""COMPUTED_VALUE"""),"luzasilveira")</f>
        <v>luzasilveira</v>
      </c>
      <c r="C1003" s="2" t="str">
        <f>IFERROR(__xludf.DUMMYFUNCTION("""COMPUTED_VALUE"""),"Na tentativa de seguir o Senhor Jesus, descobri q sou esquerdista. Os golpistas me jogaram nos braços do PT. Sem mensagem direta, p favor.")</f>
        <v>Na tentativa de seguir o Senhor Jesus, descobri q sou esquerdista. Os golpistas me jogaram nos braços do PT. Sem mensagem direta, p favor.</v>
      </c>
      <c r="D1003" s="2">
        <f>IFERROR(__xludf.DUMMYFUNCTION("""COMPUTED_VALUE"""),1.0112292855685594E-4)</f>
        <v>0.0001011229286</v>
      </c>
      <c r="E1003" s="2" t="str">
        <f>IFERROR(__xludf.DUMMYFUNCTION("""COMPUTED_VALUE"""),"      6.539")</f>
        <v>      6.539</v>
      </c>
    </row>
    <row r="1004">
      <c r="A1004" s="2" t="str">
        <f>IFERROR(__xludf.DUMMYFUNCTION("""COMPUTED_VALUE"""),"Maria Cleunice🇧🇷🥘🍖🚘🏡🏥🧑‍🎓🙏♥️♥️")</f>
        <v>Maria Cleunice🇧🇷🥘🍖🚘🏡🏥🧑‍🎓🙏♥️♥️</v>
      </c>
      <c r="B1004" s="2" t="str">
        <f>IFERROR(__xludf.DUMMYFUNCTION("""COMPUTED_VALUE"""),"mariacleunice3")</f>
        <v>mariacleunice3</v>
      </c>
      <c r="C1004" s="2" t="str">
        <f>IFERROR(__xludf.DUMMYFUNCTION("""COMPUTED_VALUE"""),"Professora, de esquerda até o último fio de cabelo. Justiça social sim, sempre.")</f>
        <v>Professora, de esquerda até o último fio de cabelo. Justiça social sim, sempre.</v>
      </c>
      <c r="D1004" s="2">
        <f>IFERROR(__xludf.DUMMYFUNCTION("""COMPUTED_VALUE"""),1.0112292855685594E-4)</f>
        <v>0.0001011229286</v>
      </c>
      <c r="E1004" s="2" t="str">
        <f>IFERROR(__xludf.DUMMYFUNCTION("""COMPUTED_VALUE"""),"      4.569")</f>
        <v>      4.569</v>
      </c>
    </row>
    <row r="1005">
      <c r="A1005" s="2" t="str">
        <f>IFERROR(__xludf.DUMMYFUNCTION("""COMPUTED_VALUE"""),"CECILIA MEIRE PESCARA GOMES")</f>
        <v>CECILIA MEIRE PESCARA GOMES</v>
      </c>
      <c r="B1005" s="2" t="str">
        <f>IFERROR(__xludf.DUMMYFUNCTION("""COMPUTED_VALUE"""),"meirepescara")</f>
        <v>meirepescara</v>
      </c>
      <c r="C1005" s="2" t="str">
        <f>IFERROR(__xludf.DUMMYFUNCTION("""COMPUTED_VALUE"""),"“Democracia para sempre❣️”                                                      
     Presidente Luiz Inácio Lula da Silva")</f>
        <v>“Democracia para sempre❣️”                                                      
     Presidente Luiz Inácio Lula da Silva</v>
      </c>
      <c r="D1005" s="2">
        <f>IFERROR(__xludf.DUMMYFUNCTION("""COMPUTED_VALUE"""),1.0112292855685594E-4)</f>
        <v>0.0001011229286</v>
      </c>
      <c r="E1005" s="2" t="str">
        <f>IFERROR(__xludf.DUMMYFUNCTION("""COMPUTED_VALUE"""),"      5.626")</f>
        <v>      5.626</v>
      </c>
    </row>
    <row r="1006">
      <c r="A1006" s="2" t="str">
        <f>IFERROR(__xludf.DUMMYFUNCTION("""COMPUTED_VALUE"""),"MLucia")</f>
        <v>MLucia</v>
      </c>
      <c r="B1006" s="2" t="str">
        <f>IFERROR(__xludf.DUMMYFUNCTION("""COMPUTED_VALUE"""),"mlucia97596573")</f>
        <v>mlucia97596573</v>
      </c>
      <c r="C1006" s="2"/>
      <c r="D1006" s="2">
        <f>IFERROR(__xludf.DUMMYFUNCTION("""COMPUTED_VALUE"""),1.0112292855685594E-4)</f>
        <v>0.0001011229286</v>
      </c>
      <c r="E1006" s="2" t="str">
        <f>IFERROR(__xludf.DUMMYFUNCTION("""COMPUTED_VALUE"""),"      2.039")</f>
        <v>      2.039</v>
      </c>
    </row>
    <row r="1007">
      <c r="A1007" s="2" t="str">
        <f>IFERROR(__xludf.DUMMYFUNCTION("""COMPUTED_VALUE"""),"🚩🚩Nalu-Lula lá.🚩🚩")</f>
        <v>🚩🚩Nalu-Lula lá.🚩🚩</v>
      </c>
      <c r="B1007" s="2" t="str">
        <f>IFERROR(__xludf.DUMMYFUNCTION("""COMPUTED_VALUE"""),"nalu_nas")</f>
        <v>nalu_nas</v>
      </c>
      <c r="C1007" s="2" t="str">
        <f>IFERROR(__xludf.DUMMYFUNCTION("""COMPUTED_VALUE"""),"Esquerda! Petista, professora. Não gosto de Bolsominion,.")</f>
        <v>Esquerda! Petista, professora. Não gosto de Bolsominion,.</v>
      </c>
      <c r="D1007" s="2">
        <f>IFERROR(__xludf.DUMMYFUNCTION("""COMPUTED_VALUE"""),1.0112292855685594E-4)</f>
        <v>0.0001011229286</v>
      </c>
      <c r="E1007" s="2" t="str">
        <f>IFERROR(__xludf.DUMMYFUNCTION("""COMPUTED_VALUE"""),"     16.100")</f>
        <v>     16.100</v>
      </c>
    </row>
    <row r="1008">
      <c r="A1008" s="2" t="str">
        <f>IFERROR(__xludf.DUMMYFUNCTION("""COMPUTED_VALUE"""),"Nadia Prado Gomes")</f>
        <v>Nadia Prado Gomes</v>
      </c>
      <c r="B1008" s="2" t="str">
        <f>IFERROR(__xludf.DUMMYFUNCTION("""COMPUTED_VALUE"""),"nadiaprado7")</f>
        <v>nadiaprado7</v>
      </c>
      <c r="C1008" s="2"/>
      <c r="D1008" s="2">
        <f>IFERROR(__xludf.DUMMYFUNCTION("""COMPUTED_VALUE"""),1.0112292855685594E-4)</f>
        <v>0.0001011229286</v>
      </c>
      <c r="E1008" s="2" t="str">
        <f>IFERROR(__xludf.DUMMYFUNCTION("""COMPUTED_VALUE"""),"      9.074")</f>
        <v>      9.074</v>
      </c>
    </row>
    <row r="1009">
      <c r="A1009" s="2" t="str">
        <f>IFERROR(__xludf.DUMMYFUNCTION("""COMPUTED_VALUE"""),"Solange Mondaini🚩🚩")</f>
        <v>Solange Mondaini🚩🚩</v>
      </c>
      <c r="B1009" s="2" t="str">
        <f>IFERROR(__xludf.DUMMYFUNCTION("""COMPUTED_VALUE"""),"mondainisolange")</f>
        <v>mondainisolange</v>
      </c>
      <c r="C1009" s="2" t="str">
        <f>IFERROR(__xludf.DUMMYFUNCTION("""COMPUTED_VALUE"""),"Professora aposentada com mais de 40 anos de sala de aula no Munícipio do Rio de Janeiro.
Por um estado amplo e igualitário. Petista. Lulista. Dilmista.🚩🚩🚩🚩")</f>
        <v>Professora aposentada com mais de 40 anos de sala de aula no Munícipio do Rio de Janeiro.
Por um estado amplo e igualitário. Petista. Lulista. Dilmista.🚩🚩🚩🚩</v>
      </c>
      <c r="D1009" s="2">
        <f>IFERROR(__xludf.DUMMYFUNCTION("""COMPUTED_VALUE"""),1.0112292855685594E-4)</f>
        <v>0.0001011229286</v>
      </c>
      <c r="E1009" s="2" t="str">
        <f>IFERROR(__xludf.DUMMYFUNCTION("""COMPUTED_VALUE"""),"      6.272")</f>
        <v>      6.272</v>
      </c>
    </row>
    <row r="1010">
      <c r="A1010" s="2" t="str">
        <f>IFERROR(__xludf.DUMMYFUNCTION("""COMPUTED_VALUE"""),"W@gner 1️⃣3️⃣ LULA PRESIDENTE ELEITO !!!")</f>
        <v>W@gner 1️⃣3️⃣ LULA PRESIDENTE ELEITO !!!</v>
      </c>
      <c r="B1010" s="2" t="str">
        <f>IFERROR(__xludf.DUMMYFUNCTION("""COMPUTED_VALUE"""),"wagneramrj")</f>
        <v>wagneramrj</v>
      </c>
      <c r="C1010" s="2" t="str">
        <f>IFERROR(__xludf.DUMMYFUNCTION("""COMPUTED_VALUE"""),"Funcionário Público Federal /  Rubro-negro ⚫🔴 - Casado - ESQUERDISTA.🚩")</f>
        <v>Funcionário Público Federal /  Rubro-negro ⚫🔴 - Casado - ESQUERDISTA.🚩</v>
      </c>
      <c r="D1010" s="2">
        <f>IFERROR(__xludf.DUMMYFUNCTION("""COMPUTED_VALUE"""),1.0112292855685594E-4)</f>
        <v>0.0001011229286</v>
      </c>
      <c r="E1010" s="2" t="str">
        <f>IFERROR(__xludf.DUMMYFUNCTION("""COMPUTED_VALUE"""),"      8.243")</f>
        <v>      8.243</v>
      </c>
    </row>
    <row r="1011">
      <c r="A1011" s="2" t="str">
        <f>IFERROR(__xludf.DUMMYFUNCTION("""COMPUTED_VALUE"""),"Democracia Já 🚩🚩🚩")</f>
        <v>Democracia Já 🚩🚩🚩</v>
      </c>
      <c r="B1011" s="2" t="str">
        <f>IFERROR(__xludf.DUMMYFUNCTION("""COMPUTED_VALUE"""),"quizpipoca")</f>
        <v>quizpipoca</v>
      </c>
      <c r="C1011" s="2" t="str">
        <f>IFERROR(__xludf.DUMMYFUNCTION("""COMPUTED_VALUE"""),"Precisamos vencer a fome, a miséria e a exclusão social. Nossa guerra não é para matar ninguém - é para salvar vidas. Luiz Inácio Lula da Silva")</f>
        <v>Precisamos vencer a fome, a miséria e a exclusão social. Nossa guerra não é para matar ninguém - é para salvar vidas. Luiz Inácio Lula da Silva</v>
      </c>
      <c r="D1011" s="2">
        <f>IFERROR(__xludf.DUMMYFUNCTION("""COMPUTED_VALUE"""),1.0112292855685594E-4)</f>
        <v>0.0001011229286</v>
      </c>
      <c r="E1011" s="2" t="str">
        <f>IFERROR(__xludf.DUMMYFUNCTION("""COMPUTED_VALUE"""),"      9.681")</f>
        <v>      9.681</v>
      </c>
    </row>
    <row r="1012">
      <c r="A1012" s="2" t="str">
        <f>IFERROR(__xludf.DUMMYFUNCTION("""COMPUTED_VALUE"""),"PROF DJALMA GONÇALVES FERREIRA")</f>
        <v>PROF DJALMA GONÇALVES FERREIRA</v>
      </c>
      <c r="B1012" s="2" t="str">
        <f>IFERROR(__xludf.DUMMYFUNCTION("""COMPUTED_VALUE"""),"profdjferreira")</f>
        <v>profdjferreira</v>
      </c>
      <c r="C1012" s="2" t="str">
        <f>IFERROR(__xludf.DUMMYFUNCTION("""COMPUTED_VALUE"""),"PROFISSIONAL DA EDUCAÇÃO, PETISTA RADICAL, CORINTHIANO, AVÔ, CASADO, PARANAENSE, EVANGÉLICO. NÃO NECESSARIAMENTE NESSA ORDEM.")</f>
        <v>PROFISSIONAL DA EDUCAÇÃO, PETISTA RADICAL, CORINTHIANO, AVÔ, CASADO, PARANAENSE, EVANGÉLICO. NÃO NECESSARIAMENTE NESSA ORDEM.</v>
      </c>
      <c r="D1012" s="2">
        <f>IFERROR(__xludf.DUMMYFUNCTION("""COMPUTED_VALUE"""),1.0112292855685594E-4)</f>
        <v>0.0001011229286</v>
      </c>
      <c r="E1012" s="2" t="str">
        <f>IFERROR(__xludf.DUMMYFUNCTION("""COMPUTED_VALUE"""),"      9.529")</f>
        <v>      9.529</v>
      </c>
    </row>
    <row r="1013">
      <c r="A1013" s="2" t="str">
        <f>IFERROR(__xludf.DUMMYFUNCTION("""COMPUTED_VALUE"""),"🚩Praticamente Quase🚩")</f>
        <v>🚩Praticamente Quase🚩</v>
      </c>
      <c r="B1013" s="2" t="str">
        <f>IFERROR(__xludf.DUMMYFUNCTION("""COMPUTED_VALUE"""),"praticamenteq")</f>
        <v>praticamenteq</v>
      </c>
      <c r="C1013" s="2" t="str">
        <f>IFERROR(__xludf.DUMMYFUNCTION("""COMPUTED_VALUE"""),"Aspectamente quase bonito, cérebramente quase esperto, homéricamente quase perfeito, palhaçamente quase sério.")</f>
        <v>Aspectamente quase bonito, cérebramente quase esperto, homéricamente quase perfeito, palhaçamente quase sério.</v>
      </c>
      <c r="D1013" s="2">
        <f>IFERROR(__xludf.DUMMYFUNCTION("""COMPUTED_VALUE"""),1.0112292855685594E-4)</f>
        <v>0.0001011229286</v>
      </c>
      <c r="E1013" s="2" t="str">
        <f>IFERROR(__xludf.DUMMYFUNCTION("""COMPUTED_VALUE"""),"      3.514")</f>
        <v>      3.514</v>
      </c>
    </row>
    <row r="1014">
      <c r="A1014" s="2" t="str">
        <f>IFERROR(__xludf.DUMMYFUNCTION("""COMPUTED_VALUE"""),"🚩Jimena Pinheiro🚩")</f>
        <v>🚩Jimena Pinheiro🚩</v>
      </c>
      <c r="B1014" s="2" t="str">
        <f>IFERROR(__xludf.DUMMYFUNCTION("""COMPUTED_VALUE"""),"pinheirojimena")</f>
        <v>pinheirojimena</v>
      </c>
      <c r="C1014" s="2" t="str">
        <f>IFERROR(__xludf.DUMMYFUNCTION("""COMPUTED_VALUE"""),"Pai e Mãe com muito orgulho. 
Espírita Kardecista, Poetisa, Compositora,  Filiada ao  PT, de Alma e  Coração.  
AMOR, ESPERANÇA E UNIÃO. 🚩")</f>
        <v>Pai e Mãe com muito orgulho. 
Espírita Kardecista, Poetisa, Compositora,  Filiada ao  PT, de Alma e  Coração.  
AMOR, ESPERANÇA E UNIÃO. 🚩</v>
      </c>
      <c r="D1014" s="2">
        <f>IFERROR(__xludf.DUMMYFUNCTION("""COMPUTED_VALUE"""),1.0112292855685594E-4)</f>
        <v>0.0001011229286</v>
      </c>
      <c r="E1014" s="2" t="str">
        <f>IFERROR(__xludf.DUMMYFUNCTION("""COMPUTED_VALUE"""),"     27.246")</f>
        <v>     27.246</v>
      </c>
    </row>
    <row r="1015">
      <c r="A1015" s="2" t="str">
        <f>IFERROR(__xludf.DUMMYFUNCTION("""COMPUTED_VALUE"""),"Ildeu Pereira")</f>
        <v>Ildeu Pereira</v>
      </c>
      <c r="B1015" s="2" t="str">
        <f>IFERROR(__xludf.DUMMYFUNCTION("""COMPUTED_VALUE"""),"pereira_ildeu")</f>
        <v>pereira_ildeu</v>
      </c>
      <c r="C1015" s="2" t="str">
        <f>IFERROR(__xludf.DUMMYFUNCTION("""COMPUTED_VALUE"""),"Se não puder se destacar pelo Talento vença pelo esforço...Gestor esportivo... Presidente da OSC Liespe...Esporte Especializado... Projetos Sociais é aqui")</f>
        <v>Se não puder se destacar pelo Talento vença pelo esforço...Gestor esportivo... Presidente da OSC Liespe...Esporte Especializado... Projetos Sociais é aqui</v>
      </c>
      <c r="D1015" s="2">
        <f>IFERROR(__xludf.DUMMYFUNCTION("""COMPUTED_VALUE"""),1.0112292855685594E-4)</f>
        <v>0.0001011229286</v>
      </c>
      <c r="E1015" s="2" t="str">
        <f>IFERROR(__xludf.DUMMYFUNCTION("""COMPUTED_VALUE"""),"     15.093")</f>
        <v>     15.093</v>
      </c>
    </row>
    <row r="1016">
      <c r="A1016" s="2" t="str">
        <f>IFERROR(__xludf.DUMMYFUNCTION("""COMPUTED_VALUE"""),"Paulo Lima🚩🚩🚩")</f>
        <v>Paulo Lima🚩🚩🚩</v>
      </c>
      <c r="B1016" s="2" t="str">
        <f>IFERROR(__xludf.DUMMYFUNCTION("""COMPUTED_VALUE"""),"paulolimapro")</f>
        <v>paulolimapro</v>
      </c>
      <c r="C1016" s="2" t="str">
        <f>IFERROR(__xludf.DUMMYFUNCTION("""COMPUTED_VALUE"""),"#Esquerdista, e com uma mania de ter fé na vida @RedeLula🚩1️⃣3️⃣")</f>
        <v>#Esquerdista, e com uma mania de ter fé na vida @RedeLula🚩1️⃣3️⃣</v>
      </c>
      <c r="D1016" s="2">
        <f>IFERROR(__xludf.DUMMYFUNCTION("""COMPUTED_VALUE"""),1.0112292855685594E-4)</f>
        <v>0.0001011229286</v>
      </c>
      <c r="E1016" s="2" t="str">
        <f>IFERROR(__xludf.DUMMYFUNCTION("""COMPUTED_VALUE"""),"     11.891")</f>
        <v>     11.891</v>
      </c>
    </row>
    <row r="1017">
      <c r="A1017" s="2" t="str">
        <f>IFERROR(__xludf.DUMMYFUNCTION("""COMPUTED_VALUE"""),"❤❤Elly Pace❤️❤️")</f>
        <v>❤❤Elly Pace❤️❤️</v>
      </c>
      <c r="B1017" s="2" t="str">
        <f>IFERROR(__xludf.DUMMYFUNCTION("""COMPUTED_VALUE"""),"pace_ely")</f>
        <v>pace_ely</v>
      </c>
      <c r="C1017" s="2" t="str">
        <f>IFERROR(__xludf.DUMMYFUNCTION("""COMPUTED_VALUE"""),"A DEMOCRACIA VENCEU O ÓDIO. A VERDADE VENCEU A MENTIRA E JAIR JÁ ERA. 
LULA MELHOR PRESIDENTE🇧🇷🇧🇷🇧🇷🇧🇷🇧🇷🇧🇷🇧🇷🇧🇷🇧🇷🇧🇷🇧🇷🇧🇷")</f>
        <v>A DEMOCRACIA VENCEU O ÓDIO. A VERDADE VENCEU A MENTIRA E JAIR JÁ ERA. 
LULA MELHOR PRESIDENTE🇧🇷🇧🇷🇧🇷🇧🇷🇧🇷🇧🇷🇧🇷🇧🇷🇧🇷🇧🇷🇧🇷🇧🇷</v>
      </c>
      <c r="D1017" s="2">
        <f>IFERROR(__xludf.DUMMYFUNCTION("""COMPUTED_VALUE"""),1.0112292855685594E-4)</f>
        <v>0.0001011229286</v>
      </c>
      <c r="E1017" s="2" t="str">
        <f>IFERROR(__xludf.DUMMYFUNCTION("""COMPUTED_VALUE"""),"      2.142")</f>
        <v>      2.142</v>
      </c>
    </row>
    <row r="1018">
      <c r="A1018" s="2" t="str">
        <f>IFERROR(__xludf.DUMMYFUNCTION("""COMPUTED_VALUE"""),"Fabio Olivare")</f>
        <v>Fabio Olivare</v>
      </c>
      <c r="B1018" s="2" t="str">
        <f>IFERROR(__xludf.DUMMYFUNCTION("""COMPUTED_VALUE"""),"olivarefabi")</f>
        <v>olivarefabi</v>
      </c>
      <c r="C1018" s="2" t="str">
        <f>IFERROR(__xludf.DUMMYFUNCTION("""COMPUTED_VALUE"""),"Cristo foi oferta por mim. Hoje, 'a oferta sou eu'. 
      Signo de peixes,LGBTQIA, 😜👍Design de interiores e, livre pra vida... 💞😜👍😁")</f>
        <v>Cristo foi oferta por mim. Hoje, 'a oferta sou eu'. 
      Signo de peixes,LGBTQIA, 😜👍Design de interiores e, livre pra vida... 💞😜👍😁</v>
      </c>
      <c r="D1018" s="2">
        <f>IFERROR(__xludf.DUMMYFUNCTION("""COMPUTED_VALUE"""),1.0112292855685594E-4)</f>
        <v>0.0001011229286</v>
      </c>
      <c r="E1018" s="2" t="str">
        <f>IFERROR(__xludf.DUMMYFUNCTION("""COMPUTED_VALUE"""),"      4.517")</f>
        <v>      4.517</v>
      </c>
    </row>
    <row r="1019">
      <c r="A1019" s="2" t="str">
        <f>IFERROR(__xludf.DUMMYFUNCTION("""COMPUTED_VALUE"""),"O Observador")</f>
        <v>O Observador</v>
      </c>
      <c r="B1019" s="2" t="str">
        <f>IFERROR(__xludf.DUMMYFUNCTION("""COMPUTED_VALUE"""),"observ1972")</f>
        <v>observ1972</v>
      </c>
      <c r="C1019" s="2" t="str">
        <f>IFERROR(__xludf.DUMMYFUNCTION("""COMPUTED_VALUE"""),"BOLSONARO INELEGÍVEL 
GRANDE DIA! 👍🏻")</f>
        <v>BOLSONARO INELEGÍVEL 
GRANDE DIA! 👍🏻</v>
      </c>
      <c r="D1019" s="2">
        <f>IFERROR(__xludf.DUMMYFUNCTION("""COMPUTED_VALUE"""),1.0112292855685594E-4)</f>
        <v>0.0001011229286</v>
      </c>
      <c r="E1019" s="2" t="str">
        <f>IFERROR(__xludf.DUMMYFUNCTION("""COMPUTED_VALUE"""),"      2.538")</f>
        <v>      2.538</v>
      </c>
    </row>
    <row r="1020">
      <c r="A1020" s="2" t="str">
        <f>IFERROR(__xludf.DUMMYFUNCTION("""COMPUTED_VALUE"""),"Nilson Sanders ⚫🔴")</f>
        <v>Nilson Sanders ⚫🔴</v>
      </c>
      <c r="B1020" s="2" t="str">
        <f>IFERROR(__xludf.DUMMYFUNCTION("""COMPUTED_VALUE"""),"nsanders10")</f>
        <v>nsanders10</v>
      </c>
      <c r="C1020" s="2" t="str">
        <f>IFERROR(__xludf.DUMMYFUNCTION("""COMPUTED_VALUE"""),"Sou Cirurgião Dentista, insistente e Flamenguista # fora Bolsonaro # Lula 13")</f>
        <v>Sou Cirurgião Dentista, insistente e Flamenguista # fora Bolsonaro # Lula 13</v>
      </c>
      <c r="D1020" s="2">
        <f>IFERROR(__xludf.DUMMYFUNCTION("""COMPUTED_VALUE"""),1.0112292855685594E-4)</f>
        <v>0.0001011229286</v>
      </c>
      <c r="E1020" s="2" t="str">
        <f>IFERROR(__xludf.DUMMYFUNCTION("""COMPUTED_VALUE"""),"      4.938")</f>
        <v>      4.938</v>
      </c>
    </row>
    <row r="1021">
      <c r="A1021" s="2" t="str">
        <f>IFERROR(__xludf.DUMMYFUNCTION("""COMPUTED_VALUE"""),"@Ni🌻🦋💫")</f>
        <v>@Ni🌻🦋💫</v>
      </c>
      <c r="B1021" s="2" t="str">
        <f>IFERROR(__xludf.DUMMYFUNCTION("""COMPUTED_VALUE"""),"nicarineni")</f>
        <v>nicarineni</v>
      </c>
      <c r="C1021" s="2" t="str">
        <f>IFERROR(__xludf.DUMMYFUNCTION("""COMPUTED_VALUE"""),"Ninguém é igual a ninguém, todo ser humano é um estranho ímpar. 
Drummond 
#VaiCorinthians🦅🏴🏳️🖤🤍
#Taurina ♉
#Lula13🚩")</f>
        <v>Ninguém é igual a ninguém, todo ser humano é um estranho ímpar. 
Drummond 
#VaiCorinthians🦅🏴🏳️🖤🤍
#Taurina ♉
#Lula13🚩</v>
      </c>
      <c r="D1021" s="2">
        <f>IFERROR(__xludf.DUMMYFUNCTION("""COMPUTED_VALUE"""),1.0112292855685594E-4)</f>
        <v>0.0001011229286</v>
      </c>
      <c r="E1021" s="2" t="str">
        <f>IFERROR(__xludf.DUMMYFUNCTION("""COMPUTED_VALUE"""),"      2.582")</f>
        <v>      2.582</v>
      </c>
    </row>
    <row r="1022">
      <c r="A1022" s="2" t="str">
        <f>IFERROR(__xludf.DUMMYFUNCTION("""COMPUTED_VALUE"""),"Marcos 🚩🦑🚩")</f>
        <v>Marcos 🚩🦑🚩</v>
      </c>
      <c r="B1022" s="2" t="str">
        <f>IFERROR(__xludf.DUMMYFUNCTION("""COMPUTED_VALUE"""),"marcosolufon")</f>
        <v>marcosolufon</v>
      </c>
      <c r="C1022" s="2" t="str">
        <f>IFERROR(__xludf.DUMMYFUNCTION("""COMPUTED_VALUE"""),"Bacharel em Biomedicina
Licenciado em Ciências Biológicas 
Filho de Oxalufan (Babakekere)
Esquerda segue esquerda
Lula Presidente
         ❤️1️⃣3️⃣❤️")</f>
        <v>Bacharel em Biomedicina
Licenciado em Ciências Biológicas 
Filho de Oxalufan (Babakekere)
Esquerda segue esquerda
Lula Presidente
         ❤️1️⃣3️⃣❤️</v>
      </c>
      <c r="D1022" s="2">
        <f>IFERROR(__xludf.DUMMYFUNCTION("""COMPUTED_VALUE"""),1.0112292855685594E-4)</f>
        <v>0.0001011229286</v>
      </c>
      <c r="E1022" s="2" t="str">
        <f>IFERROR(__xludf.DUMMYFUNCTION("""COMPUTED_VALUE"""),"     20.144")</f>
        <v>     20.144</v>
      </c>
    </row>
    <row r="1023">
      <c r="A1023" s="2" t="str">
        <f>IFERROR(__xludf.DUMMYFUNCTION("""COMPUTED_VALUE"""),"marcelus M Braga")</f>
        <v>marcelus M Braga</v>
      </c>
      <c r="B1023" s="2" t="str">
        <f>IFERROR(__xludf.DUMMYFUNCTION("""COMPUTED_VALUE"""),"marcelusbraga7")</f>
        <v>marcelusbraga7</v>
      </c>
      <c r="C1023" s="2" t="str">
        <f>IFERROR(__xludf.DUMMYFUNCTION("""COMPUTED_VALUE"""),"sempre a esquerda! comunista!")</f>
        <v>sempre a esquerda! comunista!</v>
      </c>
      <c r="D1023" s="2">
        <f>IFERROR(__xludf.DUMMYFUNCTION("""COMPUTED_VALUE"""),1.0112292855685594E-4)</f>
        <v>0.0001011229286</v>
      </c>
      <c r="E1023" s="2" t="str">
        <f>IFERROR(__xludf.DUMMYFUNCTION("""COMPUTED_VALUE"""),"      1.883")</f>
        <v>      1.883</v>
      </c>
    </row>
    <row r="1024">
      <c r="A1024" s="2" t="str">
        <f>IFERROR(__xludf.DUMMYFUNCTION("""COMPUTED_VALUE"""),"Marcelle - Gata de Pantufas")</f>
        <v>Marcelle - Gata de Pantufas</v>
      </c>
      <c r="B1024" s="2" t="str">
        <f>IFERROR(__xludf.DUMMYFUNCTION("""COMPUTED_VALUE"""),"marcellerenata2")</f>
        <v>marcellerenata2</v>
      </c>
      <c r="C1024" s="2" t="str">
        <f>IFERROR(__xludf.DUMMYFUNCTION("""COMPUTED_VALUE"""),"Sou portadora de TDI. Dá um Google para tentar entender melhor o meu Transtorno. Marcelle (EU) sou uma das Identidades.
Sem DM.")</f>
        <v>Sou portadora de TDI. Dá um Google para tentar entender melhor o meu Transtorno. Marcelle (EU) sou uma das Identidades.
Sem DM.</v>
      </c>
      <c r="D1024" s="2">
        <f>IFERROR(__xludf.DUMMYFUNCTION("""COMPUTED_VALUE"""),1.0112292855685594E-4)</f>
        <v>0.0001011229286</v>
      </c>
      <c r="E1024" s="2" t="str">
        <f>IFERROR(__xludf.DUMMYFUNCTION("""COMPUTED_VALUE"""),"     10.557")</f>
        <v>     10.557</v>
      </c>
    </row>
    <row r="1025">
      <c r="A1025" s="2" t="str">
        <f>IFERROR(__xludf.DUMMYFUNCTION("""COMPUTED_VALUE"""),"MagnoCarlos🚩🚩🚩")</f>
        <v>MagnoCarlos🚩🚩🚩</v>
      </c>
      <c r="B1025" s="2" t="str">
        <f>IFERROR(__xludf.DUMMYFUNCTION("""COMPUTED_VALUE"""),"magnocarlos_bfr")</f>
        <v>magnocarlos_bfr</v>
      </c>
      <c r="C1025" s="2" t="str">
        <f>IFERROR(__xludf.DUMMYFUNCTION("""COMPUTED_VALUE"""),"Meu sangue é VERMELHO! Bombeado pelo lado ESQUERDO do peito! Sou guiado pelas estrelas!!!")</f>
        <v>Meu sangue é VERMELHO! Bombeado pelo lado ESQUERDO do peito! Sou guiado pelas estrelas!!!</v>
      </c>
      <c r="D1025" s="2">
        <f>IFERROR(__xludf.DUMMYFUNCTION("""COMPUTED_VALUE"""),1.0112292855685594E-4)</f>
        <v>0.0001011229286</v>
      </c>
      <c r="E1025" s="2" t="str">
        <f>IFERROR(__xludf.DUMMYFUNCTION("""COMPUTED_VALUE"""),"      3.994")</f>
        <v>      3.994</v>
      </c>
    </row>
    <row r="1026">
      <c r="A1026" s="2" t="str">
        <f>IFERROR(__xludf.DUMMYFUNCTION("""COMPUTED_VALUE"""),"@lula1313")</f>
        <v>@lula1313</v>
      </c>
      <c r="B1026" s="2" t="str">
        <f>IFERROR(__xludf.DUMMYFUNCTION("""COMPUTED_VALUE"""),"lula13133")</f>
        <v>lula13133</v>
      </c>
      <c r="C1026" s="2" t="str">
        <f>IFERROR(__xludf.DUMMYFUNCTION("""COMPUTED_VALUE"""),"#LulaLivre")</f>
        <v>#LulaLivre</v>
      </c>
      <c r="D1026" s="2">
        <f>IFERROR(__xludf.DUMMYFUNCTION("""COMPUTED_VALUE"""),1.0112292855685594E-4)</f>
        <v>0.0001011229286</v>
      </c>
      <c r="E1026" s="2" t="str">
        <f>IFERROR(__xludf.DUMMYFUNCTION("""COMPUTED_VALUE"""),"     12.280")</f>
        <v>     12.280</v>
      </c>
    </row>
    <row r="1027">
      <c r="A1027" s="2" t="str">
        <f>IFERROR(__xludf.DUMMYFUNCTION("""COMPUTED_VALUE"""),"Luiz Lemos")</f>
        <v>Luiz Lemos</v>
      </c>
      <c r="B1027" s="2" t="str">
        <f>IFERROR(__xludf.DUMMYFUNCTION("""COMPUTED_VALUE"""),"luizlem34195627")</f>
        <v>luizlem34195627</v>
      </c>
      <c r="C1027" s="2" t="str">
        <f>IFERROR(__xludf.DUMMYFUNCTION("""COMPUTED_VALUE"""),"Botafoguense dia e noite. PT na cabeça.")</f>
        <v>Botafoguense dia e noite. PT na cabeça.</v>
      </c>
      <c r="D1027" s="2">
        <f>IFERROR(__xludf.DUMMYFUNCTION("""COMPUTED_VALUE"""),1.0112292855685594E-4)</f>
        <v>0.0001011229286</v>
      </c>
      <c r="E1027" s="2" t="str">
        <f>IFERROR(__xludf.DUMMYFUNCTION("""COMPUTED_VALUE"""),"      4.951")</f>
        <v>      4.951</v>
      </c>
    </row>
    <row r="1028">
      <c r="A1028" s="2" t="str">
        <f>IFERROR(__xludf.DUMMYFUNCTION("""COMPUTED_VALUE"""),"Luiz Cunha")</f>
        <v>Luiz Cunha</v>
      </c>
      <c r="B1028" s="2" t="str">
        <f>IFERROR(__xludf.DUMMYFUNCTION("""COMPUTED_VALUE"""),"luizcunhao")</f>
        <v>luizcunhao</v>
      </c>
      <c r="C1028" s="2" t="str">
        <f>IFERROR(__xludf.DUMMYFUNCTION("""COMPUTED_VALUE"""),"Pernambucano torcedor do NÁUTICO de coração. Sou filho de DEUS irmão de JESUS. Será que sou fraco?")</f>
        <v>Pernambucano torcedor do NÁUTICO de coração. Sou filho de DEUS irmão de JESUS. Será que sou fraco?</v>
      </c>
      <c r="D1028" s="2">
        <f>IFERROR(__xludf.DUMMYFUNCTION("""COMPUTED_VALUE"""),1.0112292855685594E-4)</f>
        <v>0.0001011229286</v>
      </c>
      <c r="E1028" s="2" t="str">
        <f>IFERROR(__xludf.DUMMYFUNCTION("""COMPUTED_VALUE"""),"      2.970")</f>
        <v>      2.970</v>
      </c>
    </row>
    <row r="1029">
      <c r="A1029" s="2" t="str">
        <f>IFERROR(__xludf.DUMMYFUNCTION("""COMPUTED_VALUE"""),"Luis Carlos Santos 🚩🚩🚩")</f>
        <v>Luis Carlos Santos 🚩🚩🚩</v>
      </c>
      <c r="B1029" s="2" t="str">
        <f>IFERROR(__xludf.DUMMYFUNCTION("""COMPUTED_VALUE"""),"luiscar02706435")</f>
        <v>luiscar02706435</v>
      </c>
      <c r="C1029" s="2" t="str">
        <f>IFERROR(__xludf.DUMMYFUNCTION("""COMPUTED_VALUE"""),"Socialista e revoltado.
Bolsonarismo  Mata")</f>
        <v>Socialista e revoltado.
Bolsonarismo  Mata</v>
      </c>
      <c r="D1029" s="2">
        <f>IFERROR(__xludf.DUMMYFUNCTION("""COMPUTED_VALUE"""),1.0112292855685594E-4)</f>
        <v>0.0001011229286</v>
      </c>
      <c r="E1029" s="2" t="str">
        <f>IFERROR(__xludf.DUMMYFUNCTION("""COMPUTED_VALUE"""),"      6.457")</f>
        <v>      6.457</v>
      </c>
    </row>
    <row r="1030">
      <c r="A1030" s="2" t="str">
        <f>IFERROR(__xludf.DUMMYFUNCTION("""COMPUTED_VALUE"""),"Lora🇧🇷⭐️🚩")</f>
        <v>Lora🇧🇷⭐️🚩</v>
      </c>
      <c r="B1030" s="2" t="str">
        <f>IFERROR(__xludf.DUMMYFUNCTION("""COMPUTED_VALUE"""),"lora94353574")</f>
        <v>lora94353574</v>
      </c>
      <c r="C1030" s="2" t="str">
        <f>IFERROR(__xludf.DUMMYFUNCTION("""COMPUTED_VALUE"""),"A humildade trás sentido a vida !
Sou lulista , sou petista e esquerdista roxa de vermelho !")</f>
        <v>A humildade trás sentido a vida !
Sou lulista , sou petista e esquerdista roxa de vermelho !</v>
      </c>
      <c r="D1030" s="2">
        <f>IFERROR(__xludf.DUMMYFUNCTION("""COMPUTED_VALUE"""),1.0112292855685594E-4)</f>
        <v>0.0001011229286</v>
      </c>
      <c r="E1030" s="2" t="str">
        <f>IFERROR(__xludf.DUMMYFUNCTION("""COMPUTED_VALUE"""),"     10.923")</f>
        <v>     10.923</v>
      </c>
    </row>
    <row r="1031">
      <c r="A1031" s="2" t="str">
        <f>IFERROR(__xludf.DUMMYFUNCTION("""COMPUTED_VALUE"""),"Marcos🚩1️⃣3️⃣ #vamosjuntospelobrasil")</f>
        <v>Marcos🚩1️⃣3️⃣ #vamosjuntospelobrasil</v>
      </c>
      <c r="B1031" s="2" t="str">
        <f>IFERROR(__xludf.DUMMYFUNCTION("""COMPUTED_VALUE"""),"maxxterramaxx")</f>
        <v>maxxterramaxx</v>
      </c>
      <c r="C1031" s="2" t="str">
        <f>IFERROR(__xludf.DUMMYFUNCTION("""COMPUTED_VALUE"""),"1.85 Moreno, Químico🌟-Engenheiro e Construtor civil🏛  -agricultor 🍓Catolico 🏠 Umbandista🕍🗽
#LulaPresidente1️⃣3️⃣
PT desde 19881️⃣3️⃣🚩🚩🚩
Cut -Sindicato")</f>
        <v>1.85 Moreno, Químico🌟-Engenheiro e Construtor civil🏛  -agricultor 🍓Catolico 🏠 Umbandista🕍🗽
#LulaPresidente1️⃣3️⃣
PT desde 19881️⃣3️⃣🚩🚩🚩
Cut -Sindicato</v>
      </c>
      <c r="D1031" s="2">
        <f>IFERROR(__xludf.DUMMYFUNCTION("""COMPUTED_VALUE"""),1.0112292855685594E-4)</f>
        <v>0.0001011229286</v>
      </c>
      <c r="E1031" s="2" t="str">
        <f>IFERROR(__xludf.DUMMYFUNCTION("""COMPUTED_VALUE"""),"      7.335")</f>
        <v>      7.335</v>
      </c>
    </row>
    <row r="1032">
      <c r="A1032" s="2" t="str">
        <f>IFERROR(__xludf.DUMMYFUNCTION("""COMPUTED_VALUE"""),"Luciana de Matos Rudi🚩")</f>
        <v>Luciana de Matos Rudi🚩</v>
      </c>
      <c r="B1032" s="2" t="str">
        <f>IFERROR(__xludf.DUMMYFUNCTION("""COMPUTED_VALUE"""),"matosrudi")</f>
        <v>matosrudi</v>
      </c>
      <c r="C1032" s="2" t="str">
        <f>IFERROR(__xludf.DUMMYFUNCTION("""COMPUTED_VALUE"""),"Antropóloga, feminista, dona de casa, corinthiana, mãe, filha, esposa, petista e inventora...invento cada uma! Agora inventei de ser dotôra !")</f>
        <v>Antropóloga, feminista, dona de casa, corinthiana, mãe, filha, esposa, petista e inventora...invento cada uma! Agora inventei de ser dotôra !</v>
      </c>
      <c r="D1032" s="2">
        <f>IFERROR(__xludf.DUMMYFUNCTION("""COMPUTED_VALUE"""),1.0112292855685594E-4)</f>
        <v>0.0001011229286</v>
      </c>
      <c r="E1032" s="2" t="str">
        <f>IFERROR(__xludf.DUMMYFUNCTION("""COMPUTED_VALUE"""),"      2.782")</f>
        <v>      2.782</v>
      </c>
    </row>
    <row r="1033">
      <c r="A1033" s="2" t="str">
        <f>IFERROR(__xludf.DUMMYFUNCTION("""COMPUTED_VALUE"""),"MariLULA - Chavista - Socialista Bolivariana")</f>
        <v>MariLULA - Chavista - Socialista Bolivariana</v>
      </c>
      <c r="B1033" s="2" t="str">
        <f>IFERROR(__xludf.DUMMYFUNCTION("""COMPUTED_VALUE"""),"marivonelula")</f>
        <v>marivonelula</v>
      </c>
      <c r="C1033" s="2" t="str">
        <f>IFERROR(__xludf.DUMMYFUNCTION("""COMPUTED_VALUE"""),"SOCIALISMO BOLIVARIANO 😍 POLITICAMENTE CORRETA * #LulistaSegueLulista  😎#EntreChavistasNosSeguimos 👩‍🏫  A UNIÃO É A NOSSA FORÇA 🌹🧘‍♀️🎼📚💅🚩 🦉👼💃🌻🐕🌴")</f>
        <v>SOCIALISMO BOLIVARIANO 😍 POLITICAMENTE CORRETA * #LulistaSegueLulista  😎#EntreChavistasNosSeguimos 👩‍🏫  A UNIÃO É A NOSSA FORÇA 🌹🧘‍♀️🎼📚💅🚩 🦉👼💃🌻🐕🌴</v>
      </c>
      <c r="D1033" s="2">
        <f>IFERROR(__xludf.DUMMYFUNCTION("""COMPUTED_VALUE"""),1.0112292855685594E-4)</f>
        <v>0.0001011229286</v>
      </c>
      <c r="E1033" s="2" t="str">
        <f>IFERROR(__xludf.DUMMYFUNCTION("""COMPUTED_VALUE"""),"     29.233")</f>
        <v>     29.233</v>
      </c>
    </row>
    <row r="1034">
      <c r="A1034" s="2" t="str">
        <f>IFERROR(__xludf.DUMMYFUNCTION("""COMPUTED_VALUE"""),"Instagram @NinaMoyses Marina Moyses")</f>
        <v>Instagram @NinaMoyses Marina Moyses</v>
      </c>
      <c r="B1034" s="2" t="str">
        <f>IFERROR(__xludf.DUMMYFUNCTION("""COMPUTED_VALUE"""),"marinamoyses3")</f>
        <v>marinamoyses3</v>
      </c>
      <c r="C1034" s="2" t="str">
        <f>IFERROR(__xludf.DUMMYFUNCTION("""COMPUTED_VALUE"""),"Primeira conta @NinaMoyses suspensa por denúncias de bolsominions!! 
AQUI É #Lula2022 ⭐🚩")</f>
        <v>Primeira conta @NinaMoyses suspensa por denúncias de bolsominions!! 
AQUI É #Lula2022 ⭐🚩</v>
      </c>
      <c r="D1034" s="2">
        <f>IFERROR(__xludf.DUMMYFUNCTION("""COMPUTED_VALUE"""),1.0112292855685594E-4)</f>
        <v>0.0001011229286</v>
      </c>
      <c r="E1034" s="2" t="str">
        <f>IFERROR(__xludf.DUMMYFUNCTION("""COMPUTED_VALUE"""),"      2.283")</f>
        <v>      2.283</v>
      </c>
    </row>
    <row r="1035">
      <c r="A1035" s="2" t="str">
        <f>IFERROR(__xludf.DUMMYFUNCTION("""COMPUTED_VALUE"""),"Marinalda Silva")</f>
        <v>Marinalda Silva</v>
      </c>
      <c r="B1035" s="2" t="str">
        <f>IFERROR(__xludf.DUMMYFUNCTION("""COMPUTED_VALUE"""),"marinalda62")</f>
        <v>marinalda62</v>
      </c>
      <c r="C1035" s="2" t="str">
        <f>IFERROR(__xludf.DUMMYFUNCTION("""COMPUTED_VALUE"""),"Mulher ,negra,petista,mãe,
vó de 3,petista c/
 paixão p/vida.
política,atuação econ.solidária/ed.popular e comitê de luta.
 ❤ poesia e 
🎶.")</f>
        <v>Mulher ,negra,petista,mãe,
vó de 3,petista c/
 paixão p/vida.
política,atuação econ.solidária/ed.popular e comitê de luta.
 ❤ poesia e 
🎶.</v>
      </c>
      <c r="D1035" s="2">
        <f>IFERROR(__xludf.DUMMYFUNCTION("""COMPUTED_VALUE"""),1.0112292855685594E-4)</f>
        <v>0.0001011229286</v>
      </c>
      <c r="E1035" s="2" t="str">
        <f>IFERROR(__xludf.DUMMYFUNCTION("""COMPUTED_VALUE"""),"      2.436")</f>
        <v>      2.436</v>
      </c>
    </row>
    <row r="1036">
      <c r="A1036" s="2" t="str">
        <f>IFERROR(__xludf.DUMMYFUNCTION("""COMPUTED_VALUE"""),"Maria Eudalia Saldanha")</f>
        <v>Maria Eudalia Saldanha</v>
      </c>
      <c r="B1036" s="2" t="str">
        <f>IFERROR(__xludf.DUMMYFUNCTION("""COMPUTED_VALUE"""),"mariaeudaliasa2")</f>
        <v>mariaeudaliasa2</v>
      </c>
      <c r="C1036" s="2" t="str">
        <f>IFERROR(__xludf.DUMMYFUNCTION("""COMPUTED_VALUE"""),"Conhecer o ser humano na sua essência,buscando o que vai verdadeiramente no coração.PTista desde a fundação do partido.")</f>
        <v>Conhecer o ser humano na sua essência,buscando o que vai verdadeiramente no coração.PTista desde a fundação do partido.</v>
      </c>
      <c r="D1036" s="2">
        <f>IFERROR(__xludf.DUMMYFUNCTION("""COMPUTED_VALUE"""),1.0112292855685594E-4)</f>
        <v>0.0001011229286</v>
      </c>
      <c r="E1036" s="2" t="str">
        <f>IFERROR(__xludf.DUMMYFUNCTION("""COMPUTED_VALUE"""),"      4.360")</f>
        <v>      4.360</v>
      </c>
    </row>
    <row r="1037">
      <c r="A1037" s="2" t="str">
        <f>IFERROR(__xludf.DUMMYFUNCTION("""COMPUTED_VALUE"""),"Maria do Carmo Ativista em Direitos Humanos")</f>
        <v>Maria do Carmo Ativista em Direitos Humanos</v>
      </c>
      <c r="B1037" s="2" t="str">
        <f>IFERROR(__xludf.DUMMYFUNCTION("""COMPUTED_VALUE"""),"mariado97734767")</f>
        <v>mariado97734767</v>
      </c>
      <c r="C1037" s="2" t="str">
        <f>IFERROR(__xludf.DUMMYFUNCTION("""COMPUTED_VALUE"""),"Ativista, Psicóloga, Historiadora e Doutora em Educação")</f>
        <v>Ativista, Psicóloga, Historiadora e Doutora em Educação</v>
      </c>
      <c r="D1037" s="2">
        <f>IFERROR(__xludf.DUMMYFUNCTION("""COMPUTED_VALUE"""),1.0112292855685594E-4)</f>
        <v>0.0001011229286</v>
      </c>
      <c r="E1037" s="2" t="str">
        <f>IFERROR(__xludf.DUMMYFUNCTION("""COMPUTED_VALUE"""),"     34.561")</f>
        <v>     34.561</v>
      </c>
    </row>
    <row r="1038">
      <c r="A1038" s="2" t="str">
        <f>IFERROR(__xludf.DUMMYFUNCTION("""COMPUTED_VALUE"""),"Brasil Livre")</f>
        <v>Brasil Livre</v>
      </c>
      <c r="B1038" s="2" t="str">
        <f>IFERROR(__xludf.DUMMYFUNCTION("""COMPUTED_VALUE"""),"brasillivre20")</f>
        <v>brasillivre20</v>
      </c>
      <c r="C1038" s="2" t="str">
        <f>IFERROR(__xludf.DUMMYFUNCTION("""COMPUTED_VALUE"""),"“O que me preocupa não é o grito dos maus. É o silêncio dos bons”")</f>
        <v>“O que me preocupa não é o grito dos maus. É o silêncio dos bons”</v>
      </c>
      <c r="D1038" s="2">
        <f>IFERROR(__xludf.DUMMYFUNCTION("""COMPUTED_VALUE"""),1.0028027568273114E-4)</f>
        <v>0.0001002802757</v>
      </c>
      <c r="E1038" s="2" t="str">
        <f>IFERROR(__xludf.DUMMYFUNCTION("""COMPUTED_VALUE"""),"     29.056")</f>
        <v>     29.056</v>
      </c>
    </row>
    <row r="1039">
      <c r="A1039" s="2" t="str">
        <f>IFERROR(__xludf.DUMMYFUNCTION("""COMPUTED_VALUE"""),"Leila 🇧🇷🚩⭐")</f>
        <v>Leila 🇧🇷🚩⭐</v>
      </c>
      <c r="B1039" s="2" t="str">
        <f>IFERROR(__xludf.DUMMYFUNCTION("""COMPUTED_VALUE"""),"leila_durja")</f>
        <v>leila_durja</v>
      </c>
      <c r="C1039" s="2" t="str">
        <f>IFERROR(__xludf.DUMMYFUNCTION("""COMPUTED_VALUE"""),"🚨 ATENÇÃO!! Não olho DM. 😉
Petrifies goni!
Bostanaristas não tem vez aqui! Passe reto!")</f>
        <v>🚨 ATENÇÃO!! Não olho DM. 😉
Petrifies goni!
Bostanaristas não tem vez aqui! Passe reto!</v>
      </c>
      <c r="D1039" s="2">
        <f>IFERROR(__xludf.DUMMYFUNCTION("""COMPUTED_VALUE"""),1.0028027568273114E-4)</f>
        <v>0.0001002802757</v>
      </c>
      <c r="E1039" s="2" t="str">
        <f>IFERROR(__xludf.DUMMYFUNCTION("""COMPUTED_VALUE"""),"      4.061")</f>
        <v>      4.061</v>
      </c>
    </row>
    <row r="1040">
      <c r="A1040" s="2" t="str">
        <f>IFERROR(__xludf.DUMMYFUNCTION("""COMPUTED_VALUE"""),"Lucas Valdes")</f>
        <v>Lucas Valdes</v>
      </c>
      <c r="B1040" s="2" t="str">
        <f>IFERROR(__xludf.DUMMYFUNCTION("""COMPUTED_VALUE"""),"lucasva1976")</f>
        <v>lucasva1976</v>
      </c>
      <c r="C1040" s="2" t="str">
        <f>IFERROR(__xludf.DUMMYFUNCTION("""COMPUTED_VALUE"""),"Soy revolucionario hasta el fin de mis días.")</f>
        <v>Soy revolucionario hasta el fin de mis días.</v>
      </c>
      <c r="D1040" s="2">
        <f>IFERROR(__xludf.DUMMYFUNCTION("""COMPUTED_VALUE"""),1.0028027568273113E-4)</f>
        <v>0.0001002802757</v>
      </c>
      <c r="E1040" s="2" t="str">
        <f>IFERROR(__xludf.DUMMYFUNCTION("""COMPUTED_VALUE"""),"      5.885")</f>
        <v>      5.885</v>
      </c>
    </row>
    <row r="1041">
      <c r="A1041" s="2" t="str">
        <f>IFERROR(__xludf.DUMMYFUNCTION("""COMPUTED_VALUE"""),"💯 % PATRIOTA🇧🇷 ⚖ BRASIL////🇧🇷")</f>
        <v>💯 % PATRIOTA🇧🇷 ⚖ BRASIL////🇧🇷</v>
      </c>
      <c r="B1041" s="2" t="str">
        <f>IFERROR(__xludf.DUMMYFUNCTION("""COMPUTED_VALUE"""),"sergio15631724")</f>
        <v>sergio15631724</v>
      </c>
      <c r="C1041" s="2" t="str">
        <f>IFERROR(__xludf.DUMMYFUNCTION("""COMPUTED_VALUE"""),"BRASIL ACIMA DE TUDO
DEUS ACIMA DE TODOS")</f>
        <v>BRASIL ACIMA DE TUDO
DEUS ACIMA DE TODOS</v>
      </c>
      <c r="D1041" s="2">
        <f>IFERROR(__xludf.DUMMYFUNCTION("""COMPUTED_VALUE"""),1.0028027568273113E-4)</f>
        <v>0.0001002802757</v>
      </c>
      <c r="E1041" s="2" t="str">
        <f>IFERROR(__xludf.DUMMYFUNCTION("""COMPUTED_VALUE"""),"      3.369")</f>
        <v>      3.369</v>
      </c>
    </row>
    <row r="1042">
      <c r="A1042" s="2" t="str">
        <f>IFERROR(__xludf.DUMMYFUNCTION("""COMPUTED_VALUE"""),"Maria de Lourdes Alves da Silva")</f>
        <v>Maria de Lourdes Alves da Silva</v>
      </c>
      <c r="B1042" s="2" t="str">
        <f>IFERROR(__xludf.DUMMYFUNCTION("""COMPUTED_VALUE"""),"mariade22366064")</f>
        <v>mariade22366064</v>
      </c>
      <c r="C1042" s="2" t="str">
        <f>IFERROR(__xludf.DUMMYFUNCTION("""COMPUTED_VALUE"""),"frase nunca jamais diga que você não é nada nesse mundo e sim o mundo é muito pequenininho para você fica a dica sempre")</f>
        <v>frase nunca jamais diga que você não é nada nesse mundo e sim o mundo é muito pequenininho para você fica a dica sempre</v>
      </c>
      <c r="D1042" s="2">
        <f>IFERROR(__xludf.DUMMYFUNCTION("""COMPUTED_VALUE"""),1.0028027568273113E-4)</f>
        <v>0.0001002802757</v>
      </c>
      <c r="E1042" s="2" t="str">
        <f>IFERROR(__xludf.DUMMYFUNCTION("""COMPUTED_VALUE"""),"      9.903")</f>
        <v>      9.903</v>
      </c>
    </row>
    <row r="1043">
      <c r="A1043" s="2" t="str">
        <f>IFERROR(__xludf.DUMMYFUNCTION("""COMPUTED_VALUE"""),"Thiago Fernandes")</f>
        <v>Thiago Fernandes</v>
      </c>
      <c r="B1043" s="2" t="str">
        <f>IFERROR(__xludf.DUMMYFUNCTION("""COMPUTED_VALUE"""),"iothiagoo")</f>
        <v>iothiagoo</v>
      </c>
      <c r="C1043" s="2" t="str">
        <f>IFERROR(__xludf.DUMMYFUNCTION("""COMPUTED_VALUE"""),"Nordestino, formado em Comunicação &amp; Ed. Física; Treinador de FUT7 &amp; Aux. Técnico de Futsal. Amo futebol (italiano 🇮🇹⚽️) Vasco e Juventus. 🖤🤍")</f>
        <v>Nordestino, formado em Comunicação &amp; Ed. Física; Treinador de FUT7 &amp; Aux. Técnico de Futsal. Amo futebol (italiano 🇮🇹⚽️) Vasco e Juventus. 🖤🤍</v>
      </c>
      <c r="D1043" s="2">
        <f>IFERROR(__xludf.DUMMYFUNCTION("""COMPUTED_VALUE"""),1.0028027568273113E-4)</f>
        <v>0.0001002802757</v>
      </c>
      <c r="E1043" s="2" t="str">
        <f>IFERROR(__xludf.DUMMYFUNCTION("""COMPUTED_VALUE"""),"      3.547")</f>
        <v>      3.547</v>
      </c>
    </row>
    <row r="1044">
      <c r="A1044" s="2" t="str">
        <f>IFERROR(__xludf.DUMMYFUNCTION("""COMPUTED_VALUE"""),"POVO UNIDO PELA RECONSTRUÇÃO DO BRASIL. #Vote13")</f>
        <v>POVO UNIDO PELA RECONSTRUÇÃO DO BRASIL. #Vote13</v>
      </c>
      <c r="B1044" s="2" t="str">
        <f>IFERROR(__xludf.DUMMYFUNCTION("""COMPUTED_VALUE"""),"lula_cris")</f>
        <v>lula_cris</v>
      </c>
      <c r="C1044" s="2" t="str">
        <f>IFERROR(__xludf.DUMMYFUNCTION("""COMPUTED_VALUE"""),"Sou uma formiguinha lutando pela volta da democracia e o fim do Golpe q destruiu o 🇧🇷!! #LulaPresidente13 #HaddadGovernadorSP13")</f>
        <v>Sou uma formiguinha lutando pela volta da democracia e o fim do Golpe q destruiu o 🇧🇷!! #LulaPresidente13 #HaddadGovernadorSP13</v>
      </c>
      <c r="D1044" s="2">
        <f>IFERROR(__xludf.DUMMYFUNCTION("""COMPUTED_VALUE"""),1.0028027568273113E-4)</f>
        <v>0.0001002802757</v>
      </c>
      <c r="E1044" s="2" t="str">
        <f>IFERROR(__xludf.DUMMYFUNCTION("""COMPUTED_VALUE"""),"      5.161")</f>
        <v>      5.161</v>
      </c>
    </row>
    <row r="1045">
      <c r="A1045" s="2" t="str">
        <f>IFERROR(__xludf.DUMMYFUNCTION("""COMPUTED_VALUE"""),"Maria Rebelo🇧🇷🇧🇷")</f>
        <v>Maria Rebelo🇧🇷🇧🇷</v>
      </c>
      <c r="B1045" s="2" t="str">
        <f>IFERROR(__xludf.DUMMYFUNCTION("""COMPUTED_VALUE"""),"rebelobranco")</f>
        <v>rebelobranco</v>
      </c>
      <c r="C1045" s="2" t="str">
        <f>IFERROR(__xludf.DUMMYFUNCTION("""COMPUTED_VALUE"""),"prof de Ed.Fís. amante de esportes, tem o Handebol como amor eterno e o Futebol como uma paixão.")</f>
        <v>prof de Ed.Fís. amante de esportes, tem o Handebol como amor eterno e o Futebol como uma paixão.</v>
      </c>
      <c r="D1045" s="2">
        <f>IFERROR(__xludf.DUMMYFUNCTION("""COMPUTED_VALUE"""),1.0028027568273113E-4)</f>
        <v>0.0001002802757</v>
      </c>
      <c r="E1045" s="2" t="str">
        <f>IFERROR(__xludf.DUMMYFUNCTION("""COMPUTED_VALUE"""),"      2.375")</f>
        <v>      2.375</v>
      </c>
    </row>
    <row r="1046">
      <c r="A1046" s="2" t="str">
        <f>IFERROR(__xludf.DUMMYFUNCTION("""COMPUTED_VALUE"""),"eduardo := Human{Dev: true}")</f>
        <v>eduardo := Human{Dev: true}</v>
      </c>
      <c r="B1046" s="2" t="str">
        <f>IFERROR(__xludf.DUMMYFUNCTION("""COMPUTED_VALUE"""),"true_eduardo")</f>
        <v>true_eduardo</v>
      </c>
      <c r="C1046" s="2" t="str">
        <f>IFERROR(__xludf.DUMMYFUNCTION("""COMPUTED_VALUE"""),"Backend Developer (alergic to CSS) 👨‍💻 Ex-químico ⚗️ Baixista nas horas vagas 🎸 Escorpiano ♏️ Comentarista de inutilidades 🗣️@trueeduardo.bsky.social ☁️")</f>
        <v>Backend Developer (alergic to CSS) 👨‍💻 Ex-químico ⚗️ Baixista nas horas vagas 🎸 Escorpiano ♏️ Comentarista de inutilidades 🗣️@trueeduardo.bsky.social ☁️</v>
      </c>
      <c r="D1046" s="2">
        <f>IFERROR(__xludf.DUMMYFUNCTION("""COMPUTED_VALUE"""),1.0028027568273113E-4)</f>
        <v>0.0001002802757</v>
      </c>
      <c r="E1046" s="2" t="str">
        <f>IFERROR(__xludf.DUMMYFUNCTION("""COMPUTED_VALUE"""),"      1.269")</f>
        <v>      1.269</v>
      </c>
    </row>
    <row r="1047">
      <c r="A1047" s="2" t="str">
        <f>IFERROR(__xludf.DUMMYFUNCTION("""COMPUTED_VALUE"""),"Nilson sx 🚩🤝")</f>
        <v>Nilson sx 🚩🤝</v>
      </c>
      <c r="B1047" s="2" t="str">
        <f>IFERROR(__xludf.DUMMYFUNCTION("""COMPUTED_VALUE"""),"nilsonnoslinho1")</f>
        <v>nilsonnoslinho1</v>
      </c>
      <c r="C1047" s="2" t="str">
        <f>IFERROR(__xludf.DUMMYFUNCTION("""COMPUTED_VALUE"""),"Esquerda sempre. Eu não sou pobre, eu sou sóbrio, de bagagem leve. Vivo com apenas o suficiente para que as coisas não roubem a minha liberdade.🚩🤝🏻")</f>
        <v>Esquerda sempre. Eu não sou pobre, eu sou sóbrio, de bagagem leve. Vivo com apenas o suficiente para que as coisas não roubem a minha liberdade.🚩🤝🏻</v>
      </c>
      <c r="D1047" s="2">
        <f>IFERROR(__xludf.DUMMYFUNCTION("""COMPUTED_VALUE"""),1.0028027568273113E-4)</f>
        <v>0.0001002802757</v>
      </c>
      <c r="E1047" s="2" t="str">
        <f>IFERROR(__xludf.DUMMYFUNCTION("""COMPUTED_VALUE"""),"      1.240")</f>
        <v>      1.240</v>
      </c>
    </row>
    <row r="1048">
      <c r="A1048" s="2" t="str">
        <f>IFERROR(__xludf.DUMMYFUNCTION("""COMPUTED_VALUE"""),"EDIMO PEREIRA")</f>
        <v>EDIMO PEREIRA</v>
      </c>
      <c r="B1048" s="2" t="str">
        <f>IFERROR(__xludf.DUMMYFUNCTION("""COMPUTED_VALUE"""),"edimosip")</f>
        <v>edimosip</v>
      </c>
      <c r="C1048" s="2"/>
      <c r="D1048" s="2">
        <f>IFERROR(__xludf.DUMMYFUNCTION("""COMPUTED_VALUE"""),1.0028027568273113E-4)</f>
        <v>0.0001002802757</v>
      </c>
      <c r="E1048" s="2" t="str">
        <f>IFERROR(__xludf.DUMMYFUNCTION("""COMPUTED_VALUE"""),"      1.105")</f>
        <v>      1.105</v>
      </c>
    </row>
    <row r="1049">
      <c r="A1049" s="2" t="str">
        <f>IFERROR(__xludf.DUMMYFUNCTION("""COMPUTED_VALUE"""),"Magno José")</f>
        <v>Magno José</v>
      </c>
      <c r="B1049" s="2" t="str">
        <f>IFERROR(__xludf.DUMMYFUNCTION("""COMPUTED_VALUE"""),"magnojos133")</f>
        <v>magnojos133</v>
      </c>
      <c r="C1049" s="2" t="str">
        <f>IFERROR(__xludf.DUMMYFUNCTION("""COMPUTED_VALUE"""),"Pernambucano e Sergipano, casado, pai, graduado em Letras, servidor público...")</f>
        <v>Pernambucano e Sergipano, casado, pai, graduado em Letras, servidor público...</v>
      </c>
      <c r="D1049" s="2">
        <f>IFERROR(__xludf.DUMMYFUNCTION("""COMPUTED_VALUE"""),1.0028027568273113E-4)</f>
        <v>0.0001002802757</v>
      </c>
      <c r="E1049" s="2" t="str">
        <f>IFERROR(__xludf.DUMMYFUNCTION("""COMPUTED_VALUE"""),"      1.584")</f>
        <v>      1.584</v>
      </c>
    </row>
    <row r="1050">
      <c r="A1050" s="2" t="str">
        <f>IFERROR(__xludf.DUMMYFUNCTION("""COMPUTED_VALUE"""),"Alexandre Correia")</f>
        <v>Alexandre Correia</v>
      </c>
      <c r="B1050" s="2" t="str">
        <f>IFERROR(__xludf.DUMMYFUNCTION("""COMPUTED_VALUE"""),"alexand34398946")</f>
        <v>alexand34398946</v>
      </c>
      <c r="C1050" s="2" t="str">
        <f>IFERROR(__xludf.DUMMYFUNCTION("""COMPUTED_VALUE"""),"Rio de Janeiro")</f>
        <v>Rio de Janeiro</v>
      </c>
      <c r="D1050" s="2">
        <f>IFERROR(__xludf.DUMMYFUNCTION("""COMPUTED_VALUE"""),1.0028027568273113E-4)</f>
        <v>0.0001002802757</v>
      </c>
      <c r="E1050" s="2" t="str">
        <f>IFERROR(__xludf.DUMMYFUNCTION("""COMPUTED_VALUE"""),"      1.097")</f>
        <v>      1.097</v>
      </c>
    </row>
    <row r="1051">
      <c r="A1051" s="2" t="str">
        <f>IFERROR(__xludf.DUMMYFUNCTION("""COMPUTED_VALUE"""),"Marcelo Sales")</f>
        <v>Marcelo Sales</v>
      </c>
      <c r="B1051" s="2" t="str">
        <f>IFERROR(__xludf.DUMMYFUNCTION("""COMPUTED_VALUE"""),"msales")</f>
        <v>msales</v>
      </c>
      <c r="C1051" s="2" t="str">
        <f>IFERROR(__xludf.DUMMYFUNCTION("""COMPUTED_VALUE"""),"Professor de acessibilidade (PUC, FIAP, ESPM) e aprendiz. Criador do https://t.co/RRcJKYmh0o, do curso https://t.co/ol5lMjl66t e fundador da https://t.co/hFwySz19aH")</f>
        <v>Professor de acessibilidade (PUC, FIAP, ESPM) e aprendiz. Criador do https://t.co/RRcJKYmh0o, do curso https://t.co/ol5lMjl66t e fundador da https://t.co/hFwySz19aH</v>
      </c>
      <c r="D1051" s="2">
        <f>IFERROR(__xludf.DUMMYFUNCTION("""COMPUTED_VALUE"""),1.0028027568273113E-4)</f>
        <v>0.0001002802757</v>
      </c>
      <c r="E1051" s="2" t="str">
        <f>IFERROR(__xludf.DUMMYFUNCTION("""COMPUTED_VALUE"""),"      1.909")</f>
        <v>      1.909</v>
      </c>
    </row>
    <row r="1052">
      <c r="A1052" s="2" t="str">
        <f>IFERROR(__xludf.DUMMYFUNCTION("""COMPUTED_VALUE"""),"Antonio Mario Tropic")</f>
        <v>Antonio Mario Tropic</v>
      </c>
      <c r="B1052" s="2" t="str">
        <f>IFERROR(__xludf.DUMMYFUNCTION("""COMPUTED_VALUE"""),"toninhotropico")</f>
        <v>toninhotropico</v>
      </c>
      <c r="C1052" s="2" t="str">
        <f>IFERROR(__xludf.DUMMYFUNCTION("""COMPUTED_VALUE"""),"Um missionário do Senhor, a serviço da obra social, sdv assim que puder")</f>
        <v>Um missionário do Senhor, a serviço da obra social, sdv assim que puder</v>
      </c>
      <c r="D1052" s="2">
        <f>IFERROR(__xludf.DUMMYFUNCTION("""COMPUTED_VALUE"""),1.0028027568273113E-4)</f>
        <v>0.0001002802757</v>
      </c>
      <c r="E1052" s="2" t="str">
        <f>IFERROR(__xludf.DUMMYFUNCTION("""COMPUTED_VALUE"""),"     12.292")</f>
        <v>     12.292</v>
      </c>
    </row>
    <row r="1053">
      <c r="A1053" s="2" t="str">
        <f>IFERROR(__xludf.DUMMYFUNCTION("""COMPUTED_VALUE"""),"Arthur Tayt-Sohn")</f>
        <v>Arthur Tayt-Sohn</v>
      </c>
      <c r="B1053" s="2" t="str">
        <f>IFERROR(__xludf.DUMMYFUNCTION("""COMPUTED_VALUE"""),"arthurtaytsohn")</f>
        <v>arthurtaytsohn</v>
      </c>
      <c r="C1053" s="2" t="str">
        <f>IFERROR(__xludf.DUMMYFUNCTION("""COMPUTED_VALUE"""),"Redator em @GameLodgeBR 
🎮 PS5 🖥️ PC PT-BR / EN 
Tweets mostly in brazilian portuguese 
Contato: arthurtaytsohn@outlook.com 
Backloggd: /u/arthurtaytsohn")</f>
        <v>Redator em @GameLodgeBR 
🎮 PS5 🖥️ PC PT-BR / EN 
Tweets mostly in brazilian portuguese 
Contato: arthurtaytsohn@outlook.com 
Backloggd: /u/arthurtaytsohn</v>
      </c>
      <c r="D1053" s="2">
        <f>IFERROR(__xludf.DUMMYFUNCTION("""COMPUTED_VALUE"""),1.0028027568273113E-4)</f>
        <v>0.0001002802757</v>
      </c>
      <c r="E1053" s="2" t="str">
        <f>IFERROR(__xludf.DUMMYFUNCTION("""COMPUTED_VALUE"""),"      1.564")</f>
        <v>      1.564</v>
      </c>
    </row>
    <row r="1054">
      <c r="A1054" s="2" t="str">
        <f>IFERROR(__xludf.DUMMYFUNCTION("""COMPUTED_VALUE"""),"J Guedes 🇧🇷")</f>
        <v>J Guedes 🇧🇷</v>
      </c>
      <c r="B1054" s="2" t="str">
        <f>IFERROR(__xludf.DUMMYFUNCTION("""COMPUTED_VALUE"""),"jguedes_s")</f>
        <v>jguedes_s</v>
      </c>
      <c r="C1054" s="2" t="str">
        <f>IFERROR(__xludf.DUMMYFUNCTION("""COMPUTED_VALUE"""),"☘️ Casada, evangélica e uma filha @lixpalletts amor da minha vida.
Jesus é Deus, é o Senhor.")</f>
        <v>☘️ Casada, evangélica e uma filha @lixpalletts amor da minha vida.
Jesus é Deus, é o Senhor.</v>
      </c>
      <c r="D1054" s="2">
        <f>IFERROR(__xludf.DUMMYFUNCTION("""COMPUTED_VALUE"""),1.0028027568273113E-4)</f>
        <v>0.0001002802757</v>
      </c>
      <c r="E1054" s="2" t="str">
        <f>IFERROR(__xludf.DUMMYFUNCTION("""COMPUTED_VALUE"""),"      2.631")</f>
        <v>      2.631</v>
      </c>
    </row>
    <row r="1055">
      <c r="A1055" s="2" t="str">
        <f>IFERROR(__xludf.DUMMYFUNCTION("""COMPUTED_VALUE"""),"Cleide Dario De Oliveira")</f>
        <v>Cleide Dario De Oliveira</v>
      </c>
      <c r="B1055" s="2" t="str">
        <f>IFERROR(__xludf.DUMMYFUNCTION("""COMPUTED_VALUE"""),"dariocleide")</f>
        <v>dariocleide</v>
      </c>
      <c r="C1055" s="2"/>
      <c r="D1055" s="2">
        <f>IFERROR(__xludf.DUMMYFUNCTION("""COMPUTED_VALUE"""),1.0028027568273113E-4)</f>
        <v>0.0001002802757</v>
      </c>
      <c r="E1055" s="2" t="str">
        <f>IFERROR(__xludf.DUMMYFUNCTION("""COMPUTED_VALUE"""),"      2.964")</f>
        <v>      2.964</v>
      </c>
    </row>
    <row r="1056">
      <c r="A1056" s="2" t="str">
        <f>IFERROR(__xludf.DUMMYFUNCTION("""COMPUTED_VALUE"""),"Fábio Silva")</f>
        <v>Fábio Silva</v>
      </c>
      <c r="B1056" s="2" t="str">
        <f>IFERROR(__xludf.DUMMYFUNCTION("""COMPUTED_VALUE"""),"fabiocasil0402")</f>
        <v>fabiocasil0402</v>
      </c>
      <c r="C1056" s="2" t="str">
        <f>IFERROR(__xludf.DUMMYFUNCTION("""COMPUTED_VALUE"""),"Gauche na vida. Formado em direito, Esp. Direito Público e Esp. em Filosofia.")</f>
        <v>Gauche na vida. Formado em direito, Esp. Direito Público e Esp. em Filosofia.</v>
      </c>
      <c r="D1056" s="2">
        <f>IFERROR(__xludf.DUMMYFUNCTION("""COMPUTED_VALUE"""),1.0028027568273113E-4)</f>
        <v>0.0001002802757</v>
      </c>
      <c r="E1056" s="2" t="str">
        <f>IFERROR(__xludf.DUMMYFUNCTION("""COMPUTED_VALUE"""),"      1.992")</f>
        <v>      1.992</v>
      </c>
    </row>
    <row r="1057">
      <c r="A1057" s="2" t="str">
        <f>IFERROR(__xludf.DUMMYFUNCTION("""COMPUTED_VALUE"""),"MESTRE JONES III - DEPUTADO FEDERAL")</f>
        <v>MESTRE JONES III - DEPUTADO FEDERAL</v>
      </c>
      <c r="B1057" s="2" t="str">
        <f>IFERROR(__xludf.DUMMYFUNCTION("""COMPUTED_VALUE"""),"mestrejonesiii")</f>
        <v>mestrejonesiii</v>
      </c>
      <c r="C1057" s="2" t="str">
        <f>IFERROR(__xludf.DUMMYFUNCTION("""COMPUTED_VALUE"""),"CRISTÃO
PAI E AVÔ
MESTRE DE ARTES MARCIAIS
CAPOEIRA
DIREITO
DEPUTADO FEDERAL
SÃO PAULO
DEUS
FAMÍLIA
PÁTRIA
ESPORTE 
SAÚDE E
LIBERDADE")</f>
        <v>CRISTÃO
PAI E AVÔ
MESTRE DE ARTES MARCIAIS
CAPOEIRA
DIREITO
DEPUTADO FEDERAL
SÃO PAULO
DEUS
FAMÍLIA
PÁTRIA
ESPORTE 
SAÚDE E
LIBERDADE</v>
      </c>
      <c r="D1057" s="2">
        <f>IFERROR(__xludf.DUMMYFUNCTION("""COMPUTED_VALUE"""),1.0028027568273113E-4)</f>
        <v>0.0001002802757</v>
      </c>
      <c r="E1057" s="2" t="str">
        <f>IFERROR(__xludf.DUMMYFUNCTION("""COMPUTED_VALUE"""),"      1.683")</f>
        <v>      1.683</v>
      </c>
    </row>
    <row r="1058">
      <c r="A1058" s="2" t="str">
        <f>IFERROR(__xludf.DUMMYFUNCTION("""COMPUTED_VALUE"""),"Márcia Perita🚩🏳️‍🌈🇧🇼")</f>
        <v>Márcia Perita🚩🏳️‍🌈🇧🇼</v>
      </c>
      <c r="B1058" s="2" t="str">
        <f>IFERROR(__xludf.DUMMYFUNCTION("""COMPUTED_VALUE"""),"turramarcia")</f>
        <v>turramarcia</v>
      </c>
      <c r="C1058" s="2" t="str">
        <f>IFERROR(__xludf.DUMMYFUNCTION("""COMPUTED_VALUE"""),"Bolsonaro na cadeia")</f>
        <v>Bolsonaro na cadeia</v>
      </c>
      <c r="D1058" s="2">
        <f>IFERROR(__xludf.DUMMYFUNCTION("""COMPUTED_VALUE"""),1.0028027568273113E-4)</f>
        <v>0.0001002802757</v>
      </c>
      <c r="E1058" s="2" t="str">
        <f>IFERROR(__xludf.DUMMYFUNCTION("""COMPUTED_VALUE"""),"      3.286")</f>
        <v>      3.286</v>
      </c>
    </row>
    <row r="1059">
      <c r="A1059" s="2" t="str">
        <f>IFERROR(__xludf.DUMMYFUNCTION("""COMPUTED_VALUE"""),"Zezé Weiss da Silva Lula")</f>
        <v>Zezé Weiss da Silva Lula</v>
      </c>
      <c r="B1059" s="2" t="str">
        <f>IFERROR(__xludf.DUMMYFUNCTION("""COMPUTED_VALUE"""),"zezevbweiss")</f>
        <v>zezevbweiss</v>
      </c>
      <c r="C1059" s="2" t="str">
        <f>IFERROR(__xludf.DUMMYFUNCTION("""COMPUTED_VALUE"""),"a típica suspeita: ambientalista, feminista, jornalista, lulista, marxista, petista, terracurvista.")</f>
        <v>a típica suspeita: ambientalista, feminista, jornalista, lulista, marxista, petista, terracurvista.</v>
      </c>
      <c r="D1059" s="2">
        <f>IFERROR(__xludf.DUMMYFUNCTION("""COMPUTED_VALUE"""),1.0028027568273113E-4)</f>
        <v>0.0001002802757</v>
      </c>
      <c r="E1059" s="2" t="str">
        <f>IFERROR(__xludf.DUMMYFUNCTION("""COMPUTED_VALUE"""),"     11.761")</f>
        <v>     11.761</v>
      </c>
    </row>
    <row r="1060">
      <c r="A1060" s="2" t="str">
        <f>IFERROR(__xludf.DUMMYFUNCTION("""COMPUTED_VALUE"""),"Ricardo Cappelli")</f>
        <v>Ricardo Cappelli</v>
      </c>
      <c r="B1060" s="2" t="str">
        <f>IFERROR(__xludf.DUMMYFUNCTION("""COMPUTED_VALUE"""),"ricardocappelli")</f>
        <v>ricardocappelli</v>
      </c>
      <c r="C1060" s="2" t="str">
        <f>IFERROR(__xludf.DUMMYFUNCTION("""COMPUTED_VALUE"""),"Secretário Executivo do Ministério da Justiça e Segurança Pública. 
Jornalista, Pós Graduado em Administração Pública pela FGV.")</f>
        <v>Secretário Executivo do Ministério da Justiça e Segurança Pública. 
Jornalista, Pós Graduado em Administração Pública pela FGV.</v>
      </c>
      <c r="D1060" s="2">
        <f>IFERROR(__xludf.DUMMYFUNCTION("""COMPUTED_VALUE"""),1.0028027568273113E-4)</f>
        <v>0.0001002802757</v>
      </c>
      <c r="E1060" s="2" t="str">
        <f>IFERROR(__xludf.DUMMYFUNCTION("""COMPUTED_VALUE"""),"    108.198")</f>
        <v>    108.198</v>
      </c>
    </row>
    <row r="1061">
      <c r="A1061" s="2" t="str">
        <f>IFERROR(__xludf.DUMMYFUNCTION("""COMPUTED_VALUE"""),"lucas")</f>
        <v>lucas</v>
      </c>
      <c r="B1061" s="2" t="str">
        <f>IFERROR(__xludf.DUMMYFUNCTION("""COMPUTED_VALUE"""),"jlucasbern")</f>
        <v>jlucasbern</v>
      </c>
      <c r="C1061" s="2" t="str">
        <f>IFERROR(__xludf.DUMMYFUNCTION("""COMPUTED_VALUE"""),"conta reserva: @jlucasbern2")</f>
        <v>conta reserva: @jlucasbern2</v>
      </c>
      <c r="D1061" s="2">
        <f>IFERROR(__xludf.DUMMYFUNCTION("""COMPUTED_VALUE"""),1.0028027568273113E-4)</f>
        <v>0.0001002802757</v>
      </c>
      <c r="E1061" s="2" t="str">
        <f>IFERROR(__xludf.DUMMYFUNCTION("""COMPUTED_VALUE"""),"      1.102")</f>
        <v>      1.102</v>
      </c>
    </row>
    <row r="1062">
      <c r="A1062" s="2" t="str">
        <f>IFERROR(__xludf.DUMMYFUNCTION("""COMPUTED_VALUE"""),"Yurizin'")</f>
        <v>Yurizin'</v>
      </c>
      <c r="B1062" s="2" t="str">
        <f>IFERROR(__xludf.DUMMYFUNCTION("""COMPUTED_VALUE"""),"yugiflu")</f>
        <v>yugiflu</v>
      </c>
      <c r="C1062" s="2" t="str">
        <f>IFERROR(__xludf.DUMMYFUNCTION("""COMPUTED_VALUE"""),"Fechado com o Danielzinho! 🇭🇺")</f>
        <v>Fechado com o Danielzinho! 🇭🇺</v>
      </c>
      <c r="D1062" s="2">
        <f>IFERROR(__xludf.DUMMYFUNCTION("""COMPUTED_VALUE"""),1.0028027568273113E-4)</f>
        <v>0.0001002802757</v>
      </c>
      <c r="E1062" s="2" t="str">
        <f>IFERROR(__xludf.DUMMYFUNCTION("""COMPUTED_VALUE"""),"      1.165")</f>
        <v>      1.165</v>
      </c>
    </row>
    <row r="1063">
      <c r="A1063" s="2" t="str">
        <f>IFERROR(__xludf.DUMMYFUNCTION("""COMPUTED_VALUE"""),"Sirlene Lazzarotto")</f>
        <v>Sirlene Lazzarotto</v>
      </c>
      <c r="B1063" s="2" t="str">
        <f>IFERROR(__xludf.DUMMYFUNCTION("""COMPUTED_VALUE"""),"sirlene_lazz")</f>
        <v>sirlene_lazz</v>
      </c>
      <c r="C1063" s="2"/>
      <c r="D1063" s="2">
        <f>IFERROR(__xludf.DUMMYFUNCTION("""COMPUTED_VALUE"""),1.0028027568273113E-4)</f>
        <v>0.0001002802757</v>
      </c>
      <c r="E1063" s="2" t="str">
        <f>IFERROR(__xludf.DUMMYFUNCTION("""COMPUTED_VALUE"""),"      8.741")</f>
        <v>      8.741</v>
      </c>
    </row>
    <row r="1064">
      <c r="A1064" s="2" t="str">
        <f>IFERROR(__xludf.DUMMYFUNCTION("""COMPUTED_VALUE"""),"Jonatas Amorim 🍥")</f>
        <v>Jonatas Amorim 🍥</v>
      </c>
      <c r="B1064" s="2" t="str">
        <f>IFERROR(__xludf.DUMMYFUNCTION("""COMPUTED_VALUE"""),"jonatasamorimsp")</f>
        <v>jonatasamorimsp</v>
      </c>
      <c r="C1064" s="2" t="str">
        <f>IFERROR(__xludf.DUMMYFUNCTION("""COMPUTED_VALUE"""),"Movimento Progressista. Viva o SUS ! 
Comentários SEMI-QUALIFICADOS sobre Política.")</f>
        <v>Movimento Progressista. Viva o SUS ! 
Comentários SEMI-QUALIFICADOS sobre Política.</v>
      </c>
      <c r="D1064" s="2">
        <f>IFERROR(__xludf.DUMMYFUNCTION("""COMPUTED_VALUE"""),1.0028027568273113E-4)</f>
        <v>0.0001002802757</v>
      </c>
      <c r="E1064" s="2" t="str">
        <f>IFERROR(__xludf.DUMMYFUNCTION("""COMPUTED_VALUE"""),"      3.788")</f>
        <v>      3.788</v>
      </c>
    </row>
    <row r="1065">
      <c r="A1065" s="2" t="str">
        <f>IFERROR(__xludf.DUMMYFUNCTION("""COMPUTED_VALUE"""),"Júlio Bonesso2️⃣2️⃣🇧🇷🧉")</f>
        <v>Júlio Bonesso2️⃣2️⃣🇧🇷🧉</v>
      </c>
      <c r="B1065" s="2" t="str">
        <f>IFERROR(__xludf.DUMMYFUNCTION("""COMPUTED_VALUE"""),"juliobonesso")</f>
        <v>juliobonesso</v>
      </c>
      <c r="C1065" s="2" t="str">
        <f>IFERROR(__xludf.DUMMYFUNCTION("""COMPUTED_VALUE"""),"Casado, católico, avô, conservador, anti-petista, anti-comunista, pró vida e Bolsonaro em 2026.🇧🇷 Maga Trump 2024 https://t.co/zR1IW76pFe")</f>
        <v>Casado, católico, avô, conservador, anti-petista, anti-comunista, pró vida e Bolsonaro em 2026.🇧🇷 Maga Trump 2024 https://t.co/zR1IW76pFe</v>
      </c>
      <c r="D1065" s="2">
        <f>IFERROR(__xludf.DUMMYFUNCTION("""COMPUTED_VALUE"""),1.0028027568273113E-4)</f>
        <v>0.0001002802757</v>
      </c>
      <c r="E1065" s="2" t="str">
        <f>IFERROR(__xludf.DUMMYFUNCTION("""COMPUTED_VALUE"""),"      3.774")</f>
        <v>      3.774</v>
      </c>
    </row>
    <row r="1066">
      <c r="A1066" s="2" t="str">
        <f>IFERROR(__xludf.DUMMYFUNCTION("""COMPUTED_VALUE"""),"🌹 Paula 🌹PND 🌹")</f>
        <v>🌹 Paula 🌹PND 🌹</v>
      </c>
      <c r="B1066" s="2" t="str">
        <f>IFERROR(__xludf.DUMMYFUNCTION("""COMPUTED_VALUE"""),"apaguiga")</f>
        <v>apaguiga</v>
      </c>
      <c r="C1066" s="2" t="str">
        <f>IFERROR(__xludf.DUMMYFUNCTION("""COMPUTED_VALUE"""),"Concentra-te em saber (conhecer sobre tudo) e não em acreditar (fanatiza e escraviza). Albert Einstein")</f>
        <v>Concentra-te em saber (conhecer sobre tudo) e não em acreditar (fanatiza e escraviza). Albert Einstein</v>
      </c>
      <c r="D1066" s="2">
        <f>IFERROR(__xludf.DUMMYFUNCTION("""COMPUTED_VALUE"""),1.0028027568273113E-4)</f>
        <v>0.0001002802757</v>
      </c>
      <c r="E1066" s="2" t="str">
        <f>IFERROR(__xludf.DUMMYFUNCTION("""COMPUTED_VALUE"""),"      1.143")</f>
        <v>      1.143</v>
      </c>
    </row>
    <row r="1067">
      <c r="A1067" s="2" t="str">
        <f>IFERROR(__xludf.DUMMYFUNCTION("""COMPUTED_VALUE"""),"cerbero")</f>
        <v>cerbero</v>
      </c>
      <c r="B1067" s="2" t="str">
        <f>IFERROR(__xludf.DUMMYFUNCTION("""COMPUTED_VALUE"""),"cerberoyz")</f>
        <v>cerberoyz</v>
      </c>
      <c r="C1067" s="2" t="str">
        <f>IFERROR(__xludf.DUMMYFUNCTION("""COMPUTED_VALUE"""),"😉 AO VENCEDOR, AS BATATAS😜-⭐ SOU PT ⭐ - NÃO GOSTOU NÃO SEGUE !")</f>
        <v>😉 AO VENCEDOR, AS BATATAS😜-⭐ SOU PT ⭐ - NÃO GOSTOU NÃO SEGUE !</v>
      </c>
      <c r="D1067" s="2">
        <f>IFERROR(__xludf.DUMMYFUNCTION("""COMPUTED_VALUE"""),1.0028027568273113E-4)</f>
        <v>0.0001002802757</v>
      </c>
      <c r="E1067" s="2" t="str">
        <f>IFERROR(__xludf.DUMMYFUNCTION("""COMPUTED_VALUE"""),"      1.362")</f>
        <v>      1.362</v>
      </c>
    </row>
    <row r="1068">
      <c r="A1068" s="2" t="str">
        <f>IFERROR(__xludf.DUMMYFUNCTION("""COMPUTED_VALUE"""),"clara")</f>
        <v>clara</v>
      </c>
      <c r="B1068" s="2" t="str">
        <f>IFERROR(__xludf.DUMMYFUNCTION("""COMPUTED_VALUE"""),"itsclarat91")</f>
        <v>itsclarat91</v>
      </c>
      <c r="C1068" s="2" t="str">
        <f>IFERROR(__xludf.DUMMYFUNCTION("""COMPUTED_VALUE"""),"𓆟 meet me in the hallway 
⠀⠀
⠀⠀⠀ ⠀ ⠀                                                                                                            -she/her")</f>
        <v>𓆟 meet me in the hallway 
⠀⠀
⠀⠀⠀ ⠀ ⠀                                                                                                            -she/her</v>
      </c>
      <c r="D1068" s="2">
        <f>IFERROR(__xludf.DUMMYFUNCTION("""COMPUTED_VALUE"""),1.0028027568273113E-4)</f>
        <v>0.0001002802757</v>
      </c>
      <c r="E1068" s="2" t="str">
        <f>IFERROR(__xludf.DUMMYFUNCTION("""COMPUTED_VALUE"""),"      1.042")</f>
        <v>      1.042</v>
      </c>
    </row>
    <row r="1069">
      <c r="A1069" s="2" t="str">
        <f>IFERROR(__xludf.DUMMYFUNCTION("""COMPUTED_VALUE"""),"🌻Diva Santos🇧🇷")</f>
        <v>🌻Diva Santos🇧🇷</v>
      </c>
      <c r="B1069" s="2" t="str">
        <f>IFERROR(__xludf.DUMMYFUNCTION("""COMPUTED_VALUE"""),"diva78457343")</f>
        <v>diva78457343</v>
      </c>
      <c r="C1069" s="2" t="str">
        <f>IFERROR(__xludf.DUMMYFUNCTION("""COMPUTED_VALUE"""),"Não posso mudar o antes fui, mas posso modificar o que serei. 
Conta reserva 
SIGA PERFIL OFICIAL 
@isasan53")</f>
        <v>Não posso mudar o antes fui, mas posso modificar o que serei. 
Conta reserva 
SIGA PERFIL OFICIAL 
@isasan53</v>
      </c>
      <c r="D1069" s="2">
        <f>IFERROR(__xludf.DUMMYFUNCTION("""COMPUTED_VALUE"""),1.0028027568273113E-4)</f>
        <v>0.0001002802757</v>
      </c>
      <c r="E1069" s="2" t="str">
        <f>IFERROR(__xludf.DUMMYFUNCTION("""COMPUTED_VALUE"""),"      2.821")</f>
        <v>      2.821</v>
      </c>
    </row>
    <row r="1070">
      <c r="A1070" s="2" t="str">
        <f>IFERROR(__xludf.DUMMYFUNCTION("""COMPUTED_VALUE"""),"🇧🇷Stela Girassol🌻")</f>
        <v>🇧🇷Stela Girassol🌻</v>
      </c>
      <c r="B1070" s="2" t="str">
        <f>IFERROR(__xludf.DUMMYFUNCTION("""COMPUTED_VALUE"""),"belinistela")</f>
        <v>belinistela</v>
      </c>
      <c r="C1070" s="2" t="str">
        <f>IFERROR(__xludf.DUMMYFUNCTION("""COMPUTED_VALUE"""),"🇧🇷🇧🇷🇧🇷
Conservadora, Otimista e Sonhadora.
🇧🇷🇧🇷🇧🇷 #JesusVive
Se O Sonho Acabar, Mude De Padaria!🤣")</f>
        <v>🇧🇷🇧🇷🇧🇷
Conservadora, Otimista e Sonhadora.
🇧🇷🇧🇷🇧🇷 #JesusVive
Se O Sonho Acabar, Mude De Padaria!🤣</v>
      </c>
      <c r="D1070" s="2">
        <f>IFERROR(__xludf.DUMMYFUNCTION("""COMPUTED_VALUE"""),1.0028027568273113E-4)</f>
        <v>0.0001002802757</v>
      </c>
      <c r="E1070" s="2" t="str">
        <f>IFERROR(__xludf.DUMMYFUNCTION("""COMPUTED_VALUE"""),"      7.394")</f>
        <v>      7.394</v>
      </c>
    </row>
    <row r="1071">
      <c r="A1071" s="2" t="str">
        <f>IFERROR(__xludf.DUMMYFUNCTION("""COMPUTED_VALUE"""),"Marcella BOLSONARO 2️⃣2️⃣ 🇧🇷🇧🇷🇧🇷")</f>
        <v>Marcella BOLSONARO 2️⃣2️⃣ 🇧🇷🇧🇷🇧🇷</v>
      </c>
      <c r="B1071" s="2" t="str">
        <f>IFERROR(__xludf.DUMMYFUNCTION("""COMPUTED_VALUE"""),"marizmarcella")</f>
        <v>marizmarcella</v>
      </c>
      <c r="C1071" s="2" t="str">
        <f>IFERROR(__xludf.DUMMYFUNCTION("""COMPUTED_VALUE"""),"Love Dogs and Cats")</f>
        <v>Love Dogs and Cats</v>
      </c>
      <c r="D1071" s="2">
        <f>IFERROR(__xludf.DUMMYFUNCTION("""COMPUTED_VALUE"""),1.0028027568273113E-4)</f>
        <v>0.0001002802757</v>
      </c>
      <c r="E1071" s="2" t="str">
        <f>IFERROR(__xludf.DUMMYFUNCTION("""COMPUTED_VALUE"""),"     27.676")</f>
        <v>     27.676</v>
      </c>
    </row>
    <row r="1072">
      <c r="A1072" s="2" t="str">
        <f>IFERROR(__xludf.DUMMYFUNCTION("""COMPUTED_VALUE"""),"JoseCarlosRguez")</f>
        <v>JoseCarlosRguez</v>
      </c>
      <c r="B1072" s="2" t="str">
        <f>IFERROR(__xludf.DUMMYFUNCTION("""COMPUTED_VALUE"""),"josecarlosrguez")</f>
        <v>josecarlosrguez</v>
      </c>
      <c r="C1072" s="2" t="str">
        <f>IFERROR(__xludf.DUMMYFUNCTION("""COMPUTED_VALUE"""),"Subdirector General para América Latina y el Caribe en la Cancillería de #Cuba @CubaMINREX")</f>
        <v>Subdirector General para América Latina y el Caribe en la Cancillería de #Cuba @CubaMINREX</v>
      </c>
      <c r="D1072" s="2">
        <f>IFERROR(__xludf.DUMMYFUNCTION("""COMPUTED_VALUE"""),1.0028027568273113E-4)</f>
        <v>0.0001002802757</v>
      </c>
      <c r="E1072" s="2" t="str">
        <f>IFERROR(__xludf.DUMMYFUNCTION("""COMPUTED_VALUE"""),"     16.935")</f>
        <v>     16.935</v>
      </c>
    </row>
    <row r="1073">
      <c r="A1073" s="2" t="str">
        <f>IFERROR(__xludf.DUMMYFUNCTION("""COMPUTED_VALUE"""),"Sandra Bullockn")</f>
        <v>Sandra Bullockn</v>
      </c>
      <c r="B1073" s="2" t="str">
        <f>IFERROR(__xludf.DUMMYFUNCTION("""COMPUTED_VALUE"""),"sandrabullockyn")</f>
        <v>sandrabullockyn</v>
      </c>
      <c r="C1073" s="2" t="str">
        <f>IFERROR(__xludf.DUMMYFUNCTION("""COMPUTED_VALUE"""),"É isso aí..Há quem acredite em milagres..
Há quem cometa maldades..
Há quem não sabe dizer a verdade")</f>
        <v>É isso aí..Há quem acredite em milagres..
Há quem cometa maldades..
Há quem não sabe dizer a verdade</v>
      </c>
      <c r="D1073" s="2">
        <f>IFERROR(__xludf.DUMMYFUNCTION("""COMPUTED_VALUE"""),1.0028027568273113E-4)</f>
        <v>0.0001002802757</v>
      </c>
      <c r="E1073" s="2" t="str">
        <f>IFERROR(__xludf.DUMMYFUNCTION("""COMPUTED_VALUE"""),"      3.251")</f>
        <v>      3.251</v>
      </c>
    </row>
    <row r="1074">
      <c r="A1074" s="2" t="str">
        <f>IFERROR(__xludf.DUMMYFUNCTION("""COMPUTED_VALUE"""),"JR do Vigor 🎓❌")</f>
        <v>JR do Vigor 🎓❌</v>
      </c>
      <c r="B1074" s="2" t="str">
        <f>IFERROR(__xludf.DUMMYFUNCTION("""COMPUTED_VALUE"""),"pitacors")</f>
        <v>pitacors</v>
      </c>
      <c r="C1074" s="2" t="str">
        <f>IFERROR(__xludf.DUMMYFUNCTION("""COMPUTED_VALUE"""),"Comento sobre BBB, Política e Novelas 
(Meteorologia não, pois detesto polêmicas) 🇧🇷")</f>
        <v>Comento sobre BBB, Política e Novelas 
(Meteorologia não, pois detesto polêmicas) 🇧🇷</v>
      </c>
      <c r="D1074" s="2">
        <f>IFERROR(__xludf.DUMMYFUNCTION("""COMPUTED_VALUE"""),1.0028027568273113E-4)</f>
        <v>0.0001002802757</v>
      </c>
      <c r="E1074" s="2" t="str">
        <f>IFERROR(__xludf.DUMMYFUNCTION("""COMPUTED_VALUE"""),"     70.058")</f>
        <v>     70.058</v>
      </c>
    </row>
    <row r="1075">
      <c r="A1075" s="2" t="str">
        <f>IFERROR(__xludf.DUMMYFUNCTION("""COMPUTED_VALUE"""),"🎗Nélia Lula")</f>
        <v>🎗Nélia Lula</v>
      </c>
      <c r="B1075" s="2" t="str">
        <f>IFERROR(__xludf.DUMMYFUNCTION("""COMPUTED_VALUE"""),"souguereira")</f>
        <v>souguereira</v>
      </c>
      <c r="C1075" s="2" t="str">
        <f>IFERROR(__xludf.DUMMYFUNCTION("""COMPUTED_VALUE"""),"Mulher guerreira. Apaixonada pela história de Lula e por tudo o que ela representa. 
Meu nome é LUTA!
Meu nome é LULA!")</f>
        <v>Mulher guerreira. Apaixonada pela história de Lula e por tudo o que ela representa. 
Meu nome é LUTA!
Meu nome é LULA!</v>
      </c>
      <c r="D1075" s="2">
        <f>IFERROR(__xludf.DUMMYFUNCTION("""COMPUTED_VALUE"""),1.0028027568273113E-4)</f>
        <v>0.0001002802757</v>
      </c>
      <c r="E1075" s="2" t="str">
        <f>IFERROR(__xludf.DUMMYFUNCTION("""COMPUTED_VALUE"""),"     32.693")</f>
        <v>     32.693</v>
      </c>
    </row>
    <row r="1076">
      <c r="A1076" s="2" t="str">
        <f>IFERROR(__xludf.DUMMYFUNCTION("""COMPUTED_VALUE"""),"Adriana com esperança 🪷")</f>
        <v>Adriana com esperança 🪷</v>
      </c>
      <c r="B1076" s="2" t="str">
        <f>IFERROR(__xludf.DUMMYFUNCTION("""COMPUTED_VALUE"""),"adrianaeleuter6")</f>
        <v>adrianaeleuter6</v>
      </c>
      <c r="C1076" s="2" t="str">
        <f>IFERROR(__xludf.DUMMYFUNCTION("""COMPUTED_VALUE"""),"Educação pública e de qualidade,qualquer forma de amor,direitos humanos e muita esperança num país melhor!🌻")</f>
        <v>Educação pública e de qualidade,qualquer forma de amor,direitos humanos e muita esperança num país melhor!🌻</v>
      </c>
      <c r="D1076" s="2">
        <f>IFERROR(__xludf.DUMMYFUNCTION("""COMPUTED_VALUE"""),1.0028027568273113E-4)</f>
        <v>0.0001002802757</v>
      </c>
      <c r="E1076" s="2" t="str">
        <f>IFERROR(__xludf.DUMMYFUNCTION("""COMPUTED_VALUE"""),"      3.158")</f>
        <v>      3.158</v>
      </c>
    </row>
    <row r="1077">
      <c r="A1077" s="2" t="str">
        <f>IFERROR(__xludf.DUMMYFUNCTION("""COMPUTED_VALUE"""),"Louise")</f>
        <v>Louise</v>
      </c>
      <c r="B1077" s="2" t="str">
        <f>IFERROR(__xludf.DUMMYFUNCTION("""COMPUTED_VALUE"""),"louise84432303")</f>
        <v>louise84432303</v>
      </c>
      <c r="C1077" s="2" t="str">
        <f>IFERROR(__xludf.DUMMYFUNCTION("""COMPUTED_VALUE"""),"""Tudo aquilo que o homem ignora, não existe para ele. Por isso o universo de cada um, se resume no tamanho de seu saber."" 
(Albert Einstein)")</f>
        <v>"Tudo aquilo que o homem ignora, não existe para ele. Por isso o universo de cada um, se resume no tamanho de seu saber." 
(Albert Einstein)</v>
      </c>
      <c r="D1077" s="2">
        <f>IFERROR(__xludf.DUMMYFUNCTION("""COMPUTED_VALUE"""),1.0028027568273113E-4)</f>
        <v>0.0001002802757</v>
      </c>
      <c r="E1077" s="2" t="str">
        <f>IFERROR(__xludf.DUMMYFUNCTION("""COMPUTED_VALUE"""),"      1.356")</f>
        <v>      1.356</v>
      </c>
    </row>
    <row r="1078">
      <c r="A1078" s="2" t="str">
        <f>IFERROR(__xludf.DUMMYFUNCTION("""COMPUTED_VALUE"""),"RLCP Rose - 2a conta")</f>
        <v>RLCP Rose - 2a conta</v>
      </c>
      <c r="B1078" s="2" t="str">
        <f>IFERROR(__xludf.DUMMYFUNCTION("""COMPUTED_VALUE"""),"reserva_rose")</f>
        <v>reserva_rose</v>
      </c>
      <c r="C1078" s="2" t="str">
        <f>IFERROR(__xludf.DUMMYFUNCTION("""COMPUTED_VALUE"""),"reserva 
conta nova - red bird suspendeu a principal SEM FUNDAMENTAÇÃO")</f>
        <v>reserva 
conta nova - red bird suspendeu a principal SEM FUNDAMENTAÇÃO</v>
      </c>
      <c r="D1078" s="2">
        <f>IFERROR(__xludf.DUMMYFUNCTION("""COMPUTED_VALUE"""),1.0028027568273113E-4)</f>
        <v>0.0001002802757</v>
      </c>
      <c r="E1078" s="2" t="str">
        <f>IFERROR(__xludf.DUMMYFUNCTION("""COMPUTED_VALUE"""),"      1.175")</f>
        <v>      1.175</v>
      </c>
    </row>
    <row r="1079">
      <c r="A1079" s="2" t="str">
        <f>IFERROR(__xludf.DUMMYFUNCTION("""COMPUTED_VALUE"""),"Luiz Souza 🇧🇷 🇨🇳 🇨🇺 🇷🇺 ★彡")</f>
        <v>Luiz Souza 🇧🇷 🇨🇳 🇨🇺 🇷🇺 ★彡</v>
      </c>
      <c r="B1079" s="2" t="str">
        <f>IFERROR(__xludf.DUMMYFUNCTION("""COMPUTED_VALUE"""),"luizccsouza")</f>
        <v>luizccsouza</v>
      </c>
      <c r="C1079" s="2" t="str">
        <f>IFERROR(__xludf.DUMMYFUNCTION("""COMPUTED_VALUE"""),"Conhecedor de mim  ⚛  ☯")</f>
        <v>Conhecedor de mim  ⚛  ☯</v>
      </c>
      <c r="D1079" s="2">
        <f>IFERROR(__xludf.DUMMYFUNCTION("""COMPUTED_VALUE"""),1.0028027568273113E-4)</f>
        <v>0.0001002802757</v>
      </c>
      <c r="E1079" s="2" t="str">
        <f>IFERROR(__xludf.DUMMYFUNCTION("""COMPUTED_VALUE"""),"      8.376")</f>
        <v>      8.376</v>
      </c>
    </row>
    <row r="1080">
      <c r="A1080" s="2" t="str">
        <f>IFERROR(__xludf.DUMMYFUNCTION("""COMPUTED_VALUE"""),"Flavio #FRete 💙🖤💙🖤")</f>
        <v>Flavio #FRete 💙🖤💙🖤</v>
      </c>
      <c r="B1080" s="2" t="str">
        <f>IFERROR(__xludf.DUMMYFUNCTION("""COMPUTED_VALUE"""),"fioriflavio")</f>
        <v>fioriflavio</v>
      </c>
      <c r="C1080" s="2" t="str">
        <f>IFERROR(__xludf.DUMMYFUNCTION("""COMPUTED_VALUE"""),"“concedimi il caffè per cambiare le cose che posso cambiare e il vino per accettare quelle che non posso cambiare” e la saggezza per saper quando usarle")</f>
        <v>“concedimi il caffè per cambiare le cose che posso cambiare e il vino per accettare quelle che non posso cambiare” e la saggezza per saper quando usarle</v>
      </c>
      <c r="D1080" s="2">
        <f>IFERROR(__xludf.DUMMYFUNCTION("""COMPUTED_VALUE"""),1.0028027568273113E-4)</f>
        <v>0.0001002802757</v>
      </c>
      <c r="E1080" s="2" t="str">
        <f>IFERROR(__xludf.DUMMYFUNCTION("""COMPUTED_VALUE"""),"      7.020")</f>
        <v>      7.020</v>
      </c>
    </row>
    <row r="1081">
      <c r="A1081" s="2" t="str">
        <f>IFERROR(__xludf.DUMMYFUNCTION("""COMPUTED_VALUE"""),"Maria")</f>
        <v>Maria</v>
      </c>
      <c r="B1081" s="2" t="str">
        <f>IFERROR(__xludf.DUMMYFUNCTION("""COMPUTED_VALUE"""),"portomh")</f>
        <v>portomh</v>
      </c>
      <c r="C1081" s="2" t="str">
        <f>IFERROR(__xludf.DUMMYFUNCTION("""COMPUTED_VALUE"""),"Só uma política alternativa de esquerda pode dar resposta aos problemas de todos os povos do MUNDO.")</f>
        <v>Só uma política alternativa de esquerda pode dar resposta aos problemas de todos os povos do MUNDO.</v>
      </c>
      <c r="D1081" s="2">
        <f>IFERROR(__xludf.DUMMYFUNCTION("""COMPUTED_VALUE"""),1.0028027568273113E-4)</f>
        <v>0.0001002802757</v>
      </c>
      <c r="E1081" s="2" t="str">
        <f>IFERROR(__xludf.DUMMYFUNCTION("""COMPUTED_VALUE"""),"      2.789")</f>
        <v>      2.789</v>
      </c>
    </row>
    <row r="1082">
      <c r="A1082" s="2" t="str">
        <f>IFERROR(__xludf.DUMMYFUNCTION("""COMPUTED_VALUE"""),"Marcelo")</f>
        <v>Marcelo</v>
      </c>
      <c r="B1082" s="2" t="str">
        <f>IFERROR(__xludf.DUMMYFUNCTION("""COMPUTED_VALUE"""),"marcelovelacb")</f>
        <v>marcelovelacb</v>
      </c>
      <c r="C1082" s="2"/>
      <c r="D1082" s="2">
        <f>IFERROR(__xludf.DUMMYFUNCTION("""COMPUTED_VALUE"""),1.0028027568273113E-4)</f>
        <v>0.0001002802757</v>
      </c>
      <c r="E1082" s="2" t="str">
        <f>IFERROR(__xludf.DUMMYFUNCTION("""COMPUTED_VALUE"""),"      2.654")</f>
        <v>      2.654</v>
      </c>
    </row>
    <row r="1083">
      <c r="A1083" s="2" t="str">
        <f>IFERROR(__xludf.DUMMYFUNCTION("""COMPUTED_VALUE"""),"gau")</f>
        <v>gau</v>
      </c>
      <c r="B1083" s="2" t="str">
        <f>IFERROR(__xludf.DUMMYFUNCTION("""COMPUTED_VALUE"""),"gaubeats")</f>
        <v>gaubeats</v>
      </c>
      <c r="C1083" s="2" t="str">
        <f>IFERROR(__xludf.DUMMYFUNCTION("""COMPUTED_VALUE"""),"DJ | Beatmaker | Artista da @_guetoanonimato | @grimestationBR | Porto Alegre - RS, Brasil | IG: _gaubeats")</f>
        <v>DJ | Beatmaker | Artista da @_guetoanonimato | @grimestationBR | Porto Alegre - RS, Brasil | IG: _gaubeats</v>
      </c>
      <c r="D1083" s="2">
        <f>IFERROR(__xludf.DUMMYFUNCTION("""COMPUTED_VALUE"""),1.0028027568273113E-4)</f>
        <v>0.0001002802757</v>
      </c>
      <c r="E1083" s="2" t="str">
        <f>IFERROR(__xludf.DUMMYFUNCTION("""COMPUTED_VALUE"""),"      3.979")</f>
        <v>      3.979</v>
      </c>
    </row>
    <row r="1084">
      <c r="A1084" s="2" t="str">
        <f>IFERROR(__xludf.DUMMYFUNCTION("""COMPUTED_VALUE"""),"Cleide Martins (Uma Socialista).")</f>
        <v>Cleide Martins (Uma Socialista).</v>
      </c>
      <c r="B1084" s="2" t="str">
        <f>IFERROR(__xludf.DUMMYFUNCTION("""COMPUTED_VALUE"""),"cleidemartins2")</f>
        <v>cleidemartins2</v>
      </c>
      <c r="C1084" s="2" t="str">
        <f>IFERROR(__xludf.DUMMYFUNCTION("""COMPUTED_VALUE"""),"Profª. de história, esquerdista tucujú. Amante de café, da boa música, em constante aprendizado. Mãe de três dádivas♥️💙💚 (um deles é down♥️)  #foragenocida")</f>
        <v>Profª. de história, esquerdista tucujú. Amante de café, da boa música, em constante aprendizado. Mãe de três dádivas♥️💙💚 (um deles é down♥️)  #foragenocida</v>
      </c>
      <c r="D1084" s="2">
        <f>IFERROR(__xludf.DUMMYFUNCTION("""COMPUTED_VALUE"""),1.0028027568273113E-4)</f>
        <v>0.0001002802757</v>
      </c>
      <c r="E1084" s="2" t="str">
        <f>IFERROR(__xludf.DUMMYFUNCTION("""COMPUTED_VALUE"""),"      1.638")</f>
        <v>      1.638</v>
      </c>
    </row>
    <row r="1085">
      <c r="A1085" s="2" t="str">
        <f>IFERROR(__xludf.DUMMYFUNCTION("""COMPUTED_VALUE"""),"Victor")</f>
        <v>Victor</v>
      </c>
      <c r="B1085" s="2" t="str">
        <f>IFERROR(__xludf.DUMMYFUNCTION("""COMPUTED_VALUE"""),"victora70286753")</f>
        <v>victora70286753</v>
      </c>
      <c r="C1085" s="2" t="str">
        <f>IFERROR(__xludf.DUMMYFUNCTION("""COMPUTED_VALUE"""),"Servo do DEUS vivo, trabalhador, conservador.")</f>
        <v>Servo do DEUS vivo, trabalhador, conservador.</v>
      </c>
      <c r="D1085" s="2">
        <f>IFERROR(__xludf.DUMMYFUNCTION("""COMPUTED_VALUE"""),1.0028027568273113E-4)</f>
        <v>0.0001002802757</v>
      </c>
      <c r="E1085" s="2" t="str">
        <f>IFERROR(__xludf.DUMMYFUNCTION("""COMPUTED_VALUE"""),"      3.763")</f>
        <v>      3.763</v>
      </c>
    </row>
    <row r="1086">
      <c r="A1086" s="2" t="str">
        <f>IFERROR(__xludf.DUMMYFUNCTION("""COMPUTED_VALUE"""),"Gisele 🕊️🚩🇧🇷🚩🇧🇷")</f>
        <v>Gisele 🕊️🚩🇧🇷🚩🇧🇷</v>
      </c>
      <c r="B1086" s="2" t="str">
        <f>IFERROR(__xludf.DUMMYFUNCTION("""COMPUTED_VALUE"""),"giselesantos05")</f>
        <v>giselesantos05</v>
      </c>
      <c r="C1086" s="2" t="str">
        <f>IFERROR(__xludf.DUMMYFUNCTION("""COMPUTED_VALUE"""),"Mãe, Esposa, Feminista, Esquerdista, Candomblecista, Administradora e 
Acadêmica de Direito.
#PiralhaSim
#EnergumenoSim")</f>
        <v>Mãe, Esposa, Feminista, Esquerdista, Candomblecista, Administradora e 
Acadêmica de Direito.
#PiralhaSim
#EnergumenoSim</v>
      </c>
      <c r="D1086" s="2">
        <f>IFERROR(__xludf.DUMMYFUNCTION("""COMPUTED_VALUE"""),1.0028027568273113E-4)</f>
        <v>0.0001002802757</v>
      </c>
      <c r="E1086" s="2" t="str">
        <f>IFERROR(__xludf.DUMMYFUNCTION("""COMPUTED_VALUE"""),"      2.458")</f>
        <v>      2.458</v>
      </c>
    </row>
    <row r="1087">
      <c r="A1087" s="2" t="str">
        <f>IFERROR(__xludf.DUMMYFUNCTION("""COMPUTED_VALUE"""),"𝖒𝖆𝖗𝖈𝖊𝖑𝖑𝖚𝖘")</f>
        <v>𝖒𝖆𝖗𝖈𝖊𝖑𝖑𝖚𝖘</v>
      </c>
      <c r="B1087" s="2" t="str">
        <f>IFERROR(__xludf.DUMMYFUNCTION("""COMPUTED_VALUE"""),"eaemarcellus")</f>
        <v>eaemarcellus</v>
      </c>
      <c r="C1087" s="2" t="str">
        <f>IFERROR(__xludf.DUMMYFUNCTION("""COMPUTED_VALUE"""),"narcisista e superficial")</f>
        <v>narcisista e superficial</v>
      </c>
      <c r="D1087" s="2">
        <f>IFERROR(__xludf.DUMMYFUNCTION("""COMPUTED_VALUE"""),1.0028027568273113E-4)</f>
        <v>0.0001002802757</v>
      </c>
      <c r="E1087" s="2" t="str">
        <f>IFERROR(__xludf.DUMMYFUNCTION("""COMPUTED_VALUE"""),"     15.715")</f>
        <v>     15.715</v>
      </c>
    </row>
    <row r="1088">
      <c r="A1088" s="2" t="str">
        <f>IFERROR(__xludf.DUMMYFUNCTION("""COMPUTED_VALUE"""),"Eline🐬🦉✠")</f>
        <v>Eline🐬🦉✠</v>
      </c>
      <c r="B1088" s="2" t="str">
        <f>IFERROR(__xludf.DUMMYFUNCTION("""COMPUTED_VALUE"""),"elin3t4ty")</f>
        <v>elin3t4ty</v>
      </c>
      <c r="C1088" s="2" t="str">
        <f>IFERROR(__xludf.DUMMYFUNCTION("""COMPUTED_VALUE"""),"As vezes eu falo de coisas amenas.
Nem tudo é sobre política. ✌
#DeusNoComando")</f>
        <v>As vezes eu falo de coisas amenas.
Nem tudo é sobre política. ✌
#DeusNoComando</v>
      </c>
      <c r="D1088" s="2">
        <f>IFERROR(__xludf.DUMMYFUNCTION("""COMPUTED_VALUE"""),1.0028027568273113E-4)</f>
        <v>0.0001002802757</v>
      </c>
      <c r="E1088" s="2" t="str">
        <f>IFERROR(__xludf.DUMMYFUNCTION("""COMPUTED_VALUE"""),"      3.588")</f>
        <v>      3.588</v>
      </c>
    </row>
    <row r="1089">
      <c r="A1089" s="2" t="str">
        <f>IFERROR(__xludf.DUMMYFUNCTION("""COMPUTED_VALUE"""),"maristela🚩")</f>
        <v>maristela🚩</v>
      </c>
      <c r="B1089" s="2" t="str">
        <f>IFERROR(__xludf.DUMMYFUNCTION("""COMPUTED_VALUE"""),"mariste73771659")</f>
        <v>mariste73771659</v>
      </c>
      <c r="C1089" s="2" t="str">
        <f>IFERROR(__xludf.DUMMYFUNCTION("""COMPUTED_VALUE"""),"#LulaSucessoInternacional #LulaEstadistaDoPlaneta #LulaPresidente2022🚩🚩🚩🚩")</f>
        <v>#LulaSucessoInternacional #LulaEstadistaDoPlaneta #LulaPresidente2022🚩🚩🚩🚩</v>
      </c>
      <c r="D1089" s="2">
        <f>IFERROR(__xludf.DUMMYFUNCTION("""COMPUTED_VALUE"""),1.0028027568273113E-4)</f>
        <v>0.0001002802757</v>
      </c>
      <c r="E1089" s="2" t="str">
        <f>IFERROR(__xludf.DUMMYFUNCTION("""COMPUTED_VALUE"""),"     17.276")</f>
        <v>     17.276</v>
      </c>
    </row>
    <row r="1090">
      <c r="A1090" s="2" t="str">
        <f>IFERROR(__xludf.DUMMYFUNCTION("""COMPUTED_VALUE"""),"Miguel Baia Bargas 🇨🇺🇨🇴🇦🇷🇭🇰")</f>
        <v>Miguel Baia Bargas 🇨🇺🇨🇴🇦🇷🇭🇰</v>
      </c>
      <c r="B1090" s="2" t="str">
        <f>IFERROR(__xludf.DUMMYFUNCTION("""COMPUTED_VALUE"""),"miguelbbargas")</f>
        <v>miguelbbargas</v>
      </c>
      <c r="C1090" s="2" t="str">
        <f>IFERROR(__xludf.DUMMYFUNCTION("""COMPUTED_VALUE"""),"Paulistano, humanista, santista e ex-editor do Blog Limpinho &amp; Cheiroso.")</f>
        <v>Paulistano, humanista, santista e ex-editor do Blog Limpinho &amp; Cheiroso.</v>
      </c>
      <c r="D1090" s="2">
        <f>IFERROR(__xludf.DUMMYFUNCTION("""COMPUTED_VALUE"""),1.0028027568273113E-4)</f>
        <v>0.0001002802757</v>
      </c>
      <c r="E1090" s="2" t="str">
        <f>IFERROR(__xludf.DUMMYFUNCTION("""COMPUTED_VALUE"""),"      4.927")</f>
        <v>      4.927</v>
      </c>
    </row>
    <row r="1091">
      <c r="A1091" s="2" t="str">
        <f>IFERROR(__xludf.DUMMYFUNCTION("""COMPUTED_VALUE"""),"Juçara M Teixeira")</f>
        <v>Juçara M Teixeira</v>
      </c>
      <c r="B1091" s="2" t="str">
        <f>IFERROR(__xludf.DUMMYFUNCTION("""COMPUTED_VALUE"""),"jucaramteixeira")</f>
        <v>jucaramteixeira</v>
      </c>
      <c r="C1091" s="2" t="str">
        <f>IFERROR(__xludf.DUMMYFUNCTION("""COMPUTED_VALUE"""),"Professora de Artes Visuais. Socialista. Lulista. PeTista. Neta de Maragato. Tia de 2 rapazes lindos e maravilhosos. Família esquerdista")</f>
        <v>Professora de Artes Visuais. Socialista. Lulista. PeTista. Neta de Maragato. Tia de 2 rapazes lindos e maravilhosos. Família esquerdista</v>
      </c>
      <c r="D1091" s="2">
        <f>IFERROR(__xludf.DUMMYFUNCTION("""COMPUTED_VALUE"""),1.0028027568273113E-4)</f>
        <v>0.0001002802757</v>
      </c>
      <c r="E1091" s="2" t="str">
        <f>IFERROR(__xludf.DUMMYFUNCTION("""COMPUTED_VALUE"""),"      1.111")</f>
        <v>      1.111</v>
      </c>
    </row>
    <row r="1092">
      <c r="A1092" s="2" t="str">
        <f>IFERROR(__xludf.DUMMYFUNCTION("""COMPUTED_VALUE"""),"Sandra Helena Araújo dos Santos")</f>
        <v>Sandra Helena Araújo dos Santos</v>
      </c>
      <c r="B1092" s="2" t="str">
        <f>IFERROR(__xludf.DUMMYFUNCTION("""COMPUTED_VALUE"""),"sandrahelenahas")</f>
        <v>sandrahelenahas</v>
      </c>
      <c r="C1092" s="2"/>
      <c r="D1092" s="2">
        <f>IFERROR(__xludf.DUMMYFUNCTION("""COMPUTED_VALUE"""),1.0028027568273113E-4)</f>
        <v>0.0001002802757</v>
      </c>
      <c r="E1092" s="2" t="str">
        <f>IFERROR(__xludf.DUMMYFUNCTION("""COMPUTED_VALUE"""),"      2.635")</f>
        <v>      2.635</v>
      </c>
    </row>
    <row r="1093">
      <c r="A1093" s="2" t="str">
        <f>IFERROR(__xludf.DUMMYFUNCTION("""COMPUTED_VALUE"""),"DemetrioFilho")</f>
        <v>DemetrioFilho</v>
      </c>
      <c r="B1093" s="2" t="str">
        <f>IFERROR(__xludf.DUMMYFUNCTION("""COMPUTED_VALUE"""),"demetriofnx")</f>
        <v>demetriofnx</v>
      </c>
      <c r="C1093" s="2" t="str">
        <f>IFERROR(__xludf.DUMMYFUNCTION("""COMPUTED_VALUE"""),"Especulador no Mercado Financeiro, Grêmio 💙, Living in 🇨🇦 Quer investir no exterior? Me mande uma msg que te apresentarei bons projetos.")</f>
        <v>Especulador no Mercado Financeiro, Grêmio 💙, Living in 🇨🇦 Quer investir no exterior? Me mande uma msg que te apresentarei bons projetos.</v>
      </c>
      <c r="D1093" s="2">
        <f>IFERROR(__xludf.DUMMYFUNCTION("""COMPUTED_VALUE"""),1.0028027568273113E-4)</f>
        <v>0.0001002802757</v>
      </c>
      <c r="E1093" s="2" t="str">
        <f>IFERROR(__xludf.DUMMYFUNCTION("""COMPUTED_VALUE"""),"      8.615")</f>
        <v>      8.615</v>
      </c>
    </row>
    <row r="1094">
      <c r="A1094" s="2" t="str">
        <f>IFERROR(__xludf.DUMMYFUNCTION("""COMPUTED_VALUE"""),"giu")</f>
        <v>giu</v>
      </c>
      <c r="B1094" s="2" t="str">
        <f>IFERROR(__xludf.DUMMYFUNCTION("""COMPUTED_VALUE"""),"icrsbzzie")</f>
        <v>icrsbzzie</v>
      </c>
      <c r="C1094" s="2" t="str">
        <f>IFERROR(__xludf.DUMMYFUNCTION("""COMPUTED_VALUE"""),"conta de fã justin hailey, bella e zayn")</f>
        <v>conta de fã justin hailey, bella e zayn</v>
      </c>
      <c r="D1094" s="2">
        <f>IFERROR(__xludf.DUMMYFUNCTION("""COMPUTED_VALUE"""),1.0028027568273113E-4)</f>
        <v>0.0001002802757</v>
      </c>
      <c r="E1094" s="2" t="str">
        <f>IFERROR(__xludf.DUMMYFUNCTION("""COMPUTED_VALUE"""),"      2.061")</f>
        <v>      2.061</v>
      </c>
    </row>
    <row r="1095">
      <c r="A1095" s="2" t="str">
        <f>IFERROR(__xludf.DUMMYFUNCTION("""COMPUTED_VALUE"""),"Jonathan Braga 12 🌹💚🇧🇷🇺🇦")</f>
        <v>Jonathan Braga 12 🌹💚🇧🇷🇺🇦</v>
      </c>
      <c r="B1095" s="2" t="str">
        <f>IFERROR(__xludf.DUMMYFUNCTION("""COMPUTED_VALUE"""),"bragajonathan")</f>
        <v>bragajonathan</v>
      </c>
      <c r="C1095" s="2" t="str">
        <f>IFERROR(__xludf.DUMMYFUNCTION("""COMPUTED_VALUE"""),"Atualmente usando OpenSuse e de vez em quando o Windows")</f>
        <v>Atualmente usando OpenSuse e de vez em quando o Windows</v>
      </c>
      <c r="D1095" s="2">
        <f>IFERROR(__xludf.DUMMYFUNCTION("""COMPUTED_VALUE"""),1.0028027568273113E-4)</f>
        <v>0.0001002802757</v>
      </c>
      <c r="E1095" s="2" t="str">
        <f>IFERROR(__xludf.DUMMYFUNCTION("""COMPUTED_VALUE"""),"      1.814")</f>
        <v>      1.814</v>
      </c>
    </row>
    <row r="1096">
      <c r="A1096" s="2" t="str">
        <f>IFERROR(__xludf.DUMMYFUNCTION("""COMPUTED_VALUE"""),"Leandro Sousa")</f>
        <v>Leandro Sousa</v>
      </c>
      <c r="B1096" s="2" t="str">
        <f>IFERROR(__xludf.DUMMYFUNCTION("""COMPUTED_VALUE"""),"leandrodsousa12")</f>
        <v>leandrodsousa12</v>
      </c>
      <c r="C1096" s="2" t="str">
        <f>IFERROR(__xludf.DUMMYFUNCTION("""COMPUTED_VALUE"""),"SOBRALENSE -  @CiroGomes")</f>
        <v>SOBRALENSE -  @CiroGomes</v>
      </c>
      <c r="D1096" s="2">
        <f>IFERROR(__xludf.DUMMYFUNCTION("""COMPUTED_VALUE"""),1.0028027568273113E-4)</f>
        <v>0.0001002802757</v>
      </c>
      <c r="E1096" s="2" t="str">
        <f>IFERROR(__xludf.DUMMYFUNCTION("""COMPUTED_VALUE"""),"      2.495")</f>
        <v>      2.495</v>
      </c>
    </row>
    <row r="1097">
      <c r="A1097" s="2" t="str">
        <f>IFERROR(__xludf.DUMMYFUNCTION("""COMPUTED_VALUE"""),"Uzupis - Lacan'as Bar! 🚩🇧🇷")</f>
        <v>Uzupis - Lacan'as Bar! 🚩🇧🇷</v>
      </c>
      <c r="B1097" s="2" t="str">
        <f>IFERROR(__xludf.DUMMYFUNCTION("""COMPUTED_VALUE"""),"j_souza_fonte")</f>
        <v>j_souza_fonte</v>
      </c>
      <c r="C1097" s="2" t="str">
        <f>IFERROR(__xludf.DUMMYFUNCTION("""COMPUTED_VALUE"""),"O 1° Ser Linguagem. Deus é a Linguagem! Ateu.
Enquanto n encontrarmos a síntese da dialética, será só isso aí mesmo!!! Aproveitem...rs... A vida é linda!")</f>
        <v>O 1° Ser Linguagem. Deus é a Linguagem! Ateu.
Enquanto n encontrarmos a síntese da dialética, será só isso aí mesmo!!! Aproveitem...rs... A vida é linda!</v>
      </c>
      <c r="D1097" s="2">
        <f>IFERROR(__xludf.DUMMYFUNCTION("""COMPUTED_VALUE"""),1.0028027568273113E-4)</f>
        <v>0.0001002802757</v>
      </c>
      <c r="E1097" s="2" t="str">
        <f>IFERROR(__xludf.DUMMYFUNCTION("""COMPUTED_VALUE"""),"      3.084")</f>
        <v>      3.084</v>
      </c>
    </row>
    <row r="1098">
      <c r="A1098" s="2" t="str">
        <f>IFERROR(__xludf.DUMMYFUNCTION("""COMPUTED_VALUE"""),"Reconstrução")</f>
        <v>Reconstrução</v>
      </c>
      <c r="B1098" s="2" t="str">
        <f>IFERROR(__xludf.DUMMYFUNCTION("""COMPUTED_VALUE"""),"odio_nao")</f>
        <v>odio_nao</v>
      </c>
      <c r="C1098" s="2" t="str">
        <f>IFERROR(__xludf.DUMMYFUNCTION("""COMPUTED_VALUE"""),"LULA⭐Presidente🇧🇷 ❤️")</f>
        <v>LULA⭐Presidente🇧🇷 ❤️</v>
      </c>
      <c r="D1098" s="2">
        <f>IFERROR(__xludf.DUMMYFUNCTION("""COMPUTED_VALUE"""),1.0028027568273113E-4)</f>
        <v>0.0001002802757</v>
      </c>
      <c r="E1098" s="2" t="str">
        <f>IFERROR(__xludf.DUMMYFUNCTION("""COMPUTED_VALUE"""),"      1.402")</f>
        <v>      1.402</v>
      </c>
    </row>
    <row r="1099">
      <c r="A1099" s="2" t="str">
        <f>IFERROR(__xludf.DUMMYFUNCTION("""COMPUTED_VALUE"""),"Sussuarana")</f>
        <v>Sussuarana</v>
      </c>
      <c r="B1099" s="2" t="str">
        <f>IFERROR(__xludf.DUMMYFUNCTION("""COMPUTED_VALUE"""),"malumar71683932")</f>
        <v>malumar71683932</v>
      </c>
      <c r="C1099" s="2" t="str">
        <f>IFERROR(__xludf.DUMMYFUNCTION("""COMPUTED_VALUE"""),"Que a justiça social chegue antes da caridade neste Brasil!")</f>
        <v>Que a justiça social chegue antes da caridade neste Brasil!</v>
      </c>
      <c r="D1099" s="2">
        <f>IFERROR(__xludf.DUMMYFUNCTION("""COMPUTED_VALUE"""),1.0028027568273113E-4)</f>
        <v>0.0001002802757</v>
      </c>
      <c r="E1099" s="2" t="str">
        <f>IFERROR(__xludf.DUMMYFUNCTION("""COMPUTED_VALUE"""),"      6.509")</f>
        <v>      6.509</v>
      </c>
    </row>
    <row r="1100">
      <c r="A1100" s="2" t="str">
        <f>IFERROR(__xludf.DUMMYFUNCTION("""COMPUTED_VALUE"""),"sillie's vicious 🗽1989 (taylor's version)")</f>
        <v>sillie's vicious 🗽1989 (taylor's version)</v>
      </c>
      <c r="B1100" s="2" t="str">
        <f>IFERROR(__xludf.DUMMYFUNCTION("""COMPUTED_VALUE"""),"enolastranger")</f>
        <v>enolastranger</v>
      </c>
      <c r="C1100" s="2" t="str">
        <f>IFERROR(__xludf.DUMMYFUNCTION("""COMPUTED_VALUE"""),"🍁 sadie 𝒔𝒊𝒏𝒌 &amp; millie 𝒃𝒓𝒐𝒘𝒏💍")</f>
        <v>🍁 sadie 𝒔𝒊𝒏𝒌 &amp; millie 𝒃𝒓𝒐𝒘𝒏💍</v>
      </c>
      <c r="D1100" s="2">
        <f>IFERROR(__xludf.DUMMYFUNCTION("""COMPUTED_VALUE"""),1.0028027568273113E-4)</f>
        <v>0.0001002802757</v>
      </c>
      <c r="E1100" s="2" t="str">
        <f>IFERROR(__xludf.DUMMYFUNCTION("""COMPUTED_VALUE"""),"      1.299")</f>
        <v>      1.299</v>
      </c>
    </row>
    <row r="1101">
      <c r="A1101" s="2" t="str">
        <f>IFERROR(__xludf.DUMMYFUNCTION("""COMPUTED_VALUE"""),"Marilda Azzi 🇧🇷👊🏼")</f>
        <v>Marilda Azzi 🇧🇷👊🏼</v>
      </c>
      <c r="B1101" s="2" t="str">
        <f>IFERROR(__xludf.DUMMYFUNCTION("""COMPUTED_VALUE"""),"azzimarilda")</f>
        <v>azzimarilda</v>
      </c>
      <c r="C1101" s="2" t="str">
        <f>IFERROR(__xludf.DUMMYFUNCTION("""COMPUTED_VALUE"""),"🇧🇷🇧🇷🇧🇷🇧🇷🇧🇷🇧🇷🇧🇷🇧🇷🇧🇷🇧🇷🇧🇷")</f>
        <v>🇧🇷🇧🇷🇧🇷🇧🇷🇧🇷🇧🇷🇧🇷🇧🇷🇧🇷🇧🇷🇧🇷</v>
      </c>
      <c r="D1101" s="2">
        <f>IFERROR(__xludf.DUMMYFUNCTION("""COMPUTED_VALUE"""),1.0028027568273113E-4)</f>
        <v>0.0001002802757</v>
      </c>
      <c r="E1101" s="2" t="str">
        <f>IFERROR(__xludf.DUMMYFUNCTION("""COMPUTED_VALUE"""),"      3.355")</f>
        <v>      3.355</v>
      </c>
    </row>
    <row r="1102">
      <c r="A1102" s="2" t="str">
        <f>IFERROR(__xludf.DUMMYFUNCTION("""COMPUTED_VALUE"""),"Kleber Caribé")</f>
        <v>Kleber Caribé</v>
      </c>
      <c r="B1102" s="2" t="str">
        <f>IFERROR(__xludf.DUMMYFUNCTION("""COMPUTED_VALUE"""),"klebercaribe2")</f>
        <v>klebercaribe2</v>
      </c>
      <c r="C1102" s="2" t="str">
        <f>IFERROR(__xludf.DUMMYFUNCTION("""COMPUTED_VALUE"""),"@flamengo")</f>
        <v>@flamengo</v>
      </c>
      <c r="D1102" s="2">
        <f>IFERROR(__xludf.DUMMYFUNCTION("""COMPUTED_VALUE"""),1.0028027568273113E-4)</f>
        <v>0.0001002802757</v>
      </c>
      <c r="E1102" s="2" t="str">
        <f>IFERROR(__xludf.DUMMYFUNCTION("""COMPUTED_VALUE"""),"      1.285")</f>
        <v>      1.285</v>
      </c>
    </row>
    <row r="1103">
      <c r="A1103" s="2" t="str">
        <f>IFERROR(__xludf.DUMMYFUNCTION("""COMPUTED_VALUE"""),"Davi ™️")</f>
        <v>Davi ™️</v>
      </c>
      <c r="B1103" s="2" t="str">
        <f>IFERROR(__xludf.DUMMYFUNCTION("""COMPUTED_VALUE"""),"davifdsousa")</f>
        <v>davifdsousa</v>
      </c>
      <c r="C1103" s="2" t="str">
        <f>IFERROR(__xludf.DUMMYFUNCTION("""COMPUTED_VALUE"""),"dê a volta ✨")</f>
        <v>dê a volta ✨</v>
      </c>
      <c r="D1103" s="2">
        <f>IFERROR(__xludf.DUMMYFUNCTION("""COMPUTED_VALUE"""),1.0028027568273113E-4)</f>
        <v>0.0001002802757</v>
      </c>
      <c r="E1103" s="2" t="str">
        <f>IFERROR(__xludf.DUMMYFUNCTION("""COMPUTED_VALUE"""),"      1.034")</f>
        <v>      1.034</v>
      </c>
    </row>
    <row r="1104">
      <c r="A1104" s="2" t="str">
        <f>IFERROR(__xludf.DUMMYFUNCTION("""COMPUTED_VALUE"""),"João 🇧🇷 de Souza🇧🇷")</f>
        <v>João 🇧🇷 de Souza🇧🇷</v>
      </c>
      <c r="B1104" s="2" t="str">
        <f>IFERROR(__xludf.DUMMYFUNCTION("""COMPUTED_VALUE"""),"joobati77182539")</f>
        <v>joobati77182539</v>
      </c>
      <c r="C1104" s="2"/>
      <c r="D1104" s="2">
        <f>IFERROR(__xludf.DUMMYFUNCTION("""COMPUTED_VALUE"""),1.0028027568273113E-4)</f>
        <v>0.0001002802757</v>
      </c>
      <c r="E1104" s="2" t="str">
        <f>IFERROR(__xludf.DUMMYFUNCTION("""COMPUTED_VALUE"""),"      1.026")</f>
        <v>      1.026</v>
      </c>
    </row>
    <row r="1105">
      <c r="A1105" s="2" t="str">
        <f>IFERROR(__xludf.DUMMYFUNCTION("""COMPUTED_VALUE"""),"Antonia #Lula/Alckmin 13")</f>
        <v>Antonia #Lula/Alckmin 13</v>
      </c>
      <c r="B1105" s="2" t="str">
        <f>IFERROR(__xludf.DUMMYFUNCTION("""COMPUTED_VALUE"""),"antonia_lula")</f>
        <v>antonia_lula</v>
      </c>
      <c r="C1105" s="2" t="str">
        <f>IFERROR(__xludf.DUMMYFUNCTION("""COMPUTED_VALUE"""),"minha opinião pode não lhe agradar, veja antes de me seguir. Favor não me adicionar em lista.")</f>
        <v>minha opinião pode não lhe agradar, veja antes de me seguir. Favor não me adicionar em lista.</v>
      </c>
      <c r="D1105" s="2">
        <f>IFERROR(__xludf.DUMMYFUNCTION("""COMPUTED_VALUE"""),1.0028027568273113E-4)</f>
        <v>0.0001002802757</v>
      </c>
      <c r="E1105" s="2" t="str">
        <f>IFERROR(__xludf.DUMMYFUNCTION("""COMPUTED_VALUE"""),"      7.309")</f>
        <v>      7.309</v>
      </c>
    </row>
    <row r="1106">
      <c r="A1106" s="2" t="str">
        <f>IFERROR(__xludf.DUMMYFUNCTION("""COMPUTED_VALUE"""),"regis braga")</f>
        <v>regis braga</v>
      </c>
      <c r="B1106" s="2" t="str">
        <f>IFERROR(__xludf.DUMMYFUNCTION("""COMPUTED_VALUE"""),"regisbraga1")</f>
        <v>regisbraga1</v>
      </c>
      <c r="C1106" s="2"/>
      <c r="D1106" s="2">
        <f>IFERROR(__xludf.DUMMYFUNCTION("""COMPUTED_VALUE"""),1.0028027568273113E-4)</f>
        <v>0.0001002802757</v>
      </c>
      <c r="E1106" s="2" t="str">
        <f>IFERROR(__xludf.DUMMYFUNCTION("""COMPUTED_VALUE"""),"      1.716")</f>
        <v>      1.716</v>
      </c>
    </row>
    <row r="1107">
      <c r="A1107" s="2" t="str">
        <f>IFERROR(__xludf.DUMMYFUNCTION("""COMPUTED_VALUE"""),"veinha, veinha.🚩🚩🚩🇧🇷🚩🚩🚩")</f>
        <v>veinha, veinha.🚩🚩🚩🇧🇷🚩🚩🚩</v>
      </c>
      <c r="B1107" s="2" t="str">
        <f>IFERROR(__xludf.DUMMYFUNCTION("""COMPUTED_VALUE"""),"veiaveiaveia")</f>
        <v>veiaveiaveia</v>
      </c>
      <c r="C1107" s="2" t="str">
        <f>IFERROR(__xludf.DUMMYFUNCTION("""COMPUTED_VALUE"""),"veia veia veia🚩🚩🚩🇧🇷🚩🚩🚩")</f>
        <v>veia veia veia🚩🚩🚩🇧🇷🚩🚩🚩</v>
      </c>
      <c r="D1107" s="2">
        <f>IFERROR(__xludf.DUMMYFUNCTION("""COMPUTED_VALUE"""),1.0028027568273113E-4)</f>
        <v>0.0001002802757</v>
      </c>
      <c r="E1107" s="2" t="str">
        <f>IFERROR(__xludf.DUMMYFUNCTION("""COMPUTED_VALUE"""),"      1.676")</f>
        <v>      1.676</v>
      </c>
    </row>
    <row r="1108">
      <c r="A1108" s="2" t="str">
        <f>IFERROR(__xludf.DUMMYFUNCTION("""COMPUTED_VALUE"""),"princess")</f>
        <v>princess</v>
      </c>
      <c r="B1108" s="2" t="str">
        <f>IFERROR(__xludf.DUMMYFUNCTION("""COMPUTED_VALUE"""),"mockingdrewz")</f>
        <v>mockingdrewz</v>
      </c>
      <c r="C1108" s="2" t="str">
        <f>IFERROR(__xludf.DUMMYFUNCTION("""COMPUTED_VALUE"""),"Se eu to aqui desde 2009 não é agora que eu vou embora")</f>
        <v>Se eu to aqui desde 2009 não é agora que eu vou embora</v>
      </c>
      <c r="D1108" s="2">
        <f>IFERROR(__xludf.DUMMYFUNCTION("""COMPUTED_VALUE"""),1.0028027568273113E-4)</f>
        <v>0.0001002802757</v>
      </c>
      <c r="E1108" s="2" t="str">
        <f>IFERROR(__xludf.DUMMYFUNCTION("""COMPUTED_VALUE"""),"     10.430")</f>
        <v>     10.430</v>
      </c>
    </row>
    <row r="1109">
      <c r="A1109" s="2" t="str">
        <f>IFERROR(__xludf.DUMMYFUNCTION("""COMPUTED_VALUE"""),"an")</f>
        <v>an</v>
      </c>
      <c r="B1109" s="2" t="str">
        <f>IFERROR(__xludf.DUMMYFUNCTION("""COMPUTED_VALUE"""),"anichellaaa")</f>
        <v>anichellaaa</v>
      </c>
      <c r="C1109" s="2" t="str">
        <f>IFERROR(__xludf.DUMMYFUNCTION("""COMPUTED_VALUE"""),"listen to")</f>
        <v>listen to</v>
      </c>
      <c r="D1109" s="2">
        <f>IFERROR(__xludf.DUMMYFUNCTION("""COMPUTED_VALUE"""),1.0028027568273113E-4)</f>
        <v>0.0001002802757</v>
      </c>
      <c r="E1109" s="2" t="str">
        <f>IFERROR(__xludf.DUMMYFUNCTION("""COMPUTED_VALUE"""),"      1.610")</f>
        <v>      1.610</v>
      </c>
    </row>
    <row r="1110">
      <c r="A1110" s="2" t="str">
        <f>IFERROR(__xludf.DUMMYFUNCTION("""COMPUTED_VALUE"""),"cicero ricardo")</f>
        <v>cicero ricardo</v>
      </c>
      <c r="B1110" s="2" t="str">
        <f>IFERROR(__xludf.DUMMYFUNCTION("""COMPUTED_VALUE"""),"exitxr")</f>
        <v>exitxr</v>
      </c>
      <c r="C1110" s="2"/>
      <c r="D1110" s="2">
        <f>IFERROR(__xludf.DUMMYFUNCTION("""COMPUTED_VALUE"""),1.0028027568273113E-4)</f>
        <v>0.0001002802757</v>
      </c>
      <c r="E1110" s="2" t="str">
        <f>IFERROR(__xludf.DUMMYFUNCTION("""COMPUTED_VALUE"""),"      1.619")</f>
        <v>      1.619</v>
      </c>
    </row>
    <row r="1111">
      <c r="A1111" s="2" t="str">
        <f>IFERROR(__xludf.DUMMYFUNCTION("""COMPUTED_VALUE"""),"Rosângela Dorneles🚩💓")</f>
        <v>Rosângela Dorneles🚩💓</v>
      </c>
      <c r="B1111" s="2" t="str">
        <f>IFERROR(__xludf.DUMMYFUNCTION("""COMPUTED_VALUE"""),"rosngeladornel6")</f>
        <v>rosngeladornel6</v>
      </c>
      <c r="C1111" s="2"/>
      <c r="D1111" s="2">
        <f>IFERROR(__xludf.DUMMYFUNCTION("""COMPUTED_VALUE"""),1.0028027568273113E-4)</f>
        <v>0.0001002802757</v>
      </c>
      <c r="E1111" s="2" t="str">
        <f>IFERROR(__xludf.DUMMYFUNCTION("""COMPUTED_VALUE"""),"      2.778")</f>
        <v>      2.778</v>
      </c>
    </row>
    <row r="1112">
      <c r="A1112" s="2" t="str">
        <f>IFERROR(__xludf.DUMMYFUNCTION("""COMPUTED_VALUE"""),"Leti 🧣")</f>
        <v>Leti 🧣</v>
      </c>
      <c r="B1112" s="2" t="str">
        <f>IFERROR(__xludf.DUMMYFUNCTION("""COMPUTED_VALUE"""),"leti_rdc")</f>
        <v>leti_rdc</v>
      </c>
      <c r="C1112" s="2" t="str">
        <f>IFERROR(__xludf.DUMMYFUNCTION("""COMPUTED_VALUE"""),"Libriana, ♎ 
27 anos 
 Técnico em Administração 📝
@scinternacional ❤
 @roupanova ❤
Garantido ❤️🐮")</f>
        <v>Libriana, ♎ 
27 anos 
 Técnico em Administração 📝
@scinternacional ❤
 @roupanova ❤
Garantido ❤️🐮</v>
      </c>
      <c r="D1112" s="2">
        <f>IFERROR(__xludf.DUMMYFUNCTION("""COMPUTED_VALUE"""),1.0028027568273113E-4)</f>
        <v>0.0001002802757</v>
      </c>
      <c r="E1112" s="2" t="str">
        <f>IFERROR(__xludf.DUMMYFUNCTION("""COMPUTED_VALUE"""),"      1.143")</f>
        <v>      1.143</v>
      </c>
    </row>
    <row r="1113">
      <c r="A1113" s="2" t="str">
        <f>IFERROR(__xludf.DUMMYFUNCTION("""COMPUTED_VALUE"""),"🐶Claudia Soares1️⃣3️⃣🚩🐙")</f>
        <v>🐶Claudia Soares1️⃣3️⃣🚩🐙</v>
      </c>
      <c r="B1113" s="2" t="str">
        <f>IFERROR(__xludf.DUMMYFUNCTION("""COMPUTED_VALUE"""),"claudiaelysoar2")</f>
        <v>claudiaelysoar2</v>
      </c>
      <c r="C1113" s="2" t="str">
        <f>IFERROR(__xludf.DUMMYFUNCTION("""COMPUTED_VALUE"""),"“ Pode-se enganar a todos por algum tempo; pode-se enganar alguns por todo o tempo; mas não se pode enganar a todos todo o tempo”.")</f>
        <v>“ Pode-se enganar a todos por algum tempo; pode-se enganar alguns por todo o tempo; mas não se pode enganar a todos todo o tempo”.</v>
      </c>
      <c r="D1113" s="2">
        <f>IFERROR(__xludf.DUMMYFUNCTION("""COMPUTED_VALUE"""),1.0028027568273113E-4)</f>
        <v>0.0001002802757</v>
      </c>
      <c r="E1113" s="2" t="str">
        <f>IFERROR(__xludf.DUMMYFUNCTION("""COMPUTED_VALUE"""),"      3.382")</f>
        <v>      3.382</v>
      </c>
    </row>
    <row r="1114">
      <c r="A1114" s="2" t="str">
        <f>IFERROR(__xludf.DUMMYFUNCTION("""COMPUTED_VALUE"""),"Denilson")</f>
        <v>Denilson</v>
      </c>
      <c r="B1114" s="2" t="str">
        <f>IFERROR(__xludf.DUMMYFUNCTION("""COMPUTED_VALUE"""),"denilsonsecoll")</f>
        <v>denilsonsecoll</v>
      </c>
      <c r="C1114" s="2" t="str">
        <f>IFERROR(__xludf.DUMMYFUNCTION("""COMPUTED_VALUE"""),"Quem controla o passado controla o futuro; Quem controla o presente controla o passado. George Orwell. Bostil, 2023.")</f>
        <v>Quem controla o passado controla o futuro; Quem controla o presente controla o passado. George Orwell. Bostil, 2023.</v>
      </c>
      <c r="D1114" s="2">
        <f>IFERROR(__xludf.DUMMYFUNCTION("""COMPUTED_VALUE"""),1.0028027568273113E-4)</f>
        <v>0.0001002802757</v>
      </c>
      <c r="E1114" s="2" t="str">
        <f>IFERROR(__xludf.DUMMYFUNCTION("""COMPUTED_VALUE"""),"      1.359")</f>
        <v>      1.359</v>
      </c>
    </row>
    <row r="1115">
      <c r="A1115" s="2" t="str">
        <f>IFERROR(__xludf.DUMMYFUNCTION("""COMPUTED_VALUE"""),"Esquines Cangiani ⛳")</f>
        <v>Esquines Cangiani ⛳</v>
      </c>
      <c r="B1115" s="2" t="str">
        <f>IFERROR(__xludf.DUMMYFUNCTION("""COMPUTED_VALUE"""),"esquinescangia1")</f>
        <v>esquinescangia1</v>
      </c>
      <c r="C1115" s="2" t="str">
        <f>IFERROR(__xludf.DUMMYFUNCTION("""COMPUTED_VALUE"""),"PT sempre filiado ao PT")</f>
        <v>PT sempre filiado ao PT</v>
      </c>
      <c r="D1115" s="2">
        <f>IFERROR(__xludf.DUMMYFUNCTION("""COMPUTED_VALUE"""),1.0028027568273113E-4)</f>
        <v>0.0001002802757</v>
      </c>
      <c r="E1115" s="2" t="str">
        <f>IFERROR(__xludf.DUMMYFUNCTION("""COMPUTED_VALUE"""),"      4.205")</f>
        <v>      4.205</v>
      </c>
    </row>
    <row r="1116">
      <c r="A1116" s="2" t="str">
        <f>IFERROR(__xludf.DUMMYFUNCTION("""COMPUTED_VALUE"""),"Drika Olivier 🚩📚♥️🏳️‍🌈")</f>
        <v>Drika Olivier 🚩📚♥️🏳️‍🌈</v>
      </c>
      <c r="B1116" s="2" t="str">
        <f>IFERROR(__xludf.DUMMYFUNCTION("""COMPUTED_VALUE"""),"drika_olivier22")</f>
        <v>drika_olivier22</v>
      </c>
      <c r="C1116" s="2" t="str">
        <f>IFERROR(__xludf.DUMMYFUNCTION("""COMPUTED_VALUE"""),"Teacher of English Language , fighting for the human rights , for a good education and better sallary for Teachers in MG! Leftist since was bor n I ❤LULA 😘🌹")</f>
        <v>Teacher of English Language , fighting for the human rights , for a good education and better sallary for Teachers in MG! Leftist since was bor n I ❤LULA 😘🌹</v>
      </c>
      <c r="D1116" s="2">
        <f>IFERROR(__xludf.DUMMYFUNCTION("""COMPUTED_VALUE"""),1.0028027568273113E-4)</f>
        <v>0.0001002802757</v>
      </c>
      <c r="E1116" s="2" t="str">
        <f>IFERROR(__xludf.DUMMYFUNCTION("""COMPUTED_VALUE"""),"      1.750")</f>
        <v>      1.750</v>
      </c>
    </row>
    <row r="1117">
      <c r="A1117" s="2" t="str">
        <f>IFERROR(__xludf.DUMMYFUNCTION("""COMPUTED_VALUE"""),"🚩Mister Eme 1️⃣3️⃣")</f>
        <v>🚩Mister Eme 1️⃣3️⃣</v>
      </c>
      <c r="B1117" s="2" t="str">
        <f>IFERROR(__xludf.DUMMYFUNCTION("""COMPUTED_VALUE"""),"marciod57968098")</f>
        <v>marciod57968098</v>
      </c>
      <c r="C1117" s="2" t="str">
        <f>IFERROR(__xludf.DUMMYFUNCTION("""COMPUTED_VALUE"""),"Que culpa tenho eu se meu sangue é vermelho e meu coração fica no lado esquerdo?")</f>
        <v>Que culpa tenho eu se meu sangue é vermelho e meu coração fica no lado esquerdo?</v>
      </c>
      <c r="D1117" s="2">
        <f>IFERROR(__xludf.DUMMYFUNCTION("""COMPUTED_VALUE"""),1.0028027568273113E-4)</f>
        <v>0.0001002802757</v>
      </c>
      <c r="E1117" s="2" t="str">
        <f>IFERROR(__xludf.DUMMYFUNCTION("""COMPUTED_VALUE"""),"      1.665")</f>
        <v>      1.665</v>
      </c>
    </row>
    <row r="1118">
      <c r="A1118" s="2" t="str">
        <f>IFERROR(__xludf.DUMMYFUNCTION("""COMPUTED_VALUE"""),"mel")</f>
        <v>mel</v>
      </c>
      <c r="B1118" s="2" t="str">
        <f>IFERROR(__xludf.DUMMYFUNCTION("""COMPUTED_VALUE"""),"wearealifetime")</f>
        <v>wearealifetime</v>
      </c>
      <c r="C1118" s="2" t="str">
        <f>IFERROR(__xludf.DUMMYFUNCTION("""COMPUTED_VALUE"""),"se viu menina q babado • fan account ～♡")</f>
        <v>se viu menina q babado • fan account ～♡</v>
      </c>
      <c r="D1118" s="2">
        <f>IFERROR(__xludf.DUMMYFUNCTION("""COMPUTED_VALUE"""),1.0028027568273113E-4)</f>
        <v>0.0001002802757</v>
      </c>
      <c r="E1118" s="2" t="str">
        <f>IFERROR(__xludf.DUMMYFUNCTION("""COMPUTED_VALUE"""),"     23.247")</f>
        <v>     23.247</v>
      </c>
    </row>
    <row r="1119">
      <c r="A1119" s="2" t="str">
        <f>IFERROR(__xludf.DUMMYFUNCTION("""COMPUTED_VALUE"""),"JP🇧🇷🚩")</f>
        <v>JP🇧🇷🚩</v>
      </c>
      <c r="B1119" s="2" t="str">
        <f>IFERROR(__xludf.DUMMYFUNCTION("""COMPUTED_VALUE"""),"jp_br__")</f>
        <v>jp_br__</v>
      </c>
      <c r="C1119" s="2" t="str">
        <f>IFERROR(__xludf.DUMMYFUNCTION("""COMPUTED_VALUE"""),"Brasília-DF")</f>
        <v>Brasília-DF</v>
      </c>
      <c r="D1119" s="2">
        <f>IFERROR(__xludf.DUMMYFUNCTION("""COMPUTED_VALUE"""),1.0028027568273113E-4)</f>
        <v>0.0001002802757</v>
      </c>
      <c r="E1119" s="2" t="str">
        <f>IFERROR(__xludf.DUMMYFUNCTION("""COMPUTED_VALUE"""),"     10.559")</f>
        <v>     10.559</v>
      </c>
    </row>
    <row r="1120">
      <c r="A1120" s="2" t="str">
        <f>IFERROR(__xludf.DUMMYFUNCTION("""COMPUTED_VALUE"""),"Aílton Gomes")</f>
        <v>Aílton Gomes</v>
      </c>
      <c r="B1120" s="2" t="str">
        <f>IFERROR(__xludf.DUMMYFUNCTION("""COMPUTED_VALUE"""),"agpmengao")</f>
        <v>agpmengao</v>
      </c>
      <c r="C1120" s="2"/>
      <c r="D1120" s="2">
        <f>IFERROR(__xludf.DUMMYFUNCTION("""COMPUTED_VALUE"""),1.0028027568273113E-4)</f>
        <v>0.0001002802757</v>
      </c>
      <c r="E1120" s="2" t="str">
        <f>IFERROR(__xludf.DUMMYFUNCTION("""COMPUTED_VALUE"""),"      1.252")</f>
        <v>      1.252</v>
      </c>
    </row>
    <row r="1121">
      <c r="A1121" s="2" t="str">
        <f>IFERROR(__xludf.DUMMYFUNCTION("""COMPUTED_VALUE"""),"Francisco Tinoco 🇧🇷🤝🔰♓")</f>
        <v>Francisco Tinoco 🇧🇷🤝🔰♓</v>
      </c>
      <c r="B1121" s="2" t="str">
        <f>IFERROR(__xludf.DUMMYFUNCTION("""COMPUTED_VALUE"""),"tinocofra")</f>
        <v>tinocofra</v>
      </c>
      <c r="C1121" s="2" t="str">
        <f>IFERROR(__xludf.DUMMYFUNCTION("""COMPUTED_VALUE"""),"Natural do Rio, cientista político. Liberal na economia e no social. Fraternidade como certeza, liberdade como ideal e igualdade como evolução.")</f>
        <v>Natural do Rio, cientista político. Liberal na economia e no social. Fraternidade como certeza, liberdade como ideal e igualdade como evolução.</v>
      </c>
      <c r="D1121" s="2">
        <f>IFERROR(__xludf.DUMMYFUNCTION("""COMPUTED_VALUE"""),1.0028027568273113E-4)</f>
        <v>0.0001002802757</v>
      </c>
      <c r="E1121" s="2" t="str">
        <f>IFERROR(__xludf.DUMMYFUNCTION("""COMPUTED_VALUE"""),"      4.059")</f>
        <v>      4.059</v>
      </c>
    </row>
    <row r="1122">
      <c r="A1122" s="2" t="str">
        <f>IFERROR(__xludf.DUMMYFUNCTION("""COMPUTED_VALUE"""),"lu")</f>
        <v>lu</v>
      </c>
      <c r="B1122" s="2" t="str">
        <f>IFERROR(__xludf.DUMMYFUNCTION("""COMPUTED_VALUE"""),"onedzstan")</f>
        <v>onedzstan</v>
      </c>
      <c r="C1122" s="2"/>
      <c r="D1122" s="2">
        <f>IFERROR(__xludf.DUMMYFUNCTION("""COMPUTED_VALUE"""),1.0028027568273113E-4)</f>
        <v>0.0001002802757</v>
      </c>
      <c r="E1122" s="2" t="str">
        <f>IFERROR(__xludf.DUMMYFUNCTION("""COMPUTED_VALUE"""),"      2.590")</f>
        <v>      2.590</v>
      </c>
    </row>
    <row r="1123">
      <c r="A1123" s="2" t="str">
        <f>IFERROR(__xludf.DUMMYFUNCTION("""COMPUTED_VALUE"""),"Vencemos")</f>
        <v>Vencemos</v>
      </c>
      <c r="B1123" s="2" t="str">
        <f>IFERROR(__xludf.DUMMYFUNCTION("""COMPUTED_VALUE"""),"rangel_lucia")</f>
        <v>rangel_lucia</v>
      </c>
      <c r="C1123" s="2" t="str">
        <f>IFERROR(__xludf.DUMMYFUNCTION("""COMPUTED_VALUE"""),"Os militantes não vem ao mundo em busca do seu, vem entregar a alma por um punhado de sonhos. Mujica")</f>
        <v>Os militantes não vem ao mundo em busca do seu, vem entregar a alma por um punhado de sonhos. Mujica</v>
      </c>
      <c r="D1123" s="2">
        <f>IFERROR(__xludf.DUMMYFUNCTION("""COMPUTED_VALUE"""),1.0028027568273113E-4)</f>
        <v>0.0001002802757</v>
      </c>
      <c r="E1123" s="2" t="str">
        <f>IFERROR(__xludf.DUMMYFUNCTION("""COMPUTED_VALUE"""),"      4.663")</f>
        <v>      4.663</v>
      </c>
    </row>
    <row r="1124">
      <c r="A1124" s="2" t="str">
        <f>IFERROR(__xludf.DUMMYFUNCTION("""COMPUTED_VALUE"""),"Luciano de Souza")</f>
        <v>Luciano de Souza</v>
      </c>
      <c r="B1124" s="2" t="str">
        <f>IFERROR(__xludf.DUMMYFUNCTION("""COMPUTED_VALUE"""),"geologoluciano")</f>
        <v>geologoluciano</v>
      </c>
      <c r="C1124" s="2" t="str">
        <f>IFERROR(__xludf.DUMMYFUNCTION("""COMPUTED_VALUE"""),"Consultor em Geologia Mineração Meio Ambiente e Legislação Mineral.
Prospecção e Pesquisa Mineral.
Pai Família Brasil e Deus acima de todos e à frente de tudo.")</f>
        <v>Consultor em Geologia Mineração Meio Ambiente e Legislação Mineral.
Prospecção e Pesquisa Mineral.
Pai Família Brasil e Deus acima de todos e à frente de tudo.</v>
      </c>
      <c r="D1124" s="2">
        <f>IFERROR(__xludf.DUMMYFUNCTION("""COMPUTED_VALUE"""),1.0028027568273113E-4)</f>
        <v>0.0001002802757</v>
      </c>
      <c r="E1124" s="2" t="str">
        <f>IFERROR(__xludf.DUMMYFUNCTION("""COMPUTED_VALUE"""),"      2.216")</f>
        <v>      2.216</v>
      </c>
    </row>
    <row r="1125">
      <c r="A1125" s="2" t="str">
        <f>IFERROR(__xludf.DUMMYFUNCTION("""COMPUTED_VALUE"""),"Cristiane Reinaldo")</f>
        <v>Cristiane Reinaldo</v>
      </c>
      <c r="B1125" s="2" t="str">
        <f>IFERROR(__xludf.DUMMYFUNCTION("""COMPUTED_VALUE"""),"critianefreita")</f>
        <v>critianefreita</v>
      </c>
      <c r="C1125" s="2"/>
      <c r="D1125" s="2">
        <f>IFERROR(__xludf.DUMMYFUNCTION("""COMPUTED_VALUE"""),1.0028027568273113E-4)</f>
        <v>0.0001002802757</v>
      </c>
      <c r="E1125" s="2" t="str">
        <f>IFERROR(__xludf.DUMMYFUNCTION("""COMPUTED_VALUE"""),"      2.082")</f>
        <v>      2.082</v>
      </c>
    </row>
    <row r="1126">
      <c r="A1126" s="2" t="str">
        <f>IFERROR(__xludf.DUMMYFUNCTION("""COMPUTED_VALUE"""),"Ludmylla Morais 🇧🇷")</f>
        <v>Ludmylla Morais 🇧🇷</v>
      </c>
      <c r="B1126" s="2" t="str">
        <f>IFERROR(__xludf.DUMMYFUNCTION("""COMPUTED_VALUE"""),"ludy_mo")</f>
        <v>ludy_mo</v>
      </c>
      <c r="C1126" s="2" t="str">
        <f>IFERROR(__xludf.DUMMYFUNCTION("""COMPUTED_VALUE"""),"Professora, conservadora e politicamente incorreta. Loucamente apaixonada pelo Flamengo e apoiadora do Bolsonaro.")</f>
        <v>Professora, conservadora e politicamente incorreta. Loucamente apaixonada pelo Flamengo e apoiadora do Bolsonaro.</v>
      </c>
      <c r="D1126" s="2">
        <f>IFERROR(__xludf.DUMMYFUNCTION("""COMPUTED_VALUE"""),1.0028027568273113E-4)</f>
        <v>0.0001002802757</v>
      </c>
      <c r="E1126" s="2" t="str">
        <f>IFERROR(__xludf.DUMMYFUNCTION("""COMPUTED_VALUE"""),"      1.400")</f>
        <v>      1.400</v>
      </c>
    </row>
    <row r="1127">
      <c r="A1127" s="2" t="str">
        <f>IFERROR(__xludf.DUMMYFUNCTION("""COMPUTED_VALUE"""),"Helena Corrêa")</f>
        <v>Helena Corrêa</v>
      </c>
      <c r="B1127" s="2" t="str">
        <f>IFERROR(__xludf.DUMMYFUNCTION("""COMPUTED_VALUE"""),"helcorrea")</f>
        <v>helcorrea</v>
      </c>
      <c r="C1127" s="2" t="str">
        <f>IFERROR(__xludf.DUMMYFUNCTION("""COMPUTED_VALUE"""),"Encontro Marcado/2023")</f>
        <v>Encontro Marcado/2023</v>
      </c>
      <c r="D1127" s="2">
        <f>IFERROR(__xludf.DUMMYFUNCTION("""COMPUTED_VALUE"""),1.0028027568273113E-4)</f>
        <v>0.0001002802757</v>
      </c>
      <c r="E1127" s="2" t="str">
        <f>IFERROR(__xludf.DUMMYFUNCTION("""COMPUTED_VALUE"""),"      3.754")</f>
        <v>      3.754</v>
      </c>
    </row>
    <row r="1128">
      <c r="A1128" s="2" t="str">
        <f>IFERROR(__xludf.DUMMYFUNCTION("""COMPUTED_VALUE"""),"Ana")</f>
        <v>Ana</v>
      </c>
      <c r="B1128" s="2" t="str">
        <f>IFERROR(__xludf.DUMMYFUNCTION("""COMPUTED_VALUE"""),"g_garc2")</f>
        <v>g_garc2</v>
      </c>
      <c r="C1128" s="2"/>
      <c r="D1128" s="2">
        <f>IFERROR(__xludf.DUMMYFUNCTION("""COMPUTED_VALUE"""),1.0028027568273113E-4)</f>
        <v>0.0001002802757</v>
      </c>
      <c r="E1128" s="2" t="str">
        <f>IFERROR(__xludf.DUMMYFUNCTION("""COMPUTED_VALUE"""),"     70.978")</f>
        <v>     70.978</v>
      </c>
    </row>
    <row r="1129">
      <c r="A1129" s="2" t="str">
        <f>IFERROR(__xludf.DUMMYFUNCTION("""COMPUTED_VALUE"""),"henry vai voltar para mais")</f>
        <v>henry vai voltar para mais</v>
      </c>
      <c r="B1129" s="2" t="str">
        <f>IFERROR(__xludf.DUMMYFUNCTION("""COMPUTED_VALUE"""),"funkravesoty")</f>
        <v>funkravesoty</v>
      </c>
      <c r="C1129" s="2" t="str">
        <f>IFERROR(__xludf.DUMMYFUNCTION("""COMPUTED_VALUE"""),"• fan account mas nem tanto •")</f>
        <v>• fan account mas nem tanto •</v>
      </c>
      <c r="D1129" s="2">
        <f>IFERROR(__xludf.DUMMYFUNCTION("""COMPUTED_VALUE"""),1.0028027568273113E-4)</f>
        <v>0.0001002802757</v>
      </c>
      <c r="E1129" s="2" t="str">
        <f>IFERROR(__xludf.DUMMYFUNCTION("""COMPUTED_VALUE"""),"      1.422")</f>
        <v>      1.422</v>
      </c>
    </row>
    <row r="1130">
      <c r="A1130" s="2" t="str">
        <f>IFERROR(__xludf.DUMMYFUNCTION("""COMPUTED_VALUE"""),"lenhagui💋")</f>
        <v>lenhagui💋</v>
      </c>
      <c r="B1130" s="2" t="str">
        <f>IFERROR(__xludf.DUMMYFUNCTION("""COMPUTED_VALUE"""),"lenhagui")</f>
        <v>lenhagui</v>
      </c>
      <c r="C1130" s="2" t="str">
        <f>IFERROR(__xludf.DUMMYFUNCTION("""COMPUTED_VALUE"""),"Gaúcha e Gremista.....🖤")</f>
        <v>Gaúcha e Gremista.....🖤</v>
      </c>
      <c r="D1130" s="2">
        <f>IFERROR(__xludf.DUMMYFUNCTION("""COMPUTED_VALUE"""),1.0028027568273113E-4)</f>
        <v>0.0001002802757</v>
      </c>
      <c r="E1130" s="2" t="str">
        <f>IFERROR(__xludf.DUMMYFUNCTION("""COMPUTED_VALUE"""),"      3.261")</f>
        <v>      3.261</v>
      </c>
    </row>
    <row r="1131">
      <c r="A1131" s="2" t="str">
        <f>IFERROR(__xludf.DUMMYFUNCTION("""COMPUTED_VALUE"""),"Adriano Lima 🇧🇷 🇺🇸 🇮🇱")</f>
        <v>Adriano Lima 🇧🇷 🇺🇸 🇮🇱</v>
      </c>
      <c r="B1131" s="2" t="str">
        <f>IFERROR(__xludf.DUMMYFUNCTION("""COMPUTED_VALUE"""),"adrianslima_adv")</f>
        <v>adrianslima_adv</v>
      </c>
      <c r="C1131" s="2" t="str">
        <f>IFERROR(__xludf.DUMMYFUNCTION("""COMPUTED_VALUE"""),"A conduta é um espelho no qual todos exibem sua imagem.
                     - Johann Wolfgang von Goethe -")</f>
        <v>A conduta é um espelho no qual todos exibem sua imagem.
                     - Johann Wolfgang von Goethe -</v>
      </c>
      <c r="D1131" s="2">
        <f>IFERROR(__xludf.DUMMYFUNCTION("""COMPUTED_VALUE"""),1.0028027568273113E-4)</f>
        <v>0.0001002802757</v>
      </c>
      <c r="E1131" s="2" t="str">
        <f>IFERROR(__xludf.DUMMYFUNCTION("""COMPUTED_VALUE"""),"      6.268")</f>
        <v>      6.268</v>
      </c>
    </row>
    <row r="1132">
      <c r="A1132" s="2" t="str">
        <f>IFERROR(__xludf.DUMMYFUNCTION("""COMPUTED_VALUE"""),"Glauco Fonteles O e Silva")</f>
        <v>Glauco Fonteles O e Silva</v>
      </c>
      <c r="B1132" s="2" t="str">
        <f>IFERROR(__xludf.DUMMYFUNCTION("""COMPUTED_VALUE"""),"glaucofonteles")</f>
        <v>glaucofonteles</v>
      </c>
      <c r="C1132" s="2" t="str">
        <f>IFERROR(__xludf.DUMMYFUNCTION("""COMPUTED_VALUE"""),"Economista. Doutorando em Direito Constitucional - IDP (@SejaIDP). Mestre em Economia (IDP). Graduado em Economia e  em Direito.")</f>
        <v>Economista. Doutorando em Direito Constitucional - IDP (@SejaIDP). Mestre em Economia (IDP). Graduado em Economia e  em Direito.</v>
      </c>
      <c r="D1132" s="2">
        <f>IFERROR(__xludf.DUMMYFUNCTION("""COMPUTED_VALUE"""),1.0028027568273113E-4)</f>
        <v>0.0001002802757</v>
      </c>
      <c r="E1132" s="2" t="str">
        <f>IFERROR(__xludf.DUMMYFUNCTION("""COMPUTED_VALUE"""),"      2.035")</f>
        <v>      2.035</v>
      </c>
    </row>
    <row r="1133">
      <c r="A1133" s="2" t="str">
        <f>IFERROR(__xludf.DUMMYFUNCTION("""COMPUTED_VALUE"""),"MAURICIO SILVEIRA")</f>
        <v>MAURICIO SILVEIRA</v>
      </c>
      <c r="B1133" s="2" t="str">
        <f>IFERROR(__xludf.DUMMYFUNCTION("""COMPUTED_VALUE"""),"clebermauricio4")</f>
        <v>clebermauricio4</v>
      </c>
      <c r="C1133" s="2" t="str">
        <f>IFERROR(__xludf.DUMMYFUNCTION("""COMPUTED_VALUE"""),"#PauloFreire
#LulaPresidente2022  #EsquerdaSegueEsquerda
#VidasNegrasImportam
#ForaBolsonaro")</f>
        <v>#PauloFreire
#LulaPresidente2022  #EsquerdaSegueEsquerda
#VidasNegrasImportam
#ForaBolsonaro</v>
      </c>
      <c r="D1133" s="2">
        <f>IFERROR(__xludf.DUMMYFUNCTION("""COMPUTED_VALUE"""),1.0028027568273113E-4)</f>
        <v>0.0001002802757</v>
      </c>
      <c r="E1133" s="2" t="str">
        <f>IFERROR(__xludf.DUMMYFUNCTION("""COMPUTED_VALUE"""),"      7.276")</f>
        <v>      7.276</v>
      </c>
    </row>
    <row r="1134">
      <c r="A1134" s="2" t="str">
        <f>IFERROR(__xludf.DUMMYFUNCTION("""COMPUTED_VALUE"""),"Guilherme")</f>
        <v>Guilherme</v>
      </c>
      <c r="B1134" s="2" t="str">
        <f>IFERROR(__xludf.DUMMYFUNCTION("""COMPUTED_VALUE"""),"guilesn_br")</f>
        <v>guilesn_br</v>
      </c>
      <c r="C1134" s="2" t="str">
        <f>IFERROR(__xludf.DUMMYFUNCTION("""COMPUTED_VALUE"""),"My dogs would give their lives to protect me. I will use my life to protect them.
Please use the link below for protests:")</f>
        <v>My dogs would give their lives to protect me. I will use my life to protect them.
Please use the link below for protests:</v>
      </c>
      <c r="D1134" s="2">
        <f>IFERROR(__xludf.DUMMYFUNCTION("""COMPUTED_VALUE"""),1.0028027568273113E-4)</f>
        <v>0.0001002802757</v>
      </c>
      <c r="E1134" s="2" t="str">
        <f>IFERROR(__xludf.DUMMYFUNCTION("""COMPUTED_VALUE"""),"      2.127")</f>
        <v>      2.127</v>
      </c>
    </row>
    <row r="1135">
      <c r="A1135" s="2" t="str">
        <f>IFERROR(__xludf.DUMMYFUNCTION("""COMPUTED_VALUE"""),"Léo Aleatório - SRN🏆🏆🏆")</f>
        <v>Léo Aleatório - SRN🏆🏆🏆</v>
      </c>
      <c r="B1135" s="2" t="str">
        <f>IFERROR(__xludf.DUMMYFUNCTION("""COMPUTED_VALUE"""),"leopaifeliz")</f>
        <v>leopaifeliz</v>
      </c>
      <c r="C1135" s="2" t="str">
        <f>IFERROR(__xludf.DUMMYFUNCTION("""COMPUTED_VALUE"""),"Aqui é Mengão! Rock, Blues e Jazz. Sincero e desagradável. 
Fora da caridade, não há salvação.
Reencarnação, uma questão de Justiça.
Allan Kardec
 #Flamengo")</f>
        <v>Aqui é Mengão! Rock, Blues e Jazz. Sincero e desagradável. 
Fora da caridade, não há salvação.
Reencarnação, uma questão de Justiça.
Allan Kardec
 #Flamengo</v>
      </c>
      <c r="D1135" s="2">
        <f>IFERROR(__xludf.DUMMYFUNCTION("""COMPUTED_VALUE"""),1.0028027568273113E-4)</f>
        <v>0.0001002802757</v>
      </c>
      <c r="E1135" s="2" t="str">
        <f>IFERROR(__xludf.DUMMYFUNCTION("""COMPUTED_VALUE"""),"      2.265")</f>
        <v>      2.265</v>
      </c>
    </row>
    <row r="1136">
      <c r="A1136" s="2" t="str">
        <f>IFERROR(__xludf.DUMMYFUNCTION("""COMPUTED_VALUE"""),"EDIA")</f>
        <v>EDIA</v>
      </c>
      <c r="B1136" s="2" t="str">
        <f>IFERROR(__xludf.DUMMYFUNCTION("""COMPUTED_VALUE"""),"ediiaa")</f>
        <v>ediiaa</v>
      </c>
      <c r="C1136" s="2" t="str">
        <f>IFERROR(__xludf.DUMMYFUNCTION("""COMPUTED_VALUE"""),"#LulaOficial.Fora golpistas. Por um Brasil com justiça social.")</f>
        <v>#LulaOficial.Fora golpistas. Por um Brasil com justiça social.</v>
      </c>
      <c r="D1136" s="2">
        <f>IFERROR(__xludf.DUMMYFUNCTION("""COMPUTED_VALUE"""),1.0028027568273113E-4)</f>
        <v>0.0001002802757</v>
      </c>
      <c r="E1136" s="2" t="str">
        <f>IFERROR(__xludf.DUMMYFUNCTION("""COMPUTED_VALUE"""),"      3.311")</f>
        <v>      3.311</v>
      </c>
    </row>
    <row r="1137">
      <c r="A1137" s="2" t="str">
        <f>IFERROR(__xludf.DUMMYFUNCTION("""COMPUTED_VALUE"""),"vivicღ by back for more")</f>
        <v>vivicღ by back for more</v>
      </c>
      <c r="B1137" s="2" t="str">
        <f>IFERROR(__xludf.DUMMYFUNCTION("""COMPUTED_VALUE"""),"chimmysilvers")</f>
        <v>chimmysilvers</v>
      </c>
      <c r="C1137" s="2" t="str">
        <f>IFERROR(__xludf.DUMMYFUNCTION("""COMPUTED_VALUE"""),"e como isso afeta o jjk1 e o jb7?")</f>
        <v>e como isso afeta o jjk1 e o jb7?</v>
      </c>
      <c r="D1137" s="2">
        <f>IFERROR(__xludf.DUMMYFUNCTION("""COMPUTED_VALUE"""),1.0028027568273113E-4)</f>
        <v>0.0001002802757</v>
      </c>
      <c r="E1137" s="2" t="str">
        <f>IFERROR(__xludf.DUMMYFUNCTION("""COMPUTED_VALUE"""),"      3.964")</f>
        <v>      3.964</v>
      </c>
    </row>
    <row r="1138">
      <c r="A1138" s="2" t="str">
        <f>IFERROR(__xludf.DUMMYFUNCTION("""COMPUTED_VALUE"""),"Lugano do chimarrão")</f>
        <v>Lugano do chimarrão</v>
      </c>
      <c r="B1138" s="2" t="str">
        <f>IFERROR(__xludf.DUMMYFUNCTION("""COMPUTED_VALUE"""),"luganodochimas")</f>
        <v>luganodochimas</v>
      </c>
      <c r="C1138" s="2" t="str">
        <f>IFERROR(__xludf.DUMMYFUNCTION("""COMPUTED_VALUE"""),"Perfil que mais dá retweet sobre assuntos São Paulinos. Anota ai, Diego Lugano 🇾🇪")</f>
        <v>Perfil que mais dá retweet sobre assuntos São Paulinos. Anota ai, Diego Lugano 🇾🇪</v>
      </c>
      <c r="D1138" s="2">
        <f>IFERROR(__xludf.DUMMYFUNCTION("""COMPUTED_VALUE"""),1.0028027568273113E-4)</f>
        <v>0.0001002802757</v>
      </c>
      <c r="E1138" s="2" t="str">
        <f>IFERROR(__xludf.DUMMYFUNCTION("""COMPUTED_VALUE"""),"      1.812")</f>
        <v>      1.812</v>
      </c>
    </row>
    <row r="1139">
      <c r="A1139" s="2" t="str">
        <f>IFERROR(__xludf.DUMMYFUNCTION("""COMPUTED_VALUE"""),"Rosita")</f>
        <v>Rosita</v>
      </c>
      <c r="B1139" s="2" t="str">
        <f>IFERROR(__xludf.DUMMYFUNCTION("""COMPUTED_VALUE"""),"rosarod44257690")</f>
        <v>rosarod44257690</v>
      </c>
      <c r="C1139" s="2" t="str">
        <f>IFERROR(__xludf.DUMMYFUNCTION("""COMPUTED_VALUE"""),"🇨🇺💟Amante de lo bello. Revolucionaria, amo a mi Cuba que linda es #Cuba.🇨🇺")</f>
        <v>🇨🇺💟Amante de lo bello. Revolucionaria, amo a mi Cuba que linda es #Cuba.🇨🇺</v>
      </c>
      <c r="D1139" s="2">
        <f>IFERROR(__xludf.DUMMYFUNCTION("""COMPUTED_VALUE"""),1.0028027568273113E-4)</f>
        <v>0.0001002802757</v>
      </c>
      <c r="E1139" s="2" t="str">
        <f>IFERROR(__xludf.DUMMYFUNCTION("""COMPUTED_VALUE"""),"      7.599")</f>
        <v>      7.599</v>
      </c>
    </row>
    <row r="1140">
      <c r="A1140" s="2" t="str">
        <f>IFERROR(__xludf.DUMMYFUNCTION("""COMPUTED_VALUE"""),"Rio2016PTEducador 🇧🇷🚩🇦🇲")</f>
        <v>Rio2016PTEducador 🇧🇷🚩🇦🇲</v>
      </c>
      <c r="B1140" s="2" t="str">
        <f>IFERROR(__xludf.DUMMYFUNCTION("""COMPUTED_VALUE"""),"maribh2")</f>
        <v>maribh2</v>
      </c>
      <c r="C1140" s="2" t="str">
        <f>IFERROR(__xludf.DUMMYFUNCTION("""COMPUTED_VALUE"""),"Export Import Services as Custom Clearance &amp; Transport. Sales around Americas: Calzados y Eyeframes/Armazones, Lenses. Raw Material Optico. Brazil. India.China.")</f>
        <v>Export Import Services as Custom Clearance &amp; Transport. Sales around Americas: Calzados y Eyeframes/Armazones, Lenses. Raw Material Optico. Brazil. India.China.</v>
      </c>
      <c r="D1140" s="2">
        <f>IFERROR(__xludf.DUMMYFUNCTION("""COMPUTED_VALUE"""),1.0028027568273113E-4)</f>
        <v>0.0001002802757</v>
      </c>
      <c r="E1140" s="2" t="str">
        <f>IFERROR(__xludf.DUMMYFUNCTION("""COMPUTED_VALUE"""),"      2.137")</f>
        <v>      2.137</v>
      </c>
    </row>
    <row r="1141">
      <c r="A1141" s="2" t="str">
        <f>IFERROR(__xludf.DUMMYFUNCTION("""COMPUTED_VALUE"""),"fer ⚽️")</f>
        <v>fer ⚽️</v>
      </c>
      <c r="B1141" s="2" t="str">
        <f>IFERROR(__xludf.DUMMYFUNCTION("""COMPUTED_VALUE"""),"fhcfer")</f>
        <v>fhcfer</v>
      </c>
      <c r="C1141" s="2" t="str">
        <f>IFERROR(__xludf.DUMMYFUNCTION("""COMPUTED_VALUE"""),"⚽️ @Cruzeiro @as_monaco_br ✨ 💙 insta: @fhcfer 👩🏽‍💻 “A Voz da Torcida” no @ge_cruzeiro 💙🏆💙🥰💙 me acompanhe no Youtube! ⬇️ @kto_brasil")</f>
        <v>⚽️ @Cruzeiro @as_monaco_br ✨ 💙 insta: @fhcfer 👩🏽‍💻 “A Voz da Torcida” no @ge_cruzeiro 💙🏆💙🥰💙 me acompanhe no Youtube! ⬇️ @kto_brasil</v>
      </c>
      <c r="D1141" s="2">
        <f>IFERROR(__xludf.DUMMYFUNCTION("""COMPUTED_VALUE"""),1.0028027568273113E-4)</f>
        <v>0.0001002802757</v>
      </c>
      <c r="E1141" s="2" t="str">
        <f>IFERROR(__xludf.DUMMYFUNCTION("""COMPUTED_VALUE"""),"     33.068")</f>
        <v>     33.068</v>
      </c>
    </row>
    <row r="1142">
      <c r="A1142" s="2" t="str">
        <f>IFERROR(__xludf.DUMMYFUNCTION("""COMPUTED_VALUE"""),"Klinger Ericeira 🇧🇷")</f>
        <v>Klinger Ericeira 🇧🇷</v>
      </c>
      <c r="B1142" s="2" t="str">
        <f>IFERROR(__xludf.DUMMYFUNCTION("""COMPUTED_VALUE"""),"klingerericeira")</f>
        <v>klingerericeira</v>
      </c>
      <c r="C1142" s="2" t="str">
        <f>IFERROR(__xludf.DUMMYFUNCTION("""COMPUTED_VALUE"""),"Perfil de ativismo político.
Filósofo; cientista social; gestor público.
Professor; servidor público.
Visão monocular; TDAH.
Ateu.
SDV progressistas.
Evite DMs.")</f>
        <v>Perfil de ativismo político.
Filósofo; cientista social; gestor público.
Professor; servidor público.
Visão monocular; TDAH.
Ateu.
SDV progressistas.
Evite DMs.</v>
      </c>
      <c r="D1142" s="2">
        <f>IFERROR(__xludf.DUMMYFUNCTION("""COMPUTED_VALUE"""),1.0028027568273113E-4)</f>
        <v>0.0001002802757</v>
      </c>
      <c r="E1142" s="2" t="str">
        <f>IFERROR(__xludf.DUMMYFUNCTION("""COMPUTED_VALUE"""),"     18.892")</f>
        <v>     18.892</v>
      </c>
    </row>
    <row r="1143">
      <c r="A1143" s="2" t="str">
        <f>IFERROR(__xludf.DUMMYFUNCTION("""COMPUTED_VALUE"""),"nalu★")</f>
        <v>nalu★</v>
      </c>
      <c r="B1143" s="2" t="str">
        <f>IFERROR(__xludf.DUMMYFUNCTION("""COMPUTED_VALUE"""),"hesloewe")</f>
        <v>hesloewe</v>
      </c>
      <c r="C1143" s="2" t="str">
        <f>IFERROR(__xludf.DUMMYFUNCTION("""COMPUTED_VALUE"""),"i know you ain't use to a female alpha")</f>
        <v>i know you ain't use to a female alpha</v>
      </c>
      <c r="D1143" s="2">
        <f>IFERROR(__xludf.DUMMYFUNCTION("""COMPUTED_VALUE"""),1.0028027568273113E-4)</f>
        <v>0.0001002802757</v>
      </c>
      <c r="E1143" s="2" t="str">
        <f>IFERROR(__xludf.DUMMYFUNCTION("""COMPUTED_VALUE"""),"      2.365")</f>
        <v>      2.365</v>
      </c>
    </row>
    <row r="1144">
      <c r="A1144" s="2" t="str">
        <f>IFERROR(__xludf.DUMMYFUNCTION("""COMPUTED_VALUE"""),"Marcos")</f>
        <v>Marcos</v>
      </c>
      <c r="B1144" s="2" t="str">
        <f>IFERROR(__xludf.DUMMYFUNCTION("""COMPUTED_VALUE"""),"marcosvoteciro")</f>
        <v>marcosvoteciro</v>
      </c>
      <c r="C1144" s="2" t="str">
        <f>IFERROR(__xludf.DUMMYFUNCTION("""COMPUTED_VALUE"""),"Mineiro")</f>
        <v>Mineiro</v>
      </c>
      <c r="D1144" s="2">
        <f>IFERROR(__xludf.DUMMYFUNCTION("""COMPUTED_VALUE"""),1.0028027568273113E-4)</f>
        <v>0.0001002802757</v>
      </c>
      <c r="E1144" s="2" t="str">
        <f>IFERROR(__xludf.DUMMYFUNCTION("""COMPUTED_VALUE"""),"      1.919")</f>
        <v>      1.919</v>
      </c>
    </row>
    <row r="1145">
      <c r="A1145" s="2" t="str">
        <f>IFERROR(__xludf.DUMMYFUNCTION("""COMPUTED_VALUE"""),"Jais")</f>
        <v>Jais</v>
      </c>
      <c r="B1145" s="2" t="str">
        <f>IFERROR(__xludf.DUMMYFUNCTION("""COMPUTED_VALUE"""),"seessshh")</f>
        <v>seessshh</v>
      </c>
      <c r="C1145" s="2" t="str">
        <f>IFERROR(__xludf.DUMMYFUNCTION("""COMPUTED_VALUE"""),"main - @/belieberauhl got s worded :(")</f>
        <v>main - @/belieberauhl got s worded :(</v>
      </c>
      <c r="D1145" s="2">
        <f>IFERROR(__xludf.DUMMYFUNCTION("""COMPUTED_VALUE"""),1.0028027568273113E-4)</f>
        <v>0.0001002802757</v>
      </c>
      <c r="E1145" s="2" t="str">
        <f>IFERROR(__xludf.DUMMYFUNCTION("""COMPUTED_VALUE"""),"      1.346")</f>
        <v>      1.346</v>
      </c>
    </row>
    <row r="1146">
      <c r="A1146" s="2" t="str">
        <f>IFERROR(__xludf.DUMMYFUNCTION("""COMPUTED_VALUE"""),"pedro")</f>
        <v>pedro</v>
      </c>
      <c r="B1146" s="2" t="str">
        <f>IFERROR(__xludf.DUMMYFUNCTION("""COMPUTED_VALUE"""),"versionsofcardi")</f>
        <v>versionsofcardi</v>
      </c>
      <c r="C1146" s="2" t="str">
        <f>IFERROR(__xludf.DUMMYFUNCTION("""COMPUTED_VALUE"""),"fan acccount")</f>
        <v>fan acccount</v>
      </c>
      <c r="D1146" s="2">
        <f>IFERROR(__xludf.DUMMYFUNCTION("""COMPUTED_VALUE"""),1.0028027568273113E-4)</f>
        <v>0.0001002802757</v>
      </c>
      <c r="E1146" s="2" t="str">
        <f>IFERROR(__xludf.DUMMYFUNCTION("""COMPUTED_VALUE"""),"      2.338")</f>
        <v>      2.338</v>
      </c>
    </row>
    <row r="1147">
      <c r="A1147" s="2" t="str">
        <f>IFERROR(__xludf.DUMMYFUNCTION("""COMPUTED_VALUE"""),"Eliseu Alves")</f>
        <v>Eliseu Alves</v>
      </c>
      <c r="B1147" s="2" t="str">
        <f>IFERROR(__xludf.DUMMYFUNCTION("""COMPUTED_VALUE"""),"eliseualvs1")</f>
        <v>eliseualvs1</v>
      </c>
      <c r="C1147" s="2" t="str">
        <f>IFERROR(__xludf.DUMMYFUNCTION("""COMPUTED_VALUE"""),"97% Internacionalista;
Fotógrafo nas horas vagas;
Pai do Bernardo;
Amapá em primeiro lugar!")</f>
        <v>97% Internacionalista;
Fotógrafo nas horas vagas;
Pai do Bernardo;
Amapá em primeiro lugar!</v>
      </c>
      <c r="D1147" s="2">
        <f>IFERROR(__xludf.DUMMYFUNCTION("""COMPUTED_VALUE"""),1.0028027568273113E-4)</f>
        <v>0.0001002802757</v>
      </c>
      <c r="E1147" s="2" t="str">
        <f>IFERROR(__xludf.DUMMYFUNCTION("""COMPUTED_VALUE"""),"      1.474")</f>
        <v>      1.474</v>
      </c>
    </row>
    <row r="1148">
      <c r="A1148" s="2" t="str">
        <f>IFERROR(__xludf.DUMMYFUNCTION("""COMPUTED_VALUE"""),"João Carlos Nóbrega")</f>
        <v>João Carlos Nóbrega</v>
      </c>
      <c r="B1148" s="2" t="str">
        <f>IFERROR(__xludf.DUMMYFUNCTION("""COMPUTED_VALUE"""),"jcna1998")</f>
        <v>jcna1998</v>
      </c>
      <c r="C1148" s="2"/>
      <c r="D1148" s="2">
        <f>IFERROR(__xludf.DUMMYFUNCTION("""COMPUTED_VALUE"""),1.0028027568273113E-4)</f>
        <v>0.0001002802757</v>
      </c>
      <c r="E1148" s="2" t="str">
        <f>IFERROR(__xludf.DUMMYFUNCTION("""COMPUTED_VALUE"""),"      1.164")</f>
        <v>      1.164</v>
      </c>
    </row>
    <row r="1149">
      <c r="A1149" s="2" t="str">
        <f>IFERROR(__xludf.DUMMYFUNCTION("""COMPUTED_VALUE"""),"comunista=nazista")</f>
        <v>comunista=nazista</v>
      </c>
      <c r="B1149" s="2" t="str">
        <f>IFERROR(__xludf.DUMMYFUNCTION("""COMPUTED_VALUE"""),"stefano618")</f>
        <v>stefano618</v>
      </c>
      <c r="C1149" s="2" t="str">
        <f>IFERROR(__xludf.DUMMYFUNCTION("""COMPUTED_VALUE"""),"HORIZONTALMENTE CONTRA QUALQUER COLETIVISMO -
🐍📈")</f>
        <v>HORIZONTALMENTE CONTRA QUALQUER COLETIVISMO -
🐍📈</v>
      </c>
      <c r="D1149" s="2">
        <f>IFERROR(__xludf.DUMMYFUNCTION("""COMPUTED_VALUE"""),1.0028027568273113E-4)</f>
        <v>0.0001002802757</v>
      </c>
      <c r="E1149" s="2" t="str">
        <f>IFERROR(__xludf.DUMMYFUNCTION("""COMPUTED_VALUE"""),"      2.441")</f>
        <v>      2.441</v>
      </c>
    </row>
    <row r="1150">
      <c r="A1150" s="2" t="str">
        <f>IFERROR(__xludf.DUMMYFUNCTION("""COMPUTED_VALUE"""),"𝓔𝓵 𝓟𝓻𝓸𝓯𝓮𝓼𝓸𝓻")</f>
        <v>𝓔𝓵 𝓟𝓻𝓸𝓯𝓮𝓼𝓸𝓻</v>
      </c>
      <c r="B1150" s="2" t="str">
        <f>IFERROR(__xludf.DUMMYFUNCTION("""COMPUTED_VALUE"""),"elprofe2890")</f>
        <v>elprofe2890</v>
      </c>
      <c r="C1150" s="2" t="str">
        <f>IFERROR(__xludf.DUMMYFUNCTION("""COMPUTED_VALUE"""),"D Izquierda, Antimperialista, Amo mi Patria y mi bandera 🇨🇺. No tolero la mentira. No permito q hablen mal d mi país. #PasiónXCuba 🇨🇺")</f>
        <v>D Izquierda, Antimperialista, Amo mi Patria y mi bandera 🇨🇺. No tolero la mentira. No permito q hablen mal d mi país. #PasiónXCuba 🇨🇺</v>
      </c>
      <c r="D1150" s="2">
        <f>IFERROR(__xludf.DUMMYFUNCTION("""COMPUTED_VALUE"""),1.0028027568273113E-4)</f>
        <v>0.0001002802757</v>
      </c>
      <c r="E1150" s="2" t="str">
        <f>IFERROR(__xludf.DUMMYFUNCTION("""COMPUTED_VALUE"""),"      6.751")</f>
        <v>      6.751</v>
      </c>
    </row>
    <row r="1151">
      <c r="A1151" s="2" t="str">
        <f>IFERROR(__xludf.DUMMYFUNCTION("""COMPUTED_VALUE"""),"De Camargo")</f>
        <v>De Camargo</v>
      </c>
      <c r="B1151" s="2" t="str">
        <f>IFERROR(__xludf.DUMMYFUNCTION("""COMPUTED_VALUE"""),"de_camago")</f>
        <v>de_camago</v>
      </c>
      <c r="C1151" s="2"/>
      <c r="D1151" s="2">
        <f>IFERROR(__xludf.DUMMYFUNCTION("""COMPUTED_VALUE"""),1.0028027568273113E-4)</f>
        <v>0.0001002802757</v>
      </c>
      <c r="E1151" s="2" t="str">
        <f>IFERROR(__xludf.DUMMYFUNCTION("""COMPUTED_VALUE"""),"      1.716")</f>
        <v>      1.716</v>
      </c>
    </row>
    <row r="1152">
      <c r="A1152" s="2" t="str">
        <f>IFERROR(__xludf.DUMMYFUNCTION("""COMPUTED_VALUE"""),"Notícias de Cuba 🇨🇺")</f>
        <v>Notícias de Cuba 🇨🇺</v>
      </c>
      <c r="B1152" s="2" t="str">
        <f>IFERROR(__xludf.DUMMYFUNCTION("""COMPUTED_VALUE"""),"noticiasdcuba")</f>
        <v>noticiasdcuba</v>
      </c>
      <c r="C1152" s="2" t="str">
        <f>IFERROR(__xludf.DUMMYFUNCTION("""COMPUTED_VALUE"""),"Notícias sobre Cuba, em português .(En la lucha contra el terrorismo mediático contra Cuba)!")</f>
        <v>Notícias sobre Cuba, em português .(En la lucha contra el terrorismo mediático contra Cuba)!</v>
      </c>
      <c r="D1152" s="2">
        <f>IFERROR(__xludf.DUMMYFUNCTION("""COMPUTED_VALUE"""),1.0028027568273113E-4)</f>
        <v>0.0001002802757</v>
      </c>
      <c r="E1152" s="2" t="str">
        <f>IFERROR(__xludf.DUMMYFUNCTION("""COMPUTED_VALUE"""),"      4.150")</f>
        <v>      4.150</v>
      </c>
    </row>
    <row r="1153">
      <c r="A1153" s="2" t="str">
        <f>IFERROR(__xludf.DUMMYFUNCTION("""COMPUTED_VALUE"""),"Jacqueline T. 22🇧🇷")</f>
        <v>Jacqueline T. 22🇧🇷</v>
      </c>
      <c r="B1153" s="2" t="str">
        <f>IFERROR(__xludf.DUMMYFUNCTION("""COMPUTED_VALUE"""),"jacquelinetapi8")</f>
        <v>jacquelinetapi8</v>
      </c>
      <c r="C1153" s="2"/>
      <c r="D1153" s="2">
        <f>IFERROR(__xludf.DUMMYFUNCTION("""COMPUTED_VALUE"""),1.0028027568273113E-4)</f>
        <v>0.0001002802757</v>
      </c>
      <c r="E1153" s="2" t="str">
        <f>IFERROR(__xludf.DUMMYFUNCTION("""COMPUTED_VALUE"""),"      3.101")</f>
        <v>      3.101</v>
      </c>
    </row>
    <row r="1154">
      <c r="A1154" s="2" t="str">
        <f>IFERROR(__xludf.DUMMYFUNCTION("""COMPUTED_VALUE"""),"Deise Barreiro")</f>
        <v>Deise Barreiro</v>
      </c>
      <c r="B1154" s="2" t="str">
        <f>IFERROR(__xludf.DUMMYFUNCTION("""COMPUTED_VALUE"""),"deisebarreiros")</f>
        <v>deisebarreiros</v>
      </c>
      <c r="C1154" s="2" t="str">
        <f>IFERROR(__xludf.DUMMYFUNCTION("""COMPUTED_VALUE"""),"Vou seguir todos de volta sempre que o Twitter deixar. Eles me restringiram.
13 é número da sorte, vermelho é a cor mais quente")</f>
        <v>Vou seguir todos de volta sempre que o Twitter deixar. Eles me restringiram.
13 é número da sorte, vermelho é a cor mais quente</v>
      </c>
      <c r="D1154" s="2">
        <f>IFERROR(__xludf.DUMMYFUNCTION("""COMPUTED_VALUE"""),1.0028027568273113E-4)</f>
        <v>0.0001002802757</v>
      </c>
      <c r="E1154" s="2" t="str">
        <f>IFERROR(__xludf.DUMMYFUNCTION("""COMPUTED_VALUE"""),"      8.553")</f>
        <v>      8.553</v>
      </c>
    </row>
    <row r="1155">
      <c r="A1155" s="2" t="str">
        <f>IFERROR(__xludf.DUMMYFUNCTION("""COMPUTED_VALUE"""),"DOROTHY RAFAELLI")</f>
        <v>DOROTHY RAFAELLI</v>
      </c>
      <c r="B1155" s="2" t="str">
        <f>IFERROR(__xludf.DUMMYFUNCTION("""COMPUTED_VALUE"""),"dorarafa")</f>
        <v>dorarafa</v>
      </c>
      <c r="C1155" s="2"/>
      <c r="D1155" s="2">
        <f>IFERROR(__xludf.DUMMYFUNCTION("""COMPUTED_VALUE"""),1.0028027568273113E-4)</f>
        <v>0.0001002802757</v>
      </c>
      <c r="E1155" s="2" t="str">
        <f>IFERROR(__xludf.DUMMYFUNCTION("""COMPUTED_VALUE"""),"      1.552")</f>
        <v>      1.552</v>
      </c>
    </row>
    <row r="1156">
      <c r="A1156" s="2" t="str">
        <f>IFERROR(__xludf.DUMMYFUNCTION("""COMPUTED_VALUE"""),"Moema LULA 13🚩🚩🚩")</f>
        <v>Moema LULA 13🚩🚩🚩</v>
      </c>
      <c r="B1156" s="2" t="str">
        <f>IFERROR(__xludf.DUMMYFUNCTION("""COMPUTED_VALUE"""),"moema4")</f>
        <v>moema4</v>
      </c>
      <c r="C1156" s="2" t="str">
        <f>IFERROR(__xludf.DUMMYFUNCTION("""COMPUTED_VALUE"""),"MEU PAÍS é o NORDESTE!")</f>
        <v>MEU PAÍS é o NORDESTE!</v>
      </c>
      <c r="D1156" s="2">
        <f>IFERROR(__xludf.DUMMYFUNCTION("""COMPUTED_VALUE"""),1.0028027568273113E-4)</f>
        <v>0.0001002802757</v>
      </c>
      <c r="E1156" s="2" t="str">
        <f>IFERROR(__xludf.DUMMYFUNCTION("""COMPUTED_VALUE"""),"     11.334")</f>
        <v>     11.334</v>
      </c>
    </row>
    <row r="1157">
      <c r="A1157" s="2" t="str">
        <f>IFERROR(__xludf.DUMMYFUNCTION("""COMPUTED_VALUE"""),"✩ BAH / ANITTA ✩")</f>
        <v>✩ BAH / ANITTA ✩</v>
      </c>
      <c r="B1157" s="2" t="str">
        <f>IFERROR(__xludf.DUMMYFUNCTION("""COMPUTED_VALUE"""),"superstarevans")</f>
        <v>superstarevans</v>
      </c>
      <c r="C1157" s="2"/>
      <c r="D1157" s="2">
        <f>IFERROR(__xludf.DUMMYFUNCTION("""COMPUTED_VALUE"""),1.0028027568273113E-4)</f>
        <v>0.0001002802757</v>
      </c>
      <c r="E1157" s="2" t="str">
        <f>IFERROR(__xludf.DUMMYFUNCTION("""COMPUTED_VALUE"""),"      2.724")</f>
        <v>      2.724</v>
      </c>
    </row>
    <row r="1158">
      <c r="A1158" s="2" t="str">
        <f>IFERROR(__xludf.DUMMYFUNCTION("""COMPUTED_VALUE"""),"Vεηη𝕏")</f>
        <v>Vεηη𝕏</v>
      </c>
      <c r="B1158" s="2" t="str">
        <f>IFERROR(__xludf.DUMMYFUNCTION("""COMPUTED_VALUE"""),"vennx___")</f>
        <v>vennx___</v>
      </c>
      <c r="C1158" s="2" t="str">
        <f>IFERROR(__xludf.DUMMYFUNCTION("""COMPUTED_VALUE"""),"| Bacharelando em SI | Libertário | #XMR | #BTC")</f>
        <v>| Bacharelando em SI | Libertário | #XMR | #BTC</v>
      </c>
      <c r="D1158" s="2">
        <f>IFERROR(__xludf.DUMMYFUNCTION("""COMPUTED_VALUE"""),1.0028027568273113E-4)</f>
        <v>0.0001002802757</v>
      </c>
      <c r="E1158" s="2" t="str">
        <f>IFERROR(__xludf.DUMMYFUNCTION("""COMPUTED_VALUE"""),"      2.336")</f>
        <v>      2.336</v>
      </c>
    </row>
    <row r="1159">
      <c r="A1159" s="2" t="str">
        <f>IFERROR(__xludf.DUMMYFUNCTION("""COMPUTED_VALUE"""),"🇧🇷🇮🇹JConsult - Despachante Imobiliário🇧🇷🇮🇹")</f>
        <v>🇧🇷🇮🇹JConsult - Despachante Imobiliário🇧🇷🇮🇹</v>
      </c>
      <c r="B1159" s="2" t="str">
        <f>IFERROR(__xludf.DUMMYFUNCTION("""COMPUTED_VALUE"""),"jelderconsultsp")</f>
        <v>jelderconsultsp</v>
      </c>
      <c r="C1159" s="2"/>
      <c r="D1159" s="2">
        <f>IFERROR(__xludf.DUMMYFUNCTION("""COMPUTED_VALUE"""),1.0028027568273113E-4)</f>
        <v>0.0001002802757</v>
      </c>
      <c r="E1159" s="2" t="str">
        <f>IFERROR(__xludf.DUMMYFUNCTION("""COMPUTED_VALUE"""),"      1.253")</f>
        <v>      1.253</v>
      </c>
    </row>
    <row r="1160">
      <c r="A1160" s="2" t="str">
        <f>IFERROR(__xludf.DUMMYFUNCTION("""COMPUTED_VALUE"""),"︎couto")</f>
        <v>︎couto</v>
      </c>
      <c r="B1160" s="2" t="str">
        <f>IFERROR(__xludf.DUMMYFUNCTION("""COMPUTED_VALUE"""),"coutocrf")</f>
        <v>coutocrf</v>
      </c>
      <c r="C1160" s="2" t="str">
        <f>IFERROR(__xludf.DUMMYFUNCTION("""COMPUTED_VALUE"""),"papai da marina 💜")</f>
        <v>papai da marina 💜</v>
      </c>
      <c r="D1160" s="2">
        <f>IFERROR(__xludf.DUMMYFUNCTION("""COMPUTED_VALUE"""),1.0028027568273113E-4)</f>
        <v>0.0001002802757</v>
      </c>
      <c r="E1160" s="2" t="str">
        <f>IFERROR(__xludf.DUMMYFUNCTION("""COMPUTED_VALUE"""),"      3.910")</f>
        <v>      3.910</v>
      </c>
    </row>
    <row r="1161">
      <c r="A1161" s="2" t="str">
        <f>IFERROR(__xludf.DUMMYFUNCTION("""COMPUTED_VALUE"""),"Jota Silva")</f>
        <v>Jota Silva</v>
      </c>
      <c r="B1161" s="2" t="str">
        <f>IFERROR(__xludf.DUMMYFUNCTION("""COMPUTED_VALUE"""),"jonatha22539924")</f>
        <v>jonatha22539924</v>
      </c>
      <c r="C1161" s="2" t="str">
        <f>IFERROR(__xludf.DUMMYFUNCTION("""COMPUTED_VALUE"""),"@Flamengo 🔴⚫ Até Morrer 
Fã Do @leongoretzka_ e @JordiAlba
 Insta: Jonathann_Sillvaa   Adidas")</f>
        <v>@Flamengo 🔴⚫ Até Morrer 
Fã Do @leongoretzka_ e @JordiAlba
 Insta: Jonathann_Sillvaa   Adidas</v>
      </c>
      <c r="D1161" s="2">
        <f>IFERROR(__xludf.DUMMYFUNCTION("""COMPUTED_VALUE"""),1.0028027568273113E-4)</f>
        <v>0.0001002802757</v>
      </c>
      <c r="E1161" s="2" t="str">
        <f>IFERROR(__xludf.DUMMYFUNCTION("""COMPUTED_VALUE"""),"      2.004")</f>
        <v>      2.004</v>
      </c>
    </row>
    <row r="1162">
      <c r="A1162" s="2" t="str">
        <f>IFERROR(__xludf.DUMMYFUNCTION("""COMPUTED_VALUE"""),"Rapadura Nordestina")</f>
        <v>Rapadura Nordestina</v>
      </c>
      <c r="B1162" s="2" t="str">
        <f>IFERROR(__xludf.DUMMYFUNCTION("""COMPUTED_VALUE"""),"rapaduranordes3")</f>
        <v>rapaduranordes3</v>
      </c>
      <c r="C1162" s="2" t="str">
        <f>IFERROR(__xludf.DUMMYFUNCTION("""COMPUTED_VALUE"""),"Rapadura é doce mas não é mole não!")</f>
        <v>Rapadura é doce mas não é mole não!</v>
      </c>
      <c r="D1162" s="2">
        <f>IFERROR(__xludf.DUMMYFUNCTION("""COMPUTED_VALUE"""),1.0028027568273113E-4)</f>
        <v>0.0001002802757</v>
      </c>
      <c r="E1162" s="2" t="str">
        <f>IFERROR(__xludf.DUMMYFUNCTION("""COMPUTED_VALUE"""),"      2.464")</f>
        <v>      2.464</v>
      </c>
    </row>
    <row r="1163">
      <c r="A1163" s="2" t="str">
        <f>IFERROR(__xludf.DUMMYFUNCTION("""COMPUTED_VALUE"""),"🏆 Mundial interclubes - 🏆🏆🏆 Libertadores")</f>
        <v>🏆 Mundial interclubes - 🏆🏆🏆 Libertadores</v>
      </c>
      <c r="B1163" s="2" t="str">
        <f>IFERROR(__xludf.DUMMYFUNCTION("""COMPUTED_VALUE"""),"robsoncontador")</f>
        <v>robsoncontador</v>
      </c>
      <c r="C1163" s="2" t="str">
        <f>IFERROR(__xludf.DUMMYFUNCTION("""COMPUTED_VALUE"""),"🏆37 Cariocas
🏆Mundial
🏆 Recopa
🏆 Copa Ouro Sulamericana
🏆 Mercosul
🏆🏆 Supercopa
🏆🏆🏆 Libertadores
🏆🏆🏆🏆 Copa do Brasil
🏆🏆🏆🏆🏆🏆🏆🏆 Brasileiros")</f>
        <v>🏆37 Cariocas
🏆Mundial
🏆 Recopa
🏆 Copa Ouro Sulamericana
🏆 Mercosul
🏆🏆 Supercopa
🏆🏆🏆 Libertadores
🏆🏆🏆🏆 Copa do Brasil
🏆🏆🏆🏆🏆🏆🏆🏆 Brasileiros</v>
      </c>
      <c r="D1163" s="2">
        <f>IFERROR(__xludf.DUMMYFUNCTION("""COMPUTED_VALUE"""),1.0028027568273113E-4)</f>
        <v>0.0001002802757</v>
      </c>
      <c r="E1163" s="2" t="str">
        <f>IFERROR(__xludf.DUMMYFUNCTION("""COMPUTED_VALUE"""),"      5.054")</f>
        <v>      5.054</v>
      </c>
    </row>
    <row r="1164">
      <c r="A1164" s="2" t="str">
        <f>IFERROR(__xludf.DUMMYFUNCTION("""COMPUTED_VALUE"""),"☭ Sarabirina ❤️🖤")</f>
        <v>☭ Sarabirina ❤️🖤</v>
      </c>
      <c r="B1164" s="2" t="str">
        <f>IFERROR(__xludf.DUMMYFUNCTION("""COMPUTED_VALUE"""),"sarausz")</f>
        <v>sarausz</v>
      </c>
      <c r="C1164" s="2" t="str">
        <f>IFERROR(__xludf.DUMMYFUNCTION("""COMPUTED_VALUE"""),"🎶Todos juntos somos fortes🎶Somos flecha e somos arco🎶 Petista com carteirinha e sem paciência. O Conselho Editorial abusa de perguntas retóricas e ironias.")</f>
        <v>🎶Todos juntos somos fortes🎶Somos flecha e somos arco🎶 Petista com carteirinha e sem paciência. O Conselho Editorial abusa de perguntas retóricas e ironias.</v>
      </c>
      <c r="D1164" s="2">
        <f>IFERROR(__xludf.DUMMYFUNCTION("""COMPUTED_VALUE"""),1.0028027568273113E-4)</f>
        <v>0.0001002802757</v>
      </c>
      <c r="E1164" s="2" t="str">
        <f>IFERROR(__xludf.DUMMYFUNCTION("""COMPUTED_VALUE"""),"      3.876")</f>
        <v>      3.876</v>
      </c>
    </row>
    <row r="1165">
      <c r="A1165" s="2" t="str">
        <f>IFERROR(__xludf.DUMMYFUNCTION("""COMPUTED_VALUE"""),"PINHEIRO B CONHECER DEMOCRÁTICO")</f>
        <v>PINHEIRO B CONHECER DEMOCRÁTICO</v>
      </c>
      <c r="B1165" s="2" t="str">
        <f>IFERROR(__xludf.DUMMYFUNCTION("""COMPUTED_VALUE"""),"bspinh51")</f>
        <v>bspinh51</v>
      </c>
      <c r="C1165" s="2" t="str">
        <f>IFERROR(__xludf.DUMMYFUNCTION("""COMPUTED_VALUE"""),"PTista desde a fundação do Partido dos Trabalhadores no ABC
Também sou nordestino vindo da Bahia num pau de arara em 1967. Dirigente do PT por mais de 10 anos.")</f>
        <v>PTista desde a fundação do Partido dos Trabalhadores no ABC
Também sou nordestino vindo da Bahia num pau de arara em 1967. Dirigente do PT por mais de 10 anos.</v>
      </c>
      <c r="D1165" s="2">
        <f>IFERROR(__xludf.DUMMYFUNCTION("""COMPUTED_VALUE"""),1.0028027568273113E-4)</f>
        <v>0.0001002802757</v>
      </c>
      <c r="E1165" s="2" t="str">
        <f>IFERROR(__xludf.DUMMYFUNCTION("""COMPUTED_VALUE"""),"      1.711")</f>
        <v>      1.711</v>
      </c>
    </row>
    <row r="1166">
      <c r="A1166" s="2" t="str">
        <f>IFERROR(__xludf.DUMMYFUNCTION("""COMPUTED_VALUE"""),"Silvia Renata Garcia")</f>
        <v>Silvia Renata Garcia</v>
      </c>
      <c r="B1166" s="2" t="str">
        <f>IFERROR(__xludf.DUMMYFUNCTION("""COMPUTED_VALUE"""),"silviarenataga1")</f>
        <v>silviarenataga1</v>
      </c>
      <c r="C1166" s="2" t="str">
        <f>IFERROR(__xludf.DUMMYFUNCTION("""COMPUTED_VALUE"""),"eu amo literatura. Quanto mais gente feliz no mundo melhor pro mundo❤️❤️🚩🚩🚩")</f>
        <v>eu amo literatura. Quanto mais gente feliz no mundo melhor pro mundo❤️❤️🚩🚩🚩</v>
      </c>
      <c r="D1166" s="2">
        <f>IFERROR(__xludf.DUMMYFUNCTION("""COMPUTED_VALUE"""),1.0028027568273113E-4)</f>
        <v>0.0001002802757</v>
      </c>
      <c r="E1166" s="2" t="str">
        <f>IFERROR(__xludf.DUMMYFUNCTION("""COMPUTED_VALUE"""),"      2.580")</f>
        <v>      2.580</v>
      </c>
    </row>
    <row r="1167">
      <c r="A1167" s="2" t="str">
        <f>IFERROR(__xludf.DUMMYFUNCTION("""COMPUTED_VALUE"""),"Luciana")</f>
        <v>Luciana</v>
      </c>
      <c r="B1167" s="2" t="str">
        <f>IFERROR(__xludf.DUMMYFUNCTION("""COMPUTED_VALUE"""),"lu_salvucci")</f>
        <v>lu_salvucci</v>
      </c>
      <c r="C1167" s="2" t="str">
        <f>IFERROR(__xludf.DUMMYFUNCTION("""COMPUTED_VALUE"""),"Amo a liberdade e a justiça, ideais que me movem, jamais desistirei! Brasil acima de tudo, Deus acima de todos! 💚💛💙 🇧🇷🇧🇷🇧🇷 😎🙌🙏")</f>
        <v>Amo a liberdade e a justiça, ideais que me movem, jamais desistirei! Brasil acima de tudo, Deus acima de todos! 💚💛💙 🇧🇷🇧🇷🇧🇷 😎🙌🙏</v>
      </c>
      <c r="D1167" s="2">
        <f>IFERROR(__xludf.DUMMYFUNCTION("""COMPUTED_VALUE"""),1.0028027568273113E-4)</f>
        <v>0.0001002802757</v>
      </c>
      <c r="E1167" s="2" t="str">
        <f>IFERROR(__xludf.DUMMYFUNCTION("""COMPUTED_VALUE"""),"      3.330")</f>
        <v>      3.330</v>
      </c>
    </row>
    <row r="1168">
      <c r="A1168" s="2" t="str">
        <f>IFERROR(__xludf.DUMMYFUNCTION("""COMPUTED_VALUE"""),"Cubacoopera Jamaica")</f>
        <v>Cubacoopera Jamaica</v>
      </c>
      <c r="B1168" s="2" t="str">
        <f>IFERROR(__xludf.DUMMYFUNCTION("""COMPUTED_VALUE"""),"cubacooperaja")</f>
        <v>cubacooperaja</v>
      </c>
      <c r="C1168" s="2" t="str">
        <f>IFERROR(__xludf.DUMMYFUNCTION("""COMPUTED_VALUE"""),"Cuenta Oficial de la Brigada Médica Cubana en Jamaica")</f>
        <v>Cuenta Oficial de la Brigada Médica Cubana en Jamaica</v>
      </c>
      <c r="D1168" s="2">
        <f>IFERROR(__xludf.DUMMYFUNCTION("""COMPUTED_VALUE"""),1.0028027568273113E-4)</f>
        <v>0.0001002802757</v>
      </c>
      <c r="E1168" s="2" t="str">
        <f>IFERROR(__xludf.DUMMYFUNCTION("""COMPUTED_VALUE"""),"      4.763")</f>
        <v>      4.763</v>
      </c>
    </row>
    <row r="1169">
      <c r="A1169" s="2" t="str">
        <f>IFERROR(__xludf.DUMMYFUNCTION("""COMPUTED_VALUE"""),"EFertmane")</f>
        <v>EFertmane</v>
      </c>
      <c r="B1169" s="2" t="str">
        <f>IFERROR(__xludf.DUMMYFUNCTION("""COMPUTED_VALUE"""),"efertmane")</f>
        <v>efertmane</v>
      </c>
      <c r="C1169" s="2" t="str">
        <f>IFERROR(__xludf.DUMMYFUNCTION("""COMPUTED_VALUE"""),"aposentada, espirita,  patriota.  Amo demais meu Brasil. Deus abençoe Bolsonaro.")</f>
        <v>aposentada, espirita,  patriota.  Amo demais meu Brasil. Deus abençoe Bolsonaro.</v>
      </c>
      <c r="D1169" s="2">
        <f>IFERROR(__xludf.DUMMYFUNCTION("""COMPUTED_VALUE"""),1.0028027568273113E-4)</f>
        <v>0.0001002802757</v>
      </c>
      <c r="E1169" s="2" t="str">
        <f>IFERROR(__xludf.DUMMYFUNCTION("""COMPUTED_VALUE"""),"      1.482")</f>
        <v>      1.482</v>
      </c>
    </row>
    <row r="1170">
      <c r="A1170" s="2" t="str">
        <f>IFERROR(__xludf.DUMMYFUNCTION("""COMPUTED_VALUE"""),"Emivaldo Aguiar")</f>
        <v>Emivaldo Aguiar</v>
      </c>
      <c r="B1170" s="2" t="str">
        <f>IFERROR(__xludf.DUMMYFUNCTION("""COMPUTED_VALUE"""),"emiaguiar")</f>
        <v>emiaguiar</v>
      </c>
      <c r="C1170" s="2" t="str">
        <f>IFERROR(__xludf.DUMMYFUNCTION("""COMPUTED_VALUE"""),"Belém-Pa, Porto Franco-Ma. Petista de corpo, alma... desde a década de 80!")</f>
        <v>Belém-Pa, Porto Franco-Ma. Petista de corpo, alma... desde a década de 80!</v>
      </c>
      <c r="D1170" s="2">
        <f>IFERROR(__xludf.DUMMYFUNCTION("""COMPUTED_VALUE"""),1.0028027568273113E-4)</f>
        <v>0.0001002802757</v>
      </c>
      <c r="E1170" s="2" t="str">
        <f>IFERROR(__xludf.DUMMYFUNCTION("""COMPUTED_VALUE"""),"     11.902")</f>
        <v>     11.902</v>
      </c>
    </row>
    <row r="1171">
      <c r="A1171" s="2" t="str">
        <f>IFERROR(__xludf.DUMMYFUNCTION("""COMPUTED_VALUE"""),"Gaspa Fella🗽")</f>
        <v>Gaspa Fella🗽</v>
      </c>
      <c r="B1171" s="2" t="str">
        <f>IFERROR(__xludf.DUMMYFUNCTION("""COMPUTED_VALUE"""),"gaspa")</f>
        <v>gaspa</v>
      </c>
      <c r="C1171" s="2" t="str">
        <f>IFERROR(__xludf.DUMMYFUNCTION("""COMPUTED_VALUE"""),"🇯🇵ガスパ 🇺🇦 #NAFO fella. 
🇮🇱 המוסד 🇹🇼 OneChina
🇺🇸 CIA agent 🇪🇺 European Unionist")</f>
        <v>🇯🇵ガスパ 🇺🇦 #NAFO fella. 
🇮🇱 המוסד 🇹🇼 OneChina
🇺🇸 CIA agent 🇪🇺 European Unionist</v>
      </c>
      <c r="D1171" s="2">
        <f>IFERROR(__xludf.DUMMYFUNCTION("""COMPUTED_VALUE"""),1.0028027568273113E-4)</f>
        <v>0.0001002802757</v>
      </c>
      <c r="E1171" s="2" t="str">
        <f>IFERROR(__xludf.DUMMYFUNCTION("""COMPUTED_VALUE"""),"      1.231")</f>
        <v>      1.231</v>
      </c>
    </row>
    <row r="1172">
      <c r="A1172" s="2" t="str">
        <f>IFERROR(__xludf.DUMMYFUNCTION("""COMPUTED_VALUE"""),"Maria Assunção Sene")</f>
        <v>Maria Assunção Sene</v>
      </c>
      <c r="B1172" s="2" t="str">
        <f>IFERROR(__xludf.DUMMYFUNCTION("""COMPUTED_VALUE"""),"seneassuncao")</f>
        <v>seneassuncao</v>
      </c>
      <c r="C1172" s="2" t="str">
        <f>IFERROR(__xludf.DUMMYFUNCTION("""COMPUTED_VALUE"""),"Nacionalista")</f>
        <v>Nacionalista</v>
      </c>
      <c r="D1172" s="2">
        <f>IFERROR(__xludf.DUMMYFUNCTION("""COMPUTED_VALUE"""),1.0028027568273113E-4)</f>
        <v>0.0001002802757</v>
      </c>
      <c r="E1172" s="2" t="str">
        <f>IFERROR(__xludf.DUMMYFUNCTION("""COMPUTED_VALUE"""),"      2.478")</f>
        <v>      2.478</v>
      </c>
    </row>
    <row r="1173">
      <c r="A1173" s="2" t="str">
        <f>IFERROR(__xludf.DUMMYFUNCTION("""COMPUTED_VALUE"""),"Cantarillado 💦🚱🇧🇷🌹1️⃣2️⃣🔰🧭☘️🌵🚜🌾🥖💸")</f>
        <v>Cantarillado 💦🚱🇧🇷🌹1️⃣2️⃣🔰🧭☘️🌵🚜🌾🥖💸</v>
      </c>
      <c r="B1173" s="2" t="str">
        <f>IFERROR(__xludf.DUMMYFUNCTION("""COMPUTED_VALUE"""),"alca32558504")</f>
        <v>alca32558504</v>
      </c>
      <c r="C1173" s="2" t="str">
        <f>IFERROR(__xludf.DUMMYFUNCTION("""COMPUTED_VALUE"""),"🇧🇷🇵🇹🇦🇴🇸🇾🇪🇦🏴🧘🕉️🧫🧪🔬🧬⚗️👨‍👩‍👧‍👦👩‍🏫")</f>
        <v>🇧🇷🇵🇹🇦🇴🇸🇾🇪🇦🏴🧘🕉️🧫🧪🔬🧬⚗️👨‍👩‍👧‍👦👩‍🏫</v>
      </c>
      <c r="D1173" s="2">
        <f>IFERROR(__xludf.DUMMYFUNCTION("""COMPUTED_VALUE"""),1.0028027568273113E-4)</f>
        <v>0.0001002802757</v>
      </c>
      <c r="E1173" s="2" t="str">
        <f>IFERROR(__xludf.DUMMYFUNCTION("""COMPUTED_VALUE"""),"      1.254")</f>
        <v>      1.254</v>
      </c>
    </row>
    <row r="1174">
      <c r="A1174" s="2" t="str">
        <f>IFERROR(__xludf.DUMMYFUNCTION("""COMPUTED_VALUE"""),"Lucinea Brasil Livre 🇧🇷🇧🇷")</f>
        <v>Lucinea Brasil Livre 🇧🇷🇧🇷</v>
      </c>
      <c r="B1174" s="2" t="str">
        <f>IFERROR(__xludf.DUMMYFUNCTION("""COMPUTED_VALUE"""),"lucineacastro")</f>
        <v>lucineacastro</v>
      </c>
      <c r="C1174" s="2" t="str">
        <f>IFERROR(__xludf.DUMMYFUNCTION("""COMPUTED_VALUE"""),"Administradora - Porto Alegre - RS")</f>
        <v>Administradora - Porto Alegre - RS</v>
      </c>
      <c r="D1174" s="2">
        <f>IFERROR(__xludf.DUMMYFUNCTION("""COMPUTED_VALUE"""),1.0028027568273113E-4)</f>
        <v>0.0001002802757</v>
      </c>
      <c r="E1174" s="2" t="str">
        <f>IFERROR(__xludf.DUMMYFUNCTION("""COMPUTED_VALUE"""),"      1.464")</f>
        <v>      1.464</v>
      </c>
    </row>
    <row r="1175">
      <c r="A1175" s="2" t="str">
        <f>IFERROR(__xludf.DUMMYFUNCTION("""COMPUTED_VALUE"""),"Augusto Cesar Costa")</f>
        <v>Augusto Cesar Costa</v>
      </c>
      <c r="B1175" s="2" t="str">
        <f>IFERROR(__xludf.DUMMYFUNCTION("""COMPUTED_VALUE"""),"accosta_49")</f>
        <v>accosta_49</v>
      </c>
      <c r="C1175" s="2" t="str">
        <f>IFERROR(__xludf.DUMMYFUNCTION("""COMPUTED_VALUE"""),"Jornalista independente, política, ecologia, fotografia, literatura, poesia, artes plásticas,cinema")</f>
        <v>Jornalista independente, política, ecologia, fotografia, literatura, poesia, artes plásticas,cinema</v>
      </c>
      <c r="D1175" s="2">
        <f>IFERROR(__xludf.DUMMYFUNCTION("""COMPUTED_VALUE"""),1.0028027568273113E-4)</f>
        <v>0.0001002802757</v>
      </c>
      <c r="E1175" s="2" t="str">
        <f>IFERROR(__xludf.DUMMYFUNCTION("""COMPUTED_VALUE"""),"      1.522")</f>
        <v>      1.522</v>
      </c>
    </row>
    <row r="1176">
      <c r="A1176" s="2" t="str">
        <f>IFERROR(__xludf.DUMMYFUNCTION("""COMPUTED_VALUE"""),"B R U N O 👨‍👧‍👦 🚩")</f>
        <v>B R U N O 👨‍👧‍👦 🚩</v>
      </c>
      <c r="B1176" s="2" t="str">
        <f>IFERROR(__xludf.DUMMYFUNCTION("""COMPUTED_VALUE"""),"brunno_bs")</f>
        <v>brunno_bs</v>
      </c>
      <c r="C1176" s="2" t="str">
        <f>IFERROR(__xludf.DUMMYFUNCTION("""COMPUTED_VALUE"""),"Espalhe o bem , pois a gente merece e o mundo precisa 💪🏼.")</f>
        <v>Espalhe o bem , pois a gente merece e o mundo precisa 💪🏼.</v>
      </c>
      <c r="D1176" s="2">
        <f>IFERROR(__xludf.DUMMYFUNCTION("""COMPUTED_VALUE"""),1.0028027568273113E-4)</f>
        <v>0.0001002802757</v>
      </c>
      <c r="E1176" s="2" t="str">
        <f>IFERROR(__xludf.DUMMYFUNCTION("""COMPUTED_VALUE"""),"      1.054")</f>
        <v>      1.054</v>
      </c>
    </row>
    <row r="1177">
      <c r="A1177" s="2" t="str">
        <f>IFERROR(__xludf.DUMMYFUNCTION("""COMPUTED_VALUE"""),"Digo")</f>
        <v>Digo</v>
      </c>
      <c r="B1177" s="2" t="str">
        <f>IFERROR(__xludf.DUMMYFUNCTION("""COMPUTED_VALUE"""),"d_rms")</f>
        <v>d_rms</v>
      </c>
      <c r="C1177" s="2" t="str">
        <f>IFERROR(__xludf.DUMMYFUNCTION("""COMPUTED_VALUE"""),"FLANEUR - OLHOS LIVRES - BIXO SOLTO
Ec Bahia
#Mulheresdeaço
""Quem anda em trilho é trem de ferro
Sou água q corre entre pedras. Liberdade caça jeito""")</f>
        <v>FLANEUR - OLHOS LIVRES - BIXO SOLTO
Ec Bahia
#Mulheresdeaço
"Quem anda em trilho é trem de ferro
Sou água q corre entre pedras. Liberdade caça jeito"</v>
      </c>
      <c r="D1177" s="2">
        <f>IFERROR(__xludf.DUMMYFUNCTION("""COMPUTED_VALUE"""),1.0028027568273113E-4)</f>
        <v>0.0001002802757</v>
      </c>
      <c r="E1177" s="2" t="str">
        <f>IFERROR(__xludf.DUMMYFUNCTION("""COMPUTED_VALUE"""),"      2.289")</f>
        <v>      2.289</v>
      </c>
    </row>
    <row r="1178">
      <c r="A1178" s="2" t="str">
        <f>IFERROR(__xludf.DUMMYFUNCTION("""COMPUTED_VALUE"""),"Artur Rocha")</f>
        <v>Artur Rocha</v>
      </c>
      <c r="B1178" s="2" t="str">
        <f>IFERROR(__xludf.DUMMYFUNCTION("""COMPUTED_VALUE"""),"arturdarocha")</f>
        <v>arturdarocha</v>
      </c>
      <c r="C1178" s="2" t="str">
        <f>IFERROR(__xludf.DUMMYFUNCTION("""COMPUTED_VALUE"""),"Apaixonado pela literatura. Filho da UFF. Professor de Direito")</f>
        <v>Apaixonado pela literatura. Filho da UFF. Professor de Direito</v>
      </c>
      <c r="D1178" s="2">
        <f>IFERROR(__xludf.DUMMYFUNCTION("""COMPUTED_VALUE"""),1.0028027568273113E-4)</f>
        <v>0.0001002802757</v>
      </c>
      <c r="E1178" s="2" t="str">
        <f>IFERROR(__xludf.DUMMYFUNCTION("""COMPUTED_VALUE"""),"      2.624")</f>
        <v>      2.624</v>
      </c>
    </row>
    <row r="1179">
      <c r="A1179" s="2" t="str">
        <f>IFERROR(__xludf.DUMMYFUNCTION("""COMPUTED_VALUE"""),"leticia lopez")</f>
        <v>leticia lopez</v>
      </c>
      <c r="B1179" s="2" t="str">
        <f>IFERROR(__xludf.DUMMYFUNCTION("""COMPUTED_VALUE"""),"leticia94428071")</f>
        <v>leticia94428071</v>
      </c>
      <c r="C1179" s="2"/>
      <c r="D1179" s="2">
        <f>IFERROR(__xludf.DUMMYFUNCTION("""COMPUTED_VALUE"""),1.0028027568273113E-4)</f>
        <v>0.0001002802757</v>
      </c>
      <c r="E1179" s="2" t="str">
        <f>IFERROR(__xludf.DUMMYFUNCTION("""COMPUTED_VALUE"""),"      1.618")</f>
        <v>      1.618</v>
      </c>
    </row>
    <row r="1180">
      <c r="A1180" s="2" t="str">
        <f>IFERROR(__xludf.DUMMYFUNCTION("""COMPUTED_VALUE"""),"Rádio CBN")</f>
        <v>Rádio CBN</v>
      </c>
      <c r="B1180" s="2" t="str">
        <f>IFERROR(__xludf.DUMMYFUNCTION("""COMPUTED_VALUE"""),"cbnoficial")</f>
        <v>cbnoficial</v>
      </c>
      <c r="C1180" s="2" t="str">
        <f>IFERROR(__xludf.DUMMYFUNCTION("""COMPUTED_VALUE"""),"A rádio que toca notícia também no Twitter. Acompanhe os programas, comentaristas e boletins da CBN")</f>
        <v>A rádio que toca notícia também no Twitter. Acompanhe os programas, comentaristas e boletins da CBN</v>
      </c>
      <c r="D1180" s="2">
        <f>IFERROR(__xludf.DUMMYFUNCTION("""COMPUTED_VALUE"""),1.0028027568273113E-4)</f>
        <v>0.0001002802757</v>
      </c>
      <c r="E1180" s="2" t="str">
        <f>IFERROR(__xludf.DUMMYFUNCTION("""COMPUTED_VALUE"""),"    435.425")</f>
        <v>    435.425</v>
      </c>
    </row>
    <row r="1181">
      <c r="A1181" s="2" t="str">
        <f>IFERROR(__xludf.DUMMYFUNCTION("""COMPUTED_VALUE"""),"xeque mat")</f>
        <v>xeque mat</v>
      </c>
      <c r="B1181" s="2" t="str">
        <f>IFERROR(__xludf.DUMMYFUNCTION("""COMPUTED_VALUE"""),"matnascimenttoo")</f>
        <v>matnascimenttoo</v>
      </c>
      <c r="C1181" s="13" t="str">
        <f>IFERROR(__xludf.DUMMYFUNCTION("""COMPUTED_VALUE"""),"https://t.co/AY2XORDWhr")</f>
        <v>https://t.co/AY2XORDWhr</v>
      </c>
      <c r="D1181" s="2">
        <f>IFERROR(__xludf.DUMMYFUNCTION("""COMPUTED_VALUE"""),1.0028027568273113E-4)</f>
        <v>0.0001002802757</v>
      </c>
      <c r="E1181" s="2" t="str">
        <f>IFERROR(__xludf.DUMMYFUNCTION("""COMPUTED_VALUE"""),"      2.172")</f>
        <v>      2.172</v>
      </c>
    </row>
    <row r="1182">
      <c r="A1182" s="2" t="str">
        <f>IFERROR(__xludf.DUMMYFUNCTION("""COMPUTED_VALUE"""),"Allanitto FUNK RAVE 🧸❤️⭐️🌈")</f>
        <v>Allanitto FUNK RAVE 🧸❤️⭐️🌈</v>
      </c>
      <c r="B1182" s="2" t="str">
        <f>IFERROR(__xludf.DUMMYFUNCTION("""COMPUTED_VALUE"""),"_allanitto")</f>
        <v>_allanitto</v>
      </c>
      <c r="C1182" s="2" t="str">
        <f>IFERROR(__xludf.DUMMYFUNCTION("""COMPUTED_VALUE"""),"FUNK GENERATION / BACK FOR MORE IS COMING")</f>
        <v>FUNK GENERATION / BACK FOR MORE IS COMING</v>
      </c>
      <c r="D1182" s="2">
        <f>IFERROR(__xludf.DUMMYFUNCTION("""COMPUTED_VALUE"""),1.0028027568273113E-4)</f>
        <v>0.0001002802757</v>
      </c>
      <c r="E1182" s="2" t="str">
        <f>IFERROR(__xludf.DUMMYFUNCTION("""COMPUTED_VALUE"""),"      1.711")</f>
        <v>      1.711</v>
      </c>
    </row>
    <row r="1183">
      <c r="A1183" s="2" t="str">
        <f>IFERROR(__xludf.DUMMYFUNCTION("""COMPUTED_VALUE"""),"Irlan Simões 🏴")</f>
        <v>Irlan Simões 🏴</v>
      </c>
      <c r="B1183" s="2" t="str">
        <f>IFERROR(__xludf.DUMMYFUNCTION("""COMPUTED_VALUE"""),"irlansimoes")</f>
        <v>irlansimoes</v>
      </c>
      <c r="C1183" s="2" t="str">
        <f>IFERROR(__xludf.DUMMYFUNCTION("""COMPUTED_VALUE"""),"📚A Produção do Clube: poder, negócio e comunidade no futebol (2023) | 🎙️@NaBancada_ | 📺#RedacaoSporTV | 🎓 D.r. em Comunicação (Uerj)")</f>
        <v>📚A Produção do Clube: poder, negócio e comunidade no futebol (2023) | 🎙️@NaBancada_ | 📺#RedacaoSporTV | 🎓 D.r. em Comunicação (Uerj)</v>
      </c>
      <c r="D1183" s="2">
        <f>IFERROR(__xludf.DUMMYFUNCTION("""COMPUTED_VALUE"""),1.0028027568273113E-4)</f>
        <v>0.0001002802757</v>
      </c>
      <c r="E1183" s="2" t="str">
        <f>IFERROR(__xludf.DUMMYFUNCTION("""COMPUTED_VALUE"""),"     22.009")</f>
        <v>     22.009</v>
      </c>
    </row>
    <row r="1184">
      <c r="A1184" s="2" t="str">
        <f>IFERROR(__xludf.DUMMYFUNCTION("""COMPUTED_VALUE"""),"Shin 🏴‍☠️")</f>
        <v>Shin 🏴‍☠️</v>
      </c>
      <c r="B1184" s="2" t="str">
        <f>IFERROR(__xludf.DUMMYFUNCTION("""COMPUTED_VALUE"""),"straysamurai")</f>
        <v>straysamurai</v>
      </c>
      <c r="C1184" s="2" t="str">
        <f>IFERROR(__xludf.DUMMYFUNCTION("""COMPUTED_VALUE"""),"26 infj || Pronouns: none, I don't wanna be precived || Here: men's tits, random breakdowns and multifandom chaos")</f>
        <v>26 infj || Pronouns: none, I don't wanna be precived || Here: men's tits, random breakdowns and multifandom chaos</v>
      </c>
      <c r="D1184" s="2">
        <f>IFERROR(__xludf.DUMMYFUNCTION("""COMPUTED_VALUE"""),1.0028027568273113E-4)</f>
        <v>0.0001002802757</v>
      </c>
      <c r="E1184" s="2" t="str">
        <f>IFERROR(__xludf.DUMMYFUNCTION("""COMPUTED_VALUE"""),"      1.026")</f>
        <v>      1.026</v>
      </c>
    </row>
    <row r="1185">
      <c r="A1185" s="2" t="str">
        <f>IFERROR(__xludf.DUMMYFUNCTION("""COMPUTED_VALUE"""),"Leonardo Oviedo.2💯🇨🇺🇨🇺")</f>
        <v>Leonardo Oviedo.2💯🇨🇺🇨🇺</v>
      </c>
      <c r="B1185" s="2" t="str">
        <f>IFERROR(__xludf.DUMMYFUNCTION("""COMPUTED_VALUE"""),"gelaciooviedo")</f>
        <v>gelaciooviedo</v>
      </c>
      <c r="C1185" s="2" t="str">
        <f>IFERROR(__xludf.DUMMYFUNCTION("""COMPUTED_VALUE"""),"Orgulloso de ser cubano,seguidor de la historia, el deporte y la cultura. Comunicador social.")</f>
        <v>Orgulloso de ser cubano,seguidor de la historia, el deporte y la cultura. Comunicador social.</v>
      </c>
      <c r="D1185" s="2">
        <f>IFERROR(__xludf.DUMMYFUNCTION("""COMPUTED_VALUE"""),1.0028027568273113E-4)</f>
        <v>0.0001002802757</v>
      </c>
      <c r="E1185" s="2" t="str">
        <f>IFERROR(__xludf.DUMMYFUNCTION("""COMPUTED_VALUE"""),"      5.244")</f>
        <v>      5.244</v>
      </c>
    </row>
    <row r="1186">
      <c r="A1186" s="2" t="str">
        <f>IFERROR(__xludf.DUMMYFUNCTION("""COMPUTED_VALUE"""),"roaraz 🚩🚩🚩🚩🚩")</f>
        <v>roaraz 🚩🚩🚩🚩🚩</v>
      </c>
      <c r="B1186" s="2" t="str">
        <f>IFERROR(__xludf.DUMMYFUNCTION("""COMPUTED_VALUE"""),"roaraz")</f>
        <v>roaraz</v>
      </c>
      <c r="C1186" s="2" t="str">
        <f>IFERROR(__xludf.DUMMYFUNCTION("""COMPUTED_VALUE"""),"Nós temos um sonho. Somos movidos a esperança. E não há força maior que a esperança de um povo que sabe que pode voltar a ser feliz. #LulaPresidente13")</f>
        <v>Nós temos um sonho. Somos movidos a esperança. E não há força maior que a esperança de um povo que sabe que pode voltar a ser feliz. #LulaPresidente13</v>
      </c>
      <c r="D1186" s="2">
        <f>IFERROR(__xludf.DUMMYFUNCTION("""COMPUTED_VALUE"""),1.0028027568273113E-4)</f>
        <v>0.0001002802757</v>
      </c>
      <c r="E1186" s="2" t="str">
        <f>IFERROR(__xludf.DUMMYFUNCTION("""COMPUTED_VALUE"""),"      4.410")</f>
        <v>      4.410</v>
      </c>
    </row>
    <row r="1187">
      <c r="A1187" s="2" t="str">
        <f>IFERROR(__xludf.DUMMYFUNCTION("""COMPUTED_VALUE"""),"Wilka Oliveira 🚩🏳️‍🌈")</f>
        <v>Wilka Oliveira 🚩🏳️‍🌈</v>
      </c>
      <c r="B1187" s="2" t="str">
        <f>IFERROR(__xludf.DUMMYFUNCTION("""COMPUTED_VALUE"""),"wilkaoliveira3")</f>
        <v>wilkaoliveira3</v>
      </c>
      <c r="C1187" s="2" t="str">
        <f>IFERROR(__xludf.DUMMYFUNCTION("""COMPUTED_VALUE"""),"Recifense visse!!!🌵🏖️.                                  
Casada com @paulorobertog33")</f>
        <v>Recifense visse!!!🌵🏖️.                                  
Casada com @paulorobertog33</v>
      </c>
      <c r="D1187" s="2">
        <f>IFERROR(__xludf.DUMMYFUNCTION("""COMPUTED_VALUE"""),1.0028027568273113E-4)</f>
        <v>0.0001002802757</v>
      </c>
      <c r="E1187" s="2" t="str">
        <f>IFERROR(__xludf.DUMMYFUNCTION("""COMPUTED_VALUE"""),"      1.360")</f>
        <v>      1.360</v>
      </c>
    </row>
    <row r="1188">
      <c r="A1188" s="2" t="str">
        <f>IFERROR(__xludf.DUMMYFUNCTION("""COMPUTED_VALUE"""),"Abelinha baby")</f>
        <v>Abelinha baby</v>
      </c>
      <c r="B1188" s="2" t="str">
        <f>IFERROR(__xludf.DUMMYFUNCTION("""COMPUTED_VALUE"""),"alfabebada")</f>
        <v>alfabebada</v>
      </c>
      <c r="C1188" s="2" t="str">
        <f>IFERROR(__xludf.DUMMYFUNCTION("""COMPUTED_VALUE"""),"And I'm just an arrogant son of a bitch                  
@flamengo   @fcbarcelona
 fan account")</f>
        <v>And I'm just an arrogant son of a bitch                  
@flamengo   @fcbarcelona
 fan account</v>
      </c>
      <c r="D1188" s="2">
        <f>IFERROR(__xludf.DUMMYFUNCTION("""COMPUTED_VALUE"""),1.0028027568273113E-4)</f>
        <v>0.0001002802757</v>
      </c>
      <c r="E1188" s="2" t="str">
        <f>IFERROR(__xludf.DUMMYFUNCTION("""COMPUTED_VALUE"""),"      4.673")</f>
        <v>      4.673</v>
      </c>
    </row>
    <row r="1189">
      <c r="A1189" s="2" t="str">
        <f>IFERROR(__xludf.DUMMYFUNCTION("""COMPUTED_VALUE"""),"ᴅᴀɴ")</f>
        <v>ᴅᴀɴ</v>
      </c>
      <c r="B1189" s="2" t="str">
        <f>IFERROR(__xludf.DUMMYFUNCTION("""COMPUTED_VALUE"""),"euodaan")</f>
        <v>euodaan</v>
      </c>
      <c r="C1189" s="2"/>
      <c r="D1189" s="2">
        <f>IFERROR(__xludf.DUMMYFUNCTION("""COMPUTED_VALUE"""),1.0028027568273113E-4)</f>
        <v>0.0001002802757</v>
      </c>
      <c r="E1189" s="2" t="str">
        <f>IFERROR(__xludf.DUMMYFUNCTION("""COMPUTED_VALUE"""),"      1.648")</f>
        <v>      1.648</v>
      </c>
    </row>
    <row r="1190">
      <c r="A1190" s="2" t="str">
        <f>IFERROR(__xludf.DUMMYFUNCTION("""COMPUTED_VALUE"""),"🚩🕺🏿Enayle💃🏿🚩")</f>
        <v>🚩🕺🏿Enayle💃🏿🚩</v>
      </c>
      <c r="B1190" s="2" t="str">
        <f>IFERROR(__xludf.DUMMYFUNCTION("""COMPUTED_VALUE"""),"enayle6691")</f>
        <v>enayle6691</v>
      </c>
      <c r="C1190" s="2" t="str">
        <f>IFERROR(__xludf.DUMMYFUNCTION("""COMPUTED_VALUE"""),"RECADO:
A gadolândia é sempre bloqueada (sem conversa) porque não sei tocar berrante!")</f>
        <v>RECADO:
A gadolândia é sempre bloqueada (sem conversa) porque não sei tocar berrante!</v>
      </c>
      <c r="D1190" s="2">
        <f>IFERROR(__xludf.DUMMYFUNCTION("""COMPUTED_VALUE"""),1.0028027568273113E-4)</f>
        <v>0.0001002802757</v>
      </c>
      <c r="E1190" s="2" t="str">
        <f>IFERROR(__xludf.DUMMYFUNCTION("""COMPUTED_VALUE"""),"      1.253")</f>
        <v>      1.253</v>
      </c>
    </row>
    <row r="1191">
      <c r="A1191" s="2" t="str">
        <f>IFERROR(__xludf.DUMMYFUNCTION("""COMPUTED_VALUE"""),"eulituliaselaLilia")</f>
        <v>eulituliaselaLilia</v>
      </c>
      <c r="B1191" s="2" t="str">
        <f>IFERROR(__xludf.DUMMYFUNCTION("""COMPUTED_VALUE"""),"eulituliasela")</f>
        <v>eulituliasela</v>
      </c>
      <c r="C1191" s="2" t="str">
        <f>IFERROR(__xludf.DUMMYFUNCTION("""COMPUTED_VALUE"""),"🇧🇷🔰💐Brasileira e não robô.💐🔰🇧🇷")</f>
        <v>🇧🇷🔰💐Brasileira e não robô.💐🔰🇧🇷</v>
      </c>
      <c r="D1191" s="2">
        <f>IFERROR(__xludf.DUMMYFUNCTION("""COMPUTED_VALUE"""),1.0028027568273113E-4)</f>
        <v>0.0001002802757</v>
      </c>
      <c r="E1191" s="2" t="str">
        <f>IFERROR(__xludf.DUMMYFUNCTION("""COMPUTED_VALUE"""),"      1.279")</f>
        <v>      1.279</v>
      </c>
    </row>
    <row r="1192">
      <c r="A1192" s="2" t="str">
        <f>IFERROR(__xludf.DUMMYFUNCTION("""COMPUTED_VALUE"""),"Emir Sader")</f>
        <v>Emir Sader</v>
      </c>
      <c r="B1192" s="2" t="str">
        <f>IFERROR(__xludf.DUMMYFUNCTION("""COMPUTED_VALUE"""),"emirsader")</f>
        <v>emirsader</v>
      </c>
      <c r="C1192" s="2" t="str">
        <f>IFERROR(__xludf.DUMMYFUNCTION("""COMPUTED_VALUE"""),"man, from brazil, researcher")</f>
        <v>man, from brazil, researcher</v>
      </c>
      <c r="D1192" s="2">
        <f>IFERROR(__xludf.DUMMYFUNCTION("""COMPUTED_VALUE"""),1.0028027568273113E-4)</f>
        <v>0.0001002802757</v>
      </c>
      <c r="E1192" s="2" t="str">
        <f>IFERROR(__xludf.DUMMYFUNCTION("""COMPUTED_VALUE"""),"    245.024")</f>
        <v>    245.024</v>
      </c>
    </row>
    <row r="1193">
      <c r="A1193" s="2" t="str">
        <f>IFERROR(__xludf.DUMMYFUNCTION("""COMPUTED_VALUE"""),"Niko")</f>
        <v>Niko</v>
      </c>
      <c r="B1193" s="2" t="str">
        <f>IFERROR(__xludf.DUMMYFUNCTION("""COMPUTED_VALUE"""),"nicodirenzo1")</f>
        <v>nicodirenzo1</v>
      </c>
      <c r="C1193" s="2" t="str">
        <f>IFERROR(__xludf.DUMMYFUNCTION("""COMPUTED_VALUE"""),"Un servo odia sempre un uomo libero .")</f>
        <v>Un servo odia sempre un uomo libero .</v>
      </c>
      <c r="D1193" s="2">
        <f>IFERROR(__xludf.DUMMYFUNCTION("""COMPUTED_VALUE"""),1.0028027568273113E-4)</f>
        <v>0.0001002802757</v>
      </c>
      <c r="E1193" s="2" t="str">
        <f>IFERROR(__xludf.DUMMYFUNCTION("""COMPUTED_VALUE"""),"      1.220")</f>
        <v>      1.220</v>
      </c>
    </row>
    <row r="1194">
      <c r="A1194" s="2" t="str">
        <f>IFERROR(__xludf.DUMMYFUNCTION("""COMPUTED_VALUE"""),"Zé da Paz 🇧🇷")</f>
        <v>Zé da Paz 🇧🇷</v>
      </c>
      <c r="B1194" s="2" t="str">
        <f>IFERROR(__xludf.DUMMYFUNCTION("""COMPUTED_VALUE"""),"josedapaz")</f>
        <v>josedapaz</v>
      </c>
      <c r="C1194" s="13" t="str">
        <f>IFERROR(__xludf.DUMMYFUNCTION("""COMPUTED_VALUE"""),"https://t.co/oaBhYCPbMN")</f>
        <v>https://t.co/oaBhYCPbMN</v>
      </c>
      <c r="D1194" s="2">
        <f>IFERROR(__xludf.DUMMYFUNCTION("""COMPUTED_VALUE"""),1.0028027568273113E-4)</f>
        <v>0.0001002802757</v>
      </c>
      <c r="E1194" s="2" t="str">
        <f>IFERROR(__xludf.DUMMYFUNCTION("""COMPUTED_VALUE"""),"      2.559")</f>
        <v>      2.559</v>
      </c>
    </row>
    <row r="1195">
      <c r="A1195" s="2" t="str">
        <f>IFERROR(__xludf.DUMMYFUNCTION("""COMPUTED_VALUE"""),"🧸♥️⭐🌈")</f>
        <v>🧸♥️⭐🌈</v>
      </c>
      <c r="B1195" s="2" t="str">
        <f>IFERROR(__xludf.DUMMYFUNCTION("""COMPUTED_VALUE"""),"lainenitter")</f>
        <v>lainenitter</v>
      </c>
      <c r="C1195" s="2" t="str">
        <f>IFERROR(__xludf.DUMMYFUNCTION("""COMPUTED_VALUE"""),"| fan account | anitter dela ❤️")</f>
        <v>| fan account | anitter dela ❤️</v>
      </c>
      <c r="D1195" s="2">
        <f>IFERROR(__xludf.DUMMYFUNCTION("""COMPUTED_VALUE"""),1.0028027568273113E-4)</f>
        <v>0.0001002802757</v>
      </c>
      <c r="E1195" s="2" t="str">
        <f>IFERROR(__xludf.DUMMYFUNCTION("""COMPUTED_VALUE"""),"      1.417")</f>
        <v>      1.417</v>
      </c>
    </row>
    <row r="1196">
      <c r="A1196" s="2" t="str">
        <f>IFERROR(__xludf.DUMMYFUNCTION("""COMPUTED_VALUE"""),"Daniela Lula")</f>
        <v>Daniela Lula</v>
      </c>
      <c r="B1196" s="2" t="str">
        <f>IFERROR(__xludf.DUMMYFUNCTION("""COMPUTED_VALUE"""),"danibentancor2")</f>
        <v>danibentancor2</v>
      </c>
      <c r="C1196" s="2" t="str">
        <f>IFERROR(__xludf.DUMMYFUNCTION("""COMPUTED_VALUE"""),"Assistente Social")</f>
        <v>Assistente Social</v>
      </c>
      <c r="D1196" s="2">
        <f>IFERROR(__xludf.DUMMYFUNCTION("""COMPUTED_VALUE"""),1.0028027568273113E-4)</f>
        <v>0.0001002802757</v>
      </c>
      <c r="E1196" s="2" t="str">
        <f>IFERROR(__xludf.DUMMYFUNCTION("""COMPUTED_VALUE"""),"      2.966")</f>
        <v>      2.966</v>
      </c>
    </row>
    <row r="1197">
      <c r="A1197" s="2" t="str">
        <f>IFERROR(__xludf.DUMMYFUNCTION("""COMPUTED_VALUE"""),"Camila Júlia")</f>
        <v>Camila Júlia</v>
      </c>
      <c r="B1197" s="2" t="str">
        <f>IFERROR(__xludf.DUMMYFUNCTION("""COMPUTED_VALUE"""),"cj_cabo")</f>
        <v>cj_cabo</v>
      </c>
      <c r="C1197" s="2" t="str">
        <f>IFERROR(__xludf.DUMMYFUNCTION("""COMPUTED_VALUE"""),"♓Publicitária|Social Media💡🎬
Traductora Español 🇪🇦
Colunista✍
I love languages, cultures, food, music and coffee ☕")</f>
        <v>♓Publicitária|Social Media💡🎬
Traductora Español 🇪🇦
Colunista✍
I love languages, cultures, food, music and coffee ☕</v>
      </c>
      <c r="D1197" s="2">
        <f>IFERROR(__xludf.DUMMYFUNCTION("""COMPUTED_VALUE"""),1.0028027568273113E-4)</f>
        <v>0.0001002802757</v>
      </c>
      <c r="E1197" s="2" t="str">
        <f>IFERROR(__xludf.DUMMYFUNCTION("""COMPUTED_VALUE"""),"      5.174")</f>
        <v>      5.174</v>
      </c>
    </row>
    <row r="1198">
      <c r="A1198" s="2" t="str">
        <f>IFERROR(__xludf.DUMMYFUNCTION("""COMPUTED_VALUE"""),"SandraSaray")</f>
        <v>SandraSaray</v>
      </c>
      <c r="B1198" s="2" t="str">
        <f>IFERROR(__xludf.DUMMYFUNCTION("""COMPUTED_VALUE"""),"sarauyahu")</f>
        <v>sarauyahu</v>
      </c>
      <c r="C1198" s="2" t="str">
        <f>IFERROR(__xludf.DUMMYFUNCTION("""COMPUTED_VALUE"""),"🌹Terapia de Regressão multidimensional 🌹
41 989034576
Carioca 
 #Lightworker
Amor
Família 
Brasil 🇧🇷🇧🇷🇧🇷")</f>
        <v>🌹Terapia de Regressão multidimensional 🌹
41 989034576
Carioca 
 #Lightworker
Amor
Família 
Brasil 🇧🇷🇧🇷🇧🇷</v>
      </c>
      <c r="D1198" s="2">
        <f>IFERROR(__xludf.DUMMYFUNCTION("""COMPUTED_VALUE"""),1.0028027568273113E-4)</f>
        <v>0.0001002802757</v>
      </c>
      <c r="E1198" s="2" t="str">
        <f>IFERROR(__xludf.DUMMYFUNCTION("""COMPUTED_VALUE"""),"      1.461")</f>
        <v>      1.461</v>
      </c>
    </row>
    <row r="1199">
      <c r="A1199" s="2" t="str">
        <f>IFERROR(__xludf.DUMMYFUNCTION("""COMPUTED_VALUE"""),"Eu &amp; o André 😍")</f>
        <v>Eu &amp; o André 😍</v>
      </c>
      <c r="B1199" s="2" t="str">
        <f>IFERROR(__xludf.DUMMYFUNCTION("""COMPUTED_VALUE"""),"bgsneury")</f>
        <v>bgsneury</v>
      </c>
      <c r="C1199" s="2" t="str">
        <f>IFERROR(__xludf.DUMMYFUNCTION("""COMPUTED_VALUE"""),"Viva o Brasil")</f>
        <v>Viva o Brasil</v>
      </c>
      <c r="D1199" s="2">
        <f>IFERROR(__xludf.DUMMYFUNCTION("""COMPUTED_VALUE"""),1.0028027568273113E-4)</f>
        <v>0.0001002802757</v>
      </c>
      <c r="E1199" s="2" t="str">
        <f>IFERROR(__xludf.DUMMYFUNCTION("""COMPUTED_VALUE"""),"      1.243")</f>
        <v>      1.243</v>
      </c>
    </row>
    <row r="1200">
      <c r="A1200" s="2" t="str">
        <f>IFERROR(__xludf.DUMMYFUNCTION("""COMPUTED_VALUE"""),"fabio paiva fagundes")</f>
        <v>fabio paiva fagundes</v>
      </c>
      <c r="B1200" s="2" t="str">
        <f>IFERROR(__xludf.DUMMYFUNCTION("""COMPUTED_VALUE"""),"fabiopf08fabio")</f>
        <v>fabiopf08fabio</v>
      </c>
      <c r="C1200" s="2" t="str">
        <f>IFERROR(__xludf.DUMMYFUNCTION("""COMPUTED_VALUE"""),"Um feliz ano novo a todos!")</f>
        <v>Um feliz ano novo a todos!</v>
      </c>
      <c r="D1200" s="2">
        <f>IFERROR(__xludf.DUMMYFUNCTION("""COMPUTED_VALUE"""),1.0028027568273113E-4)</f>
        <v>0.0001002802757</v>
      </c>
      <c r="E1200" s="2" t="str">
        <f>IFERROR(__xludf.DUMMYFUNCTION("""COMPUTED_VALUE"""),"     42.534")</f>
        <v>     42.534</v>
      </c>
    </row>
    <row r="1201">
      <c r="A1201" s="2" t="str">
        <f>IFERROR(__xludf.DUMMYFUNCTION("""COMPUTED_VALUE"""),"JosefaalmeidaA🚩😘🙏❤🌵🇧🇷")</f>
        <v>JosefaalmeidaA🚩😘🙏❤🌵🇧🇷</v>
      </c>
      <c r="B1201" s="2" t="str">
        <f>IFERROR(__xludf.DUMMYFUNCTION("""COMPUTED_VALUE"""),"josefaa80903415")</f>
        <v>josefaa80903415</v>
      </c>
      <c r="C1201" s="2" t="str">
        <f>IFERROR(__xludf.DUMMYFUNCTION("""COMPUTED_VALUE"""),"orgulho de ser nordestina 
comida no prato vacina no braço")</f>
        <v>orgulho de ser nordestina 
comida no prato vacina no braço</v>
      </c>
      <c r="D1201" s="2">
        <f>IFERROR(__xludf.DUMMYFUNCTION("""COMPUTED_VALUE"""),1.0028027568273113E-4)</f>
        <v>0.0001002802757</v>
      </c>
      <c r="E1201" s="2" t="str">
        <f>IFERROR(__xludf.DUMMYFUNCTION("""COMPUTED_VALUE"""),"      3.408")</f>
        <v>      3.408</v>
      </c>
    </row>
    <row r="1202">
      <c r="A1202" s="2" t="str">
        <f>IFERROR(__xludf.DUMMYFUNCTION("""COMPUTED_VALUE"""),"Carlos Cesar Santos")</f>
        <v>Carlos Cesar Santos</v>
      </c>
      <c r="B1202" s="2" t="str">
        <f>IFERROR(__xludf.DUMMYFUNCTION("""COMPUTED_VALUE"""),"carlosc01290403")</f>
        <v>carlosc01290403</v>
      </c>
      <c r="C1202" s="2"/>
      <c r="D1202" s="2">
        <f>IFERROR(__xludf.DUMMYFUNCTION("""COMPUTED_VALUE"""),1.0028027568273113E-4)</f>
        <v>0.0001002802757</v>
      </c>
      <c r="E1202" s="2" t="str">
        <f>IFERROR(__xludf.DUMMYFUNCTION("""COMPUTED_VALUE"""),"      1.013")</f>
        <v>      1.013</v>
      </c>
    </row>
    <row r="1203">
      <c r="A1203" s="2" t="str">
        <f>IFERROR(__xludf.DUMMYFUNCTION("""COMPUTED_VALUE"""),"Marwanferreira")</f>
        <v>Marwanferreira</v>
      </c>
      <c r="B1203" s="2" t="str">
        <f>IFERROR(__xludf.DUMMYFUNCTION("""COMPUTED_VALUE"""),"marwanferreira")</f>
        <v>marwanferreira</v>
      </c>
      <c r="C1203" s="2"/>
      <c r="D1203" s="2">
        <f>IFERROR(__xludf.DUMMYFUNCTION("""COMPUTED_VALUE"""),1.0028027568273113E-4)</f>
        <v>0.0001002802757</v>
      </c>
      <c r="E1203" s="2" t="str">
        <f>IFERROR(__xludf.DUMMYFUNCTION("""COMPUTED_VALUE"""),"      3.337")</f>
        <v>      3.337</v>
      </c>
    </row>
    <row r="1204">
      <c r="A1204" s="2" t="str">
        <f>IFERROR(__xludf.DUMMYFUNCTION("""COMPUTED_VALUE"""),"José Roberto Afonso")</f>
        <v>José Roberto Afonso</v>
      </c>
      <c r="B1204" s="2" t="str">
        <f>IFERROR(__xludf.DUMMYFUNCTION("""COMPUTED_VALUE"""),"zerobertoafonso")</f>
        <v>zerobertoafonso</v>
      </c>
      <c r="C1204" s="2" t="str">
        <f>IFERROR(__xludf.DUMMYFUNCTION("""COMPUTED_VALUE"""),"IDP. ISCSP/ULisboa. FIBE. Finance, A&amp;B, GVEuropa.")</f>
        <v>IDP. ISCSP/ULisboa. FIBE. Finance, A&amp;B, GVEuropa.</v>
      </c>
      <c r="D1204" s="2">
        <f>IFERROR(__xludf.DUMMYFUNCTION("""COMPUTED_VALUE"""),1.0028027568273113E-4)</f>
        <v>0.0001002802757</v>
      </c>
      <c r="E1204" s="2" t="str">
        <f>IFERROR(__xludf.DUMMYFUNCTION("""COMPUTED_VALUE"""),"      1.196")</f>
        <v>      1.196</v>
      </c>
    </row>
    <row r="1205">
      <c r="A1205" s="2" t="str">
        <f>IFERROR(__xludf.DUMMYFUNCTION("""COMPUTED_VALUE"""),"Tony SAG - 🇧🇷👊🇧🇷")</f>
        <v>Tony SAG - 🇧🇷👊🇧🇷</v>
      </c>
      <c r="B1205" s="2" t="str">
        <f>IFERROR(__xludf.DUMMYFUNCTION("""COMPUTED_VALUE"""),"tony2808988")</f>
        <v>tony2808988</v>
      </c>
      <c r="C1205" s="2" t="str">
        <f>IFERROR(__xludf.DUMMYFUNCTION("""COMPUTED_VALUE"""),"Só rapidinhas.")</f>
        <v>Só rapidinhas.</v>
      </c>
      <c r="D1205" s="2">
        <f>IFERROR(__xludf.DUMMYFUNCTION("""COMPUTED_VALUE"""),1.0028027568273113E-4)</f>
        <v>0.0001002802757</v>
      </c>
      <c r="E1205" s="2" t="str">
        <f>IFERROR(__xludf.DUMMYFUNCTION("""COMPUTED_VALUE"""),"     20.888")</f>
        <v>     20.888</v>
      </c>
    </row>
    <row r="1206">
      <c r="A1206" s="2" t="str">
        <f>IFERROR(__xludf.DUMMYFUNCTION("""COMPUTED_VALUE"""),"Sonia🐙⭐ #PTSempreEPraSempre🚩")</f>
        <v>Sonia🐙⭐ #PTSempreEPraSempre🚩</v>
      </c>
      <c r="B1206" s="2" t="str">
        <f>IFERROR(__xludf.DUMMYFUNCTION("""COMPUTED_VALUE"""),"somel62")</f>
        <v>somel62</v>
      </c>
      <c r="C1206" s="2" t="str">
        <f>IFERROR(__xludf.DUMMYFUNCTION("""COMPUTED_VALUE"""),"Viver!!💓 #LULA2022✊🏽⭐🚩")</f>
        <v>Viver!!💓 #LULA2022✊🏽⭐🚩</v>
      </c>
      <c r="D1206" s="2">
        <f>IFERROR(__xludf.DUMMYFUNCTION("""COMPUTED_VALUE"""),1.0028027568273113E-4)</f>
        <v>0.0001002802757</v>
      </c>
      <c r="E1206" s="2" t="str">
        <f>IFERROR(__xludf.DUMMYFUNCTION("""COMPUTED_VALUE"""),"      3.206")</f>
        <v>      3.206</v>
      </c>
    </row>
    <row r="1207">
      <c r="A1207" s="2" t="str">
        <f>IFERROR(__xludf.DUMMYFUNCTION("""COMPUTED_VALUE"""),"Anna Maria")</f>
        <v>Anna Maria</v>
      </c>
      <c r="B1207" s="2" t="str">
        <f>IFERROR(__xludf.DUMMYFUNCTION("""COMPUTED_VALUE"""),"annamar84883912")</f>
        <v>annamar84883912</v>
      </c>
      <c r="C1207" s="2" t="str">
        <f>IFERROR(__xludf.DUMMYFUNCTION("""COMPUTED_VALUE"""),"Aquela que luta e sonha por um mundo melhor e menos desigual.")</f>
        <v>Aquela que luta e sonha por um mundo melhor e menos desigual.</v>
      </c>
      <c r="D1207" s="2">
        <f>IFERROR(__xludf.DUMMYFUNCTION("""COMPUTED_VALUE"""),1.0028027568273113E-4)</f>
        <v>0.0001002802757</v>
      </c>
      <c r="E1207" s="2" t="str">
        <f>IFERROR(__xludf.DUMMYFUNCTION("""COMPUTED_VALUE"""),"      2.005")</f>
        <v>      2.005</v>
      </c>
    </row>
    <row r="1208">
      <c r="A1208" s="2" t="str">
        <f>IFERROR(__xludf.DUMMYFUNCTION("""COMPUTED_VALUE"""),"Fernando 🇧🇷 🙏🏼")</f>
        <v>Fernando 🇧🇷 🙏🏼</v>
      </c>
      <c r="B1208" s="2" t="str">
        <f>IFERROR(__xludf.DUMMYFUNCTION("""COMPUTED_VALUE"""),"fro_2018")</f>
        <v>fro_2018</v>
      </c>
      <c r="C1208" s="2" t="str">
        <f>IFERROR(__xludf.DUMMYFUNCTION("""COMPUTED_VALUE"""),"Deus / Pátria / Família / Liberdade - 100% Jesus Cristo")</f>
        <v>Deus / Pátria / Família / Liberdade - 100% Jesus Cristo</v>
      </c>
      <c r="D1208" s="2">
        <f>IFERROR(__xludf.DUMMYFUNCTION("""COMPUTED_VALUE"""),1.0028027568273113E-4)</f>
        <v>0.0001002802757</v>
      </c>
      <c r="E1208" s="2" t="str">
        <f>IFERROR(__xludf.DUMMYFUNCTION("""COMPUTED_VALUE"""),"      3.086")</f>
        <v>      3.086</v>
      </c>
    </row>
    <row r="1209">
      <c r="A1209" s="2" t="str">
        <f>IFERROR(__xludf.DUMMYFUNCTION("""COMPUTED_VALUE"""),"claudio")</f>
        <v>claudio</v>
      </c>
      <c r="B1209" s="2" t="str">
        <f>IFERROR(__xludf.DUMMYFUNCTION("""COMPUTED_VALUE"""),"klaudiorn")</f>
        <v>klaudiorn</v>
      </c>
      <c r="C1209" s="2"/>
      <c r="D1209" s="2">
        <f>IFERROR(__xludf.DUMMYFUNCTION("""COMPUTED_VALUE"""),1.0028027568273113E-4)</f>
        <v>0.0001002802757</v>
      </c>
      <c r="E1209" s="2" t="str">
        <f>IFERROR(__xludf.DUMMYFUNCTION("""COMPUTED_VALUE"""),"      2.297")</f>
        <v>      2.297</v>
      </c>
    </row>
    <row r="1210">
      <c r="A1210" s="2" t="str">
        <f>IFERROR(__xludf.DUMMYFUNCTION("""COMPUTED_VALUE"""),"Gabriel Santos Octa🔴⚫8⃣ 2⃣ Liberta 1⃣ Mundial")</f>
        <v>Gabriel Santos Octa🔴⚫8⃣ 2⃣ Liberta 1⃣ Mundial</v>
      </c>
      <c r="B1210" s="2" t="str">
        <f>IFERROR(__xludf.DUMMYFUNCTION("""COMPUTED_VALUE"""),"taysonconceicao")</f>
        <v>taysonconceicao</v>
      </c>
      <c r="C1210" s="2" t="str">
        <f>IFERROR(__xludf.DUMMYFUNCTION("""COMPUTED_VALUE"""),"Flamengo Tua Gloria e Lutar ❤🖤🔰🇧🇷🇻🇦")</f>
        <v>Flamengo Tua Gloria e Lutar ❤🖤🔰🇧🇷🇻🇦</v>
      </c>
      <c r="D1210" s="2">
        <f>IFERROR(__xludf.DUMMYFUNCTION("""COMPUTED_VALUE"""),1.0028027568273113E-4)</f>
        <v>0.0001002802757</v>
      </c>
      <c r="E1210" s="2" t="str">
        <f>IFERROR(__xludf.DUMMYFUNCTION("""COMPUTED_VALUE"""),"      2.268")</f>
        <v>      2.268</v>
      </c>
    </row>
    <row r="1211">
      <c r="A1211" s="2" t="str">
        <f>IFERROR(__xludf.DUMMYFUNCTION("""COMPUTED_VALUE"""),"Diario Ojo Pelao")</f>
        <v>Diario Ojo Pelao</v>
      </c>
      <c r="B1211" s="2" t="str">
        <f>IFERROR(__xludf.DUMMYFUNCTION("""COMPUTED_VALUE"""),"ojopelao")</f>
        <v>ojopelao</v>
      </c>
      <c r="C1211" s="2" t="str">
        <f>IFERROR(__xludf.DUMMYFUNCTION("""COMPUTED_VALUE"""),"La desvalorización del mundo humano crece en razón directa de la valorización del mundo de las cosas. 
Carlos Marx")</f>
        <v>La desvalorización del mundo humano crece en razón directa de la valorización del mundo de las cosas. 
Carlos Marx</v>
      </c>
      <c r="D1211" s="2">
        <f>IFERROR(__xludf.DUMMYFUNCTION("""COMPUTED_VALUE"""),1.0028027568273113E-4)</f>
        <v>0.0001002802757</v>
      </c>
      <c r="E1211" s="2" t="str">
        <f>IFERROR(__xludf.DUMMYFUNCTION("""COMPUTED_VALUE"""),"      3.101")</f>
        <v>      3.101</v>
      </c>
    </row>
    <row r="1212">
      <c r="A1212" s="2" t="str">
        <f>IFERROR(__xludf.DUMMYFUNCTION("""COMPUTED_VALUE"""),"Lula Resistente")</f>
        <v>Lula Resistente</v>
      </c>
      <c r="B1212" s="2" t="str">
        <f>IFERROR(__xludf.DUMMYFUNCTION("""COMPUTED_VALUE"""),"lularesistente")</f>
        <v>lularesistente</v>
      </c>
      <c r="C1212" s="2" t="str">
        <f>IFERROR(__xludf.DUMMYFUNCTION("""COMPUTED_VALUE"""),"Progressista, Esquerdista, Lulista, Anti-Extremista, Flamenguista !! #Lula2023 🚩🚩🚩L U L A  P R E S I D E N T E🚩🚩 🚩🦑🦑🦑LULA COM CHUCHU🥬🥬🥬")</f>
        <v>Progressista, Esquerdista, Lulista, Anti-Extremista, Flamenguista !! #Lula2023 🚩🚩🚩L U L A  P R E S I D E N T E🚩🚩 🚩🦑🦑🦑LULA COM CHUCHU🥬🥬🥬</v>
      </c>
      <c r="D1212" s="2">
        <f>IFERROR(__xludf.DUMMYFUNCTION("""COMPUTED_VALUE"""),1.0028027568273113E-4)</f>
        <v>0.0001002802757</v>
      </c>
      <c r="E1212" s="2" t="str">
        <f>IFERROR(__xludf.DUMMYFUNCTION("""COMPUTED_VALUE"""),"      3.136")</f>
        <v>      3.136</v>
      </c>
    </row>
    <row r="1213">
      <c r="A1213" s="2" t="str">
        <f>IFERROR(__xludf.DUMMYFUNCTION("""COMPUTED_VALUE"""),"🇧🇷🇧🇷 Deus acima de tudo Brasil acima de todos")</f>
        <v>🇧🇷🇧🇷 Deus acima de tudo Brasil acima de todos</v>
      </c>
      <c r="B1213" s="2" t="str">
        <f>IFERROR(__xludf.DUMMYFUNCTION("""COMPUTED_VALUE"""),"formiga_perna")</f>
        <v>formiga_perna</v>
      </c>
      <c r="C1213" s="2" t="str">
        <f>IFERROR(__xludf.DUMMYFUNCTION("""COMPUTED_VALUE"""),"Cada novo dia e uma nova chance para engrandecer aquele que tudo criou;
SDV todos que me segue pode até demorar até 3 dias mas busca retribuir. 🇧🇷🇧🇷🇧🇷")</f>
        <v>Cada novo dia e uma nova chance para engrandecer aquele que tudo criou;
SDV todos que me segue pode até demorar até 3 dias mas busca retribuir. 🇧🇷🇧🇷🇧🇷</v>
      </c>
      <c r="D1213" s="2">
        <f>IFERROR(__xludf.DUMMYFUNCTION("""COMPUTED_VALUE"""),1.0028027568273113E-4)</f>
        <v>0.0001002802757</v>
      </c>
      <c r="E1213" s="2" t="str">
        <f>IFERROR(__xludf.DUMMYFUNCTION("""COMPUTED_VALUE"""),"     14.002")</f>
        <v>     14.002</v>
      </c>
    </row>
    <row r="1214">
      <c r="A1214" s="2" t="str">
        <f>IFERROR(__xludf.DUMMYFUNCTION("""COMPUTED_VALUE"""),"Nazaria73")</f>
        <v>Nazaria73</v>
      </c>
      <c r="B1214" s="2" t="str">
        <f>IFERROR(__xludf.DUMMYFUNCTION("""COMPUTED_VALUE"""),"nclosing123")</f>
        <v>nclosing123</v>
      </c>
      <c r="C1214" s="2"/>
      <c r="D1214" s="2">
        <f>IFERROR(__xludf.DUMMYFUNCTION("""COMPUTED_VALUE"""),1.0028027568273113E-4)</f>
        <v>0.0001002802757</v>
      </c>
      <c r="E1214" s="2" t="str">
        <f>IFERROR(__xludf.DUMMYFUNCTION("""COMPUTED_VALUE"""),"      1.231")</f>
        <v>      1.231</v>
      </c>
    </row>
    <row r="1215">
      <c r="A1215" s="2" t="str">
        <f>IFERROR(__xludf.DUMMYFUNCTION("""COMPUTED_VALUE"""),"Cesar Nascimento")</f>
        <v>Cesar Nascimento</v>
      </c>
      <c r="B1215" s="2" t="str">
        <f>IFERROR(__xludf.DUMMYFUNCTION("""COMPUTED_VALUE"""),"cesarefatimaglo")</f>
        <v>cesarefatimaglo</v>
      </c>
      <c r="C1215" s="2" t="str">
        <f>IFERROR(__xludf.DUMMYFUNCTION("""COMPUTED_VALUE"""),"Eng. químico com Doutorado em eng. de segurança, de esquerda e pela justiça social, torcedor do Flamengo e Manchester United, casado, avô do Jack e ateu.")</f>
        <v>Eng. químico com Doutorado em eng. de segurança, de esquerda e pela justiça social, torcedor do Flamengo e Manchester United, casado, avô do Jack e ateu.</v>
      </c>
      <c r="D1215" s="2">
        <f>IFERROR(__xludf.DUMMYFUNCTION("""COMPUTED_VALUE"""),1.0028027568273113E-4)</f>
        <v>0.0001002802757</v>
      </c>
      <c r="E1215" s="2" t="str">
        <f>IFERROR(__xludf.DUMMYFUNCTION("""COMPUTED_VALUE"""),"      1.838")</f>
        <v>      1.838</v>
      </c>
    </row>
    <row r="1216">
      <c r="A1216" s="2" t="str">
        <f>IFERROR(__xludf.DUMMYFUNCTION("""COMPUTED_VALUE"""),"Jaime Nemo")</f>
        <v>Jaime Nemo</v>
      </c>
      <c r="B1216" s="2" t="str">
        <f>IFERROR(__xludf.DUMMYFUNCTION("""COMPUTED_VALUE"""),"nemojaime")</f>
        <v>nemojaime</v>
      </c>
      <c r="C1216" s="2" t="str">
        <f>IFERROR(__xludf.DUMMYFUNCTION("""COMPUTED_VALUE"""),"Eu não sei ainda, mas vou saber mais cedo ou mais tarde")</f>
        <v>Eu não sei ainda, mas vou saber mais cedo ou mais tarde</v>
      </c>
      <c r="D1216" s="2">
        <f>IFERROR(__xludf.DUMMYFUNCTION("""COMPUTED_VALUE"""),1.0028027568273113E-4)</f>
        <v>0.0001002802757</v>
      </c>
      <c r="E1216" s="2" t="str">
        <f>IFERROR(__xludf.DUMMYFUNCTION("""COMPUTED_VALUE"""),"      2.620")</f>
        <v>      2.620</v>
      </c>
    </row>
    <row r="1217">
      <c r="A1217" s="2" t="str">
        <f>IFERROR(__xludf.DUMMYFUNCTION("""COMPUTED_VALUE"""),"Beatriz  Fagundes")</f>
        <v>Beatriz  Fagundes</v>
      </c>
      <c r="B1217" s="2" t="str">
        <f>IFERROR(__xludf.DUMMYFUNCTION("""COMPUTED_VALUE"""),"beatrizfagundes")</f>
        <v>beatrizfagundes</v>
      </c>
      <c r="C1217" s="2" t="str">
        <f>IFERROR(__xludf.DUMMYFUNCTION("""COMPUTED_VALUE"""),"Programa Beatriz Fagundes na Manawa Rádio Web segunda à sábado: 09h até Meio-dia.")</f>
        <v>Programa Beatriz Fagundes na Manawa Rádio Web segunda à sábado: 09h até Meio-dia.</v>
      </c>
      <c r="D1217" s="2">
        <f>IFERROR(__xludf.DUMMYFUNCTION("""COMPUTED_VALUE"""),1.0028027568273113E-4)</f>
        <v>0.0001002802757</v>
      </c>
      <c r="E1217" s="2" t="str">
        <f>IFERROR(__xludf.DUMMYFUNCTION("""COMPUTED_VALUE"""),"      2.648")</f>
        <v>      2.648</v>
      </c>
    </row>
    <row r="1218">
      <c r="A1218" s="2" t="str">
        <f>IFERROR(__xludf.DUMMYFUNCTION("""COMPUTED_VALUE"""),"Jaraguá")</f>
        <v>Jaraguá</v>
      </c>
      <c r="B1218" s="2" t="str">
        <f>IFERROR(__xludf.DUMMYFUNCTION("""COMPUTED_VALUE"""),"jaraguabtc")</f>
        <v>jaraguabtc</v>
      </c>
      <c r="C1218" s="2" t="str">
        <f>IFERROR(__xludf.DUMMYFUNCTION("""COMPUTED_VALUE"""),"Cristão, Bitcoinheiro, defensor da ética Cristã e do direito Jus Natural, participante dos projetos ""Os Intankáveis"" e ""Evangelho BTC"".")</f>
        <v>Cristão, Bitcoinheiro, defensor da ética Cristã e do direito Jus Natural, participante dos projetos "Os Intankáveis" e "Evangelho BTC".</v>
      </c>
      <c r="D1218" s="2">
        <f>IFERROR(__xludf.DUMMYFUNCTION("""COMPUTED_VALUE"""),1.0028027568273113E-4)</f>
        <v>0.0001002802757</v>
      </c>
      <c r="E1218" s="2" t="str">
        <f>IFERROR(__xludf.DUMMYFUNCTION("""COMPUTED_VALUE"""),"      6.765")</f>
        <v>      6.765</v>
      </c>
    </row>
    <row r="1219">
      <c r="A1219" s="2" t="str">
        <f>IFERROR(__xludf.DUMMYFUNCTION("""COMPUTED_VALUE"""),"Carpe Diem")</f>
        <v>Carpe Diem</v>
      </c>
      <c r="B1219" s="2" t="str">
        <f>IFERROR(__xludf.DUMMYFUNCTION("""COMPUTED_VALUE"""),"omni_diem")</f>
        <v>omni_diem</v>
      </c>
      <c r="C1219" s="2" t="str">
        <f>IFERROR(__xludf.DUMMYFUNCTION("""COMPUTED_VALUE"""),"Aproveite o dia todos os dias")</f>
        <v>Aproveite o dia todos os dias</v>
      </c>
      <c r="D1219" s="2">
        <f>IFERROR(__xludf.DUMMYFUNCTION("""COMPUTED_VALUE"""),1.0028027568273113E-4)</f>
        <v>0.0001002802757</v>
      </c>
      <c r="E1219" s="2" t="str">
        <f>IFERROR(__xludf.DUMMYFUNCTION("""COMPUTED_VALUE"""),"      1.143")</f>
        <v>      1.143</v>
      </c>
    </row>
    <row r="1220">
      <c r="A1220" s="2" t="str">
        <f>IFERROR(__xludf.DUMMYFUNCTION("""COMPUTED_VALUE"""),"COM LULA PRO QUE DER E VIER")</f>
        <v>COM LULA PRO QUE DER E VIER</v>
      </c>
      <c r="B1220" s="2" t="str">
        <f>IFERROR(__xludf.DUMMYFUNCTION("""COMPUTED_VALUE"""),"vanialobinha")</f>
        <v>vanialobinha</v>
      </c>
      <c r="C1220" s="2" t="str">
        <f>IFERROR(__xludf.DUMMYFUNCTION("""COMPUTED_VALUE"""),"O Brasil vai vencer a era dos idiotas. Estamos quase lá...não desistam...Força Lula ! Força Meu Povo !")</f>
        <v>O Brasil vai vencer a era dos idiotas. Estamos quase lá...não desistam...Força Lula ! Força Meu Povo !</v>
      </c>
      <c r="D1220" s="2">
        <f>IFERROR(__xludf.DUMMYFUNCTION("""COMPUTED_VALUE"""),1.0028027568273113E-4)</f>
        <v>0.0001002802757</v>
      </c>
      <c r="E1220" s="2" t="str">
        <f>IFERROR(__xludf.DUMMYFUNCTION("""COMPUTED_VALUE"""),"     14.395")</f>
        <v>     14.395</v>
      </c>
    </row>
    <row r="1221">
      <c r="A1221" s="2" t="str">
        <f>IFERROR(__xludf.DUMMYFUNCTION("""COMPUTED_VALUE"""),"Retirante Sudestino⭐⭐🏴🏳️")</f>
        <v>Retirante Sudestino⭐⭐🏴🏳️</v>
      </c>
      <c r="B1221" s="2" t="str">
        <f>IFERROR(__xludf.DUMMYFUNCTION("""COMPUTED_VALUE"""),"vinibhoficial")</f>
        <v>vinibhoficial</v>
      </c>
      <c r="C1221" s="2" t="str">
        <f>IFERROR(__xludf.DUMMYFUNCTION("""COMPUTED_VALUE"""),"Quem perdeu o trem da história por querer
Saiu do juízo sem saber
Foi mais um covarde a se esconder
Diante de um novo mundo")</f>
        <v>Quem perdeu o trem da história por querer
Saiu do juízo sem saber
Foi mais um covarde a se esconder
Diante de um novo mundo</v>
      </c>
      <c r="D1221" s="2">
        <f>IFERROR(__xludf.DUMMYFUNCTION("""COMPUTED_VALUE"""),1.0028027568273113E-4)</f>
        <v>0.0001002802757</v>
      </c>
      <c r="E1221" s="2" t="str">
        <f>IFERROR(__xludf.DUMMYFUNCTION("""COMPUTED_VALUE"""),"      1.896")</f>
        <v>      1.896</v>
      </c>
    </row>
    <row r="1222">
      <c r="A1222" s="2" t="str">
        <f>IFERROR(__xludf.DUMMYFUNCTION("""COMPUTED_VALUE"""),"Barbara Lula Silva")</f>
        <v>Barbara Lula Silva</v>
      </c>
      <c r="B1222" s="2" t="str">
        <f>IFERROR(__xludf.DUMMYFUNCTION("""COMPUTED_VALUE"""),"barbaradincker1")</f>
        <v>barbaradincker1</v>
      </c>
      <c r="C1222" s="2" t="str">
        <f>IFERROR(__xludf.DUMMYFUNCTION("""COMPUTED_VALUE"""),"mãe, petista com muito orgulho sim, PT o único partido que me defende, bolsominions rapa fora.")</f>
        <v>mãe, petista com muito orgulho sim, PT o único partido que me defende, bolsominions rapa fora.</v>
      </c>
      <c r="D1222" s="2">
        <f>IFERROR(__xludf.DUMMYFUNCTION("""COMPUTED_VALUE"""),1.0028027568273113E-4)</f>
        <v>0.0001002802757</v>
      </c>
      <c r="E1222" s="2" t="str">
        <f>IFERROR(__xludf.DUMMYFUNCTION("""COMPUTED_VALUE"""),"      2.259")</f>
        <v>      2.259</v>
      </c>
    </row>
    <row r="1223">
      <c r="A1223" s="2" t="str">
        <f>IFERROR(__xludf.DUMMYFUNCTION("""COMPUTED_VALUE"""),"Carlos Jr")</f>
        <v>Carlos Jr</v>
      </c>
      <c r="B1223" s="2" t="str">
        <f>IFERROR(__xludf.DUMMYFUNCTION("""COMPUTED_VALUE"""),"junior76_carlos")</f>
        <v>junior76_carlos</v>
      </c>
      <c r="C1223" s="2" t="str">
        <f>IFERROR(__xludf.DUMMYFUNCTION("""COMPUTED_VALUE"""),"Químico Industrial 👨🏽‍🔬, Permacultor Aprendiz 👨🏽‍🌾🌾, Aprendiz em Aquicultura 🐠.")</f>
        <v>Químico Industrial 👨🏽‍🔬, Permacultor Aprendiz 👨🏽‍🌾🌾, Aprendiz em Aquicultura 🐠.</v>
      </c>
      <c r="D1223" s="2">
        <f>IFERROR(__xludf.DUMMYFUNCTION("""COMPUTED_VALUE"""),1.0028027568273113E-4)</f>
        <v>0.0001002802757</v>
      </c>
      <c r="E1223" s="2" t="str">
        <f>IFERROR(__xludf.DUMMYFUNCTION("""COMPUTED_VALUE"""),"      1.858")</f>
        <v>      1.858</v>
      </c>
    </row>
    <row r="1224">
      <c r="A1224" s="2" t="str">
        <f>IFERROR(__xludf.DUMMYFUNCTION("""COMPUTED_VALUE"""),"Zeca")</f>
        <v>Zeca</v>
      </c>
      <c r="B1224" s="2" t="str">
        <f>IFERROR(__xludf.DUMMYFUNCTION("""COMPUTED_VALUE"""),"andiamomeno")</f>
        <v>andiamomeno</v>
      </c>
      <c r="C1224" s="2"/>
      <c r="D1224" s="2">
        <f>IFERROR(__xludf.DUMMYFUNCTION("""COMPUTED_VALUE"""),1.0028027568273113E-4)</f>
        <v>0.0001002802757</v>
      </c>
      <c r="E1224" s="2" t="str">
        <f>IFERROR(__xludf.DUMMYFUNCTION("""COMPUTED_VALUE"""),"      2.367")</f>
        <v>      2.367</v>
      </c>
    </row>
    <row r="1225">
      <c r="A1225" s="2" t="str">
        <f>IFERROR(__xludf.DUMMYFUNCTION("""COMPUTED_VALUE"""),"Fábio 🇧🇷🇧🇷")</f>
        <v>Fábio 🇧🇷🇧🇷</v>
      </c>
      <c r="B1225" s="2" t="str">
        <f>IFERROR(__xludf.DUMMYFUNCTION("""COMPUTED_VALUE"""),"fabiojose_silva")</f>
        <v>fabiojose_silva</v>
      </c>
      <c r="C1225" s="2" t="str">
        <f>IFERROR(__xludf.DUMMYFUNCTION("""COMPUTED_VALUE"""),"Por um Brasil Progressista!
Democracia acima de tudo!
O POVO NO PODER!👊🇧🇷")</f>
        <v>Por um Brasil Progressista!
Democracia acima de tudo!
O POVO NO PODER!👊🇧🇷</v>
      </c>
      <c r="D1225" s="2">
        <f>IFERROR(__xludf.DUMMYFUNCTION("""COMPUTED_VALUE"""),1.0028027568273113E-4)</f>
        <v>0.0001002802757</v>
      </c>
      <c r="E1225" s="2" t="str">
        <f>IFERROR(__xludf.DUMMYFUNCTION("""COMPUTED_VALUE"""),"      1.454")</f>
        <v>      1.454</v>
      </c>
    </row>
    <row r="1226">
      <c r="A1226" s="2" t="str">
        <f>IFERROR(__xludf.DUMMYFUNCTION("""COMPUTED_VALUE"""),"santinhasouza 🚩🚩")</f>
        <v>santinhasouza 🚩🚩</v>
      </c>
      <c r="B1226" s="2" t="str">
        <f>IFERROR(__xludf.DUMMYFUNCTION("""COMPUTED_VALUE"""),"santinhasouza1")</f>
        <v>santinhasouza1</v>
      </c>
      <c r="C1226" s="2" t="str">
        <f>IFERROR(__xludf.DUMMYFUNCTION("""COMPUTED_VALUE"""),"Arquiteta do meu destino")</f>
        <v>Arquiteta do meu destino</v>
      </c>
      <c r="D1226" s="2">
        <f>IFERROR(__xludf.DUMMYFUNCTION("""COMPUTED_VALUE"""),1.0028027568273113E-4)</f>
        <v>0.0001002802757</v>
      </c>
      <c r="E1226" s="2" t="str">
        <f>IFERROR(__xludf.DUMMYFUNCTION("""COMPUTED_VALUE"""),"      1.884")</f>
        <v>      1.884</v>
      </c>
    </row>
    <row r="1227">
      <c r="A1227" s="2" t="str">
        <f>IFERROR(__xludf.DUMMYFUNCTION("""COMPUTED_VALUE"""),"Sebastião")</f>
        <v>Sebastião</v>
      </c>
      <c r="B1227" s="2" t="str">
        <f>IFERROR(__xludf.DUMMYFUNCTION("""COMPUTED_VALUE"""),"seba_bene")</f>
        <v>seba_bene</v>
      </c>
      <c r="C1227" s="2" t="str">
        <f>IFERROR(__xludf.DUMMYFUNCTION("""COMPUTED_VALUE"""),"Aqui é Democracia. PT🚩🇧🇷")</f>
        <v>Aqui é Democracia. PT🚩🇧🇷</v>
      </c>
      <c r="D1227" s="2">
        <f>IFERROR(__xludf.DUMMYFUNCTION("""COMPUTED_VALUE"""),1.0028027568273113E-4)</f>
        <v>0.0001002802757</v>
      </c>
      <c r="E1227" s="2" t="str">
        <f>IFERROR(__xludf.DUMMYFUNCTION("""COMPUTED_VALUE"""),"      7.803")</f>
        <v>      7.803</v>
      </c>
    </row>
    <row r="1228">
      <c r="A1228" s="2" t="str">
        <f>IFERROR(__xludf.DUMMYFUNCTION("""COMPUTED_VALUE"""),"Fabi")</f>
        <v>Fabi</v>
      </c>
      <c r="B1228" s="2" t="str">
        <f>IFERROR(__xludf.DUMMYFUNCTION("""COMPUTED_VALUE"""),"fabiulaor")</f>
        <v>fabiulaor</v>
      </c>
      <c r="C1228" s="2"/>
      <c r="D1228" s="2">
        <f>IFERROR(__xludf.DUMMYFUNCTION("""COMPUTED_VALUE"""),1.0028027568273113E-4)</f>
        <v>0.0001002802757</v>
      </c>
      <c r="E1228" s="2" t="str">
        <f>IFERROR(__xludf.DUMMYFUNCTION("""COMPUTED_VALUE"""),"      2.713")</f>
        <v>      2.713</v>
      </c>
    </row>
    <row r="1229">
      <c r="A1229" s="2" t="str">
        <f>IFERROR(__xludf.DUMMYFUNCTION("""COMPUTED_VALUE"""),"Marcelo .")</f>
        <v>Marcelo .</v>
      </c>
      <c r="B1229" s="2" t="str">
        <f>IFERROR(__xludf.DUMMYFUNCTION("""COMPUTED_VALUE"""),"marcelomnjj")</f>
        <v>marcelomnjj</v>
      </c>
      <c r="C1229" s="2"/>
      <c r="D1229" s="2">
        <f>IFERROR(__xludf.DUMMYFUNCTION("""COMPUTED_VALUE"""),1.0028027568273113E-4)</f>
        <v>0.0001002802757</v>
      </c>
      <c r="E1229" s="2" t="str">
        <f>IFERROR(__xludf.DUMMYFUNCTION("""COMPUTED_VALUE"""),"      3.056")</f>
        <v>      3.056</v>
      </c>
    </row>
    <row r="1230">
      <c r="A1230" s="2" t="str">
        <f>IFERROR(__xludf.DUMMYFUNCTION("""COMPUTED_VALUE"""),"Daniela Carbonel Triana")</f>
        <v>Daniela Carbonel Triana</v>
      </c>
      <c r="B1230" s="2" t="str">
        <f>IFERROR(__xludf.DUMMYFUNCTION("""COMPUTED_VALUE"""),"carboneltriana")</f>
        <v>carboneltriana</v>
      </c>
      <c r="C1230" s="2" t="str">
        <f>IFERROR(__xludf.DUMMYFUNCTION("""COMPUTED_VALUE"""),"Soy cubana, bayamesa y mi ideal es el bien, asociado al porvenir de nuestra patria. Perseveremos y venceremos")</f>
        <v>Soy cubana, bayamesa y mi ideal es el bien, asociado al porvenir de nuestra patria. Perseveremos y venceremos</v>
      </c>
      <c r="D1230" s="2">
        <f>IFERROR(__xludf.DUMMYFUNCTION("""COMPUTED_VALUE"""),1.0028027568273113E-4)</f>
        <v>0.0001002802757</v>
      </c>
      <c r="E1230" s="2" t="str">
        <f>IFERROR(__xludf.DUMMYFUNCTION("""COMPUTED_VALUE"""),"      2.348")</f>
        <v>      2.348</v>
      </c>
    </row>
    <row r="1231">
      <c r="A1231" s="2" t="str">
        <f>IFERROR(__xludf.DUMMYFUNCTION("""COMPUTED_VALUE"""),"👉Cristinisto✌️🫘Señor con perro blanco 🇦🇷💪🧉")</f>
        <v>👉Cristinisto✌️🫘Señor con perro blanco 🇦🇷💪🧉</v>
      </c>
      <c r="B1231" s="2" t="str">
        <f>IFERROR(__xludf.DUMMYFUNCTION("""COMPUTED_VALUE"""),"juanjuan_juan55")</f>
        <v>juanjuan_juan55</v>
      </c>
      <c r="C1231" s="2" t="str">
        <f>IFERROR(__xludf.DUMMYFUNCTION("""COMPUTED_VALUE"""),"Hincha de Deportivo Español🇪🇸Amante del folklore argentino🇦🇷Y fanclub de nuestro vino🍷Para los amigos 🤝para los otros 👊
Si habré corrido fantasmas...!👻")</f>
        <v>Hincha de Deportivo Español🇪🇸Amante del folklore argentino🇦🇷Y fanclub de nuestro vino🍷Para los amigos 🤝para los otros 👊
Si habré corrido fantasmas...!👻</v>
      </c>
      <c r="D1231" s="2">
        <f>IFERROR(__xludf.DUMMYFUNCTION("""COMPUTED_VALUE"""),1.0028027568273113E-4)</f>
        <v>0.0001002802757</v>
      </c>
      <c r="E1231" s="2" t="str">
        <f>IFERROR(__xludf.DUMMYFUNCTION("""COMPUTED_VALUE"""),"      3.435")</f>
        <v>      3.435</v>
      </c>
    </row>
    <row r="1232">
      <c r="A1232" s="2" t="str">
        <f>IFERROR(__xludf.DUMMYFUNCTION("""COMPUTED_VALUE"""),"Thiago Freitas")</f>
        <v>Thiago Freitas</v>
      </c>
      <c r="B1232" s="2" t="str">
        <f>IFERROR(__xludf.DUMMYFUNCTION("""COMPUTED_VALUE"""),"thiagotentum")</f>
        <v>thiagotentum</v>
      </c>
      <c r="C1232" s="2" t="str">
        <f>IFERROR(__xludf.DUMMYFUNCTION("""COMPUTED_VALUE"""),"Ainda trabalho com Futebol. Me divirto com Arte, Matemática, Cozinha e Almanaques.")</f>
        <v>Ainda trabalho com Futebol. Me divirto com Arte, Matemática, Cozinha e Almanaques.</v>
      </c>
      <c r="D1232" s="2">
        <f>IFERROR(__xludf.DUMMYFUNCTION("""COMPUTED_VALUE"""),1.0028027568273113E-4)</f>
        <v>0.0001002802757</v>
      </c>
      <c r="E1232" s="2" t="str">
        <f>IFERROR(__xludf.DUMMYFUNCTION("""COMPUTED_VALUE"""),"      1.957")</f>
        <v>      1.957</v>
      </c>
    </row>
    <row r="1233">
      <c r="A1233" s="2" t="str">
        <f>IFERROR(__xludf.DUMMYFUNCTION("""COMPUTED_VALUE"""),"Saladino D. Aracaju 🇧🇷🇧🇷")</f>
        <v>Saladino D. Aracaju 🇧🇷🇧🇷</v>
      </c>
      <c r="B1233" s="2" t="str">
        <f>IFERROR(__xludf.DUMMYFUNCTION("""COMPUTED_VALUE"""),"rapaduraj")</f>
        <v>rapaduraj</v>
      </c>
      <c r="C1233" s="2" t="str">
        <f>IFERROR(__xludf.DUMMYFUNCTION("""COMPUTED_VALUE"""),"Tome, Doutor, esta tesoura")</f>
        <v>Tome, Doutor, esta tesoura</v>
      </c>
      <c r="D1233" s="2">
        <f>IFERROR(__xludf.DUMMYFUNCTION("""COMPUTED_VALUE"""),1.0028027568273113E-4)</f>
        <v>0.0001002802757</v>
      </c>
      <c r="E1233" s="2" t="str">
        <f>IFERROR(__xludf.DUMMYFUNCTION("""COMPUTED_VALUE"""),"      2.525")</f>
        <v>      2.525</v>
      </c>
    </row>
    <row r="1234">
      <c r="A1234" s="2" t="str">
        <f>IFERROR(__xludf.DUMMYFUNCTION("""COMPUTED_VALUE"""),"flori 🥀🇦🇷")</f>
        <v>flori 🥀🇦🇷</v>
      </c>
      <c r="B1234" s="2" t="str">
        <f>IFERROR(__xludf.DUMMYFUNCTION("""COMPUTED_VALUE"""),"blesshailey")</f>
        <v>blesshailey</v>
      </c>
      <c r="C1234" s="2" t="str">
        <f>IFERROR(__xludf.DUMMYFUNCTION("""COMPUTED_VALUE"""),"backup @blessjuxtin 👅 - fan account")</f>
        <v>backup @blessjuxtin 👅 - fan account</v>
      </c>
      <c r="D1234" s="2">
        <f>IFERROR(__xludf.DUMMYFUNCTION("""COMPUTED_VALUE"""),1.0028027568273113E-4)</f>
        <v>0.0001002802757</v>
      </c>
      <c r="E1234" s="2" t="str">
        <f>IFERROR(__xludf.DUMMYFUNCTION("""COMPUTED_VALUE"""),"      5.828")</f>
        <v>      5.828</v>
      </c>
    </row>
    <row r="1235">
      <c r="A1235" s="2" t="str">
        <f>IFERROR(__xludf.DUMMYFUNCTION("""COMPUTED_VALUE"""),"green heart")</f>
        <v>green heart</v>
      </c>
      <c r="B1235" s="2" t="str">
        <f>IFERROR(__xludf.DUMMYFUNCTION("""COMPUTED_VALUE"""),"br_green_heart")</f>
        <v>br_green_heart</v>
      </c>
      <c r="C1235" s="2" t="str">
        <f>IFERROR(__xludf.DUMMYFUNCTION("""COMPUTED_VALUE"""),"Seeking, Sharing Info &amp; Knowledge abt Politics, Economy, Philosophy, Arts, Religion ... 2 reach Health, Truth, Peace, Freedom, Justice, Beauty, Love, God ...")</f>
        <v>Seeking, Sharing Info &amp; Knowledge abt Politics, Economy, Philosophy, Arts, Religion ... 2 reach Health, Truth, Peace, Freedom, Justice, Beauty, Love, God ...</v>
      </c>
      <c r="D1235" s="2">
        <f>IFERROR(__xludf.DUMMYFUNCTION("""COMPUTED_VALUE"""),1.0028027568273113E-4)</f>
        <v>0.0001002802757</v>
      </c>
      <c r="E1235" s="2" t="str">
        <f>IFERROR(__xludf.DUMMYFUNCTION("""COMPUTED_VALUE"""),"      2.947")</f>
        <v>      2.947</v>
      </c>
    </row>
    <row r="1236">
      <c r="A1236" s="2" t="str">
        <f>IFERROR(__xludf.DUMMYFUNCTION("""COMPUTED_VALUE"""),"AnaPaulaLula🇧🇷🇪🇪🚩⭐️")</f>
        <v>AnaPaulaLula🇧🇷🇪🇪🚩⭐️</v>
      </c>
      <c r="B1236" s="2" t="str">
        <f>IFERROR(__xludf.DUMMYFUNCTION("""COMPUTED_VALUE"""),"anapaul95390738")</f>
        <v>anapaul95390738</v>
      </c>
      <c r="C1236" s="2" t="str">
        <f>IFERROR(__xludf.DUMMYFUNCTION("""COMPUTED_VALUE"""),"Lula maior estadista do 🌎!!
Lula melhor Presidente 🇧🇷!!")</f>
        <v>Lula maior estadista do 🌎!!
Lula melhor Presidente 🇧🇷!!</v>
      </c>
      <c r="D1236" s="2">
        <f>IFERROR(__xludf.DUMMYFUNCTION("""COMPUTED_VALUE"""),1.0028027568273113E-4)</f>
        <v>0.0001002802757</v>
      </c>
      <c r="E1236" s="2" t="str">
        <f>IFERROR(__xludf.DUMMYFUNCTION("""COMPUTED_VALUE"""),"      2.978")</f>
        <v>      2.978</v>
      </c>
    </row>
    <row r="1237">
      <c r="A1237" s="2" t="str">
        <f>IFERROR(__xludf.DUMMYFUNCTION("""COMPUTED_VALUE"""),"Raphael Nascimento ᶜʳᶠ")</f>
        <v>Raphael Nascimento ᶜʳᶠ</v>
      </c>
      <c r="B1237" s="2" t="str">
        <f>IFERROR(__xludf.DUMMYFUNCTION("""COMPUTED_VALUE"""),"raphaell_crf")</f>
        <v>raphaell_crf</v>
      </c>
      <c r="C1237" s="2" t="str">
        <f>IFERROR(__xludf.DUMMYFUNCTION("""COMPUTED_VALUE"""),"@Flamengo 🔴⚫️")</f>
        <v>@Flamengo 🔴⚫️</v>
      </c>
      <c r="D1237" s="2">
        <f>IFERROR(__xludf.DUMMYFUNCTION("""COMPUTED_VALUE"""),1.0028027568273113E-4)</f>
        <v>0.0001002802757</v>
      </c>
      <c r="E1237" s="2" t="str">
        <f>IFERROR(__xludf.DUMMYFUNCTION("""COMPUTED_VALUE"""),"      6.244")</f>
        <v>      6.244</v>
      </c>
    </row>
    <row r="1238">
      <c r="A1238" s="2" t="str">
        <f>IFERROR(__xludf.DUMMYFUNCTION("""COMPUTED_VALUE"""),"Edvaldo Muniz🚩")</f>
        <v>Edvaldo Muniz🚩</v>
      </c>
      <c r="B1238" s="2" t="str">
        <f>IFERROR(__xludf.DUMMYFUNCTION("""COMPUTED_VALUE"""),"edvaldomuniz5")</f>
        <v>edvaldomuniz5</v>
      </c>
      <c r="C1238" s="2" t="str">
        <f>IFERROR(__xludf.DUMMYFUNCTION("""COMPUTED_VALUE"""),"Lula13")</f>
        <v>Lula13</v>
      </c>
      <c r="D1238" s="2">
        <f>IFERROR(__xludf.DUMMYFUNCTION("""COMPUTED_VALUE"""),1.0028027568273113E-4)</f>
        <v>0.0001002802757</v>
      </c>
      <c r="E1238" s="2" t="str">
        <f>IFERROR(__xludf.DUMMYFUNCTION("""COMPUTED_VALUE"""),"      4.522")</f>
        <v>      4.522</v>
      </c>
    </row>
    <row r="1239">
      <c r="A1239" s="2" t="str">
        <f>IFERROR(__xludf.DUMMYFUNCTION("""COMPUTED_VALUE"""),"⭐Dandara Lula 13⭐ 🇧🇷 🇺🇾")</f>
        <v>⭐Dandara Lula 13⭐ 🇧🇷 🇺🇾</v>
      </c>
      <c r="B1239" s="2" t="str">
        <f>IFERROR(__xludf.DUMMYFUNCTION("""COMPUTED_VALUE"""),"tririos")</f>
        <v>tririos</v>
      </c>
      <c r="C1239" s="2" t="str">
        <f>IFERROR(__xludf.DUMMYFUNCTION("""COMPUTED_VALUE"""),"Dou block em Bol卐oGados e seguidores do marreco de Maringá! 
 ⭐️#SouLula, #SouPT, #SouEsquerda!⭐️")</f>
        <v>Dou block em Bol卐oGados e seguidores do marreco de Maringá! 
 ⭐️#SouLula, #SouPT, #SouEsquerda!⭐️</v>
      </c>
      <c r="D1239" s="2">
        <f>IFERROR(__xludf.DUMMYFUNCTION("""COMPUTED_VALUE"""),1.0028027568273113E-4)</f>
        <v>0.0001002802757</v>
      </c>
      <c r="E1239" s="2" t="str">
        <f>IFERROR(__xludf.DUMMYFUNCTION("""COMPUTED_VALUE"""),"      4.021")</f>
        <v>      4.021</v>
      </c>
    </row>
    <row r="1240">
      <c r="A1240" s="2" t="str">
        <f>IFERROR(__xludf.DUMMYFUNCTION("""COMPUTED_VALUE"""),"Drikka Ramos")</f>
        <v>Drikka Ramos</v>
      </c>
      <c r="B1240" s="2" t="str">
        <f>IFERROR(__xludf.DUMMYFUNCTION("""COMPUTED_VALUE"""),"eu_drikka")</f>
        <v>eu_drikka</v>
      </c>
      <c r="C1240" s="2" t="str">
        <f>IFERROR(__xludf.DUMMYFUNCTION("""COMPUTED_VALUE"""),"Mestre em Reiki Sistema USUI, mãe,  esposa, espiritualista.
Meta para hoje: Ser melhor do que fui ontem. Assim sigo minha caminhada.")</f>
        <v>Mestre em Reiki Sistema USUI, mãe,  esposa, espiritualista.
Meta para hoje: Ser melhor do que fui ontem. Assim sigo minha caminhada.</v>
      </c>
      <c r="D1240" s="2">
        <f>IFERROR(__xludf.DUMMYFUNCTION("""COMPUTED_VALUE"""),1.0028027568273113E-4)</f>
        <v>0.0001002802757</v>
      </c>
      <c r="E1240" s="2" t="str">
        <f>IFERROR(__xludf.DUMMYFUNCTION("""COMPUTED_VALUE"""),"      1.600")</f>
        <v>      1.600</v>
      </c>
    </row>
    <row r="1241">
      <c r="A1241" s="2" t="str">
        <f>IFERROR(__xludf.DUMMYFUNCTION("""COMPUTED_VALUE"""),"alex alves")</f>
        <v>alex alves</v>
      </c>
      <c r="B1241" s="2" t="str">
        <f>IFERROR(__xludf.DUMMYFUNCTION("""COMPUTED_VALUE"""),"alexalvesdoss12")</f>
        <v>alexalvesdoss12</v>
      </c>
      <c r="C1241" s="2" t="str">
        <f>IFERROR(__xludf.DUMMYFUNCTION("""COMPUTED_VALUE"""),"vivo de amores e de cores para tornar a vida mais divertida e descontraída. ..")</f>
        <v>vivo de amores e de cores para tornar a vida mais divertida e descontraída. ..</v>
      </c>
      <c r="D1241" s="2">
        <f>IFERROR(__xludf.DUMMYFUNCTION("""COMPUTED_VALUE"""),1.0028027568273113E-4)</f>
        <v>0.0001002802757</v>
      </c>
      <c r="E1241" s="2" t="str">
        <f>IFERROR(__xludf.DUMMYFUNCTION("""COMPUTED_VALUE"""),"      1.344")</f>
        <v>      1.344</v>
      </c>
    </row>
    <row r="1242">
      <c r="A1242" s="2" t="str">
        <f>IFERROR(__xludf.DUMMYFUNCTION("""COMPUTED_VALUE"""),"Gabriel Carvalho")</f>
        <v>Gabriel Carvalho</v>
      </c>
      <c r="B1242" s="2" t="str">
        <f>IFERROR(__xludf.DUMMYFUNCTION("""COMPUTED_VALUE"""),"gabrielfdec")</f>
        <v>gabrielfdec</v>
      </c>
      <c r="C1242" s="2"/>
      <c r="D1242" s="2">
        <f>IFERROR(__xludf.DUMMYFUNCTION("""COMPUTED_VALUE"""),1.0028027568273113E-4)</f>
        <v>0.0001002802757</v>
      </c>
      <c r="E1242" s="2" t="str">
        <f>IFERROR(__xludf.DUMMYFUNCTION("""COMPUTED_VALUE"""),"      2.012")</f>
        <v>      2.012</v>
      </c>
    </row>
    <row r="1243">
      <c r="A1243" s="2" t="str">
        <f>IFERROR(__xludf.DUMMYFUNCTION("""COMPUTED_VALUE"""),"Kito 🚩 #Lula13 🚩🇧🇷🚩🇦🇲")</f>
        <v>Kito 🚩 #Lula13 🚩🇧🇷🚩🇦🇲</v>
      </c>
      <c r="B1243" s="2" t="str">
        <f>IFERROR(__xludf.DUMMYFUNCTION("""COMPUTED_VALUE"""),"frmarchetaria")</f>
        <v>frmarchetaria</v>
      </c>
      <c r="C1243" s="2" t="str">
        <f>IFERROR(__xludf.DUMMYFUNCTION("""COMPUTED_VALUE"""),"https://t.co/U2rPrboiVa https://t.co/dVvc2LGVj8 Instagram: @oficinadamarchetaria Casado, Escorpião 🦂")</f>
        <v>https://t.co/U2rPrboiVa https://t.co/dVvc2LGVj8 Instagram: @oficinadamarchetaria Casado, Escorpião 🦂</v>
      </c>
      <c r="D1243" s="2">
        <f>IFERROR(__xludf.DUMMYFUNCTION("""COMPUTED_VALUE"""),1.0028027568273113E-4)</f>
        <v>0.0001002802757</v>
      </c>
      <c r="E1243" s="2" t="str">
        <f>IFERROR(__xludf.DUMMYFUNCTION("""COMPUTED_VALUE"""),"      6.682")</f>
        <v>      6.682</v>
      </c>
    </row>
    <row r="1244">
      <c r="A1244" s="2" t="str">
        <f>IFERROR(__xludf.DUMMYFUNCTION("""COMPUTED_VALUE"""),"Joy⚢💭")</f>
        <v>Joy⚢💭</v>
      </c>
      <c r="B1244" s="2" t="str">
        <f>IFERROR(__xludf.DUMMYFUNCTION("""COMPUTED_VALUE"""),"mydear_chuuya")</f>
        <v>mydear_chuuya</v>
      </c>
      <c r="C1244" s="2" t="str">
        <f>IFERROR(__xludf.DUMMYFUNCTION("""COMPUTED_VALUE"""),"Literalmente eu (Kafka Asagiri)")</f>
        <v>Literalmente eu (Kafka Asagiri)</v>
      </c>
      <c r="D1244" s="2">
        <f>IFERROR(__xludf.DUMMYFUNCTION("""COMPUTED_VALUE"""),1.0028027568273113E-4)</f>
        <v>0.0001002802757</v>
      </c>
      <c r="E1244" s="2" t="str">
        <f>IFERROR(__xludf.DUMMYFUNCTION("""COMPUTED_VALUE"""),"      1.495")</f>
        <v>      1.495</v>
      </c>
    </row>
    <row r="1245">
      <c r="A1245" s="2" t="str">
        <f>IFERROR(__xludf.DUMMYFUNCTION("""COMPUTED_VALUE"""),"Braun")</f>
        <v>Braun</v>
      </c>
      <c r="B1245" s="2" t="str">
        <f>IFERROR(__xludf.DUMMYFUNCTION("""COMPUTED_VALUE"""),"timebonoro_22")</f>
        <v>timebonoro_22</v>
      </c>
      <c r="C1245" s="2" t="str">
        <f>IFERROR(__xludf.DUMMYFUNCTION("""COMPUTED_VALUE"""),"Ninguém se importa")</f>
        <v>Ninguém se importa</v>
      </c>
      <c r="D1245" s="2">
        <f>IFERROR(__xludf.DUMMYFUNCTION("""COMPUTED_VALUE"""),1.0028027568273113E-4)</f>
        <v>0.0001002802757</v>
      </c>
      <c r="E1245" s="2" t="str">
        <f>IFERROR(__xludf.DUMMYFUNCTION("""COMPUTED_VALUE"""),"      1.560")</f>
        <v>      1.560</v>
      </c>
    </row>
    <row r="1246">
      <c r="A1246" s="2" t="str">
        <f>IFERROR(__xludf.DUMMYFUNCTION("""COMPUTED_VALUE"""),"🚩🖖N. Rubinstein")</f>
        <v>🚩🖖N. Rubinstein</v>
      </c>
      <c r="B1246" s="2" t="str">
        <f>IFERROR(__xludf.DUMMYFUNCTION("""COMPUTED_VALUE"""),"ndasilva6")</f>
        <v>ndasilva6</v>
      </c>
      <c r="C1246" s="2" t="str">
        <f>IFERROR(__xludf.DUMMYFUNCTION("""COMPUTED_VALUE"""),"Pai, professor e músico amador.
Preconceito não!
Padre, maestro y músico aficionado.
¡No a los prejuicios!
Father, teacher and amateur musician.
No prejudice!")</f>
        <v>Pai, professor e músico amador.
Preconceito não!
Padre, maestro y músico aficionado.
¡No a los prejuicios!
Father, teacher and amateur musician.
No prejudice!</v>
      </c>
      <c r="D1246" s="2">
        <f>IFERROR(__xludf.DUMMYFUNCTION("""COMPUTED_VALUE"""),1.0028027568273113E-4)</f>
        <v>0.0001002802757</v>
      </c>
      <c r="E1246" s="2" t="str">
        <f>IFERROR(__xludf.DUMMYFUNCTION("""COMPUTED_VALUE"""),"      3.257")</f>
        <v>      3.257</v>
      </c>
    </row>
    <row r="1247">
      <c r="A1247" s="2" t="str">
        <f>IFERROR(__xludf.DUMMYFUNCTION("""COMPUTED_VALUE"""),"julha")</f>
        <v>julha</v>
      </c>
      <c r="B1247" s="2" t="str">
        <f>IFERROR(__xludf.DUMMYFUNCTION("""COMPUTED_VALUE"""),"geollean")</f>
        <v>geollean</v>
      </c>
      <c r="C1247" s="2" t="str">
        <f>IFERROR(__xludf.DUMMYFUNCTION("""COMPUTED_VALUE"""),"she/them🏳️‍🌈🇧🇷 i do tech &amp; design stuff | musical theatre kid | pirralha &amp; ex tiktoker 🪦")</f>
        <v>she/them🏳️‍🌈🇧🇷 i do tech &amp; design stuff | musical theatre kid | pirralha &amp; ex tiktoker 🪦</v>
      </c>
      <c r="D1247" s="2">
        <f>IFERROR(__xludf.DUMMYFUNCTION("""COMPUTED_VALUE"""),1.0028027568273113E-4)</f>
        <v>0.0001002802757</v>
      </c>
      <c r="E1247" s="2" t="str">
        <f>IFERROR(__xludf.DUMMYFUNCTION("""COMPUTED_VALUE"""),"      1.430")</f>
        <v>      1.430</v>
      </c>
    </row>
    <row r="1248">
      <c r="A1248" s="2" t="str">
        <f>IFERROR(__xludf.DUMMYFUNCTION("""COMPUTED_VALUE"""),"Simeone Lula")</f>
        <v>Simeone Lula</v>
      </c>
      <c r="B1248" s="2" t="str">
        <f>IFERROR(__xludf.DUMMYFUNCTION("""COMPUTED_VALUE"""),"simeone_lula")</f>
        <v>simeone_lula</v>
      </c>
      <c r="C1248" s="2" t="str">
        <f>IFERROR(__xludf.DUMMYFUNCTION("""COMPUTED_VALUE"""),"Cearense, bancário, aposentado. Na luta por um país mais justo, democrático, sem fome e coerente com a maioria do povo brasileiro. Lula é a Esperança do Brasil.")</f>
        <v>Cearense, bancário, aposentado. Na luta por um país mais justo, democrático, sem fome e coerente com a maioria do povo brasileiro. Lula é a Esperança do Brasil.</v>
      </c>
      <c r="D1248" s="2">
        <f>IFERROR(__xludf.DUMMYFUNCTION("""COMPUTED_VALUE"""),1.0028027568273113E-4)</f>
        <v>0.0001002802757</v>
      </c>
      <c r="E1248" s="2" t="str">
        <f>IFERROR(__xludf.DUMMYFUNCTION("""COMPUTED_VALUE"""),"      2.243")</f>
        <v>      2.243</v>
      </c>
    </row>
    <row r="1249">
      <c r="A1249" s="2" t="str">
        <f>IFERROR(__xludf.DUMMYFUNCTION("""COMPUTED_VALUE"""),"osvaldo v. fernandes")</f>
        <v>osvaldo v. fernandes</v>
      </c>
      <c r="B1249" s="2" t="str">
        <f>IFERROR(__xludf.DUMMYFUNCTION("""COMPUTED_VALUE"""),"fernandes73")</f>
        <v>fernandes73</v>
      </c>
      <c r="C1249" s="2" t="str">
        <f>IFERROR(__xludf.DUMMYFUNCTION("""COMPUTED_VALUE"""),"Olá meu nome é Osvaldo eu vivo no paraná  Obrigado pela visita a todos que me segue seguirei de volta.")</f>
        <v>Olá meu nome é Osvaldo eu vivo no paraná  Obrigado pela visita a todos que me segue seguirei de volta.</v>
      </c>
      <c r="D1249" s="2">
        <f>IFERROR(__xludf.DUMMYFUNCTION("""COMPUTED_VALUE"""),1.0028027568273113E-4)</f>
        <v>0.0001002802757</v>
      </c>
      <c r="E1249" s="2" t="str">
        <f>IFERROR(__xludf.DUMMYFUNCTION("""COMPUTED_VALUE"""),"      1.489")</f>
        <v>      1.489</v>
      </c>
    </row>
    <row r="1250">
      <c r="A1250" s="2" t="str">
        <f>IFERROR(__xludf.DUMMYFUNCTION("""COMPUTED_VALUE"""),"mmiranda💎🚩 #esquerdaforteeunida🔄")</f>
        <v>mmiranda💎🚩 #esquerdaforteeunida🔄</v>
      </c>
      <c r="B1250" s="2" t="str">
        <f>IFERROR(__xludf.DUMMYFUNCTION("""COMPUTED_VALUE"""),"mm55921063")</f>
        <v>mm55921063</v>
      </c>
      <c r="C1250" s="2" t="str">
        <f>IFERROR(__xludf.DUMMYFUNCTION("""COMPUTED_VALUE"""),"Esquerda, esquerda. RTW td que gosto dos @❤️❤️ vermelhos. 🥰🚩🚩🚩🔄 selinho  verificado por mim.")</f>
        <v>Esquerda, esquerda. RTW td que gosto dos @❤️❤️ vermelhos. 🥰🚩🚩🚩🔄 selinho  verificado por mim.</v>
      </c>
      <c r="D1250" s="2">
        <f>IFERROR(__xludf.DUMMYFUNCTION("""COMPUTED_VALUE"""),1.0028027568273113E-4)</f>
        <v>0.0001002802757</v>
      </c>
      <c r="E1250" s="2" t="str">
        <f>IFERROR(__xludf.DUMMYFUNCTION("""COMPUTED_VALUE"""),"      9.266")</f>
        <v>      9.266</v>
      </c>
    </row>
    <row r="1251">
      <c r="A1251" s="2" t="str">
        <f>IFERROR(__xludf.DUMMYFUNCTION("""COMPUTED_VALUE"""),"Johnny Ferreira")</f>
        <v>Johnny Ferreira</v>
      </c>
      <c r="B1251" s="2" t="str">
        <f>IFERROR(__xludf.DUMMYFUNCTION("""COMPUTED_VALUE"""),"dilmaman")</f>
        <v>dilmaman</v>
      </c>
      <c r="C1251" s="2"/>
      <c r="D1251" s="2">
        <f>IFERROR(__xludf.DUMMYFUNCTION("""COMPUTED_VALUE"""),1.0028027568273113E-4)</f>
        <v>0.0001002802757</v>
      </c>
      <c r="E1251" s="2" t="str">
        <f>IFERROR(__xludf.DUMMYFUNCTION("""COMPUTED_VALUE"""),"      1.166")</f>
        <v>      1.166</v>
      </c>
    </row>
    <row r="1252">
      <c r="A1252" s="2" t="str">
        <f>IFERROR(__xludf.DUMMYFUNCTION("""COMPUTED_VALUE"""),"ErA 🚩 🚩🚩")</f>
        <v>ErA 🚩 🚩🚩</v>
      </c>
      <c r="B1252" s="2" t="str">
        <f>IFERROR(__xludf.DUMMYFUNCTION("""COMPUTED_VALUE"""),"era__ms")</f>
        <v>era__ms</v>
      </c>
      <c r="C1252" s="2" t="str">
        <f>IFERROR(__xludf.DUMMYFUNCTION("""COMPUTED_VALUE"""),"É possível haver prosperidade com justiça social!")</f>
        <v>É possível haver prosperidade com justiça social!</v>
      </c>
      <c r="D1252" s="2">
        <f>IFERROR(__xludf.DUMMYFUNCTION("""COMPUTED_VALUE"""),1.0028027568273113E-4)</f>
        <v>0.0001002802757</v>
      </c>
      <c r="E1252" s="2" t="str">
        <f>IFERROR(__xludf.DUMMYFUNCTION("""COMPUTED_VALUE"""),"     11.700")</f>
        <v>     11.700</v>
      </c>
    </row>
    <row r="1253">
      <c r="A1253" s="2" t="str">
        <f>IFERROR(__xludf.DUMMYFUNCTION("""COMPUTED_VALUE"""),"ana bea")</f>
        <v>ana bea</v>
      </c>
      <c r="B1253" s="2" t="str">
        <f>IFERROR(__xludf.DUMMYFUNCTION("""COMPUTED_VALUE"""),"rockyourbodyjt")</f>
        <v>rockyourbodyjt</v>
      </c>
      <c r="C1253" s="2" t="str">
        <f>IFERROR(__xludf.DUMMYFUNCTION("""COMPUTED_VALUE"""),"it must be exhausting always rooting for the anti-hero")</f>
        <v>it must be exhausting always rooting for the anti-hero</v>
      </c>
      <c r="D1253" s="2">
        <f>IFERROR(__xludf.DUMMYFUNCTION("""COMPUTED_VALUE"""),1.0028027568273113E-4)</f>
        <v>0.0001002802757</v>
      </c>
      <c r="E1253" s="2" t="str">
        <f>IFERROR(__xludf.DUMMYFUNCTION("""COMPUTED_VALUE"""),"      2.915")</f>
        <v>      2.915</v>
      </c>
    </row>
    <row r="1254">
      <c r="A1254" s="2" t="str">
        <f>IFERROR(__xludf.DUMMYFUNCTION("""COMPUTED_VALUE"""),"💛Márcia Morgado💚")</f>
        <v>💛Márcia Morgado💚</v>
      </c>
      <c r="B1254" s="2" t="str">
        <f>IFERROR(__xludf.DUMMYFUNCTION("""COMPUTED_VALUE"""),"marciamorgado12")</f>
        <v>marciamorgado12</v>
      </c>
      <c r="C1254" s="2" t="str">
        <f>IFERROR(__xludf.DUMMYFUNCTION("""COMPUTED_VALUE"""),"CRISTÃ, MÃE,  ESPOSA, CONSERVADORA, PATRIOTA..      
DEUS, NOSSO JUSTO JUIZ 🙏")</f>
        <v>CRISTÃ, MÃE,  ESPOSA, CONSERVADORA, PATRIOTA..      
DEUS, NOSSO JUSTO JUIZ 🙏</v>
      </c>
      <c r="D1254" s="2">
        <f>IFERROR(__xludf.DUMMYFUNCTION("""COMPUTED_VALUE"""),1.0028027568273113E-4)</f>
        <v>0.0001002802757</v>
      </c>
      <c r="E1254" s="2" t="str">
        <f>IFERROR(__xludf.DUMMYFUNCTION("""COMPUTED_VALUE"""),"      3.279")</f>
        <v>      3.279</v>
      </c>
    </row>
    <row r="1255">
      <c r="A1255" s="2" t="str">
        <f>IFERROR(__xludf.DUMMYFUNCTION("""COMPUTED_VALUE"""),"Nuno Alexandre")</f>
        <v>Nuno Alexandre</v>
      </c>
      <c r="B1255" s="2" t="str">
        <f>IFERROR(__xludf.DUMMYFUNCTION("""COMPUTED_VALUE"""),"chateaufiesta")</f>
        <v>chateaufiesta</v>
      </c>
      <c r="C1255" s="2" t="str">
        <f>IFERROR(__xludf.DUMMYFUNCTION("""COMPUTED_VALUE"""),"RT!=Endorsement. 
https://t.co/2Q3SgNmMTc
https://t.co/znQMSJHLu1…
https://t.co/ZRQQen5bhT
https://t.co/AUep1BKGvj")</f>
        <v>RT!=Endorsement. 
https://t.co/2Q3SgNmMTc
https://t.co/znQMSJHLu1…
https://t.co/ZRQQen5bhT
https://t.co/AUep1BKGvj</v>
      </c>
      <c r="D1255" s="2">
        <f>IFERROR(__xludf.DUMMYFUNCTION("""COMPUTED_VALUE"""),1.0028027568273113E-4)</f>
        <v>0.0001002802757</v>
      </c>
      <c r="E1255" s="2" t="str">
        <f>IFERROR(__xludf.DUMMYFUNCTION("""COMPUTED_VALUE"""),"      2.558")</f>
        <v>      2.558</v>
      </c>
    </row>
    <row r="1256">
      <c r="A1256" s="2" t="str">
        <f>IFERROR(__xludf.DUMMYFUNCTION("""COMPUTED_VALUE"""),"Jesus Calzolari")</f>
        <v>Jesus Calzolari</v>
      </c>
      <c r="B1256" s="2" t="str">
        <f>IFERROR(__xludf.DUMMYFUNCTION("""COMPUTED_VALUE"""),"calzolarijesus")</f>
        <v>calzolarijesus</v>
      </c>
      <c r="C1256" s="2"/>
      <c r="D1256" s="2">
        <f>IFERROR(__xludf.DUMMYFUNCTION("""COMPUTED_VALUE"""),1.0028027568273113E-4)</f>
        <v>0.0001002802757</v>
      </c>
      <c r="E1256" s="2" t="str">
        <f>IFERROR(__xludf.DUMMYFUNCTION("""COMPUTED_VALUE"""),"      1.346")</f>
        <v>      1.346</v>
      </c>
    </row>
    <row r="1257">
      <c r="A1257" s="2" t="str">
        <f>IFERROR(__xludf.DUMMYFUNCTION("""COMPUTED_VALUE"""),"Herly Lula da Silva")</f>
        <v>Herly Lula da Silva</v>
      </c>
      <c r="B1257" s="2" t="str">
        <f>IFERROR(__xludf.DUMMYFUNCTION("""COMPUTED_VALUE"""),"herlypereira")</f>
        <v>herlypereira</v>
      </c>
      <c r="C1257" s="2" t="str">
        <f>IFERROR(__xludf.DUMMYFUNCTION("""COMPUTED_VALUE"""),"Pai de duas crianças lindas, petista, Lulista, Dilmista, pão com mortadela... LULA PRESIDENTE 2022 PARA O BRASIL VOLTAR SER FELIZ DE NOVO🚩")</f>
        <v>Pai de duas crianças lindas, petista, Lulista, Dilmista, pão com mortadela... LULA PRESIDENTE 2022 PARA O BRASIL VOLTAR SER FELIZ DE NOVO🚩</v>
      </c>
      <c r="D1257" s="2">
        <f>IFERROR(__xludf.DUMMYFUNCTION("""COMPUTED_VALUE"""),1.0028027568273113E-4)</f>
        <v>0.0001002802757</v>
      </c>
      <c r="E1257" s="2" t="str">
        <f>IFERROR(__xludf.DUMMYFUNCTION("""COMPUTED_VALUE"""),"      1.329")</f>
        <v>      1.329</v>
      </c>
    </row>
    <row r="1258">
      <c r="A1258" s="2" t="str">
        <f>IFERROR(__xludf.DUMMYFUNCTION("""COMPUTED_VALUE"""),"Scopo")</f>
        <v>Scopo</v>
      </c>
      <c r="B1258" s="2" t="str">
        <f>IFERROR(__xludf.DUMMYFUNCTION("""COMPUTED_VALUE"""),"scopopt")</f>
        <v>scopopt</v>
      </c>
      <c r="C1258" s="2" t="str">
        <f>IFERROR(__xludf.DUMMYFUNCTION("""COMPUTED_VALUE"""),"Curiosidades • Notícias • Estatísticas • @_papoboleiros • @MundoFuteb • @SFutebol16")</f>
        <v>Curiosidades • Notícias • Estatísticas • @_papoboleiros • @MundoFuteb • @SFutebol16</v>
      </c>
      <c r="D1258" s="2">
        <f>IFERROR(__xludf.DUMMYFUNCTION("""COMPUTED_VALUE"""),1.0028027568273113E-4)</f>
        <v>0.0001002802757</v>
      </c>
      <c r="E1258" s="2" t="str">
        <f>IFERROR(__xludf.DUMMYFUNCTION("""COMPUTED_VALUE"""),"      3.652")</f>
        <v>      3.652</v>
      </c>
    </row>
    <row r="1259">
      <c r="A1259" s="2" t="str">
        <f>IFERROR(__xludf.DUMMYFUNCTION("""COMPUTED_VALUE"""),"Mbtmelo")</f>
        <v>Mbtmelo</v>
      </c>
      <c r="B1259" s="2" t="str">
        <f>IFERROR(__xludf.DUMMYFUNCTION("""COMPUTED_VALUE"""),"haltoridade")</f>
        <v>haltoridade</v>
      </c>
      <c r="C1259" s="2" t="str">
        <f>IFERROR(__xludf.DUMMYFUNCTION("""COMPUTED_VALUE"""),"Não há nada mais parecido a um fascista do que um burguês assustado - Bertolt Brecht")</f>
        <v>Não há nada mais parecido a um fascista do que um burguês assustado - Bertolt Brecht</v>
      </c>
      <c r="D1259" s="2">
        <f>IFERROR(__xludf.DUMMYFUNCTION("""COMPUTED_VALUE"""),1.0028027568273113E-4)</f>
        <v>0.0001002802757</v>
      </c>
      <c r="E1259" s="2" t="str">
        <f>IFERROR(__xludf.DUMMYFUNCTION("""COMPUTED_VALUE"""),"      1.632")</f>
        <v>      1.632</v>
      </c>
    </row>
    <row r="1260">
      <c r="A1260" s="2" t="str">
        <f>IFERROR(__xludf.DUMMYFUNCTION("""COMPUTED_VALUE"""),"Diogo Proietti 🇮🇹🇪🇺")</f>
        <v>Diogo Proietti 🇮🇹🇪🇺</v>
      </c>
      <c r="B1260" s="2" t="str">
        <f>IFERROR(__xludf.DUMMYFUNCTION("""COMPUTED_VALUE"""),"diogoprovete")</f>
        <v>diogoprovete</v>
      </c>
      <c r="C1260" s="2" t="str">
        <f>IFERROR(__xludf.DUMMYFUNCTION("""COMPUTED_VALUE"""),"Assistant professor @ufmsbr interested in Biodiversity synthesis. Dad of Manuela. Advisor. Editor. Open Science activist. Amphibians, Ecology, Neotropics.")</f>
        <v>Assistant professor @ufmsbr interested in Biodiversity synthesis. Dad of Manuela. Advisor. Editor. Open Science activist. Amphibians, Ecology, Neotropics.</v>
      </c>
      <c r="D1260" s="2">
        <f>IFERROR(__xludf.DUMMYFUNCTION("""COMPUTED_VALUE"""),1.0028027568273113E-4)</f>
        <v>0.0001002802757</v>
      </c>
      <c r="E1260" s="2" t="str">
        <f>IFERROR(__xludf.DUMMYFUNCTION("""COMPUTED_VALUE"""),"      2.341")</f>
        <v>      2.341</v>
      </c>
    </row>
    <row r="1261">
      <c r="A1261" s="2" t="str">
        <f>IFERROR(__xludf.DUMMYFUNCTION("""COMPUTED_VALUE"""),"joao fernandes filho")</f>
        <v>joao fernandes filho</v>
      </c>
      <c r="B1261" s="2" t="str">
        <f>IFERROR(__xludf.DUMMYFUNCTION("""COMPUTED_VALUE"""),"joaofernandesf1")</f>
        <v>joaofernandesf1</v>
      </c>
      <c r="C1261" s="2" t="str">
        <f>IFERROR(__xludf.DUMMYFUNCTION("""COMPUTED_VALUE"""),"curso superior completo - unp matal - rn curso de tecnologo em marketing de vendas concluido em 2003 matal brasil.")</f>
        <v>curso superior completo - unp matal - rn curso de tecnologo em marketing de vendas concluido em 2003 matal brasil.</v>
      </c>
      <c r="D1261" s="2">
        <f>IFERROR(__xludf.DUMMYFUNCTION("""COMPUTED_VALUE"""),1.0028027568273113E-4)</f>
        <v>0.0001002802757</v>
      </c>
      <c r="E1261" s="2" t="str">
        <f>IFERROR(__xludf.DUMMYFUNCTION("""COMPUTED_VALUE"""),"      1.752")</f>
        <v>      1.752</v>
      </c>
    </row>
    <row r="1262">
      <c r="A1262" s="2" t="str">
        <f>IFERROR(__xludf.DUMMYFUNCTION("""COMPUTED_VALUE"""),"Ronilson BOLSONARO 22")</f>
        <v>Ronilson BOLSONARO 22</v>
      </c>
      <c r="B1262" s="2" t="str">
        <f>IFERROR(__xludf.DUMMYFUNCTION("""COMPUTED_VALUE"""),"ronilsondejesu7")</f>
        <v>ronilsondejesu7</v>
      </c>
      <c r="C1262" s="2" t="str">
        <f>IFERROR(__xludf.DUMMYFUNCTION("""COMPUTED_VALUE"""),"Deus, Família, Pátria,Cristão, casado, Pró-Vida, Pró-Familia, Pró-Arma, Conservador de Direita")</f>
        <v>Deus, Família, Pátria,Cristão, casado, Pró-Vida, Pró-Familia, Pró-Arma, Conservador de Direita</v>
      </c>
      <c r="D1262" s="2">
        <f>IFERROR(__xludf.DUMMYFUNCTION("""COMPUTED_VALUE"""),1.0028027568273113E-4)</f>
        <v>0.0001002802757</v>
      </c>
      <c r="E1262" s="2" t="str">
        <f>IFERROR(__xludf.DUMMYFUNCTION("""COMPUTED_VALUE"""),"      3.153")</f>
        <v>      3.153</v>
      </c>
    </row>
    <row r="1263">
      <c r="A1263" s="2" t="str">
        <f>IFERROR(__xludf.DUMMYFUNCTION("""COMPUTED_VALUE"""),"SPFC¹³*")</f>
        <v>SPFC¹³*</v>
      </c>
      <c r="B1263" s="2" t="str">
        <f>IFERROR(__xludf.DUMMYFUNCTION("""COMPUTED_VALUE"""),"catao_spfc")</f>
        <v>catao_spfc</v>
      </c>
      <c r="C1263" s="2" t="str">
        <f>IFERROR(__xludf.DUMMYFUNCTION("""COMPUTED_VALUE"""),"Política do Brasil e de SP 🇧🇷 @psol50 @LulaOficial    #SPFC🔴⚪⚫     @SaoPauloFC 
NA LUTA CONTRA O FASCISMO NEONAZISTA")</f>
        <v>Política do Brasil e de SP 🇧🇷 @psol50 @LulaOficial    #SPFC🔴⚪⚫     @SaoPauloFC 
NA LUTA CONTRA O FASCISMO NEONAZISTA</v>
      </c>
      <c r="D1263" s="2">
        <f>IFERROR(__xludf.DUMMYFUNCTION("""COMPUTED_VALUE"""),1.0028027568273113E-4)</f>
        <v>0.0001002802757</v>
      </c>
      <c r="E1263" s="2" t="str">
        <f>IFERROR(__xludf.DUMMYFUNCTION("""COMPUTED_VALUE"""),"      2.169")</f>
        <v>      2.169</v>
      </c>
    </row>
    <row r="1264">
      <c r="A1264" s="2" t="str">
        <f>IFERROR(__xludf.DUMMYFUNCTION("""COMPUTED_VALUE"""),"Cande")</f>
        <v>Cande</v>
      </c>
      <c r="B1264" s="2" t="str">
        <f>IFERROR(__xludf.DUMMYFUNCTION("""COMPUTED_VALUE"""),"candeleclerc16")</f>
        <v>candeleclerc16</v>
      </c>
      <c r="C1264" s="2" t="str">
        <f>IFERROR(__xludf.DUMMYFUNCTION("""COMPUTED_VALUE"""),"|| tifosa || CL || fan account || not impersonating")</f>
        <v>|| tifosa || CL || fan account || not impersonating</v>
      </c>
      <c r="D1264" s="2">
        <f>IFERROR(__xludf.DUMMYFUNCTION("""COMPUTED_VALUE"""),1.0028027568273113E-4)</f>
        <v>0.0001002802757</v>
      </c>
      <c r="E1264" s="2" t="str">
        <f>IFERROR(__xludf.DUMMYFUNCTION("""COMPUTED_VALUE"""),"      2.847")</f>
        <v>      2.847</v>
      </c>
    </row>
    <row r="1265">
      <c r="A1265" s="2" t="str">
        <f>IFERROR(__xludf.DUMMYFUNCTION("""COMPUTED_VALUE"""),"Eduardo Siqueira")</f>
        <v>Eduardo Siqueira</v>
      </c>
      <c r="B1265" s="2" t="str">
        <f>IFERROR(__xludf.DUMMYFUNCTION("""COMPUTED_VALUE"""),"eduardo31233838")</f>
        <v>eduardo31233838</v>
      </c>
      <c r="C1265" s="2" t="str">
        <f>IFERROR(__xludf.DUMMYFUNCTION("""COMPUTED_VALUE"""),"Sou um homem Brasileiro")</f>
        <v>Sou um homem Brasileiro</v>
      </c>
      <c r="D1265" s="2">
        <f>IFERROR(__xludf.DUMMYFUNCTION("""COMPUTED_VALUE"""),1.0028027568273113E-4)</f>
        <v>0.0001002802757</v>
      </c>
      <c r="E1265" s="2" t="str">
        <f>IFERROR(__xludf.DUMMYFUNCTION("""COMPUTED_VALUE"""),"      3.201")</f>
        <v>      3.201</v>
      </c>
    </row>
    <row r="1266">
      <c r="A1266" s="2" t="str">
        <f>IFERROR(__xludf.DUMMYFUNCTION("""COMPUTED_VALUE"""),"Humberto Jorge Lopez")</f>
        <v>Humberto Jorge Lopez</v>
      </c>
      <c r="B1266" s="2" t="str">
        <f>IFERROR(__xludf.DUMMYFUNCTION("""COMPUTED_VALUE"""),"humbertojorgel2")</f>
        <v>humbertojorgel2</v>
      </c>
      <c r="C1266" s="2" t="str">
        <f>IFERROR(__xludf.DUMMYFUNCTION("""COMPUTED_VALUE"""),"English/Spanish/Portuguese teacher/translator")</f>
        <v>English/Spanish/Portuguese teacher/translator</v>
      </c>
      <c r="D1266" s="2">
        <f>IFERROR(__xludf.DUMMYFUNCTION("""COMPUTED_VALUE"""),1.0028027568273113E-4)</f>
        <v>0.0001002802757</v>
      </c>
      <c r="E1266" s="2" t="str">
        <f>IFERROR(__xludf.DUMMYFUNCTION("""COMPUTED_VALUE"""),"      1.032")</f>
        <v>      1.032</v>
      </c>
    </row>
    <row r="1267">
      <c r="A1267" s="2" t="str">
        <f>IFERROR(__xludf.DUMMYFUNCTION("""COMPUTED_VALUE"""),"Miss KaTe")</f>
        <v>Miss KaTe</v>
      </c>
      <c r="B1267" s="2" t="str">
        <f>IFERROR(__xludf.DUMMYFUNCTION("""COMPUTED_VALUE"""),"kate27630419")</f>
        <v>kate27630419</v>
      </c>
      <c r="C1267" s="2" t="str">
        <f>IFERROR(__xludf.DUMMYFUNCTION("""COMPUTED_VALUE"""),"She/her🌸🍃🌷
Bilingual teacher of English and Spanish- High School teacher of English-eTwinner- Art- Music- Literature-Nature lover-Motivational quotes")</f>
        <v>She/her🌸🍃🌷
Bilingual teacher of English and Spanish- High School teacher of English-eTwinner- Art- Music- Literature-Nature lover-Motivational quotes</v>
      </c>
      <c r="D1267" s="2">
        <f>IFERROR(__xludf.DUMMYFUNCTION("""COMPUTED_VALUE"""),1.0028027568273113E-4)</f>
        <v>0.0001002802757</v>
      </c>
      <c r="E1267" s="2" t="str">
        <f>IFERROR(__xludf.DUMMYFUNCTION("""COMPUTED_VALUE"""),"      3.497")</f>
        <v>      3.497</v>
      </c>
    </row>
    <row r="1268">
      <c r="A1268" s="2" t="str">
        <f>IFERROR(__xludf.DUMMYFUNCTION("""COMPUTED_VALUE"""),"Conceição Reynol")</f>
        <v>Conceição Reynol</v>
      </c>
      <c r="B1268" s="2" t="str">
        <f>IFERROR(__xludf.DUMMYFUNCTION("""COMPUTED_VALUE"""),"sebastianareyn2")</f>
        <v>sebastianareyn2</v>
      </c>
      <c r="C1268" s="2"/>
      <c r="D1268" s="2">
        <f>IFERROR(__xludf.DUMMYFUNCTION("""COMPUTED_VALUE"""),1.0028027568273113E-4)</f>
        <v>0.0001002802757</v>
      </c>
      <c r="E1268" s="2" t="str">
        <f>IFERROR(__xludf.DUMMYFUNCTION("""COMPUTED_VALUE"""),"      1.175")</f>
        <v>      1.175</v>
      </c>
    </row>
    <row r="1269">
      <c r="A1269" s="2" t="str">
        <f>IFERROR(__xludf.DUMMYFUNCTION("""COMPUTED_VALUE"""),"Cláudio Roberto")</f>
        <v>Cláudio Roberto</v>
      </c>
      <c r="B1269" s="2" t="str">
        <f>IFERROR(__xludf.DUMMYFUNCTION("""COMPUTED_VALUE"""),"cludior80796255")</f>
        <v>cludior80796255</v>
      </c>
      <c r="C1269" s="2" t="str">
        <f>IFERROR(__xludf.DUMMYFUNCTION("""COMPUTED_VALUE"""),"Um Jardineiro de Esquerda, à procura do Jardim do Éden!!
LULA PRESIDENTE 2022!!!
🚩🚩🚩❤✌
SDV")</f>
        <v>Um Jardineiro de Esquerda, à procura do Jardim do Éden!!
LULA PRESIDENTE 2022!!!
🚩🚩🚩❤✌
SDV</v>
      </c>
      <c r="D1269" s="2">
        <f>IFERROR(__xludf.DUMMYFUNCTION("""COMPUTED_VALUE"""),1.0028027568273113E-4)</f>
        <v>0.0001002802757</v>
      </c>
      <c r="E1269" s="2" t="str">
        <f>IFERROR(__xludf.DUMMYFUNCTION("""COMPUTED_VALUE"""),"      2.545")</f>
        <v>      2.545</v>
      </c>
    </row>
    <row r="1270">
      <c r="A1270" s="2" t="str">
        <f>IFERROR(__xludf.DUMMYFUNCTION("""COMPUTED_VALUE"""),"Ana Erika Galvão")</f>
        <v>Ana Erika Galvão</v>
      </c>
      <c r="B1270" s="2" t="str">
        <f>IFERROR(__xludf.DUMMYFUNCTION("""COMPUTED_VALUE"""),"anaerikaolivei1")</f>
        <v>anaerikaolivei1</v>
      </c>
      <c r="C1270" s="2" t="str">
        <f>IFERROR(__xludf.DUMMYFUNCTION("""COMPUTED_VALUE"""),"Sou esquerda, #LulaLivre, filiada ao PT! @dilmabr mulher arretada/Antifascista/feminista/anti-racista/socialista/cadeia pra familícia dos infernos!")</f>
        <v>Sou esquerda, #LulaLivre, filiada ao PT! @dilmabr mulher arretada/Antifascista/feminista/anti-racista/socialista/cadeia pra familícia dos infernos!</v>
      </c>
      <c r="D1270" s="2">
        <f>IFERROR(__xludf.DUMMYFUNCTION("""COMPUTED_VALUE"""),1.0028027568273113E-4)</f>
        <v>0.0001002802757</v>
      </c>
      <c r="E1270" s="2" t="str">
        <f>IFERROR(__xludf.DUMMYFUNCTION("""COMPUTED_VALUE"""),"     15.208")</f>
        <v>     15.208</v>
      </c>
    </row>
    <row r="1271">
      <c r="A1271" s="2" t="str">
        <f>IFERROR(__xludf.DUMMYFUNCTION("""COMPUTED_VALUE"""),"joao luiz couto anzanello")</f>
        <v>joao luiz couto anzanello</v>
      </c>
      <c r="B1271" s="2" t="str">
        <f>IFERROR(__xludf.DUMMYFUNCTION("""COMPUTED_VALUE"""),"anzanellojoao")</f>
        <v>anzanellojoao</v>
      </c>
      <c r="C1271" s="2" t="str">
        <f>IFERROR(__xludf.DUMMYFUNCTION("""COMPUTED_VALUE"""),"é ser comum")</f>
        <v>é ser comum</v>
      </c>
      <c r="D1271" s="2">
        <f>IFERROR(__xludf.DUMMYFUNCTION("""COMPUTED_VALUE"""),1.0028027568273113E-4)</f>
        <v>0.0001002802757</v>
      </c>
      <c r="E1271" s="2" t="str">
        <f>IFERROR(__xludf.DUMMYFUNCTION("""COMPUTED_VALUE"""),"      1.658")</f>
        <v>      1.658</v>
      </c>
    </row>
    <row r="1272">
      <c r="A1272" s="2" t="str">
        <f>IFERROR(__xludf.DUMMYFUNCTION("""COMPUTED_VALUE"""),"Beto Pereira☆")</f>
        <v>Beto Pereira☆</v>
      </c>
      <c r="B1272" s="2" t="str">
        <f>IFERROR(__xludf.DUMMYFUNCTION("""COMPUTED_VALUE"""),"betopereira19")</f>
        <v>betopereira19</v>
      </c>
      <c r="C1272" s="2" t="str">
        <f>IFERROR(__xludf.DUMMYFUNCTION("""COMPUTED_VALUE"""),"Queria ter aceitado, as pessoas como elas são. ❤")</f>
        <v>Queria ter aceitado, as pessoas como elas são. ❤</v>
      </c>
      <c r="D1272" s="2">
        <f>IFERROR(__xludf.DUMMYFUNCTION("""COMPUTED_VALUE"""),1.0028027568273113E-4)</f>
        <v>0.0001002802757</v>
      </c>
      <c r="E1272" s="2" t="str">
        <f>IFERROR(__xludf.DUMMYFUNCTION("""COMPUTED_VALUE"""),"      2.927")</f>
        <v>      2.927</v>
      </c>
    </row>
    <row r="1273">
      <c r="A1273" s="2" t="str">
        <f>IFERROR(__xludf.DUMMYFUNCTION("""COMPUTED_VALUE"""),"Tati S.G.")</f>
        <v>Tati S.G.</v>
      </c>
      <c r="B1273" s="2" t="str">
        <f>IFERROR(__xludf.DUMMYFUNCTION("""COMPUTED_VALUE"""),"tatianasg1")</f>
        <v>tatianasg1</v>
      </c>
      <c r="C1273" s="2" t="str">
        <f>IFERROR(__xludf.DUMMYFUNCTION("""COMPUTED_VALUE"""),"""Onde minhas pernas ñ puderem me levar, eu andarei pelas pernas de vcs, onde minha voz ñ puder chegar, eu falarei pela voz de vcs"". 
Lula 13")</f>
        <v>"Onde minhas pernas ñ puderem me levar, eu andarei pelas pernas de vcs, onde minha voz ñ puder chegar, eu falarei pela voz de vcs". 
Lula 13</v>
      </c>
      <c r="D1273" s="2">
        <f>IFERROR(__xludf.DUMMYFUNCTION("""COMPUTED_VALUE"""),1.0028027568273113E-4)</f>
        <v>0.0001002802757</v>
      </c>
      <c r="E1273" s="2" t="str">
        <f>IFERROR(__xludf.DUMMYFUNCTION("""COMPUTED_VALUE"""),"      1.005")</f>
        <v>      1.005</v>
      </c>
    </row>
    <row r="1274">
      <c r="A1274" s="2" t="str">
        <f>IFERROR(__xludf.DUMMYFUNCTION("""COMPUTED_VALUE"""),"Luz Mari da Rocha ❤️")</f>
        <v>Luz Mari da Rocha ❤️</v>
      </c>
      <c r="B1274" s="2" t="str">
        <f>IFERROR(__xludf.DUMMYFUNCTION("""COMPUTED_VALUE"""),"thymarirocha")</f>
        <v>thymarirocha</v>
      </c>
      <c r="C1274" s="2" t="str">
        <f>IFERROR(__xludf.DUMMYFUNCTION("""COMPUTED_VALUE"""),"“ Seja pronto para ouvir, tardio para falar, tardio para se irar.”  - Tiago 1:19")</f>
        <v>“ Seja pronto para ouvir, tardio para falar, tardio para se irar.”  - Tiago 1:19</v>
      </c>
      <c r="D1274" s="2">
        <f>IFERROR(__xludf.DUMMYFUNCTION("""COMPUTED_VALUE"""),1.0028027568273113E-4)</f>
        <v>0.0001002802757</v>
      </c>
      <c r="E1274" s="2" t="str">
        <f>IFERROR(__xludf.DUMMYFUNCTION("""COMPUTED_VALUE"""),"      2.161")</f>
        <v>      2.161</v>
      </c>
    </row>
    <row r="1275">
      <c r="A1275" s="2" t="str">
        <f>IFERROR(__xludf.DUMMYFUNCTION("""COMPUTED_VALUE"""),"Nenna,")</f>
        <v>Nenna,</v>
      </c>
      <c r="B1275" s="2" t="str">
        <f>IFERROR(__xludf.DUMMYFUNCTION("""COMPUTED_VALUE"""),"nena51344002")</f>
        <v>nena51344002</v>
      </c>
      <c r="C1275" s="2" t="str">
        <f>IFERROR(__xludf.DUMMYFUNCTION("""COMPUTED_VALUE"""),"🚩🚩🚩 sempre")</f>
        <v>🚩🚩🚩 sempre</v>
      </c>
      <c r="D1275" s="2">
        <f>IFERROR(__xludf.DUMMYFUNCTION("""COMPUTED_VALUE"""),1.0028027568273113E-4)</f>
        <v>0.0001002802757</v>
      </c>
      <c r="E1275" s="2" t="str">
        <f>IFERROR(__xludf.DUMMYFUNCTION("""COMPUTED_VALUE"""),"      5.185")</f>
        <v>      5.185</v>
      </c>
    </row>
    <row r="1276">
      <c r="A1276" s="2" t="str">
        <f>IFERROR(__xludf.DUMMYFUNCTION("""COMPUTED_VALUE"""),"Marcelo Souza🚩🚩")</f>
        <v>Marcelo Souza🚩🚩</v>
      </c>
      <c r="B1276" s="2" t="str">
        <f>IFERROR(__xludf.DUMMYFUNCTION("""COMPUTED_VALUE"""),"marceloos")</f>
        <v>marceloos</v>
      </c>
      <c r="C1276" s="2" t="str">
        <f>IFERROR(__xludf.DUMMYFUNCTION("""COMPUTED_VALUE"""),"Tentando converter Fahrenheit em Celsius de cabeça enquanto a casa pega fogo...")</f>
        <v>Tentando converter Fahrenheit em Celsius de cabeça enquanto a casa pega fogo...</v>
      </c>
      <c r="D1276" s="2">
        <f>IFERROR(__xludf.DUMMYFUNCTION("""COMPUTED_VALUE"""),1.0028027568273113E-4)</f>
        <v>0.0001002802757</v>
      </c>
      <c r="E1276" s="2" t="str">
        <f>IFERROR(__xludf.DUMMYFUNCTION("""COMPUTED_VALUE"""),"      1.391")</f>
        <v>      1.391</v>
      </c>
    </row>
    <row r="1277">
      <c r="A1277" s="2" t="str">
        <f>IFERROR(__xludf.DUMMYFUNCTION("""COMPUTED_VALUE"""),"KEVINITTER | 🧸♥️⭐️🌈 fan account")</f>
        <v>KEVINITTER | 🧸♥️⭐️🌈 fan account</v>
      </c>
      <c r="B1277" s="2" t="str">
        <f>IFERROR(__xludf.DUMMYFUNCTION("""COMPUTED_VALUE"""),"fadeanitta")</f>
        <v>fadeanitta</v>
      </c>
      <c r="C1277" s="2" t="str">
        <f>IFERROR(__xludf.DUMMYFUNCTION("""COMPUTED_VALUE"""),"✨Fã louco por @anitta - fan account • compartilho tudo sobre Anitta✨")</f>
        <v>✨Fã louco por @anitta - fan account • compartilho tudo sobre Anitta✨</v>
      </c>
      <c r="D1277" s="2">
        <f>IFERROR(__xludf.DUMMYFUNCTION("""COMPUTED_VALUE"""),1.0028027568273113E-4)</f>
        <v>0.0001002802757</v>
      </c>
      <c r="E1277" s="2" t="str">
        <f>IFERROR(__xludf.DUMMYFUNCTION("""COMPUTED_VALUE"""),"      1.115")</f>
        <v>      1.115</v>
      </c>
    </row>
    <row r="1278">
      <c r="A1278" s="2" t="str">
        <f>IFERROR(__xludf.DUMMYFUNCTION("""COMPUTED_VALUE"""),"🚩QUE BOM ESTAR DO LADO CERTO DA HISTÓRIA!!🚩")</f>
        <v>🚩QUE BOM ESTAR DO LADO CERTO DA HISTÓRIA!!🚩</v>
      </c>
      <c r="B1278" s="2" t="str">
        <f>IFERROR(__xludf.DUMMYFUNCTION("""COMPUTED_VALUE"""),"lucianotigana")</f>
        <v>lucianotigana</v>
      </c>
      <c r="C1278" s="2" t="str">
        <f>IFERROR(__xludf.DUMMYFUNCTION("""COMPUTED_VALUE"""),"SEMPRE A ESQUERDA❤,EU SOU PALMEIRAS💚!
LULA MELHOR PRESIDENTE QUE ESTE PAÍS JÁ TEVE!
PREPARADO PARA GUERRA, PT NA VEIA!
NÃO CONFIO NA POLÍCIA RAÇA DO CARALHO!")</f>
        <v>SEMPRE A ESQUERDA❤,EU SOU PALMEIRAS💚!
LULA MELHOR PRESIDENTE QUE ESTE PAÍS JÁ TEVE!
PREPARADO PARA GUERRA, PT NA VEIA!
NÃO CONFIO NA POLÍCIA RAÇA DO CARALHO!</v>
      </c>
      <c r="D1278" s="2">
        <f>IFERROR(__xludf.DUMMYFUNCTION("""COMPUTED_VALUE"""),1.0028027568273113E-4)</f>
        <v>0.0001002802757</v>
      </c>
      <c r="E1278" s="2" t="str">
        <f>IFERROR(__xludf.DUMMYFUNCTION("""COMPUTED_VALUE"""),"      2.711")</f>
        <v>      2.711</v>
      </c>
    </row>
    <row r="1279">
      <c r="A1279" s="2" t="str">
        <f>IFERROR(__xludf.DUMMYFUNCTION("""COMPUTED_VALUE"""),"Evandro")</f>
        <v>Evandro</v>
      </c>
      <c r="B1279" s="2" t="str">
        <f>IFERROR(__xludf.DUMMYFUNCTION("""COMPUTED_VALUE"""),"fiotioficial")</f>
        <v>fiotioficial</v>
      </c>
      <c r="C1279" s="2" t="str">
        <f>IFERROR(__xludf.DUMMYFUNCTION("""COMPUTED_VALUE"""),"CEO and Co-Founder @lab_fantasma  Compositor ✍🏿 Artista 🎤 empreendedor 💵 Diretor e produtor 👨🏾‍💼 Ouça “Vem pra curar” e ascenda seu sol interior☀️💛")</f>
        <v>CEO and Co-Founder @lab_fantasma  Compositor ✍🏿 Artista 🎤 empreendedor 💵 Diretor e produtor 👨🏾‍💼 Ouça “Vem pra curar” e ascenda seu sol interior☀️💛</v>
      </c>
      <c r="D1279" s="2">
        <f>IFERROR(__xludf.DUMMYFUNCTION("""COMPUTED_VALUE"""),1.0028027568273113E-4)</f>
        <v>0.0001002802757</v>
      </c>
      <c r="E1279" s="2" t="str">
        <f>IFERROR(__xludf.DUMMYFUNCTION("""COMPUTED_VALUE"""),"     88.602")</f>
        <v>     88.602</v>
      </c>
    </row>
    <row r="1280">
      <c r="A1280" s="2" t="str">
        <f>IFERROR(__xludf.DUMMYFUNCTION("""COMPUTED_VALUE"""),"gicela brasil")</f>
        <v>gicela brasil</v>
      </c>
      <c r="B1280" s="2" t="str">
        <f>IFERROR(__xludf.DUMMYFUNCTION("""COMPUTED_VALUE"""),"gicela_brasil")</f>
        <v>gicela_brasil</v>
      </c>
      <c r="C1280" s="2" t="str">
        <f>IFERROR(__xludf.DUMMYFUNCTION("""COMPUTED_VALUE"""),"a subversão da ordem do tempo,
ou transdimensionalizemo-nos, todos, rumo à quinta")</f>
        <v>a subversão da ordem do tempo,
ou transdimensionalizemo-nos, todos, rumo à quinta</v>
      </c>
      <c r="D1280" s="2">
        <f>IFERROR(__xludf.DUMMYFUNCTION("""COMPUTED_VALUE"""),1.0028027568273113E-4)</f>
        <v>0.0001002802757</v>
      </c>
      <c r="E1280" s="2" t="str">
        <f>IFERROR(__xludf.DUMMYFUNCTION("""COMPUTED_VALUE"""),"      2.961")</f>
        <v>      2.961</v>
      </c>
    </row>
    <row r="1281">
      <c r="A1281" s="2" t="str">
        <f>IFERROR(__xludf.DUMMYFUNCTION("""COMPUTED_VALUE"""),"José Valcir Alves")</f>
        <v>José Valcir Alves</v>
      </c>
      <c r="B1281" s="2" t="str">
        <f>IFERROR(__xludf.DUMMYFUNCTION("""COMPUTED_VALUE"""),"ajvalcir")</f>
        <v>ajvalcir</v>
      </c>
      <c r="C1281" s="2" t="str">
        <f>IFERROR(__xludf.DUMMYFUNCTION("""COMPUTED_VALUE"""),"Quase contador, quase advogado. Esquerda completo, tanto que, gostaria de morar na Inglaterra só pra poder dirigir sempre pela esquerda.")</f>
        <v>Quase contador, quase advogado. Esquerda completo, tanto que, gostaria de morar na Inglaterra só pra poder dirigir sempre pela esquerda.</v>
      </c>
      <c r="D1281" s="2">
        <f>IFERROR(__xludf.DUMMYFUNCTION("""COMPUTED_VALUE"""),1.0028027568273113E-4)</f>
        <v>0.0001002802757</v>
      </c>
      <c r="E1281" s="2" t="str">
        <f>IFERROR(__xludf.DUMMYFUNCTION("""COMPUTED_VALUE"""),"      2.559")</f>
        <v>      2.559</v>
      </c>
    </row>
    <row r="1282">
      <c r="A1282" s="2" t="str">
        <f>IFERROR(__xludf.DUMMYFUNCTION("""COMPUTED_VALUE"""),"É rica Cristtina 🗝")</f>
        <v>É rica Cristtina 🗝</v>
      </c>
      <c r="B1282" s="2" t="str">
        <f>IFERROR(__xludf.DUMMYFUNCTION("""COMPUTED_VALUE"""),"kinhajorge")</f>
        <v>kinhajorge</v>
      </c>
      <c r="C1282" s="2" t="str">
        <f>IFERROR(__xludf.DUMMYFUNCTION("""COMPUTED_VALUE"""),"🗝")</f>
        <v>🗝</v>
      </c>
      <c r="D1282" s="2">
        <f>IFERROR(__xludf.DUMMYFUNCTION("""COMPUTED_VALUE"""),1.0028027568273113E-4)</f>
        <v>0.0001002802757</v>
      </c>
      <c r="E1282" s="2" t="str">
        <f>IFERROR(__xludf.DUMMYFUNCTION("""COMPUTED_VALUE"""),"     12.002")</f>
        <v>     12.002</v>
      </c>
    </row>
    <row r="1283">
      <c r="A1283" s="2" t="str">
        <f>IFERROR(__xludf.DUMMYFUNCTION("""COMPUTED_VALUE"""),"Waldemir Direito")</f>
        <v>Waldemir Direito</v>
      </c>
      <c r="B1283" s="2" t="str">
        <f>IFERROR(__xludf.DUMMYFUNCTION("""COMPUTED_VALUE"""),"wsdireito")</f>
        <v>wsdireito</v>
      </c>
      <c r="C1283" s="2" t="str">
        <f>IFERROR(__xludf.DUMMYFUNCTION("""COMPUTED_VALUE"""),"LULA  1️⃣3️⃣PRESIDENTE 💯%  🇧🇷
#LulaEoPTDemocraciaePaz
Se você é neutro em situações de injustiça, você escolheu o lado do opressor.
Desmond Tutu")</f>
        <v>LULA  1️⃣3️⃣PRESIDENTE 💯%  🇧🇷
#LulaEoPTDemocraciaePaz
Se você é neutro em situações de injustiça, você escolheu o lado do opressor.
Desmond Tutu</v>
      </c>
      <c r="D1283" s="2">
        <f>IFERROR(__xludf.DUMMYFUNCTION("""COMPUTED_VALUE"""),1.0028027568273113E-4)</f>
        <v>0.0001002802757</v>
      </c>
      <c r="E1283" s="2" t="str">
        <f>IFERROR(__xludf.DUMMYFUNCTION("""COMPUTED_VALUE"""),"      2.458")</f>
        <v>      2.458</v>
      </c>
    </row>
    <row r="1284">
      <c r="A1284" s="2" t="str">
        <f>IFERROR(__xludf.DUMMYFUNCTION("""COMPUTED_VALUE"""),"Novo Cantu Notícias")</f>
        <v>Novo Cantu Notícias</v>
      </c>
      <c r="B1284" s="2" t="str">
        <f>IFERROR(__xludf.DUMMYFUNCTION("""COMPUTED_VALUE"""),"celioroseno")</f>
        <v>celioroseno</v>
      </c>
      <c r="C1284" s="2" t="str">
        <f>IFERROR(__xludf.DUMMYFUNCTION("""COMPUTED_VALUE"""),"Celio Roseno")</f>
        <v>Celio Roseno</v>
      </c>
      <c r="D1284" s="2">
        <f>IFERROR(__xludf.DUMMYFUNCTION("""COMPUTED_VALUE"""),1.0028027568273113E-4)</f>
        <v>0.0001002802757</v>
      </c>
      <c r="E1284" s="2" t="str">
        <f>IFERROR(__xludf.DUMMYFUNCTION("""COMPUTED_VALUE"""),"      1.320")</f>
        <v>      1.320</v>
      </c>
    </row>
    <row r="1285">
      <c r="A1285" s="2" t="str">
        <f>IFERROR(__xludf.DUMMYFUNCTION("""COMPUTED_VALUE"""),"Taffarel 🇧🇷🇨🇺🇨🇳🇪🇭🇰🇵")</f>
        <v>Taffarel 🇧🇷🇨🇺🇨🇳🇪🇭🇰🇵</v>
      </c>
      <c r="B1285" s="2" t="str">
        <f>IFERROR(__xludf.DUMMYFUNCTION("""COMPUTED_VALUE"""),"taffarelandre")</f>
        <v>taffarelandre</v>
      </c>
      <c r="C1285" s="2" t="str">
        <f>IFERROR(__xludf.DUMMYFUNCTION("""COMPUTED_VALUE"""),"TAFFAREL ativista social")</f>
        <v>TAFFAREL ativista social</v>
      </c>
      <c r="D1285" s="2">
        <f>IFERROR(__xludf.DUMMYFUNCTION("""COMPUTED_VALUE"""),1.0028027568273113E-4)</f>
        <v>0.0001002802757</v>
      </c>
      <c r="E1285" s="2" t="str">
        <f>IFERROR(__xludf.DUMMYFUNCTION("""COMPUTED_VALUE"""),"      4.587")</f>
        <v>      4.587</v>
      </c>
    </row>
    <row r="1286">
      <c r="A1286" s="2" t="str">
        <f>IFERROR(__xludf.DUMMYFUNCTION("""COMPUTED_VALUE"""),"Rosália Santos13❤")</f>
        <v>Rosália Santos13❤</v>
      </c>
      <c r="B1286" s="2" t="str">
        <f>IFERROR(__xludf.DUMMYFUNCTION("""COMPUTED_VALUE"""),"rosaliasantossi")</f>
        <v>rosaliasantossi</v>
      </c>
      <c r="C1286" s="2" t="str">
        <f>IFERROR(__xludf.DUMMYFUNCTION("""COMPUTED_VALUE"""),"Se vc é fora bolsonaro estamos juntos🤝aqui é 13 #lula💪juntos na luta por um Brasil com mais dignidade e projetos sociais para todos🫂")</f>
        <v>Se vc é fora bolsonaro estamos juntos🤝aqui é 13 #lula💪juntos na luta por um Brasil com mais dignidade e projetos sociais para todos🫂</v>
      </c>
      <c r="D1286" s="2">
        <f>IFERROR(__xludf.DUMMYFUNCTION("""COMPUTED_VALUE"""),1.0028027568273113E-4)</f>
        <v>0.0001002802757</v>
      </c>
      <c r="E1286" s="2" t="str">
        <f>IFERROR(__xludf.DUMMYFUNCTION("""COMPUTED_VALUE"""),"      4.133")</f>
        <v>      4.133</v>
      </c>
    </row>
    <row r="1287">
      <c r="A1287" s="2" t="str">
        <f>IFERROR(__xludf.DUMMYFUNCTION("""COMPUTED_VALUE"""),"Wagner Lopes🚩🚩")</f>
        <v>Wagner Lopes🚩🚩</v>
      </c>
      <c r="B1287" s="2" t="str">
        <f>IFERROR(__xludf.DUMMYFUNCTION("""COMPUTED_VALUE"""),"wagnerlopes72")</f>
        <v>wagnerlopes72</v>
      </c>
      <c r="C1287" s="2" t="str">
        <f>IFERROR(__xludf.DUMMYFUNCTION("""COMPUTED_VALUE"""),"Corinthiano, Casado, Pai, Avô, Bancário, Pós-Graduado e MBA. Diretor do Sindicato dos Bancários!
Extremistas, Fascistas, Golpistas apoiadores do Genocida,VTNC!!")</f>
        <v>Corinthiano, Casado, Pai, Avô, Bancário, Pós-Graduado e MBA. Diretor do Sindicato dos Bancários!
Extremistas, Fascistas, Golpistas apoiadores do Genocida,VTNC!!</v>
      </c>
      <c r="D1287" s="2">
        <f>IFERROR(__xludf.DUMMYFUNCTION("""COMPUTED_VALUE"""),1.0028027568273113E-4)</f>
        <v>0.0001002802757</v>
      </c>
      <c r="E1287" s="2" t="str">
        <f>IFERROR(__xludf.DUMMYFUNCTION("""COMPUTED_VALUE"""),"      3.627")</f>
        <v>      3.627</v>
      </c>
    </row>
    <row r="1288">
      <c r="A1288" s="2" t="str">
        <f>IFERROR(__xludf.DUMMYFUNCTION("""COMPUTED_VALUE"""),"Raimundo Nonato SCCP⚫⚪/FCB")</f>
        <v>Raimundo Nonato SCCP⚫⚪/FCB</v>
      </c>
      <c r="B1288" s="2" t="str">
        <f>IFERROR(__xludf.DUMMYFUNCTION("""COMPUTED_VALUE"""),"sccpnonato")</f>
        <v>sccpnonato</v>
      </c>
      <c r="C1288" s="2" t="str">
        <f>IFERROR(__xludf.DUMMYFUNCTION("""COMPUTED_VALUE"""),"NORDESTINO &amp; CORINTHIANO &amp; CULÉ &amp; CLUBISTA &amp; FÃ DE NEYMAR JR E LIONEL MESSI #GOAT")</f>
        <v>NORDESTINO &amp; CORINTHIANO &amp; CULÉ &amp; CLUBISTA &amp; FÃ DE NEYMAR JR E LIONEL MESSI #GOAT</v>
      </c>
      <c r="D1288" s="2">
        <f>IFERROR(__xludf.DUMMYFUNCTION("""COMPUTED_VALUE"""),1.0028027568273113E-4)</f>
        <v>0.0001002802757</v>
      </c>
      <c r="E1288" s="2" t="str">
        <f>IFERROR(__xludf.DUMMYFUNCTION("""COMPUTED_VALUE"""),"      1.744")</f>
        <v>      1.744</v>
      </c>
    </row>
    <row r="1289">
      <c r="A1289" s="2" t="str">
        <f>IFERROR(__xludf.DUMMYFUNCTION("""COMPUTED_VALUE"""),"Yarus Fazuele 1⃣3⃣ 🚩🇧🇷🚩")</f>
        <v>Yarus Fazuele 1⃣3⃣ 🚩🇧🇷🚩</v>
      </c>
      <c r="B1289" s="2" t="str">
        <f>IFERROR(__xludf.DUMMYFUNCTION("""COMPUTED_VALUE"""),"yarus13")</f>
        <v>yarus13</v>
      </c>
      <c r="C1289" s="2" t="str">
        <f>IFERROR(__xludf.DUMMYFUNCTION("""COMPUTED_VALUE"""),"“Os poderosos podem matar uma, duas ou três rosas, mas jamais poderão deter a chegada da primavera”. #LulaPresidente 1⃣3⃣ #EsquerdaSegueEsquerda")</f>
        <v>“Os poderosos podem matar uma, duas ou três rosas, mas jamais poderão deter a chegada da primavera”. #LulaPresidente 1⃣3⃣ #EsquerdaSegueEsquerda</v>
      </c>
      <c r="D1289" s="2">
        <f>IFERROR(__xludf.DUMMYFUNCTION("""COMPUTED_VALUE"""),1.0028027568273113E-4)</f>
        <v>0.0001002802757</v>
      </c>
      <c r="E1289" s="2" t="str">
        <f>IFERROR(__xludf.DUMMYFUNCTION("""COMPUTED_VALUE"""),"     15.439")</f>
        <v>     15.439</v>
      </c>
    </row>
    <row r="1290">
      <c r="A1290" s="2" t="str">
        <f>IFERROR(__xludf.DUMMYFUNCTION("""COMPUTED_VALUE"""),"ANSIOSO Oficial 🌐")</f>
        <v>ANSIOSO Oficial 🌐</v>
      </c>
      <c r="B1290" s="2" t="str">
        <f>IFERROR(__xludf.DUMMYFUNCTION("""COMPUTED_VALUE"""),"ansiosooficial")</f>
        <v>ansiosooficial</v>
      </c>
      <c r="C1290" s="2" t="str">
        <f>IFERROR(__xludf.DUMMYFUNCTION("""COMPUTED_VALUE"""),"ANSIOSO pela própria natureza. Tenho excesso de futuro.. Estou verificado por mim mesmo.")</f>
        <v>ANSIOSO pela própria natureza. Tenho excesso de futuro.. Estou verificado por mim mesmo.</v>
      </c>
      <c r="D1290" s="2">
        <f>IFERROR(__xludf.DUMMYFUNCTION("""COMPUTED_VALUE"""),1.0028027568273113E-4)</f>
        <v>0.0001002802757</v>
      </c>
      <c r="E1290" s="2" t="str">
        <f>IFERROR(__xludf.DUMMYFUNCTION("""COMPUTED_VALUE"""),"      8.379")</f>
        <v>      8.379</v>
      </c>
    </row>
    <row r="1291">
      <c r="A1291" s="2" t="str">
        <f>IFERROR(__xludf.DUMMYFUNCTION("""COMPUTED_VALUE"""),"kenny")</f>
        <v>kenny</v>
      </c>
      <c r="B1291" s="2" t="str">
        <f>IFERROR(__xludf.DUMMYFUNCTION("""COMPUTED_VALUE"""),"kndrauhi")</f>
        <v>kndrauhi</v>
      </c>
      <c r="C1291" s="2" t="str">
        <f>IFERROR(__xludf.DUMMYFUNCTION("""COMPUTED_VALUE"""),"#edward: 𝑠ℎ𝑒 𝑑𝑟𝑒𝑎𝑚𝑒𝑑 𝑜𝑓 𝑚𝑒, 𝑖 𝑤𝑎𝑛𝑡𝑒𝑑 𝑡𝑜 𝑑𝑟𝑒𝑎𝑚 𝑜𝑓 ℎ𝑒𝑟 • bieber supremacy")</f>
        <v>#edward: 𝑠ℎ𝑒 𝑑𝑟𝑒𝑎𝑚𝑒𝑑 𝑜𝑓 𝑚𝑒, 𝑖 𝑤𝑎𝑛𝑡𝑒𝑑 𝑡𝑜 𝑑𝑟𝑒𝑎𝑚 𝑜𝑓 ℎ𝑒𝑟 • bieber supremacy</v>
      </c>
      <c r="D1291" s="2">
        <f>IFERROR(__xludf.DUMMYFUNCTION("""COMPUTED_VALUE"""),1.0028027568273113E-4)</f>
        <v>0.0001002802757</v>
      </c>
      <c r="E1291" s="2" t="str">
        <f>IFERROR(__xludf.DUMMYFUNCTION("""COMPUTED_VALUE"""),"      8.215")</f>
        <v>      8.215</v>
      </c>
    </row>
    <row r="1292">
      <c r="A1292" s="2" t="str">
        <f>IFERROR(__xludf.DUMMYFUNCTION("""COMPUTED_VALUE"""),"Charles Robinson Val")</f>
        <v>Charles Robinson Val</v>
      </c>
      <c r="B1292" s="2" t="str">
        <f>IFERROR(__xludf.DUMMYFUNCTION("""COMPUTED_VALUE"""),"cubanodomundo")</f>
        <v>cubanodomundo</v>
      </c>
      <c r="C1292" s="2" t="str">
        <f>IFERROR(__xludf.DUMMYFUNCTION("""COMPUTED_VALUE"""),"Pai e filho.Amigo. Desejo um Brasil melhor.Defendo causas justas. #NãoaoFascismo#QueroBolsonaroPreso")</f>
        <v>Pai e filho.Amigo. Desejo um Brasil melhor.Defendo causas justas. #NãoaoFascismo#QueroBolsonaroPreso</v>
      </c>
      <c r="D1292" s="2">
        <f>IFERROR(__xludf.DUMMYFUNCTION("""COMPUTED_VALUE"""),1.0028027568273113E-4)</f>
        <v>0.0001002802757</v>
      </c>
      <c r="E1292" s="2" t="str">
        <f>IFERROR(__xludf.DUMMYFUNCTION("""COMPUTED_VALUE"""),"      3.841")</f>
        <v>      3.841</v>
      </c>
    </row>
    <row r="1293">
      <c r="A1293" s="2" t="str">
        <f>IFERROR(__xludf.DUMMYFUNCTION("""COMPUTED_VALUE"""),"aldo da cruz")</f>
        <v>aldo da cruz</v>
      </c>
      <c r="B1293" s="2" t="str">
        <f>IFERROR(__xludf.DUMMYFUNCTION("""COMPUTED_VALUE"""),"aldo0rodrigues")</f>
        <v>aldo0rodrigues</v>
      </c>
      <c r="C1293" s="2" t="str">
        <f>IFERROR(__xludf.DUMMYFUNCTION("""COMPUTED_VALUE"""),"gosto de curti a vida                 aldodacruzrodriguesr@gmail.com   aldo_vigilante@outlook.com")</f>
        <v>gosto de curti a vida                 aldodacruzrodriguesr@gmail.com   aldo_vigilante@outlook.com</v>
      </c>
      <c r="D1293" s="2">
        <f>IFERROR(__xludf.DUMMYFUNCTION("""COMPUTED_VALUE"""),1.0028027568273113E-4)</f>
        <v>0.0001002802757</v>
      </c>
      <c r="E1293" s="2" t="str">
        <f>IFERROR(__xludf.DUMMYFUNCTION("""COMPUTED_VALUE"""),"      3.138")</f>
        <v>      3.138</v>
      </c>
    </row>
    <row r="1294">
      <c r="A1294" s="2" t="str">
        <f>IFERROR(__xludf.DUMMYFUNCTION("""COMPUTED_VALUE"""),"Adegesto Pataca")</f>
        <v>Adegesto Pataca</v>
      </c>
      <c r="B1294" s="2" t="str">
        <f>IFERROR(__xludf.DUMMYFUNCTION("""COMPUTED_VALUE"""),"dandan_rei")</f>
        <v>dandan_rei</v>
      </c>
      <c r="C1294" s="2" t="str">
        <f>IFERROR(__xludf.DUMMYFUNCTION("""COMPUTED_VALUE"""),"Anti Fascista, mantenho distância das pessoas de bem pelo bem da minha saúde mental.")</f>
        <v>Anti Fascista, mantenho distância das pessoas de bem pelo bem da minha saúde mental.</v>
      </c>
      <c r="D1294" s="2">
        <f>IFERROR(__xludf.DUMMYFUNCTION("""COMPUTED_VALUE"""),1.0028027568273113E-4)</f>
        <v>0.0001002802757</v>
      </c>
      <c r="E1294" s="2" t="str">
        <f>IFERROR(__xludf.DUMMYFUNCTION("""COMPUTED_VALUE"""),"      1.848")</f>
        <v>      1.848</v>
      </c>
    </row>
    <row r="1295">
      <c r="A1295" s="2" t="str">
        <f>IFERROR(__xludf.DUMMYFUNCTION("""COMPUTED_VALUE"""),"🌺⛩️ 。🦊 浪岡🦊 。⛩️🌺")</f>
        <v>🌺⛩️ 。🦊 浪岡🦊 。⛩️🌺</v>
      </c>
      <c r="B1295" s="2" t="str">
        <f>IFERROR(__xludf.DUMMYFUNCTION("""COMPUTED_VALUE"""),"namiokajennie")</f>
        <v>namiokajennie</v>
      </c>
      <c r="C1295" s="2" t="str">
        <f>IFERROR(__xludf.DUMMYFUNCTION("""COMPUTED_VALUE"""),"好きな物:アニメやアニメの音楽やマンガしか。好きな食べ物:寿司や牛丼と豚丼や焼きそばとか。いじょうです。 失読症がある - tenho dislexia.")</f>
        <v>好きな物:アニメやアニメの音楽やマンガしか。好きな食べ物:寿司や牛丼と豚丼や焼きそばとか。いじょうです。 失読症がある - tenho dislexia.</v>
      </c>
      <c r="D1295" s="2">
        <f>IFERROR(__xludf.DUMMYFUNCTION("""COMPUTED_VALUE"""),1.0028027568273113E-4)</f>
        <v>0.0001002802757</v>
      </c>
      <c r="E1295" s="2" t="str">
        <f>IFERROR(__xludf.DUMMYFUNCTION("""COMPUTED_VALUE"""),"      1.151")</f>
        <v>      1.151</v>
      </c>
    </row>
    <row r="1296">
      <c r="A1296" s="2" t="str">
        <f>IFERROR(__xludf.DUMMYFUNCTION("""COMPUTED_VALUE"""),"💎🤍")</f>
        <v>💎🤍</v>
      </c>
      <c r="B1296" s="2" t="str">
        <f>IFERROR(__xludf.DUMMYFUNCTION("""COMPUTED_VALUE"""),"muffvns")</f>
        <v>muffvns</v>
      </c>
      <c r="C1296" s="2" t="str">
        <f>IFERROR(__xludf.DUMMYFUNCTION("""COMPUTED_VALUE"""),"Ga; c’ho la poltroneria in corpo; (she/her)")</f>
        <v>Ga; c’ho la poltroneria in corpo; (she/her)</v>
      </c>
      <c r="D1296" s="2">
        <f>IFERROR(__xludf.DUMMYFUNCTION("""COMPUTED_VALUE"""),1.0028027568273113E-4)</f>
        <v>0.0001002802757</v>
      </c>
      <c r="E1296" s="2" t="str">
        <f>IFERROR(__xludf.DUMMYFUNCTION("""COMPUTED_VALUE"""),"      4.689")</f>
        <v>      4.689</v>
      </c>
    </row>
    <row r="1297">
      <c r="A1297" s="2" t="str">
        <f>IFERROR(__xludf.DUMMYFUNCTION("""COMPUTED_VALUE"""),"Paulo Simões Diniz")</f>
        <v>Paulo Simões Diniz</v>
      </c>
      <c r="B1297" s="2" t="str">
        <f>IFERROR(__xludf.DUMMYFUNCTION("""COMPUTED_VALUE"""),"paulosimoesdini")</f>
        <v>paulosimoesdini</v>
      </c>
      <c r="C1297" s="2" t="str">
        <f>IFERROR(__xludf.DUMMYFUNCTION("""COMPUTED_VALUE"""),"quando você acha que não tem nada, encontra alguém que tem menos ainda.
QUEM VENCE, NÃO DESISTE, E QUEM DESISTE NÃO VENCE.")</f>
        <v>quando você acha que não tem nada, encontra alguém que tem menos ainda.
QUEM VENCE, NÃO DESISTE, E QUEM DESISTE NÃO VENCE.</v>
      </c>
      <c r="D1297" s="2">
        <f>IFERROR(__xludf.DUMMYFUNCTION("""COMPUTED_VALUE"""),1.0028027568273113E-4)</f>
        <v>0.0001002802757</v>
      </c>
      <c r="E1297" s="2" t="str">
        <f>IFERROR(__xludf.DUMMYFUNCTION("""COMPUTED_VALUE"""),"     23.402")</f>
        <v>     23.402</v>
      </c>
    </row>
    <row r="1298">
      <c r="A1298" s="2" t="str">
        <f>IFERROR(__xludf.DUMMYFUNCTION("""COMPUTED_VALUE"""),"Silvia")</f>
        <v>Silvia</v>
      </c>
      <c r="B1298" s="2" t="str">
        <f>IFERROR(__xludf.DUMMYFUNCTION("""COMPUTED_VALUE"""),"silvia57457886")</f>
        <v>silvia57457886</v>
      </c>
      <c r="C1298" s="2"/>
      <c r="D1298" s="2">
        <f>IFERROR(__xludf.DUMMYFUNCTION("""COMPUTED_VALUE"""),1.0028027568273113E-4)</f>
        <v>0.0001002802757</v>
      </c>
      <c r="E1298" s="2" t="str">
        <f>IFERROR(__xludf.DUMMYFUNCTION("""COMPUTED_VALUE"""),"      4.743")</f>
        <v>      4.743</v>
      </c>
    </row>
    <row r="1299">
      <c r="A1299" s="2" t="str">
        <f>IFERROR(__xludf.DUMMYFUNCTION("""COMPUTED_VALUE"""),"Flávia")</f>
        <v>Flávia</v>
      </c>
      <c r="B1299" s="2" t="str">
        <f>IFERROR(__xludf.DUMMYFUNCTION("""COMPUTED_VALUE"""),"llaflavia")</f>
        <v>llaflavia</v>
      </c>
      <c r="C1299" s="2" t="str">
        <f>IFERROR(__xludf.DUMMYFUNCTION("""COMPUTED_VALUE"""),"only a wonderful person who loves the animals. Amo os animais. #Lula2022 🚩 SIGO DE VOLTA ASSIM QUE O TWITTER LIBERAR")</f>
        <v>only a wonderful person who loves the animals. Amo os animais. #Lula2022 🚩 SIGO DE VOLTA ASSIM QUE O TWITTER LIBERAR</v>
      </c>
      <c r="D1299" s="2">
        <f>IFERROR(__xludf.DUMMYFUNCTION("""COMPUTED_VALUE"""),1.0028027568273113E-4)</f>
        <v>0.0001002802757</v>
      </c>
      <c r="E1299" s="2" t="str">
        <f>IFERROR(__xludf.DUMMYFUNCTION("""COMPUTED_VALUE"""),"      2.778")</f>
        <v>      2.778</v>
      </c>
    </row>
    <row r="1300">
      <c r="A1300" s="2" t="str">
        <f>IFERROR(__xludf.DUMMYFUNCTION("""COMPUTED_VALUE"""),"Karyn Bravo")</f>
        <v>Karyn Bravo</v>
      </c>
      <c r="B1300" s="2" t="str">
        <f>IFERROR(__xludf.DUMMYFUNCTION("""COMPUTED_VALUE"""),"karynbravo")</f>
        <v>karynbravo</v>
      </c>
      <c r="C1300" s="2" t="str">
        <f>IFERROR(__xludf.DUMMYFUNCTION("""COMPUTED_VALUE"""),"Jornalista e apresentadora do Jornal da Cultura, às 21hs, de segunda à sábado 🎥")</f>
        <v>Jornalista e apresentadora do Jornal da Cultura, às 21hs, de segunda à sábado 🎥</v>
      </c>
      <c r="D1300" s="2">
        <f>IFERROR(__xludf.DUMMYFUNCTION("""COMPUTED_VALUE"""),1.0028027568273113E-4)</f>
        <v>0.0001002802757</v>
      </c>
      <c r="E1300" s="2" t="str">
        <f>IFERROR(__xludf.DUMMYFUNCTION("""COMPUTED_VALUE"""),"     63.983")</f>
        <v>     63.983</v>
      </c>
    </row>
    <row r="1301">
      <c r="A1301" s="2" t="str">
        <f>IFERROR(__xludf.DUMMYFUNCTION("""COMPUTED_VALUE"""),"Dani 🚩Ponto de vista, cada um c/ seu! #Lula13😉")</f>
        <v>Dani 🚩Ponto de vista, cada um c/ seu! #Lula13😉</v>
      </c>
      <c r="B1301" s="2" t="str">
        <f>IFERROR(__xludf.DUMMYFUNCTION("""COMPUTED_VALUE"""),"daniela_1408")</f>
        <v>daniela_1408</v>
      </c>
      <c r="C1301" s="2" t="str">
        <f>IFERROR(__xludf.DUMMYFUNCTION("""COMPUTED_VALUE"""),"Ponto de vista, cada um com o seu! Respeito o seu, ENTÃO RESPEITE O MEU!
#LulaMelhorPresidente
#LulaMelhorPresidente 🚩
#BozoNaCadeia")</f>
        <v>Ponto de vista, cada um com o seu! Respeito o seu, ENTÃO RESPEITE O MEU!
#LulaMelhorPresidente
#LulaMelhorPresidente 🚩
#BozoNaCadeia</v>
      </c>
      <c r="D1301" s="2">
        <f>IFERROR(__xludf.DUMMYFUNCTION("""COMPUTED_VALUE"""),1.0028027568273113E-4)</f>
        <v>0.0001002802757</v>
      </c>
      <c r="E1301" s="2" t="str">
        <f>IFERROR(__xludf.DUMMYFUNCTION("""COMPUTED_VALUE"""),"      6.039")</f>
        <v>      6.039</v>
      </c>
    </row>
    <row r="1302">
      <c r="A1302" s="2" t="str">
        <f>IFERROR(__xludf.DUMMYFUNCTION("""COMPUTED_VALUE"""),"FERNANDO3F🚩")</f>
        <v>FERNANDO3F🚩</v>
      </c>
      <c r="B1302" s="2" t="str">
        <f>IFERROR(__xludf.DUMMYFUNCTION("""COMPUTED_VALUE"""),"fernando3ff")</f>
        <v>fernando3ff</v>
      </c>
      <c r="C1302" s="2" t="str">
        <f>IFERROR(__xludf.DUMMYFUNCTION("""COMPUTED_VALUE"""),"Petista, esquerdista e etc... Vigilante, agora aposentado, mas sigo trabalhando. Flamenguista desde sempre. O amor venceu o ódio! Lula meu presidente.")</f>
        <v>Petista, esquerdista e etc... Vigilante, agora aposentado, mas sigo trabalhando. Flamenguista desde sempre. O amor venceu o ódio! Lula meu presidente.</v>
      </c>
      <c r="D1302" s="2">
        <f>IFERROR(__xludf.DUMMYFUNCTION("""COMPUTED_VALUE"""),1.0028027568273113E-4)</f>
        <v>0.0001002802757</v>
      </c>
      <c r="E1302" s="2" t="str">
        <f>IFERROR(__xludf.DUMMYFUNCTION("""COMPUTED_VALUE"""),"      2.603")</f>
        <v>      2.603</v>
      </c>
    </row>
    <row r="1303">
      <c r="A1303" s="2" t="str">
        <f>IFERROR(__xludf.DUMMYFUNCTION("""COMPUTED_VALUE"""),"Gil Carlos Teixeira🇧🇷🎭🇨🇺🇵🇸🇨🇳🚩")</f>
        <v>Gil Carlos Teixeira🇧🇷🎭🇨🇺🇵🇸🇨🇳🚩</v>
      </c>
      <c r="B1303" s="2" t="str">
        <f>IFERROR(__xludf.DUMMYFUNCTION("""COMPUTED_VALUE"""),"gilcarlostex")</f>
        <v>gilcarlostex</v>
      </c>
      <c r="C1303" s="2" t="str">
        <f>IFERROR(__xludf.DUMMYFUNCTION("""COMPUTED_VALUE"""),"Artista. Antifascista. Lulista até a alma
Nome em minúsculas não é erro
É desprezo.
O Presidente Lula me honra seguindo esse perfil
O SDV não é automático")</f>
        <v>Artista. Antifascista. Lulista até a alma
Nome em minúsculas não é erro
É desprezo.
O Presidente Lula me honra seguindo esse perfil
O SDV não é automático</v>
      </c>
      <c r="D1303" s="2">
        <f>IFERROR(__xludf.DUMMYFUNCTION("""COMPUTED_VALUE"""),1.0028027568273113E-4)</f>
        <v>0.0001002802757</v>
      </c>
      <c r="E1303" s="2" t="str">
        <f>IFERROR(__xludf.DUMMYFUNCTION("""COMPUTED_VALUE"""),"     12.120")</f>
        <v>     12.120</v>
      </c>
    </row>
    <row r="1304">
      <c r="A1304" s="2" t="str">
        <f>IFERROR(__xludf.DUMMYFUNCTION("""COMPUTED_VALUE"""),"J.S.Pendot")</f>
        <v>J.S.Pendot</v>
      </c>
      <c r="B1304" s="2" t="str">
        <f>IFERROR(__xludf.DUMMYFUNCTION("""COMPUTED_VALUE"""),"jspendot")</f>
        <v>jspendot</v>
      </c>
      <c r="C1304" s="2" t="str">
        <f>IFERROR(__xludf.DUMMYFUNCTION("""COMPUTED_VALUE"""),"Brazilian journalist/lawyer. Democracy is non -negotiable. My tweets are personal opinions. Retweets are not endorsements. 🤔")</f>
        <v>Brazilian journalist/lawyer. Democracy is non -negotiable. My tweets are personal opinions. Retweets are not endorsements. 🤔</v>
      </c>
      <c r="D1304" s="2">
        <f>IFERROR(__xludf.DUMMYFUNCTION("""COMPUTED_VALUE"""),1.0028027568273113E-4)</f>
        <v>0.0001002802757</v>
      </c>
      <c r="E1304" s="2" t="str">
        <f>IFERROR(__xludf.DUMMYFUNCTION("""COMPUTED_VALUE"""),"      9.811")</f>
        <v>      9.811</v>
      </c>
    </row>
    <row r="1305">
      <c r="A1305" s="2" t="str">
        <f>IFERROR(__xludf.DUMMYFUNCTION("""COMPUTED_VALUE"""),"gilmarventania")</f>
        <v>gilmarventania</v>
      </c>
      <c r="B1305" s="2" t="str">
        <f>IFERROR(__xludf.DUMMYFUNCTION("""COMPUTED_VALUE"""),"fgddamaceno")</f>
        <v>fgddamaceno</v>
      </c>
      <c r="C1305" s="2"/>
      <c r="D1305" s="2">
        <f>IFERROR(__xludf.DUMMYFUNCTION("""COMPUTED_VALUE"""),1.0028027568273113E-4)</f>
        <v>0.0001002802757</v>
      </c>
      <c r="E1305" s="2" t="str">
        <f>IFERROR(__xludf.DUMMYFUNCTION("""COMPUTED_VALUE"""),"      4.119")</f>
        <v>      4.119</v>
      </c>
    </row>
    <row r="1306">
      <c r="A1306" s="2" t="str">
        <f>IFERROR(__xludf.DUMMYFUNCTION("""COMPUTED_VALUE"""),"Silvia")</f>
        <v>Silvia</v>
      </c>
      <c r="B1306" s="2" t="str">
        <f>IFERROR(__xludf.DUMMYFUNCTION("""COMPUTED_VALUE"""),"silvia94581613")</f>
        <v>silvia94581613</v>
      </c>
      <c r="C1306" s="2" t="str">
        <f>IFERROR(__xludf.DUMMYFUNCTION("""COMPUTED_VALUE"""),"Livorno,
18 giugno 1960. Antifascista nel Dna, no renziana")</f>
        <v>Livorno,
18 giugno 1960. Antifascista nel Dna, no renziana</v>
      </c>
      <c r="D1306" s="2">
        <f>IFERROR(__xludf.DUMMYFUNCTION("""COMPUTED_VALUE"""),1.0028027568273113E-4)</f>
        <v>0.0001002802757</v>
      </c>
      <c r="E1306" s="2" t="str">
        <f>IFERROR(__xludf.DUMMYFUNCTION("""COMPUTED_VALUE"""),"      2.420")</f>
        <v>      2.420</v>
      </c>
    </row>
    <row r="1307">
      <c r="A1307" s="2" t="str">
        <f>IFERROR(__xludf.DUMMYFUNCTION("""COMPUTED_VALUE"""),"Gabriella Sofia de Marco della Porta")</f>
        <v>Gabriella Sofia de Marco della Porta</v>
      </c>
      <c r="B1307" s="2" t="str">
        <f>IFERROR(__xludf.DUMMYFUNCTION("""COMPUTED_VALUE"""),"ganga2410")</f>
        <v>ganga2410</v>
      </c>
      <c r="C1307" s="2" t="str">
        <f>IFERROR(__xludf.DUMMYFUNCTION("""COMPUTED_VALUE"""),"IO SONO , uno stato di coscienza , una vibrazione di saggezza e di sapienza .Sono colei che da le indicazioni per una nuova Umanità. 🇮🇹")</f>
        <v>IO SONO , uno stato di coscienza , una vibrazione di saggezza e di sapienza .Sono colei che da le indicazioni per una nuova Umanità. 🇮🇹</v>
      </c>
      <c r="D1307" s="2">
        <f>IFERROR(__xludf.DUMMYFUNCTION("""COMPUTED_VALUE"""),1.0028027568273113E-4)</f>
        <v>0.0001002802757</v>
      </c>
      <c r="E1307" s="2" t="str">
        <f>IFERROR(__xludf.DUMMYFUNCTION("""COMPUTED_VALUE"""),"      3.286")</f>
        <v>      3.286</v>
      </c>
    </row>
    <row r="1308">
      <c r="A1308" s="2" t="str">
        <f>IFERROR(__xludf.DUMMYFUNCTION("""COMPUTED_VALUE"""),"Marly Winnie")</f>
        <v>Marly Winnie</v>
      </c>
      <c r="B1308" s="2" t="str">
        <f>IFERROR(__xludf.DUMMYFUNCTION("""COMPUTED_VALUE"""),"easyoil_br")</f>
        <v>easyoil_br</v>
      </c>
      <c r="C1308" s="2" t="str">
        <f>IFERROR(__xludf.DUMMYFUNCTION("""COMPUTED_VALUE"""),"Cuidado com a propaganda enganosa sobre o CO2 ser nocivo ao meio-ambiente. O CO2 é o gás da VIDA, pois é o único alimento dos vegetais. Na atmosfera tem 0,03% !")</f>
        <v>Cuidado com a propaganda enganosa sobre o CO2 ser nocivo ao meio-ambiente. O CO2 é o gás da VIDA, pois é o único alimento dos vegetais. Na atmosfera tem 0,03% !</v>
      </c>
      <c r="D1308" s="2">
        <f>IFERROR(__xludf.DUMMYFUNCTION("""COMPUTED_VALUE"""),1.0028027568273113E-4)</f>
        <v>0.0001002802757</v>
      </c>
      <c r="E1308" s="2" t="str">
        <f>IFERROR(__xludf.DUMMYFUNCTION("""COMPUTED_VALUE"""),"      2.256")</f>
        <v>      2.256</v>
      </c>
    </row>
    <row r="1309">
      <c r="A1309" s="2" t="str">
        <f>IFERROR(__xludf.DUMMYFUNCTION("""COMPUTED_VALUE"""),"vdr ♻️")</f>
        <v>vdr ♻️</v>
      </c>
      <c r="B1309" s="2" t="str">
        <f>IFERROR(__xludf.DUMMYFUNCTION("""COMPUTED_VALUE"""),"valterdiasrosa")</f>
        <v>valterdiasrosa</v>
      </c>
      <c r="C1309" s="2"/>
      <c r="D1309" s="2">
        <f>IFERROR(__xludf.DUMMYFUNCTION("""COMPUTED_VALUE"""),1.0028027568273113E-4)</f>
        <v>0.0001002802757</v>
      </c>
      <c r="E1309" s="2" t="str">
        <f>IFERROR(__xludf.DUMMYFUNCTION("""COMPUTED_VALUE"""),"      2.926")</f>
        <v>      2.926</v>
      </c>
    </row>
    <row r="1310">
      <c r="A1310" s="2" t="str">
        <f>IFERROR(__xludf.DUMMYFUNCTION("""COMPUTED_VALUE"""),"кαrℓα ᶜʳᶠ 🪩")</f>
        <v>кαrℓα ᶜʳᶠ 🪩</v>
      </c>
      <c r="B1310" s="2" t="str">
        <f>IFERROR(__xludf.DUMMYFUNCTION("""COMPUTED_VALUE"""),"drewtrying")</f>
        <v>drewtrying</v>
      </c>
      <c r="C1310" s="2" t="str">
        <f>IFERROR(__xludf.DUMMYFUNCTION("""COMPUTED_VALUE"""),"the best people in life are free • she/her • fan account")</f>
        <v>the best people in life are free • she/her • fan account</v>
      </c>
      <c r="D1310" s="2">
        <f>IFERROR(__xludf.DUMMYFUNCTION("""COMPUTED_VALUE"""),1.0028027568273113E-4)</f>
        <v>0.0001002802757</v>
      </c>
      <c r="E1310" s="2" t="str">
        <f>IFERROR(__xludf.DUMMYFUNCTION("""COMPUTED_VALUE"""),"      6.653")</f>
        <v>      6.653</v>
      </c>
    </row>
    <row r="1311">
      <c r="A1311" s="2" t="str">
        <f>IFERROR(__xludf.DUMMYFUNCTION("""COMPUTED_VALUE"""),"lucia francisco")</f>
        <v>lucia francisco</v>
      </c>
      <c r="B1311" s="2" t="str">
        <f>IFERROR(__xludf.DUMMYFUNCTION("""COMPUTED_VALUE"""),"luciah1000")</f>
        <v>luciah1000</v>
      </c>
      <c r="C1311" s="2" t="str">
        <f>IFERROR(__xludf.DUMMYFUNCTION("""COMPUTED_VALUE"""),"SOBREVIVER É PRECISO!!
Mulher, mãe, bancária aposentada, esquerdista e PT desde sempre.
#SouLula13")</f>
        <v>SOBREVIVER É PRECISO!!
Mulher, mãe, bancária aposentada, esquerdista e PT desde sempre.
#SouLula13</v>
      </c>
      <c r="D1311" s="2">
        <f>IFERROR(__xludf.DUMMYFUNCTION("""COMPUTED_VALUE"""),1.0028027568273113E-4)</f>
        <v>0.0001002802757</v>
      </c>
      <c r="E1311" s="2" t="str">
        <f>IFERROR(__xludf.DUMMYFUNCTION("""COMPUTED_VALUE"""),"      1.687")</f>
        <v>      1.687</v>
      </c>
    </row>
    <row r="1312">
      <c r="A1312" s="2" t="str">
        <f>IFERROR(__xludf.DUMMYFUNCTION("""COMPUTED_VALUE"""),"Geossandro Moura")</f>
        <v>Geossandro Moura</v>
      </c>
      <c r="B1312" s="2" t="str">
        <f>IFERROR(__xludf.DUMMYFUNCTION("""COMPUTED_VALUE"""),"geossandrom")</f>
        <v>geossandrom</v>
      </c>
      <c r="C1312" s="2" t="str">
        <f>IFERROR(__xludf.DUMMYFUNCTION("""COMPUTED_VALUE"""),"Progressista")</f>
        <v>Progressista</v>
      </c>
      <c r="D1312" s="2">
        <f>IFERROR(__xludf.DUMMYFUNCTION("""COMPUTED_VALUE"""),1.0028027568273113E-4)</f>
        <v>0.0001002802757</v>
      </c>
      <c r="E1312" s="2" t="str">
        <f>IFERROR(__xludf.DUMMYFUNCTION("""COMPUTED_VALUE"""),"      4.809")</f>
        <v>      4.809</v>
      </c>
    </row>
    <row r="1313">
      <c r="A1313" s="2" t="str">
        <f>IFERROR(__xludf.DUMMYFUNCTION("""COMPUTED_VALUE"""),"Bácoro Verde 🚩")</f>
        <v>Bácoro Verde 🚩</v>
      </c>
      <c r="B1313" s="2" t="str">
        <f>IFERROR(__xludf.DUMMYFUNCTION("""COMPUTED_VALUE"""),"bacoroverde")</f>
        <v>bacoroverde</v>
      </c>
      <c r="C1313" s="2" t="str">
        <f>IFERROR(__xludf.DUMMYFUNCTION("""COMPUTED_VALUE"""),"Baby Boomer ✨")</f>
        <v>Baby Boomer ✨</v>
      </c>
      <c r="D1313" s="2">
        <f>IFERROR(__xludf.DUMMYFUNCTION("""COMPUTED_VALUE"""),1.0028027568273113E-4)</f>
        <v>0.0001002802757</v>
      </c>
      <c r="E1313" s="2" t="str">
        <f>IFERROR(__xludf.DUMMYFUNCTION("""COMPUTED_VALUE"""),"      7.922")</f>
        <v>      7.922</v>
      </c>
    </row>
    <row r="1314">
      <c r="A1314" s="2" t="str">
        <f>IFERROR(__xludf.DUMMYFUNCTION("""COMPUTED_VALUE"""),"Monalisa🌵🍷🐰🦦")</f>
        <v>Monalisa🌵🍷🐰🦦</v>
      </c>
      <c r="B1314" s="2" t="str">
        <f>IFERROR(__xludf.DUMMYFUNCTION("""COMPUTED_VALUE"""),"your_monalisa")</f>
        <v>your_monalisa</v>
      </c>
      <c r="C1314" s="2" t="str">
        <f>IFERROR(__xludf.DUMMYFUNCTION("""COMPUTED_VALUE"""),"It makes no sense to divide people into good and bad. 
People are only charming or tedious. ×͜×
Eu sou do tempo que o Twitter era Mato.")</f>
        <v>It makes no sense to divide people into good and bad. 
People are only charming or tedious. ×͜×
Eu sou do tempo que o Twitter era Mato.</v>
      </c>
      <c r="D1314" s="2">
        <f>IFERROR(__xludf.DUMMYFUNCTION("""COMPUTED_VALUE"""),1.0028027568273113E-4)</f>
        <v>0.0001002802757</v>
      </c>
      <c r="E1314" s="2" t="str">
        <f>IFERROR(__xludf.DUMMYFUNCTION("""COMPUTED_VALUE"""),"      2.501")</f>
        <v>      2.501</v>
      </c>
    </row>
    <row r="1315">
      <c r="A1315" s="2" t="str">
        <f>IFERROR(__xludf.DUMMYFUNCTION("""COMPUTED_VALUE"""),"@AtahualpaYO @NueVEncProfRos")</f>
        <v>@AtahualpaYO @NueVEncProfRos</v>
      </c>
      <c r="B1315" s="2" t="str">
        <f>IFERROR(__xludf.DUMMYFUNCTION("""COMPUTED_VALUE"""),"recontrachotis")</f>
        <v>recontrachotis</v>
      </c>
      <c r="C1315" s="2" t="str">
        <f>IFERROR(__xludf.DUMMYFUNCTION("""COMPUTED_VALUE"""),"Artista Visual Profesora Nac de Inglés. Intérprete Simultáneo Militante Creadora Cuenta Tw NuevoEncuentroProfesionales Rosario Fusión @AtahualpaYO + @NueVEncPro")</f>
        <v>Artista Visual Profesora Nac de Inglés. Intérprete Simultáneo Militante Creadora Cuenta Tw NuevoEncuentroProfesionales Rosario Fusión @AtahualpaYO + @NueVEncPro</v>
      </c>
      <c r="D1315" s="2">
        <f>IFERROR(__xludf.DUMMYFUNCTION("""COMPUTED_VALUE"""),1.0028027568273113E-4)</f>
        <v>0.0001002802757</v>
      </c>
      <c r="E1315" s="2" t="str">
        <f>IFERROR(__xludf.DUMMYFUNCTION("""COMPUTED_VALUE"""),"      2.292")</f>
        <v>      2.292</v>
      </c>
    </row>
    <row r="1316">
      <c r="A1316" s="2" t="str">
        <f>IFERROR(__xludf.DUMMYFUNCTION("""COMPUTED_VALUE"""),"Simone Kaminski")</f>
        <v>Simone Kaminski</v>
      </c>
      <c r="B1316" s="2" t="str">
        <f>IFERROR(__xludf.DUMMYFUNCTION("""COMPUTED_VALUE"""),"simonekaminski3")</f>
        <v>simonekaminski3</v>
      </c>
      <c r="C1316" s="2" t="str">
        <f>IFERROR(__xludf.DUMMYFUNCTION("""COMPUTED_VALUE"""),"Volta Presidente Bolsonaro, pelo amor de Deus")</f>
        <v>Volta Presidente Bolsonaro, pelo amor de Deus</v>
      </c>
      <c r="D1316" s="2">
        <f>IFERROR(__xludf.DUMMYFUNCTION("""COMPUTED_VALUE"""),1.0028027568273113E-4)</f>
        <v>0.0001002802757</v>
      </c>
      <c r="E1316" s="2" t="str">
        <f>IFERROR(__xludf.DUMMYFUNCTION("""COMPUTED_VALUE"""),"      1.212")</f>
        <v>      1.212</v>
      </c>
    </row>
    <row r="1317">
      <c r="A1317" s="2" t="str">
        <f>IFERROR(__xludf.DUMMYFUNCTION("""COMPUTED_VALUE"""),"Marco Antônio")</f>
        <v>Marco Antônio</v>
      </c>
      <c r="B1317" s="2" t="str">
        <f>IFERROR(__xludf.DUMMYFUNCTION("""COMPUTED_VALUE"""),"marcovaganet")</f>
        <v>marcovaganet</v>
      </c>
      <c r="C1317" s="2"/>
      <c r="D1317" s="2">
        <f>IFERROR(__xludf.DUMMYFUNCTION("""COMPUTED_VALUE"""),1.0028027568273113E-4)</f>
        <v>0.0001002802757</v>
      </c>
      <c r="E1317" s="2" t="str">
        <f>IFERROR(__xludf.DUMMYFUNCTION("""COMPUTED_VALUE"""),"      3.276")</f>
        <v>      3.276</v>
      </c>
    </row>
    <row r="1318">
      <c r="A1318" s="2" t="str">
        <f>IFERROR(__xludf.DUMMYFUNCTION("""COMPUTED_VALUE"""),"Pedro")</f>
        <v>Pedro</v>
      </c>
      <c r="B1318" s="2" t="str">
        <f>IFERROR(__xludf.DUMMYFUNCTION("""COMPUTED_VALUE"""),"pedrovoge")</f>
        <v>pedrovoge</v>
      </c>
      <c r="C1318" s="2"/>
      <c r="D1318" s="2">
        <f>IFERROR(__xludf.DUMMYFUNCTION("""COMPUTED_VALUE"""),1.0028027568273113E-4)</f>
        <v>0.0001002802757</v>
      </c>
      <c r="E1318" s="2" t="str">
        <f>IFERROR(__xludf.DUMMYFUNCTION("""COMPUTED_VALUE"""),"      7.857")</f>
        <v>      7.857</v>
      </c>
    </row>
    <row r="1319">
      <c r="A1319" s="2" t="str">
        <f>IFERROR(__xludf.DUMMYFUNCTION("""COMPUTED_VALUE"""),"AneValis-RJ 🇧🇷❤🖤❤SDV")</f>
        <v>AneValis-RJ 🇧🇷❤🖤❤SDV</v>
      </c>
      <c r="B1319" s="2" t="str">
        <f>IFERROR(__xludf.DUMMYFUNCTION("""COMPUTED_VALUE"""),"anevaliis")</f>
        <v>anevaliis</v>
      </c>
      <c r="C1319" s="2" t="str">
        <f>IFERROR(__xludf.DUMMYFUNCTION("""COMPUTED_VALUE"""),"Ainda q eu falasse a língua dos homens, e falasse a língua dos anjos, sem amor eu nada seria...")</f>
        <v>Ainda q eu falasse a língua dos homens, e falasse a língua dos anjos, sem amor eu nada seria...</v>
      </c>
      <c r="D1319" s="2">
        <f>IFERROR(__xludf.DUMMYFUNCTION("""COMPUTED_VALUE"""),1.0028027568273113E-4)</f>
        <v>0.0001002802757</v>
      </c>
      <c r="E1319" s="2" t="str">
        <f>IFERROR(__xludf.DUMMYFUNCTION("""COMPUTED_VALUE"""),"      3.880")</f>
        <v>      3.880</v>
      </c>
    </row>
    <row r="1320">
      <c r="A1320" s="2" t="str">
        <f>IFERROR(__xludf.DUMMYFUNCTION("""COMPUTED_VALUE"""),"Jorge Messias")</f>
        <v>Jorge Messias</v>
      </c>
      <c r="B1320" s="2" t="str">
        <f>IFERROR(__xludf.DUMMYFUNCTION("""COMPUTED_VALUE"""),"jorgemessiasagu")</f>
        <v>jorgemessiasagu</v>
      </c>
      <c r="C1320" s="2" t="str">
        <f>IFERROR(__xludf.DUMMYFUNCTION("""COMPUTED_VALUE"""),"Ministro da Advocacia-Geral da União, procurador da Fazenda Nacional, PhD (Candidate), mestre (UNB), pai de duas bençãos. Torcedor do Sport Club do Recife.")</f>
        <v>Ministro da Advocacia-Geral da União, procurador da Fazenda Nacional, PhD (Candidate), mestre (UNB), pai de duas bençãos. Torcedor do Sport Club do Recife.</v>
      </c>
      <c r="D1320" s="2">
        <f>IFERROR(__xludf.DUMMYFUNCTION("""COMPUTED_VALUE"""),1.0028027568273113E-4)</f>
        <v>0.0001002802757</v>
      </c>
      <c r="E1320" s="2" t="str">
        <f>IFERROR(__xludf.DUMMYFUNCTION("""COMPUTED_VALUE"""),"     12.139")</f>
        <v>     12.139</v>
      </c>
    </row>
    <row r="1321">
      <c r="A1321" s="2" t="str">
        <f>IFERROR(__xludf.DUMMYFUNCTION("""COMPUTED_VALUE"""),"Roberto Soares de Ca")</f>
        <v>Roberto Soares de Ca</v>
      </c>
      <c r="B1321" s="2" t="str">
        <f>IFERROR(__xludf.DUMMYFUNCTION("""COMPUTED_VALUE"""),"bobscarvalho")</f>
        <v>bobscarvalho</v>
      </c>
      <c r="C1321" s="2"/>
      <c r="D1321" s="2">
        <f>IFERROR(__xludf.DUMMYFUNCTION("""COMPUTED_VALUE"""),1.0028027568273113E-4)</f>
        <v>0.0001002802757</v>
      </c>
      <c r="E1321" s="2" t="str">
        <f>IFERROR(__xludf.DUMMYFUNCTION("""COMPUTED_VALUE"""),"      2.683")</f>
        <v>      2.683</v>
      </c>
    </row>
    <row r="1322">
      <c r="A1322" s="2" t="str">
        <f>IFERROR(__xludf.DUMMYFUNCTION("""COMPUTED_VALUE"""),"Newton 🚩")</f>
        <v>Newton 🚩</v>
      </c>
      <c r="B1322" s="2" t="str">
        <f>IFERROR(__xludf.DUMMYFUNCTION("""COMPUTED_VALUE"""),"nciceri")</f>
        <v>nciceri</v>
      </c>
      <c r="C1322" s="2" t="str">
        <f>IFERROR(__xludf.DUMMYFUNCTION("""COMPUTED_VALUE"""),"Eu não luto por mim, luto pelos meus filhos, pelos meus e seus netos. PT na veia, Bolsonaro na cadeia #LulaOmelhorPresidentedoBrasil.  #BolsonaroMiliciano")</f>
        <v>Eu não luto por mim, luto pelos meus filhos, pelos meus e seus netos. PT na veia, Bolsonaro na cadeia #LulaOmelhorPresidentedoBrasil.  #BolsonaroMiliciano</v>
      </c>
      <c r="D1322" s="2">
        <f>IFERROR(__xludf.DUMMYFUNCTION("""COMPUTED_VALUE"""),1.0028027568273113E-4)</f>
        <v>0.0001002802757</v>
      </c>
      <c r="E1322" s="2" t="str">
        <f>IFERROR(__xludf.DUMMYFUNCTION("""COMPUTED_VALUE"""),"      6.420")</f>
        <v>      6.420</v>
      </c>
    </row>
    <row r="1323">
      <c r="A1323" s="2" t="str">
        <f>IFERROR(__xludf.DUMMYFUNCTION("""COMPUTED_VALUE"""),"Marina M.")</f>
        <v>Marina M.</v>
      </c>
      <c r="B1323" s="2" t="str">
        <f>IFERROR(__xludf.DUMMYFUNCTION("""COMPUTED_VALUE"""),"marinamorenafln")</f>
        <v>marinamorenafln</v>
      </c>
      <c r="C1323" s="2"/>
      <c r="D1323" s="2">
        <f>IFERROR(__xludf.DUMMYFUNCTION("""COMPUTED_VALUE"""),1.0028027568273113E-4)</f>
        <v>0.0001002802757</v>
      </c>
      <c r="E1323" s="2" t="str">
        <f>IFERROR(__xludf.DUMMYFUNCTION("""COMPUTED_VALUE"""),"      1.204")</f>
        <v>      1.204</v>
      </c>
    </row>
    <row r="1324">
      <c r="A1324" s="2" t="str">
        <f>IFERROR(__xludf.DUMMYFUNCTION("""COMPUTED_VALUE"""),"csg")</f>
        <v>csg</v>
      </c>
      <c r="B1324" s="2" t="str">
        <f>IFERROR(__xludf.DUMMYFUNCTION("""COMPUTED_VALUE"""),"claudiosouzag")</f>
        <v>claudiosouzag</v>
      </c>
      <c r="C1324" s="2" t="str">
        <f>IFERROR(__xludf.DUMMYFUNCTION("""COMPUTED_VALUE"""),"verás que este filho seu não foge à luta !
nem teme quem te adora a própria morte...")</f>
        <v>verás que este filho seu não foge à luta !
nem teme quem te adora a própria morte...</v>
      </c>
      <c r="D1324" s="2">
        <f>IFERROR(__xludf.DUMMYFUNCTION("""COMPUTED_VALUE"""),1.0028027568273113E-4)</f>
        <v>0.0001002802757</v>
      </c>
      <c r="E1324" s="2" t="str">
        <f>IFERROR(__xludf.DUMMYFUNCTION("""COMPUTED_VALUE"""),"      3.231")</f>
        <v>      3.231</v>
      </c>
    </row>
    <row r="1325">
      <c r="A1325" s="2" t="str">
        <f>IFERROR(__xludf.DUMMYFUNCTION("""COMPUTED_VALUE"""),"Bruno 🇧🇷🥊")</f>
        <v>Bruno 🇧🇷🥊</v>
      </c>
      <c r="B1325" s="2" t="str">
        <f>IFERROR(__xludf.DUMMYFUNCTION("""COMPUTED_VALUE"""),"jacas34")</f>
        <v>jacas34</v>
      </c>
      <c r="C1325" s="2"/>
      <c r="D1325" s="2">
        <f>IFERROR(__xludf.DUMMYFUNCTION("""COMPUTED_VALUE"""),1.0028027568273113E-4)</f>
        <v>0.0001002802757</v>
      </c>
      <c r="E1325" s="2" t="str">
        <f>IFERROR(__xludf.DUMMYFUNCTION("""COMPUTED_VALUE"""),"      3.093")</f>
        <v>      3.093</v>
      </c>
    </row>
    <row r="1326">
      <c r="A1326" s="2" t="str">
        <f>IFERROR(__xludf.DUMMYFUNCTION("""COMPUTED_VALUE"""),"🔰🔰Dora Palmeira🔰🔰")</f>
        <v>🔰🔰Dora Palmeira🔰🔰</v>
      </c>
      <c r="B1326" s="2" t="str">
        <f>IFERROR(__xludf.DUMMYFUNCTION("""COMPUTED_VALUE"""),"dorasil76578668")</f>
        <v>dorasil76578668</v>
      </c>
      <c r="C1326" s="2"/>
      <c r="D1326" s="2">
        <f>IFERROR(__xludf.DUMMYFUNCTION("""COMPUTED_VALUE"""),1.0028027568273113E-4)</f>
        <v>0.0001002802757</v>
      </c>
      <c r="E1326" s="2" t="str">
        <f>IFERROR(__xludf.DUMMYFUNCTION("""COMPUTED_VALUE"""),"      2.651")</f>
        <v>      2.651</v>
      </c>
    </row>
    <row r="1327">
      <c r="A1327" s="2" t="str">
        <f>IFERROR(__xludf.DUMMYFUNCTION("""COMPUTED_VALUE"""),"Sebastião (🪰)")</f>
        <v>Sebastião (🪰)</v>
      </c>
      <c r="B1327" s="2" t="str">
        <f>IFERROR(__xludf.DUMMYFUNCTION("""COMPUTED_VALUE"""),"masterligador02")</f>
        <v>masterligador02</v>
      </c>
      <c r="C1327" s="2" t="str">
        <f>IFERROR(__xludf.DUMMYFUNCTION("""COMPUTED_VALUE"""),"Eu vos castigarei segundo o fruto das vossas ações, diz o Senhor e acenderei o fogo no seu bosque, que consumirá a tudo o que está em redor dela. Jeremias 21:14")</f>
        <v>Eu vos castigarei segundo o fruto das vossas ações, diz o Senhor e acenderei o fogo no seu bosque, que consumirá a tudo o que está em redor dela. Jeremias 21:14</v>
      </c>
      <c r="D1327" s="2">
        <f>IFERROR(__xludf.DUMMYFUNCTION("""COMPUTED_VALUE"""),1.0028027568273113E-4)</f>
        <v>0.0001002802757</v>
      </c>
      <c r="E1327" s="2" t="str">
        <f>IFERROR(__xludf.DUMMYFUNCTION("""COMPUTED_VALUE"""),"      1.645")</f>
        <v>      1.645</v>
      </c>
    </row>
    <row r="1328">
      <c r="A1328" s="2" t="str">
        <f>IFERROR(__xludf.DUMMYFUNCTION("""COMPUTED_VALUE"""),"Nivaldo Avelino Da Rosa Júnior")</f>
        <v>Nivaldo Avelino Da Rosa Júnior</v>
      </c>
      <c r="B1328" s="2" t="str">
        <f>IFERROR(__xludf.DUMMYFUNCTION("""COMPUTED_VALUE"""),"guru_sc")</f>
        <v>guru_sc</v>
      </c>
      <c r="C1328" s="2" t="str">
        <f>IFERROR(__xludf.DUMMYFUNCTION("""COMPUTED_VALUE"""),"Guru Esquerdista, Lulista, Dilmista e Consultor Político/educacional. 
 A Democracia é o único caminho possível.  Pix: 48 98848 0867")</f>
        <v>Guru Esquerdista, Lulista, Dilmista e Consultor Político/educacional. 
 A Democracia é o único caminho possível.  Pix: 48 98848 0867</v>
      </c>
      <c r="D1328" s="2">
        <f>IFERROR(__xludf.DUMMYFUNCTION("""COMPUTED_VALUE"""),1.0028027568273113E-4)</f>
        <v>0.0001002802757</v>
      </c>
      <c r="E1328" s="2" t="str">
        <f>IFERROR(__xludf.DUMMYFUNCTION("""COMPUTED_VALUE"""),"      4.446")</f>
        <v>      4.446</v>
      </c>
    </row>
    <row r="1329">
      <c r="A1329" s="2" t="str">
        <f>IFERROR(__xludf.DUMMYFUNCTION("""COMPUTED_VALUE"""),"✠JL9✠")</f>
        <v>✠JL9✠</v>
      </c>
      <c r="B1329" s="2" t="str">
        <f>IFERROR(__xludf.DUMMYFUNCTION("""COMPUTED_VALUE"""),"j9_lewandowski")</f>
        <v>j9_lewandowski</v>
      </c>
      <c r="C1329" s="2" t="str">
        <f>IFERROR(__xludf.DUMMYFUNCTION("""COMPUTED_VALUE"""),"👨🏾‍💻| Dono da UP Design Graphic 
@vascodagama | 26 anos | RJ 
Nunca foi sorte, sempre foi Deus 💪🙌")</f>
        <v>👨🏾‍💻| Dono da UP Design Graphic 
@vascodagama | 26 anos | RJ 
Nunca foi sorte, sempre foi Deus 💪🙌</v>
      </c>
      <c r="D1329" s="2">
        <f>IFERROR(__xludf.DUMMYFUNCTION("""COMPUTED_VALUE"""),1.0028027568273113E-4)</f>
        <v>0.0001002802757</v>
      </c>
      <c r="E1329" s="2" t="str">
        <f>IFERROR(__xludf.DUMMYFUNCTION("""COMPUTED_VALUE"""),"      1.097")</f>
        <v>      1.097</v>
      </c>
    </row>
    <row r="1330">
      <c r="A1330" s="2" t="str">
        <f>IFERROR(__xludf.DUMMYFUNCTION("""COMPUTED_VALUE"""),"Roberto Martins ⬅️ 🚩")</f>
        <v>Roberto Martins ⬅️ 🚩</v>
      </c>
      <c r="B1330" s="2" t="str">
        <f>IFERROR(__xludf.DUMMYFUNCTION("""COMPUTED_VALUE"""),"rc_ssmartins")</f>
        <v>rc_ssmartins</v>
      </c>
      <c r="C1330" s="2" t="str">
        <f>IFERROR(__xludf.DUMMYFUNCTION("""COMPUTED_VALUE"""),"Sempre na esperança por mais justiça social.
Sempre acreditando que venceremos o fascismo.
Sempre à esquerda. Sempre!")</f>
        <v>Sempre na esperança por mais justiça social.
Sempre acreditando que venceremos o fascismo.
Sempre à esquerda. Sempre!</v>
      </c>
      <c r="D1330" s="2">
        <f>IFERROR(__xludf.DUMMYFUNCTION("""COMPUTED_VALUE"""),1.0028027568273113E-4)</f>
        <v>0.0001002802757</v>
      </c>
      <c r="E1330" s="2" t="str">
        <f>IFERROR(__xludf.DUMMYFUNCTION("""COMPUTED_VALUE"""),"      3.278")</f>
        <v>      3.278</v>
      </c>
    </row>
    <row r="1331">
      <c r="A1331" s="2" t="str">
        <f>IFERROR(__xludf.DUMMYFUNCTION("""COMPUTED_VALUE"""),"Gabriel #RenaissanceWorldTour🪩")</f>
        <v>Gabriel #RenaissanceWorldTour🪩</v>
      </c>
      <c r="B1331" s="2" t="str">
        <f>IFERROR(__xludf.DUMMYFUNCTION("""COMPUTED_VALUE"""),"gabrielbertazzi")</f>
        <v>gabrielbertazzi</v>
      </c>
      <c r="C1331" s="2" t="str">
        <f>IFERROR(__xludf.DUMMYFUNCTION("""COMPUTED_VALUE"""),"Bissexual vegano tatuado com piercing na teta e com a dicção duvidosa e ainda Potterhead (assim sem vírgula) 🇧🇷🇮🇹")</f>
        <v>Bissexual vegano tatuado com piercing na teta e com a dicção duvidosa e ainda Potterhead (assim sem vírgula) 🇧🇷🇮🇹</v>
      </c>
      <c r="D1331" s="2">
        <f>IFERROR(__xludf.DUMMYFUNCTION("""COMPUTED_VALUE"""),1.0028027568273113E-4)</f>
        <v>0.0001002802757</v>
      </c>
      <c r="E1331" s="2" t="str">
        <f>IFERROR(__xludf.DUMMYFUNCTION("""COMPUTED_VALUE"""),"      6.714")</f>
        <v>      6.714</v>
      </c>
    </row>
    <row r="1332">
      <c r="A1332" s="2" t="str">
        <f>IFERROR(__xludf.DUMMYFUNCTION("""COMPUTED_VALUE"""),"Carlos Cabaal FN 🇧🇷🇧🇷🇧🇷")</f>
        <v>Carlos Cabaal FN 🇧🇷🇧🇷🇧🇷</v>
      </c>
      <c r="B1332" s="2" t="str">
        <f>IFERROR(__xludf.DUMMYFUNCTION("""COMPUTED_VALUE"""),"carlosbarbosaa3")</f>
        <v>carlosbarbosaa3</v>
      </c>
      <c r="C1332" s="2" t="str">
        <f>IFERROR(__xludf.DUMMYFUNCTION("""COMPUTED_VALUE"""),"BRASILLLLLL 🇧🇷🇧🇷🇧🇷🇧🇷🇧🇷🇧🇷🇧🇷🇧🇷🇧🇷🇧🇷🇧🇷")</f>
        <v>BRASILLLLLL 🇧🇷🇧🇷🇧🇷🇧🇷🇧🇷🇧🇷🇧🇷🇧🇷🇧🇷🇧🇷🇧🇷</v>
      </c>
      <c r="D1332" s="2">
        <f>IFERROR(__xludf.DUMMYFUNCTION("""COMPUTED_VALUE"""),1.0028027568273113E-4)</f>
        <v>0.0001002802757</v>
      </c>
      <c r="E1332" s="2" t="str">
        <f>IFERROR(__xludf.DUMMYFUNCTION("""COMPUTED_VALUE"""),"      5.721")</f>
        <v>      5.721</v>
      </c>
    </row>
    <row r="1333">
      <c r="A1333" s="2" t="str">
        <f>IFERROR(__xludf.DUMMYFUNCTION("""COMPUTED_VALUE"""),"João Fernandes")</f>
        <v>João Fernandes</v>
      </c>
      <c r="B1333" s="2" t="str">
        <f>IFERROR(__xludf.DUMMYFUNCTION("""COMPUTED_VALUE"""),"joao_pedrof93")</f>
        <v>joao_pedrof93</v>
      </c>
      <c r="C1333" s="2" t="str">
        <f>IFERROR(__xludf.DUMMYFUNCTION("""COMPUTED_VALUE"""),"Sincero, irônico, trabalhador e torcedor do @cruzeiro chato pra c*@!  Curtiu? segue 👊🏻 não curtiu? block é livre 🤷🏻‍♂️ perfil não democrático.")</f>
        <v>Sincero, irônico, trabalhador e torcedor do @cruzeiro chato pra c*@!  Curtiu? segue 👊🏻 não curtiu? block é livre 🤷🏻‍♂️ perfil não democrático.</v>
      </c>
      <c r="D1333" s="2">
        <f>IFERROR(__xludf.DUMMYFUNCTION("""COMPUTED_VALUE"""),1.0028027568273113E-4)</f>
        <v>0.0001002802757</v>
      </c>
      <c r="E1333" s="2" t="str">
        <f>IFERROR(__xludf.DUMMYFUNCTION("""COMPUTED_VALUE"""),"      2.414")</f>
        <v>      2.414</v>
      </c>
    </row>
    <row r="1334">
      <c r="A1334" s="2" t="str">
        <f>IFERROR(__xludf.DUMMYFUNCTION("""COMPUTED_VALUE"""),"Seoade 🇪🇪🇧🇷🚩")</f>
        <v>Seoade 🇪🇪🇧🇷🚩</v>
      </c>
      <c r="B1334" s="2" t="str">
        <f>IFERROR(__xludf.DUMMYFUNCTION("""COMPUTED_VALUE"""),"seoade")</f>
        <v>seoade</v>
      </c>
      <c r="C1334" s="2" t="str">
        <f>IFERROR(__xludf.DUMMYFUNCTION("""COMPUTED_VALUE"""),"🇪🇪Os militantes não vem ao mundo buscar o seu, vem entregar a alma por um punhado de sonhos.(Mujica)")</f>
        <v>🇪🇪Os militantes não vem ao mundo buscar o seu, vem entregar a alma por um punhado de sonhos.(Mujica)</v>
      </c>
      <c r="D1334" s="2">
        <f>IFERROR(__xludf.DUMMYFUNCTION("""COMPUTED_VALUE"""),1.0028027568273113E-4)</f>
        <v>0.0001002802757</v>
      </c>
      <c r="E1334" s="2" t="str">
        <f>IFERROR(__xludf.DUMMYFUNCTION("""COMPUTED_VALUE"""),"     14.312")</f>
        <v>     14.312</v>
      </c>
    </row>
    <row r="1335">
      <c r="A1335" s="2" t="str">
        <f>IFERROR(__xludf.DUMMYFUNCTION("""COMPUTED_VALUE"""),"REDE TUDOW")</f>
        <v>REDE TUDOW</v>
      </c>
      <c r="B1335" s="2" t="str">
        <f>IFERROR(__xludf.DUMMYFUNCTION("""COMPUTED_VALUE"""),"redetudow")</f>
        <v>redetudow</v>
      </c>
      <c r="C1335" s="2" t="str">
        <f>IFERROR(__xludf.DUMMYFUNCTION("""COMPUTED_VALUE"""),"SOMOS UMA STARTUP, com a nossa RÁDIO WEB e  queremos ser uma REDE COMERCIAL, promovendo o LIVRE comercio. Ajude-nos divulgando seu negócio. Chame no privado")</f>
        <v>SOMOS UMA STARTUP, com a nossa RÁDIO WEB e  queremos ser uma REDE COMERCIAL, promovendo o LIVRE comercio. Ajude-nos divulgando seu negócio. Chame no privado</v>
      </c>
      <c r="D1335" s="2">
        <f>IFERROR(__xludf.DUMMYFUNCTION("""COMPUTED_VALUE"""),1.0028027568273113E-4)</f>
        <v>0.0001002802757</v>
      </c>
      <c r="E1335" s="2" t="str">
        <f>IFERROR(__xludf.DUMMYFUNCTION("""COMPUTED_VALUE"""),"      3.664")</f>
        <v>      3.664</v>
      </c>
    </row>
    <row r="1336">
      <c r="A1336" s="2" t="str">
        <f>IFERROR(__xludf.DUMMYFUNCTION("""COMPUTED_VALUE"""),"RoubeiaSEP")</f>
        <v>RoubeiaSEP</v>
      </c>
      <c r="B1336" s="2" t="str">
        <f>IFERROR(__xludf.DUMMYFUNCTION("""COMPUTED_VALUE"""),"roubeiasep2")</f>
        <v>roubeiasep2</v>
      </c>
      <c r="C1336" s="2" t="str">
        <f>IFERROR(__xludf.DUMMYFUNCTION("""COMPUTED_VALUE"""),"Perfil dedicado a lembrar árbitros que de alguma forma mudou historia de partidas ou até campeonatos contra nossa amada Sociedade Esportiva Palmeiras😀")</f>
        <v>Perfil dedicado a lembrar árbitros que de alguma forma mudou historia de partidas ou até campeonatos contra nossa amada Sociedade Esportiva Palmeiras😀</v>
      </c>
      <c r="D1336" s="2">
        <f>IFERROR(__xludf.DUMMYFUNCTION("""COMPUTED_VALUE"""),1.0028027568273113E-4)</f>
        <v>0.0001002802757</v>
      </c>
      <c r="E1336" s="2" t="str">
        <f>IFERROR(__xludf.DUMMYFUNCTION("""COMPUTED_VALUE"""),"     13.870")</f>
        <v>     13.870</v>
      </c>
    </row>
    <row r="1337">
      <c r="A1337" s="2" t="str">
        <f>IFERROR(__xludf.DUMMYFUNCTION("""COMPUTED_VALUE"""),"DR Zaratustra")</f>
        <v>DR Zaratustra</v>
      </c>
      <c r="B1337" s="2" t="str">
        <f>IFERROR(__xludf.DUMMYFUNCTION("""COMPUTED_VALUE"""),"drzaratustra04")</f>
        <v>drzaratustra04</v>
      </c>
      <c r="C1337" s="2" t="str">
        <f>IFERROR(__xludf.DUMMYFUNCTION("""COMPUTED_VALUE"""),"APOSENTADO- Vive na literatura 📘📗📕e na política quando é preciso!")</f>
        <v>APOSENTADO- Vive na literatura 📘📗📕e na política quando é preciso!</v>
      </c>
      <c r="D1337" s="2">
        <f>IFERROR(__xludf.DUMMYFUNCTION("""COMPUTED_VALUE"""),1.0028027568273113E-4)</f>
        <v>0.0001002802757</v>
      </c>
      <c r="E1337" s="2" t="str">
        <f>IFERROR(__xludf.DUMMYFUNCTION("""COMPUTED_VALUE"""),"      6.245")</f>
        <v>      6.245</v>
      </c>
    </row>
    <row r="1338">
      <c r="A1338" s="2" t="str">
        <f>IFERROR(__xludf.DUMMYFUNCTION("""COMPUTED_VALUE"""),"Raquel Mendes #foraBolsonaro🚩🚩 ❤️🇧🇷♥️🏳️❤️")</f>
        <v>Raquel Mendes #foraBolsonaro🚩🚩 ❤️🇧🇷♥️🏳️❤️</v>
      </c>
      <c r="B1338" s="2" t="str">
        <f>IFERROR(__xludf.DUMMYFUNCTION("""COMPUTED_VALUE"""),"raquelm11762963")</f>
        <v>raquelm11762963</v>
      </c>
      <c r="C1338" s="2" t="str">
        <f>IFERROR(__xludf.DUMMYFUNCTION("""COMPUTED_VALUE"""),"só uma  mãe revoltada com tantos abusos do governo ,aprendendo a twittar no confinamento. Meus filhos estão falando que criaram uma militante #forabolsonaro")</f>
        <v>só uma  mãe revoltada com tantos abusos do governo ,aprendendo a twittar no confinamento. Meus filhos estão falando que criaram uma militante #forabolsonaro</v>
      </c>
      <c r="D1338" s="2">
        <f>IFERROR(__xludf.DUMMYFUNCTION("""COMPUTED_VALUE"""),1.0028027568273113E-4)</f>
        <v>0.0001002802757</v>
      </c>
      <c r="E1338" s="2" t="str">
        <f>IFERROR(__xludf.DUMMYFUNCTION("""COMPUTED_VALUE"""),"      4.246")</f>
        <v>      4.246</v>
      </c>
    </row>
    <row r="1339">
      <c r="A1339" s="2" t="str">
        <f>IFERROR(__xludf.DUMMYFUNCTION("""COMPUTED_VALUE"""),"Lu... lá 2022 🚩🇧🇷🇵🇷🚩")</f>
        <v>Lu... lá 2022 🚩🇧🇷🇵🇷🚩</v>
      </c>
      <c r="B1339" s="2" t="str">
        <f>IFERROR(__xludf.DUMMYFUNCTION("""COMPUTED_VALUE"""),"lucelrodrigues")</f>
        <v>lucelrodrigues</v>
      </c>
      <c r="C1339" s="2" t="str">
        <f>IFERROR(__xludf.DUMMYFUNCTION("""COMPUTED_VALUE"""),"Mulher preta esquerdista... aqui é Lula e PT🚩
#LulaPresidente2022")</f>
        <v>Mulher preta esquerdista... aqui é Lula e PT🚩
#LulaPresidente2022</v>
      </c>
      <c r="D1339" s="2">
        <f>IFERROR(__xludf.DUMMYFUNCTION("""COMPUTED_VALUE"""),1.0028027568273113E-4)</f>
        <v>0.0001002802757</v>
      </c>
      <c r="E1339" s="2" t="str">
        <f>IFERROR(__xludf.DUMMYFUNCTION("""COMPUTED_VALUE"""),"      1.856")</f>
        <v>      1.856</v>
      </c>
    </row>
    <row r="1340">
      <c r="A1340" s="2" t="str">
        <f>IFERROR(__xludf.DUMMYFUNCTION("""COMPUTED_VALUE"""),"Marcos De Luca✌🏻🇧🇷🇵🇸🇷🇺🇨🇳🇨🇺🇮🇷🇻🇪")</f>
        <v>Marcos De Luca✌🏻🇧🇷🇵🇸🇷🇺🇨🇳🇨🇺🇮🇷🇻🇪</v>
      </c>
      <c r="B1340" s="2" t="str">
        <f>IFERROR(__xludf.DUMMYFUNCTION("""COMPUTED_VALUE"""),"marcosdeluca3")</f>
        <v>marcosdeluca3</v>
      </c>
      <c r="C1340" s="2" t="str">
        <f>IFERROR(__xludf.DUMMYFUNCTION("""COMPUTED_VALUE"""),"Ativista da Causa Palestina.✌🏻✊🏿🇧🇷🇵🇸🇻🇪🇨🇺🇨🇳🇮🇷🇷🇺")</f>
        <v>Ativista da Causa Palestina.✌🏻✊🏿🇧🇷🇵🇸🇻🇪🇨🇺🇨🇳🇮🇷🇷🇺</v>
      </c>
      <c r="D1340" s="2">
        <f>IFERROR(__xludf.DUMMYFUNCTION("""COMPUTED_VALUE"""),1.0028027568273113E-4)</f>
        <v>0.0001002802757</v>
      </c>
      <c r="E1340" s="2" t="str">
        <f>IFERROR(__xludf.DUMMYFUNCTION("""COMPUTED_VALUE"""),"      2.021")</f>
        <v>      2.021</v>
      </c>
    </row>
    <row r="1341">
      <c r="A1341" s="2" t="str">
        <f>IFERROR(__xludf.DUMMYFUNCTION("""COMPUTED_VALUE"""),"Observador")</f>
        <v>Observador</v>
      </c>
      <c r="B1341" s="2" t="str">
        <f>IFERROR(__xludf.DUMMYFUNCTION("""COMPUTED_VALUE"""),"democraciasempr")</f>
        <v>democraciasempr</v>
      </c>
      <c r="C1341" s="2" t="str">
        <f>IFERROR(__xludf.DUMMYFUNCTION("""COMPUTED_VALUE"""),"Contra a manipulação midiática e sobre as verdades que eles escondem.")</f>
        <v>Contra a manipulação midiática e sobre as verdades que eles escondem.</v>
      </c>
      <c r="D1341" s="2">
        <f>IFERROR(__xludf.DUMMYFUNCTION("""COMPUTED_VALUE"""),1.0028027568273113E-4)</f>
        <v>0.0001002802757</v>
      </c>
      <c r="E1341" s="2" t="str">
        <f>IFERROR(__xludf.DUMMYFUNCTION("""COMPUTED_VALUE"""),"      3.174")</f>
        <v>      3.174</v>
      </c>
    </row>
    <row r="1342">
      <c r="A1342" s="2" t="str">
        <f>IFERROR(__xludf.DUMMYFUNCTION("""COMPUTED_VALUE"""),"GERALDO DIMAS")</f>
        <v>GERALDO DIMAS</v>
      </c>
      <c r="B1342" s="2" t="str">
        <f>IFERROR(__xludf.DUMMYFUNCTION("""COMPUTED_VALUE"""),"geraldodimas60")</f>
        <v>geraldodimas60</v>
      </c>
      <c r="C1342" s="2" t="str">
        <f>IFERROR(__xludf.DUMMYFUNCTION("""COMPUTED_VALUE"""),"Casado com Conceição, antifascista, católico, economiário e jornalista aposentado. Botafoguense, avô, pai , amo minha família e amigos. Gado aqui NÃO!")</f>
        <v>Casado com Conceição, antifascista, católico, economiário e jornalista aposentado. Botafoguense, avô, pai , amo minha família e amigos. Gado aqui NÃO!</v>
      </c>
      <c r="D1342" s="2">
        <f>IFERROR(__xludf.DUMMYFUNCTION("""COMPUTED_VALUE"""),1.0028027568273113E-4)</f>
        <v>0.0001002802757</v>
      </c>
      <c r="E1342" s="2" t="str">
        <f>IFERROR(__xludf.DUMMYFUNCTION("""COMPUTED_VALUE"""),"      2.563")</f>
        <v>      2.563</v>
      </c>
    </row>
    <row r="1343">
      <c r="A1343" s="2" t="str">
        <f>IFERROR(__xludf.DUMMYFUNCTION("""COMPUTED_VALUE"""),"Wander Gonçalves")</f>
        <v>Wander Gonçalves</v>
      </c>
      <c r="B1343" s="2" t="str">
        <f>IFERROR(__xludf.DUMMYFUNCTION("""COMPUTED_VALUE"""),"wandersfc")</f>
        <v>wandersfc</v>
      </c>
      <c r="C1343" s="2" t="str">
        <f>IFERROR(__xludf.DUMMYFUNCTION("""COMPUTED_VALUE"""),"Amo minha Família  e o SantosFC")</f>
        <v>Amo minha Família  e o SantosFC</v>
      </c>
      <c r="D1343" s="2">
        <f>IFERROR(__xludf.DUMMYFUNCTION("""COMPUTED_VALUE"""),1.0028027568273113E-4)</f>
        <v>0.0001002802757</v>
      </c>
      <c r="E1343" s="2" t="str">
        <f>IFERROR(__xludf.DUMMYFUNCTION("""COMPUTED_VALUE"""),"      7.971")</f>
        <v>      7.971</v>
      </c>
    </row>
    <row r="1344">
      <c r="A1344" s="2" t="str">
        <f>IFERROR(__xludf.DUMMYFUNCTION("""COMPUTED_VALUE"""),"Cristina LULA da Silva🚩")</f>
        <v>Cristina LULA da Silva🚩</v>
      </c>
      <c r="B1344" s="2" t="str">
        <f>IFERROR(__xludf.DUMMYFUNCTION("""COMPUTED_VALUE"""),"cricamg")</f>
        <v>cricamg</v>
      </c>
      <c r="C1344" s="2" t="str">
        <f>IFERROR(__xludf.DUMMYFUNCTION("""COMPUTED_VALUE"""),"Lulista. Dilmista.
Resistência.
Filiada ao PT.
Informo: Não leio, não envio e não respondo DM.")</f>
        <v>Lulista. Dilmista.
Resistência.
Filiada ao PT.
Informo: Não leio, não envio e não respondo DM.</v>
      </c>
      <c r="D1344" s="2">
        <f>IFERROR(__xludf.DUMMYFUNCTION("""COMPUTED_VALUE"""),1.0028027568273113E-4)</f>
        <v>0.0001002802757</v>
      </c>
      <c r="E1344" s="2" t="str">
        <f>IFERROR(__xludf.DUMMYFUNCTION("""COMPUTED_VALUE"""),"     11.972")</f>
        <v>     11.972</v>
      </c>
    </row>
    <row r="1345">
      <c r="A1345" s="2" t="str">
        <f>IFERROR(__xludf.DUMMYFUNCTION("""COMPUTED_VALUE"""),"Jacinta Fontenele")</f>
        <v>Jacinta Fontenele</v>
      </c>
      <c r="B1345" s="2" t="str">
        <f>IFERROR(__xludf.DUMMYFUNCTION("""COMPUTED_VALUE"""),"jacintafontene1")</f>
        <v>jacintafontene1</v>
      </c>
      <c r="C1345" s="2" t="str">
        <f>IFERROR(__xludf.DUMMYFUNCTION("""COMPUTED_VALUE"""),"Mãe, Avó, Nordestina,Petista🇧🇷🚩🐙
Antes de tudo FÉ, depois de tudo GRATIDÃO 🙏🎋
praticante de Tai Chi, caminhada.")</f>
        <v>Mãe, Avó, Nordestina,Petista🇧🇷🚩🐙
Antes de tudo FÉ, depois de tudo GRATIDÃO 🙏🎋
praticante de Tai Chi, caminhada.</v>
      </c>
      <c r="D1345" s="2">
        <f>IFERROR(__xludf.DUMMYFUNCTION("""COMPUTED_VALUE"""),1.0028027568273113E-4)</f>
        <v>0.0001002802757</v>
      </c>
      <c r="E1345" s="2" t="str">
        <f>IFERROR(__xludf.DUMMYFUNCTION("""COMPUTED_VALUE"""),"      3.164")</f>
        <v>      3.164</v>
      </c>
    </row>
    <row r="1346">
      <c r="A1346" s="2" t="str">
        <f>IFERROR(__xludf.DUMMYFUNCTION("""COMPUTED_VALUE"""),"Jacome")</f>
        <v>Jacome</v>
      </c>
      <c r="B1346" s="2" t="str">
        <f>IFERROR(__xludf.DUMMYFUNCTION("""COMPUTED_VALUE"""),"jacome72439256")</f>
        <v>jacome72439256</v>
      </c>
      <c r="C1346" s="2" t="str">
        <f>IFERROR(__xludf.DUMMYFUNCTION("""COMPUTED_VALUE"""),"bandeira do Brasil")</f>
        <v>bandeira do Brasil</v>
      </c>
      <c r="D1346" s="2">
        <f>IFERROR(__xludf.DUMMYFUNCTION("""COMPUTED_VALUE"""),1.0028027568273113E-4)</f>
        <v>0.0001002802757</v>
      </c>
      <c r="E1346" s="2" t="str">
        <f>IFERROR(__xludf.DUMMYFUNCTION("""COMPUTED_VALUE"""),"      1.532")</f>
        <v>      1.532</v>
      </c>
    </row>
    <row r="1347">
      <c r="A1347" s="2" t="str">
        <f>IFERROR(__xludf.DUMMYFUNCTION("""COMPUTED_VALUE"""),"mauro")</f>
        <v>mauro</v>
      </c>
      <c r="B1347" s="2" t="str">
        <f>IFERROR(__xludf.DUMMYFUNCTION("""COMPUTED_VALUE"""),"heymaurinho")</f>
        <v>heymaurinho</v>
      </c>
      <c r="C1347" s="2" t="str">
        <f>IFERROR(__xludf.DUMMYFUNCTION("""COMPUTED_VALUE"""),"calado vence, porém não sei ficar calado. SW-4345-9473-5511")</f>
        <v>calado vence, porém não sei ficar calado. SW-4345-9473-5511</v>
      </c>
      <c r="D1347" s="2">
        <f>IFERROR(__xludf.DUMMYFUNCTION("""COMPUTED_VALUE"""),1.0028027568273113E-4)</f>
        <v>0.0001002802757</v>
      </c>
      <c r="E1347" s="2" t="str">
        <f>IFERROR(__xludf.DUMMYFUNCTION("""COMPUTED_VALUE"""),"     14.002")</f>
        <v>     14.002</v>
      </c>
    </row>
    <row r="1348">
      <c r="A1348" s="2" t="str">
        <f>IFERROR(__xludf.DUMMYFUNCTION("""COMPUTED_VALUE"""),"L. N. A.")</f>
        <v>L. N. A.</v>
      </c>
      <c r="B1348" s="2" t="str">
        <f>IFERROR(__xludf.DUMMYFUNCTION("""COMPUTED_VALUE"""),"luigif97101292")</f>
        <v>luigif97101292</v>
      </c>
      <c r="C1348" s="2" t="str">
        <f>IFERROR(__xludf.DUMMYFUNCTION("""COMPUTED_VALUE"""),"Combattere il Partito Unico Europeista.
CONTANTE LIBERO.
Stop buonismo e gender.
NO IUS SOLI.
Membro della Lega Nazionale Anti-Ue.
https://t.co/S8WIMIyATT")</f>
        <v>Combattere il Partito Unico Europeista.
CONTANTE LIBERO.
Stop buonismo e gender.
NO IUS SOLI.
Membro della Lega Nazionale Anti-Ue.
https://t.co/S8WIMIyATT</v>
      </c>
      <c r="D1348" s="2">
        <f>IFERROR(__xludf.DUMMYFUNCTION("""COMPUTED_VALUE"""),1.0028027568273113E-4)</f>
        <v>0.0001002802757</v>
      </c>
      <c r="E1348" s="2" t="str">
        <f>IFERROR(__xludf.DUMMYFUNCTION("""COMPUTED_VALUE"""),"      1.012")</f>
        <v>      1.012</v>
      </c>
    </row>
    <row r="1349">
      <c r="A1349" s="2" t="str">
        <f>IFERROR(__xludf.DUMMYFUNCTION("""COMPUTED_VALUE"""),"MK 🇳🇱")</f>
        <v>MK 🇳🇱</v>
      </c>
      <c r="B1349" s="2" t="str">
        <f>IFERROR(__xludf.DUMMYFUNCTION("""COMPUTED_VALUE"""),"thugmk")</f>
        <v>thugmk</v>
      </c>
      <c r="C1349" s="2" t="str">
        <f>IFERROR(__xludf.DUMMYFUNCTION("""COMPUTED_VALUE"""),"Um alguém em algum lugar querendo ser alguma coisa.")</f>
        <v>Um alguém em algum lugar querendo ser alguma coisa.</v>
      </c>
      <c r="D1349" s="2">
        <f>IFERROR(__xludf.DUMMYFUNCTION("""COMPUTED_VALUE"""),1.0028027568273113E-4)</f>
        <v>0.0001002802757</v>
      </c>
      <c r="E1349" s="2" t="str">
        <f>IFERROR(__xludf.DUMMYFUNCTION("""COMPUTED_VALUE"""),"      1.616")</f>
        <v>      1.616</v>
      </c>
    </row>
    <row r="1350">
      <c r="A1350" s="2" t="str">
        <f>IFERROR(__xludf.DUMMYFUNCTION("""COMPUTED_VALUE"""),"adi")</f>
        <v>adi</v>
      </c>
      <c r="B1350" s="2" t="str">
        <f>IFERROR(__xludf.DUMMYFUNCTION("""COMPUTED_VALUE"""),"adilsongarcia01")</f>
        <v>adilsongarcia01</v>
      </c>
      <c r="C1350" s="2" t="str">
        <f>IFERROR(__xludf.DUMMYFUNCTION("""COMPUTED_VALUE"""),"Educa e transformarás a irracionalidade em inteligência, a inteligência em humanidade e a humanidade em angelitude — diz Emmanuel.")</f>
        <v>Educa e transformarás a irracionalidade em inteligência, a inteligência em humanidade e a humanidade em angelitude — diz Emmanuel.</v>
      </c>
      <c r="D1350" s="2">
        <f>IFERROR(__xludf.DUMMYFUNCTION("""COMPUTED_VALUE"""),1.0028027568273113E-4)</f>
        <v>0.0001002802757</v>
      </c>
      <c r="E1350" s="2" t="str">
        <f>IFERROR(__xludf.DUMMYFUNCTION("""COMPUTED_VALUE"""),"      2.958")</f>
        <v>      2.958</v>
      </c>
    </row>
    <row r="1351">
      <c r="A1351" s="2" t="str">
        <f>IFERROR(__xludf.DUMMYFUNCTION("""COMPUTED_VALUE"""),"Alexandre Pepe Xandy")</f>
        <v>Alexandre Pepe Xandy</v>
      </c>
      <c r="B1351" s="2" t="str">
        <f>IFERROR(__xludf.DUMMYFUNCTION("""COMPUTED_VALUE"""),"blogdopepe")</f>
        <v>blogdopepe</v>
      </c>
      <c r="C1351" s="2" t="str">
        <f>IFERROR(__xludf.DUMMYFUNCTION("""COMPUTED_VALUE"""),"Gosto de Música , Teatro e Cinema...
Especializado em ARTES GRÁFICAS, praticante de MUAY THAI,.Pai de Stephanie Regina... fã de Chaplin ,Raul Seixas e Bob Dylan")</f>
        <v>Gosto de Música , Teatro e Cinema...
Especializado em ARTES GRÁFICAS, praticante de MUAY THAI,.Pai de Stephanie Regina... fã de Chaplin ,Raul Seixas e Bob Dylan</v>
      </c>
      <c r="D1351" s="2">
        <f>IFERROR(__xludf.DUMMYFUNCTION("""COMPUTED_VALUE"""),1.0028027568273113E-4)</f>
        <v>0.0001002802757</v>
      </c>
      <c r="E1351" s="2" t="str">
        <f>IFERROR(__xludf.DUMMYFUNCTION("""COMPUTED_VALUE"""),"     21.677")</f>
        <v>     21.677</v>
      </c>
    </row>
    <row r="1352">
      <c r="A1352" s="2" t="str">
        <f>IFERROR(__xludf.DUMMYFUNCTION("""COMPUTED_VALUE"""),"Selma")</f>
        <v>Selma</v>
      </c>
      <c r="B1352" s="2" t="str">
        <f>IFERROR(__xludf.DUMMYFUNCTION("""COMPUTED_VALUE"""),"peres_raymundo")</f>
        <v>peres_raymundo</v>
      </c>
      <c r="C1352" s="2"/>
      <c r="D1352" s="2">
        <f>IFERROR(__xludf.DUMMYFUNCTION("""COMPUTED_VALUE"""),1.0028027568273113E-4)</f>
        <v>0.0001002802757</v>
      </c>
      <c r="E1352" s="2" t="str">
        <f>IFERROR(__xludf.DUMMYFUNCTION("""COMPUTED_VALUE"""),"      1.738")</f>
        <v>      1.738</v>
      </c>
    </row>
    <row r="1353">
      <c r="A1353" s="2" t="str">
        <f>IFERROR(__xludf.DUMMYFUNCTION("""COMPUTED_VALUE"""),"Fabinho")</f>
        <v>Fabinho</v>
      </c>
      <c r="B1353" s="2" t="str">
        <f>IFERROR(__xludf.DUMMYFUNCTION("""COMPUTED_VALUE"""),"fabinho_silver")</f>
        <v>fabinho_silver</v>
      </c>
      <c r="C1353" s="2" t="str">
        <f>IFERROR(__xludf.DUMMYFUNCTION("""COMPUTED_VALUE"""),"Deus Pátria Família Liberdade Armamentista Politicamente incorreto SDV  Anti comunismo/socialismo 
Sigam me os BONS !!!")</f>
        <v>Deus Pátria Família Liberdade Armamentista Politicamente incorreto SDV  Anti comunismo/socialismo 
Sigam me os BONS !!!</v>
      </c>
      <c r="D1353" s="2">
        <f>IFERROR(__xludf.DUMMYFUNCTION("""COMPUTED_VALUE"""),1.0028027568273113E-4)</f>
        <v>0.0001002802757</v>
      </c>
      <c r="E1353" s="2" t="str">
        <f>IFERROR(__xludf.DUMMYFUNCTION("""COMPUTED_VALUE"""),"      2.422")</f>
        <v>      2.422</v>
      </c>
    </row>
    <row r="1354">
      <c r="A1354" s="2" t="str">
        <f>IFERROR(__xludf.DUMMYFUNCTION("""COMPUTED_VALUE"""),"Jaderson Magalhães 13🚩🚩🚩")</f>
        <v>Jaderson Magalhães 13🚩🚩🚩</v>
      </c>
      <c r="B1354" s="2" t="str">
        <f>IFERROR(__xludf.DUMMYFUNCTION("""COMPUTED_VALUE"""),"jadersonmg")</f>
        <v>jadersonmg</v>
      </c>
      <c r="C1354" s="2" t="str">
        <f>IFERROR(__xludf.DUMMYFUNCTION("""COMPUTED_VALUE"""),"Pobre de esquerda, casado, uma filha, torneiro mecânico. Trabalhador não vota em patrão,
Lula presidente 2023!!!!!")</f>
        <v>Pobre de esquerda, casado, uma filha, torneiro mecânico. Trabalhador não vota em patrão,
Lula presidente 2023!!!!!</v>
      </c>
      <c r="D1354" s="2">
        <f>IFERROR(__xludf.DUMMYFUNCTION("""COMPUTED_VALUE"""),1.0028027568273113E-4)</f>
        <v>0.0001002802757</v>
      </c>
      <c r="E1354" s="2" t="str">
        <f>IFERROR(__xludf.DUMMYFUNCTION("""COMPUTED_VALUE"""),"      8.852")</f>
        <v>      8.852</v>
      </c>
    </row>
    <row r="1355">
      <c r="A1355" s="2" t="str">
        <f>IFERROR(__xludf.DUMMYFUNCTION("""COMPUTED_VALUE"""),"Primavera Silenciosa 🆘️ 🇧🇷")</f>
        <v>Primavera Silenciosa 🆘️ 🇧🇷</v>
      </c>
      <c r="B1355" s="2" t="str">
        <f>IFERROR(__xludf.DUMMYFUNCTION("""COMPUTED_VALUE"""),"primasilenciosa")</f>
        <v>primasilenciosa</v>
      </c>
      <c r="C1355" s="2" t="str">
        <f>IFERROR(__xludf.DUMMYFUNCTION("""COMPUTED_VALUE"""),"Luto Pela Democracia")</f>
        <v>Luto Pela Democracia</v>
      </c>
      <c r="D1355" s="2">
        <f>IFERROR(__xludf.DUMMYFUNCTION("""COMPUTED_VALUE"""),1.0028027568273113E-4)</f>
        <v>0.0001002802757</v>
      </c>
      <c r="E1355" s="2" t="str">
        <f>IFERROR(__xludf.DUMMYFUNCTION("""COMPUTED_VALUE"""),"      1.388")</f>
        <v>      1.388</v>
      </c>
    </row>
    <row r="1356">
      <c r="A1356" s="2" t="str">
        <f>IFERROR(__xludf.DUMMYFUNCTION("""COMPUTED_VALUE"""),"Andrea A.")</f>
        <v>Andrea A.</v>
      </c>
      <c r="B1356" s="2" t="str">
        <f>IFERROR(__xludf.DUMMYFUNCTION("""COMPUTED_VALUE"""),"andreaj0103")</f>
        <v>andreaj0103</v>
      </c>
      <c r="C1356" s="2" t="str">
        <f>IFERROR(__xludf.DUMMYFUNCTION("""COMPUTED_VALUE"""),"You know what's the reason for my smile every day @JensenAckles? The first word of this sentence. 
⚠️ Please don't send me photo, gif, sites or video.")</f>
        <v>You know what's the reason for my smile every day @JensenAckles? The first word of this sentence. 
⚠️ Please don't send me photo, gif, sites or video.</v>
      </c>
      <c r="D1356" s="2">
        <f>IFERROR(__xludf.DUMMYFUNCTION("""COMPUTED_VALUE"""),1.0028027568273113E-4)</f>
        <v>0.0001002802757</v>
      </c>
      <c r="E1356" s="2" t="str">
        <f>IFERROR(__xludf.DUMMYFUNCTION("""COMPUTED_VALUE"""),"      9.096")</f>
        <v>      9.096</v>
      </c>
    </row>
    <row r="1357">
      <c r="A1357" s="2" t="str">
        <f>IFERROR(__xludf.DUMMYFUNCTION("""COMPUTED_VALUE"""),"Zélia")</f>
        <v>Zélia</v>
      </c>
      <c r="B1357" s="2" t="str">
        <f>IFERROR(__xludf.DUMMYFUNCTION("""COMPUTED_VALUE"""),"zlia32562193")</f>
        <v>zlia32562193</v>
      </c>
      <c r="C1357" s="2"/>
      <c r="D1357" s="2">
        <f>IFERROR(__xludf.DUMMYFUNCTION("""COMPUTED_VALUE"""),1.0028027568273113E-4)</f>
        <v>0.0001002802757</v>
      </c>
      <c r="E1357" s="2" t="str">
        <f>IFERROR(__xludf.DUMMYFUNCTION("""COMPUTED_VALUE"""),"      9.825")</f>
        <v>      9.825</v>
      </c>
    </row>
    <row r="1358">
      <c r="A1358" s="2" t="str">
        <f>IFERROR(__xludf.DUMMYFUNCTION("""COMPUTED_VALUE"""),"Nuno Sancha")</f>
        <v>Nuno Sancha</v>
      </c>
      <c r="B1358" s="2" t="str">
        <f>IFERROR(__xludf.DUMMYFUNCTION("""COMPUTED_VALUE"""),"nunosancha")</f>
        <v>nunosancha</v>
      </c>
      <c r="C1358" s="2" t="str">
        <f>IFERROR(__xludf.DUMMYFUNCTION("""COMPUTED_VALUE"""),"From a $0 marketing budget at a Wine Store in Cabo Verde to a marketer at https://t.co/4tD7GEXNqF. Avid reader, and aspiring writer. Former https://t.co/DMEfJDHnLl")</f>
        <v>From a $0 marketing budget at a Wine Store in Cabo Verde to a marketer at https://t.co/4tD7GEXNqF. Avid reader, and aspiring writer. Former https://t.co/DMEfJDHnLl</v>
      </c>
      <c r="D1358" s="2">
        <f>IFERROR(__xludf.DUMMYFUNCTION("""COMPUTED_VALUE"""),1.0028027568273113E-4)</f>
        <v>0.0001002802757</v>
      </c>
      <c r="E1358" s="2" t="str">
        <f>IFERROR(__xludf.DUMMYFUNCTION("""COMPUTED_VALUE"""),"      1.149")</f>
        <v>      1.149</v>
      </c>
    </row>
    <row r="1359">
      <c r="A1359" s="2" t="str">
        <f>IFERROR(__xludf.DUMMYFUNCTION("""COMPUTED_VALUE"""),"JR DA FAZ O P")</f>
        <v>JR DA FAZ O P</v>
      </c>
      <c r="B1359" s="2" t="str">
        <f>IFERROR(__xludf.DUMMYFUNCTION("""COMPUTED_VALUE"""),"pain_jr333")</f>
        <v>pain_jr333</v>
      </c>
      <c r="C1359" s="2" t="str">
        <f>IFERROR(__xludf.DUMMYFUNCTION("""COMPUTED_VALUE"""),"👨‍💻 Analista da @torcidafazop
faz o p e ela na mente
faço uns dados ai😴😴")</f>
        <v>👨‍💻 Analista da @torcidafazop
faz o p e ela na mente
faço uns dados ai😴😴</v>
      </c>
      <c r="D1359" s="2">
        <f>IFERROR(__xludf.DUMMYFUNCTION("""COMPUTED_VALUE"""),1.0028027568273113E-4)</f>
        <v>0.0001002802757</v>
      </c>
      <c r="E1359" s="2" t="str">
        <f>IFERROR(__xludf.DUMMYFUNCTION("""COMPUTED_VALUE"""),"      2.133")</f>
        <v>      2.133</v>
      </c>
    </row>
    <row r="1360">
      <c r="A1360" s="2" t="str">
        <f>IFERROR(__xludf.DUMMYFUNCTION("""COMPUTED_VALUE"""),"Maria Angélica O. N.")</f>
        <v>Maria Angélica O. N.</v>
      </c>
      <c r="B1360" s="2" t="str">
        <f>IFERROR(__xludf.DUMMYFUNCTION("""COMPUTED_VALUE"""),"timao_p_sempre")</f>
        <v>timao_p_sempre</v>
      </c>
      <c r="C1360" s="2" t="str">
        <f>IFERROR(__xludf.DUMMYFUNCTION("""COMPUTED_VALUE"""),"Maria Angélica de Oliveira Nascimento, nascida em 1941. Primeira corinthiana de uma família de palmeirenses e sãopaulinos. Maloqueira, sofredora, graças a Deus.")</f>
        <v>Maria Angélica de Oliveira Nascimento, nascida em 1941. Primeira corinthiana de uma família de palmeirenses e sãopaulinos. Maloqueira, sofredora, graças a Deus.</v>
      </c>
      <c r="D1360" s="2">
        <f>IFERROR(__xludf.DUMMYFUNCTION("""COMPUTED_VALUE"""),1.0028027568273113E-4)</f>
        <v>0.0001002802757</v>
      </c>
      <c r="E1360" s="2" t="str">
        <f>IFERROR(__xludf.DUMMYFUNCTION("""COMPUTED_VALUE"""),"      4.379")</f>
        <v>      4.379</v>
      </c>
    </row>
    <row r="1361">
      <c r="A1361" s="2" t="str">
        <f>IFERROR(__xludf.DUMMYFUNCTION("""COMPUTED_VALUE"""),"Amalia mas")</f>
        <v>Amalia mas</v>
      </c>
      <c r="B1361" s="2" t="str">
        <f>IFERROR(__xludf.DUMMYFUNCTION("""COMPUTED_VALUE"""),"amaliamas")</f>
        <v>amaliamas</v>
      </c>
      <c r="C1361" s="2" t="str">
        <f>IFERROR(__xludf.DUMMYFUNCTION("""COMPUTED_VALUE"""),"Deus ... Pátria e Família 🙏🏻🙏🏻🙏🏻")</f>
        <v>Deus ... Pátria e Família 🙏🏻🙏🏻🙏🏻</v>
      </c>
      <c r="D1361" s="2">
        <f>IFERROR(__xludf.DUMMYFUNCTION("""COMPUTED_VALUE"""),1.0028027568273113E-4)</f>
        <v>0.0001002802757</v>
      </c>
      <c r="E1361" s="2" t="str">
        <f>IFERROR(__xludf.DUMMYFUNCTION("""COMPUTED_VALUE"""),"      3.507")</f>
        <v>      3.507</v>
      </c>
    </row>
    <row r="1362">
      <c r="A1362" s="2" t="str">
        <f>IFERROR(__xludf.DUMMYFUNCTION("""COMPUTED_VALUE"""),"Rosangela LULA de Lima✊🏼 🚩")</f>
        <v>Rosangela LULA de Lima✊🏼 🚩</v>
      </c>
      <c r="B1362" s="2" t="str">
        <f>IFERROR(__xludf.DUMMYFUNCTION("""COMPUTED_VALUE"""),"janjalima")</f>
        <v>janjalima</v>
      </c>
      <c r="C1362" s="2" t="str">
        <f>IFERROR(__xludf.DUMMYFUNCTION("""COMPUTED_VALUE"""),"Sempre em frente ... se não der, enfrente! #EsquerdistaSegueEsquerdista!")</f>
        <v>Sempre em frente ... se não der, enfrente! #EsquerdistaSegueEsquerdista!</v>
      </c>
      <c r="D1362" s="2">
        <f>IFERROR(__xludf.DUMMYFUNCTION("""COMPUTED_VALUE"""),1.0028027568273113E-4)</f>
        <v>0.0001002802757</v>
      </c>
      <c r="E1362" s="2" t="str">
        <f>IFERROR(__xludf.DUMMYFUNCTION("""COMPUTED_VALUE"""),"      1.863")</f>
        <v>      1.863</v>
      </c>
    </row>
    <row r="1363">
      <c r="A1363" s="2" t="str">
        <f>IFERROR(__xludf.DUMMYFUNCTION("""COMPUTED_VALUE"""),"Saskia")</f>
        <v>Saskia</v>
      </c>
      <c r="B1363" s="2" t="str">
        <f>IFERROR(__xludf.DUMMYFUNCTION("""COMPUTED_VALUE"""),"saskiasfv")</f>
        <v>saskiasfv</v>
      </c>
      <c r="C1363" s="2" t="str">
        <f>IFERROR(__xludf.DUMMYFUNCTION("""COMPUTED_VALUE"""),"completamente apaixonada pelo @Cruzeiro")</f>
        <v>completamente apaixonada pelo @Cruzeiro</v>
      </c>
      <c r="D1363" s="2">
        <f>IFERROR(__xludf.DUMMYFUNCTION("""COMPUTED_VALUE"""),1.0028027568273113E-4)</f>
        <v>0.0001002802757</v>
      </c>
      <c r="E1363" s="2" t="str">
        <f>IFERROR(__xludf.DUMMYFUNCTION("""COMPUTED_VALUE"""),"      1.364")</f>
        <v>      1.364</v>
      </c>
    </row>
    <row r="1364">
      <c r="A1364" s="2" t="str">
        <f>IFERROR(__xludf.DUMMYFUNCTION("""COMPUTED_VALUE"""),"Célio Alves")</f>
        <v>Célio Alves</v>
      </c>
      <c r="B1364" s="2" t="str">
        <f>IFERROR(__xludf.DUMMYFUNCTION("""COMPUTED_VALUE"""),"celioalvespb")</f>
        <v>celioalvespb</v>
      </c>
      <c r="C1364" s="2" t="str">
        <f>IFERROR(__xludf.DUMMYFUNCTION("""COMPUTED_VALUE"""),"⚖️ Advogado, radialista, jornalista, ex-secretário de Estado, apreciador de fotografia, música, poesia, gastronomia, vinho, livros, animais e natureza.")</f>
        <v>⚖️ Advogado, radialista, jornalista, ex-secretário de Estado, apreciador de fotografia, música, poesia, gastronomia, vinho, livros, animais e natureza.</v>
      </c>
      <c r="D1364" s="2">
        <f>IFERROR(__xludf.DUMMYFUNCTION("""COMPUTED_VALUE"""),1.0028027568273113E-4)</f>
        <v>0.0001002802757</v>
      </c>
      <c r="E1364" s="2" t="str">
        <f>IFERROR(__xludf.DUMMYFUNCTION("""COMPUTED_VALUE"""),"      7.051")</f>
        <v>      7.051</v>
      </c>
    </row>
    <row r="1365">
      <c r="A1365" s="2" t="str">
        <f>IFERROR(__xludf.DUMMYFUNCTION("""COMPUTED_VALUE"""),"Didi 13rasiL✊🏼📖")</f>
        <v>Didi 13rasiL✊🏼📖</v>
      </c>
      <c r="B1365" s="2" t="str">
        <f>IFERROR(__xludf.DUMMYFUNCTION("""COMPUTED_VALUE"""),"didi_livre")</f>
        <v>didi_livre</v>
      </c>
      <c r="C1365" s="2" t="str">
        <f>IFERROR(__xludf.DUMMYFUNCTION("""COMPUTED_VALUE"""),"Brasil, Rio e risos
em construção.
Detalhista, jamais reducionista,
sempre abrangente!!!")</f>
        <v>Brasil, Rio e risos
em construção.
Detalhista, jamais reducionista,
sempre abrangente!!!</v>
      </c>
      <c r="D1365" s="2">
        <f>IFERROR(__xludf.DUMMYFUNCTION("""COMPUTED_VALUE"""),1.0028027568273113E-4)</f>
        <v>0.0001002802757</v>
      </c>
      <c r="E1365" s="2" t="str">
        <f>IFERROR(__xludf.DUMMYFUNCTION("""COMPUTED_VALUE"""),"      2.065")</f>
        <v>      2.065</v>
      </c>
    </row>
    <row r="1366">
      <c r="A1366" s="2" t="str">
        <f>IFERROR(__xludf.DUMMYFUNCTION("""COMPUTED_VALUE"""),"VR.Milor")</f>
        <v>VR.Milor</v>
      </c>
      <c r="B1366" s="2" t="str">
        <f>IFERROR(__xludf.DUMMYFUNCTION("""COMPUTED_VALUE"""),"brdavanuza")</f>
        <v>brdavanuza</v>
      </c>
      <c r="C1366" s="2"/>
      <c r="D1366" s="2">
        <f>IFERROR(__xludf.DUMMYFUNCTION("""COMPUTED_VALUE"""),1.0028027568273113E-4)</f>
        <v>0.0001002802757</v>
      </c>
      <c r="E1366" s="2" t="str">
        <f>IFERROR(__xludf.DUMMYFUNCTION("""COMPUTED_VALUE"""),"      1.226")</f>
        <v>      1.226</v>
      </c>
    </row>
    <row r="1367">
      <c r="A1367" s="2" t="str">
        <f>IFERROR(__xludf.DUMMYFUNCTION("""COMPUTED_VALUE"""),"Lorenzo González Ferrer")</f>
        <v>Lorenzo González Ferrer</v>
      </c>
      <c r="B1367" s="2" t="str">
        <f>IFERROR(__xludf.DUMMYFUNCTION("""COMPUTED_VALUE"""),"lorenzodcuba")</f>
        <v>lorenzodcuba</v>
      </c>
      <c r="C1367" s="2" t="str">
        <f>IFERROR(__xludf.DUMMYFUNCTION("""COMPUTED_VALUE"""),"Militante orgulloso de la UJC de Cuba 🇨🇺♥️💯 sígueme y te sigo... 👍")</f>
        <v>Militante orgulloso de la UJC de Cuba 🇨🇺♥️💯 sígueme y te sigo... 👍</v>
      </c>
      <c r="D1367" s="2">
        <f>IFERROR(__xludf.DUMMYFUNCTION("""COMPUTED_VALUE"""),1.0028027568273113E-4)</f>
        <v>0.0001002802757</v>
      </c>
      <c r="E1367" s="2" t="str">
        <f>IFERROR(__xludf.DUMMYFUNCTION("""COMPUTED_VALUE"""),"      1.367")</f>
        <v>      1.367</v>
      </c>
    </row>
    <row r="1368">
      <c r="A1368" s="2" t="str">
        <f>IFERROR(__xludf.DUMMYFUNCTION("""COMPUTED_VALUE"""),"•Susyyy 🏎️")</f>
        <v>•Susyyy 🏎️</v>
      </c>
      <c r="B1368" s="2" t="str">
        <f>IFERROR(__xludf.DUMMYFUNCTION("""COMPUTED_VALUE"""),"lasusyy16")</f>
        <v>lasusyy16</v>
      </c>
      <c r="C1368" s="2" t="str">
        <f>IFERROR(__xludf.DUMMYFUNCTION("""COMPUTED_VALUE"""),"Student 🩺✨, competitive swimmer 🏊🏻‍♀️🫀. ferrarista 🏎️❤️ juventina 🤍🖤 CL¹⁶• FC⁷. Love travel 🌇🧡")</f>
        <v>Student 🩺✨, competitive swimmer 🏊🏻‍♀️🫀. ferrarista 🏎️❤️ juventina 🤍🖤 CL¹⁶• FC⁷. Love travel 🌇🧡</v>
      </c>
      <c r="D1368" s="2">
        <f>IFERROR(__xludf.DUMMYFUNCTION("""COMPUTED_VALUE"""),1.0028027568273113E-4)</f>
        <v>0.0001002802757</v>
      </c>
      <c r="E1368" s="2" t="str">
        <f>IFERROR(__xludf.DUMMYFUNCTION("""COMPUTED_VALUE"""),"      1.406")</f>
        <v>      1.406</v>
      </c>
    </row>
    <row r="1369">
      <c r="A1369" s="2" t="str">
        <f>IFERROR(__xludf.DUMMYFUNCTION("""COMPUTED_VALUE"""),"Gabriela M Dotti")</f>
        <v>Gabriela M Dotti</v>
      </c>
      <c r="B1369" s="2" t="str">
        <f>IFERROR(__xludf.DUMMYFUNCTION("""COMPUTED_VALUE"""),"gabrielamdotti")</f>
        <v>gabrielamdotti</v>
      </c>
      <c r="C1369" s="2"/>
      <c r="D1369" s="2">
        <f>IFERROR(__xludf.DUMMYFUNCTION("""COMPUTED_VALUE"""),1.0028027568273113E-4)</f>
        <v>0.0001002802757</v>
      </c>
      <c r="E1369" s="2" t="str">
        <f>IFERROR(__xludf.DUMMYFUNCTION("""COMPUTED_VALUE"""),"      1.154")</f>
        <v>      1.154</v>
      </c>
    </row>
    <row r="1370">
      <c r="A1370" s="2" t="str">
        <f>IFERROR(__xludf.DUMMYFUNCTION("""COMPUTED_VALUE"""),"nagaluma")</f>
        <v>nagaluma</v>
      </c>
      <c r="B1370" s="2" t="str">
        <f>IFERROR(__xludf.DUMMYFUNCTION("""COMPUTED_VALUE"""),"nagaluma1")</f>
        <v>nagaluma1</v>
      </c>
      <c r="C1370" s="2" t="str">
        <f>IFERROR(__xludf.DUMMYFUNCTION("""COMPUTED_VALUE"""),"#Family #Fitness #Brazil acima de tudo #Deus acima de todos #BolsonaroBestPresidentEver")</f>
        <v>#Family #Fitness #Brazil acima de tudo #Deus acima de todos #BolsonaroBestPresidentEver</v>
      </c>
      <c r="D1370" s="2">
        <f>IFERROR(__xludf.DUMMYFUNCTION("""COMPUTED_VALUE"""),1.0028027568273113E-4)</f>
        <v>0.0001002802757</v>
      </c>
      <c r="E1370" s="2" t="str">
        <f>IFERROR(__xludf.DUMMYFUNCTION("""COMPUTED_VALUE"""),"      2.283")</f>
        <v>      2.283</v>
      </c>
    </row>
    <row r="1371">
      <c r="A1371" s="2" t="str">
        <f>IFERROR(__xludf.DUMMYFUNCTION("""COMPUTED_VALUE"""),"Rafael07")</f>
        <v>Rafael07</v>
      </c>
      <c r="B1371" s="2" t="str">
        <f>IFERROR(__xludf.DUMMYFUNCTION("""COMPUTED_VALUE"""),"rafael020282")</f>
        <v>rafael020282</v>
      </c>
      <c r="C1371" s="2"/>
      <c r="D1371" s="2">
        <f>IFERROR(__xludf.DUMMYFUNCTION("""COMPUTED_VALUE"""),1.0028027568273113E-4)</f>
        <v>0.0001002802757</v>
      </c>
      <c r="E1371" s="2" t="str">
        <f>IFERROR(__xludf.DUMMYFUNCTION("""COMPUTED_VALUE"""),"      1.538")</f>
        <v>      1.538</v>
      </c>
    </row>
    <row r="1372">
      <c r="A1372" s="2" t="str">
        <f>IFERROR(__xludf.DUMMYFUNCTION("""COMPUTED_VALUE"""),"Marcio Rodrigues")</f>
        <v>Marcio Rodrigues</v>
      </c>
      <c r="B1372" s="2" t="str">
        <f>IFERROR(__xludf.DUMMYFUNCTION("""COMPUTED_VALUE"""),"marciomr22")</f>
        <v>marciomr22</v>
      </c>
      <c r="C1372" s="2" t="str">
        <f>IFERROR(__xludf.DUMMYFUNCTION("""COMPUTED_VALUE"""),"Carioca, rubro-negro, economista, cristão, conservador e armamentista. Livre mercado e estado mínimo. 10a conta 🙌🏻 “Si vis pacem, para bellum”")</f>
        <v>Carioca, rubro-negro, economista, cristão, conservador e armamentista. Livre mercado e estado mínimo. 10a conta 🙌🏻 “Si vis pacem, para bellum”</v>
      </c>
      <c r="D1372" s="2">
        <f>IFERROR(__xludf.DUMMYFUNCTION("""COMPUTED_VALUE"""),1.0028027568273113E-4)</f>
        <v>0.0001002802757</v>
      </c>
      <c r="E1372" s="2" t="str">
        <f>IFERROR(__xludf.DUMMYFUNCTION("""COMPUTED_VALUE"""),"      4.062")</f>
        <v>      4.062</v>
      </c>
    </row>
    <row r="1373">
      <c r="A1373" s="2" t="str">
        <f>IFERROR(__xludf.DUMMYFUNCTION("""COMPUTED_VALUE"""),"Denise Duncan - 2a.CONTA🌻🇧🇷🇧🇷🇧🇷")</f>
        <v>Denise Duncan - 2a.CONTA🌻🇧🇷🇧🇷🇧🇷</v>
      </c>
      <c r="B1373" s="2" t="str">
        <f>IFERROR(__xludf.DUMMYFUNCTION("""COMPUTED_VALUE"""),"denise_zap")</f>
        <v>denise_zap</v>
      </c>
      <c r="C1373" s="2" t="str">
        <f>IFERROR(__xludf.DUMMYFUNCTION("""COMPUTED_VALUE"""),"2a. Conta - Bolsominion, católica, carnívora, armamentista, HETEROssexual e SDV patriotas SEMPRE👊🏼💪🏼🇧🇷  NÃO BITCOINS E NAO A QUEM NÃO FALA PORTUGUÊS 😡😡")</f>
        <v>2a. Conta - Bolsominion, católica, carnívora, armamentista, HETEROssexual e SDV patriotas SEMPRE👊🏼💪🏼🇧🇷  NÃO BITCOINS E NAO A QUEM NÃO FALA PORTUGUÊS 😡😡</v>
      </c>
      <c r="D1373" s="2">
        <f>IFERROR(__xludf.DUMMYFUNCTION("""COMPUTED_VALUE"""),1.0028027568273113E-4)</f>
        <v>0.0001002802757</v>
      </c>
      <c r="E1373" s="2" t="str">
        <f>IFERROR(__xludf.DUMMYFUNCTION("""COMPUTED_VALUE"""),"      1.140")</f>
        <v>      1.140</v>
      </c>
    </row>
    <row r="1374">
      <c r="A1374" s="2" t="str">
        <f>IFERROR(__xludf.DUMMYFUNCTION("""COMPUTED_VALUE"""),"Monna Bolt")</f>
        <v>Monna Bolt</v>
      </c>
      <c r="B1374" s="2" t="str">
        <f>IFERROR(__xludf.DUMMYFUNCTION("""COMPUTED_VALUE"""),"kezya_95")</f>
        <v>kezya_95</v>
      </c>
      <c r="C1374" s="2" t="str">
        <f>IFERROR(__xludf.DUMMYFUNCTION("""COMPUTED_VALUE"""),"Viciada em realitys   . LULISTA. Especialista e Usuária de Novelas Ruins.")</f>
        <v>Viciada em realitys   . LULISTA. Especialista e Usuária de Novelas Ruins.</v>
      </c>
      <c r="D1374" s="2">
        <f>IFERROR(__xludf.DUMMYFUNCTION("""COMPUTED_VALUE"""),1.0028027568273113E-4)</f>
        <v>0.0001002802757</v>
      </c>
      <c r="E1374" s="2" t="str">
        <f>IFERROR(__xludf.DUMMYFUNCTION("""COMPUTED_VALUE"""),"      2.623")</f>
        <v>      2.623</v>
      </c>
    </row>
    <row r="1375">
      <c r="A1375" s="2" t="str">
        <f>IFERROR(__xludf.DUMMYFUNCTION("""COMPUTED_VALUE"""),"Sandra Farias 💉")</f>
        <v>Sandra Farias 💉</v>
      </c>
      <c r="B1375" s="2" t="str">
        <f>IFERROR(__xludf.DUMMYFUNCTION("""COMPUTED_VALUE"""),"sandraffarias")</f>
        <v>sandraffarias</v>
      </c>
      <c r="C1375" s="2" t="str">
        <f>IFERROR(__xludf.DUMMYFUNCTION("""COMPUTED_VALUE"""),"Lulista desde sempre, petista por tabela, esquerdista e progressista por convicção. 
Lula Presidente do Brasil pela 3a vez.
 A resposta pra BOT e hater é BLOCK")</f>
        <v>Lulista desde sempre, petista por tabela, esquerdista e progressista por convicção. 
Lula Presidente do Brasil pela 3a vez.
 A resposta pra BOT e hater é BLOCK</v>
      </c>
      <c r="D1375" s="2">
        <f>IFERROR(__xludf.DUMMYFUNCTION("""COMPUTED_VALUE"""),1.0028027568273113E-4)</f>
        <v>0.0001002802757</v>
      </c>
      <c r="E1375" s="2" t="str">
        <f>IFERROR(__xludf.DUMMYFUNCTION("""COMPUTED_VALUE"""),"      2.922")</f>
        <v>      2.922</v>
      </c>
    </row>
    <row r="1376">
      <c r="A1376" s="2" t="str">
        <f>IFERROR(__xludf.DUMMYFUNCTION("""COMPUTED_VALUE"""),"Dri 🇧🇷🚩@pt13democracia")</f>
        <v>Dri 🇧🇷🚩@pt13democracia</v>
      </c>
      <c r="B1376" s="2" t="str">
        <f>IFERROR(__xludf.DUMMYFUNCTION("""COMPUTED_VALUE"""),"adrianasp63")</f>
        <v>adrianasp63</v>
      </c>
      <c r="C1376" s="2" t="str">
        <f>IFERROR(__xludf.DUMMYFUNCTION("""COMPUTED_VALUE"""),"🚧 Estamos em obra!
Reconstruir uma nação devastada pelo fascismo!
 🇧🇷🌏⏳🚩")</f>
        <v>🚧 Estamos em obra!
Reconstruir uma nação devastada pelo fascismo!
 🇧🇷🌏⏳🚩</v>
      </c>
      <c r="D1376" s="2">
        <f>IFERROR(__xludf.DUMMYFUNCTION("""COMPUTED_VALUE"""),1.0028027568273113E-4)</f>
        <v>0.0001002802757</v>
      </c>
      <c r="E1376" s="2" t="str">
        <f>IFERROR(__xludf.DUMMYFUNCTION("""COMPUTED_VALUE"""),"      7.894")</f>
        <v>      7.894</v>
      </c>
    </row>
    <row r="1377">
      <c r="A1377" s="2" t="str">
        <f>IFERROR(__xludf.DUMMYFUNCTION("""COMPUTED_VALUE"""),"Elisa Moreira📚 Maktub🙏🇧🇷 LulaOficial🇧🇷🇨🇳")</f>
        <v>Elisa Moreira📚 Maktub🙏🇧🇷 LulaOficial🇧🇷🇨🇳</v>
      </c>
      <c r="B1377" s="2" t="str">
        <f>IFERROR(__xludf.DUMMYFUNCTION("""COMPUTED_VALUE"""),"elisamoreira05")</f>
        <v>elisamoreira05</v>
      </c>
      <c r="C1377" s="2" t="str">
        <f>IFERROR(__xludf.DUMMYFUNCTION("""COMPUTED_VALUE"""),"☯️MãedaCléo&amp;Gata❤️Psicóloga🍀 CRP-05/21457-RJ🌍📚Autora🎬 AboutPsychos📚🌺🍀Donna7Store💻🧐elisamoreira08@gmail.com🏠Axé 🎆FilhadeOya🔥Ode🏹")</f>
        <v>☯️MãedaCléo&amp;Gata❤️Psicóloga🍀 CRP-05/21457-RJ🌍📚Autora🎬 AboutPsychos📚🌺🍀Donna7Store💻🧐elisamoreira08@gmail.com🏠Axé 🎆FilhadeOya🔥Ode🏹</v>
      </c>
      <c r="D1377" s="2">
        <f>IFERROR(__xludf.DUMMYFUNCTION("""COMPUTED_VALUE"""),1.0028027568273113E-4)</f>
        <v>0.0001002802757</v>
      </c>
      <c r="E1377" s="2" t="str">
        <f>IFERROR(__xludf.DUMMYFUNCTION("""COMPUTED_VALUE"""),"      1.232")</f>
        <v>      1.232</v>
      </c>
    </row>
    <row r="1378">
      <c r="A1378" s="2" t="str">
        <f>IFERROR(__xludf.DUMMYFUNCTION("""COMPUTED_VALUE"""),"Cristiano🚩🇧🇷 #Lula13 #Haddad13")</f>
        <v>Cristiano🚩🇧🇷 #Lula13 #Haddad13</v>
      </c>
      <c r="B1378" s="2" t="str">
        <f>IFERROR(__xludf.DUMMYFUNCTION("""COMPUTED_VALUE"""),"crismorelo")</f>
        <v>crismorelo</v>
      </c>
      <c r="C1378" s="2" t="str">
        <f>IFERROR(__xludf.DUMMYFUNCTION("""COMPUTED_VALUE"""),"Sou PT, Lula, Dilma e Haddad, pq sou torneiro mecânico q se formou na Federal.
#Lula13 #Haddad13")</f>
        <v>Sou PT, Lula, Dilma e Haddad, pq sou torneiro mecânico q se formou na Federal.
#Lula13 #Haddad13</v>
      </c>
      <c r="D1378" s="2">
        <f>IFERROR(__xludf.DUMMYFUNCTION("""COMPUTED_VALUE"""),1.0028027568273113E-4)</f>
        <v>0.0001002802757</v>
      </c>
      <c r="E1378" s="2" t="str">
        <f>IFERROR(__xludf.DUMMYFUNCTION("""COMPUTED_VALUE"""),"     21.443")</f>
        <v>     21.443</v>
      </c>
    </row>
    <row r="1379">
      <c r="A1379" s="2" t="str">
        <f>IFERROR(__xludf.DUMMYFUNCTION("""COMPUTED_VALUE"""),"ACG747ᅠᅠᅠᅠᅠᅠᅠᅠᅠᅠᅠᅠᅠᅠᅠᅠᅠᅠᅠᅠᅠᅠᅠᅠᅠᅠᅠᅠᅠᅠᅠᅠᅠ")</f>
        <v>ACG747ᅠᅠᅠᅠᅠᅠᅠᅠᅠᅠᅠᅠᅠᅠᅠᅠᅠᅠᅠᅠᅠᅠᅠᅠᅠᅠᅠᅠᅠᅠᅠᅠᅠ</v>
      </c>
      <c r="B1379" s="2" t="str">
        <f>IFERROR(__xludf.DUMMYFUNCTION("""COMPUTED_VALUE"""),"acg747")</f>
        <v>acg747</v>
      </c>
      <c r="C1379" s="2" t="str">
        <f>IFERROR(__xludf.DUMMYFUNCTION("""COMPUTED_VALUE"""),"jornalista do Portal Onim de boas idéias e do app/blog
acg747top
""O plantio é uma escolha, mas a colheita é obrigatória"".")</f>
        <v>jornalista do Portal Onim de boas idéias e do app/blog
acg747top
"O plantio é uma escolha, mas a colheita é obrigatória".</v>
      </c>
      <c r="D1379" s="2">
        <f>IFERROR(__xludf.DUMMYFUNCTION("""COMPUTED_VALUE"""),1.0028027568273113E-4)</f>
        <v>0.0001002802757</v>
      </c>
      <c r="E1379" s="2" t="str">
        <f>IFERROR(__xludf.DUMMYFUNCTION("""COMPUTED_VALUE"""),"      1.134")</f>
        <v>      1.134</v>
      </c>
    </row>
    <row r="1380">
      <c r="A1380" s="2" t="str">
        <f>IFERROR(__xludf.DUMMYFUNCTION("""COMPUTED_VALUE"""),"Fábio Lula Martins")</f>
        <v>Fábio Lula Martins</v>
      </c>
      <c r="B1380" s="2" t="str">
        <f>IFERROR(__xludf.DUMMYFUNCTION("""COMPUTED_VALUE"""),"fabiomarbinho")</f>
        <v>fabiomarbinho</v>
      </c>
      <c r="C1380" s="2" t="str">
        <f>IFERROR(__xludf.DUMMYFUNCTION("""COMPUTED_VALUE"""),"é preciso dar o nome correto a paz: Justiça social
(Lula)")</f>
        <v>é preciso dar o nome correto a paz: Justiça social
(Lula)</v>
      </c>
      <c r="D1380" s="2">
        <f>IFERROR(__xludf.DUMMYFUNCTION("""COMPUTED_VALUE"""),1.0028027568273113E-4)</f>
        <v>0.0001002802757</v>
      </c>
      <c r="E1380" s="2" t="str">
        <f>IFERROR(__xludf.DUMMYFUNCTION("""COMPUTED_VALUE"""),"     24.628")</f>
        <v>     24.628</v>
      </c>
    </row>
    <row r="1381">
      <c r="A1381" s="2" t="str">
        <f>IFERROR(__xludf.DUMMYFUNCTION("""COMPUTED_VALUE"""),"Luis Vieira")</f>
        <v>Luis Vieira</v>
      </c>
      <c r="B1381" s="2" t="str">
        <f>IFERROR(__xludf.DUMMYFUNCTION("""COMPUTED_VALUE"""),"luisvieira55")</f>
        <v>luisvieira55</v>
      </c>
      <c r="C1381" s="2" t="str">
        <f>IFERROR(__xludf.DUMMYFUNCTION("""COMPUTED_VALUE"""),"Pesquisador do Instituto Nacional de Pesquisas Espaciais. PI da Missão GSST. Suplente de Deputado Federal (PSD/SP) / 2023-2026")</f>
        <v>Pesquisador do Instituto Nacional de Pesquisas Espaciais. PI da Missão GSST. Suplente de Deputado Federal (PSD/SP) / 2023-2026</v>
      </c>
      <c r="D1381" s="2">
        <f>IFERROR(__xludf.DUMMYFUNCTION("""COMPUTED_VALUE"""),1.0028027568273113E-4)</f>
        <v>0.0001002802757</v>
      </c>
      <c r="E1381" s="2" t="str">
        <f>IFERROR(__xludf.DUMMYFUNCTION("""COMPUTED_VALUE"""),"      1.274")</f>
        <v>      1.274</v>
      </c>
    </row>
    <row r="1382">
      <c r="A1382" s="2" t="str">
        <f>IFERROR(__xludf.DUMMYFUNCTION("""COMPUTED_VALUE"""),"Esposinha e Marido")</f>
        <v>Esposinha e Marido</v>
      </c>
      <c r="B1382" s="2" t="str">
        <f>IFERROR(__xludf.DUMMYFUNCTION("""COMPUTED_VALUE"""),"ksalpinheiros")</f>
        <v>ksalpinheiros</v>
      </c>
      <c r="C1382" s="2" t="str">
        <f>IFERROR(__xludf.DUMMYFUNCTION("""COMPUTED_VALUE"""),"NSFW+18. Bia e Thiago.
Stag/Vixen Hotwife + Exibicionismo discreto.
Experimentando coisas novas.
Seja educado.
Sem DM e WhatsApp.
@BeatrizzVilla
/ CRS 128821")</f>
        <v>NSFW+18. Bia e Thiago.
Stag/Vixen Hotwife + Exibicionismo discreto.
Experimentando coisas novas.
Seja educado.
Sem DM e WhatsApp.
@BeatrizzVilla
/ CRS 128821</v>
      </c>
      <c r="D1382" s="2">
        <f>IFERROR(__xludf.DUMMYFUNCTION("""COMPUTED_VALUE"""),1.0028027568273113E-4)</f>
        <v>0.0001002802757</v>
      </c>
      <c r="E1382" s="2" t="str">
        <f>IFERROR(__xludf.DUMMYFUNCTION("""COMPUTED_VALUE"""),"     43.321")</f>
        <v>     43.321</v>
      </c>
    </row>
    <row r="1383">
      <c r="A1383" s="2" t="str">
        <f>IFERROR(__xludf.DUMMYFUNCTION("""COMPUTED_VALUE"""),"🇧🇷 Nesota 🇧🇷")</f>
        <v>🇧🇷 Nesota 🇧🇷</v>
      </c>
      <c r="B1383" s="2" t="str">
        <f>IFERROR(__xludf.DUMMYFUNCTION("""COMPUTED_VALUE"""),"n_ltv")</f>
        <v>n_ltv</v>
      </c>
      <c r="C1383" s="2"/>
      <c r="D1383" s="2">
        <f>IFERROR(__xludf.DUMMYFUNCTION("""COMPUTED_VALUE"""),1.0028027568273113E-4)</f>
        <v>0.0001002802757</v>
      </c>
      <c r="E1383" s="2" t="str">
        <f>IFERROR(__xludf.DUMMYFUNCTION("""COMPUTED_VALUE"""),"      3.137")</f>
        <v>      3.137</v>
      </c>
    </row>
    <row r="1384">
      <c r="A1384" s="2" t="str">
        <f>IFERROR(__xludf.DUMMYFUNCTION("""COMPUTED_VALUE"""),"Carlos》2022 PT 13》🚩🇧🇷🚩🤝")</f>
        <v>Carlos》2022 PT 13》🚩🇧🇷🚩🤝</v>
      </c>
      <c r="B1384" s="2" t="str">
        <f>IFERROR(__xludf.DUMMYFUNCTION("""COMPUTED_VALUE"""),"carlos35495410")</f>
        <v>carlos35495410</v>
      </c>
      <c r="C1384" s="2" t="str">
        <f>IFERROR(__xludf.DUMMYFUNCTION("""COMPUTED_VALUE"""),"Time♡São Paulo 
Signo♡Capricórnio")</f>
        <v>Time♡São Paulo 
Signo♡Capricórnio</v>
      </c>
      <c r="D1384" s="2">
        <f>IFERROR(__xludf.DUMMYFUNCTION("""COMPUTED_VALUE"""),1.0028027568273113E-4)</f>
        <v>0.0001002802757</v>
      </c>
      <c r="E1384" s="2" t="str">
        <f>IFERROR(__xludf.DUMMYFUNCTION("""COMPUTED_VALUE"""),"      1.776")</f>
        <v>      1.776</v>
      </c>
    </row>
    <row r="1385">
      <c r="A1385" s="2" t="str">
        <f>IFERROR(__xludf.DUMMYFUNCTION("""COMPUTED_VALUE"""),"Sebastian🚩🚩")</f>
        <v>Sebastian🚩🚩</v>
      </c>
      <c r="B1385" s="2" t="str">
        <f>IFERROR(__xludf.DUMMYFUNCTION("""COMPUTED_VALUE"""),"sebastian_556")</f>
        <v>sebastian_556</v>
      </c>
      <c r="C1385" s="2" t="str">
        <f>IFERROR(__xludf.DUMMYFUNCTION("""COMPUTED_VALUE"""),"Adoro ler um bom livro, um bom churrasco.
Adoro MPB, viagens e fazer amigos.
Instagram: https://t.co/rKDLVWSkCg")</f>
        <v>Adoro ler um bom livro, um bom churrasco.
Adoro MPB, viagens e fazer amigos.
Instagram: https://t.co/rKDLVWSkCg</v>
      </c>
      <c r="D1385" s="2">
        <f>IFERROR(__xludf.DUMMYFUNCTION("""COMPUTED_VALUE"""),1.0028027568273113E-4)</f>
        <v>0.0001002802757</v>
      </c>
      <c r="E1385" s="2" t="str">
        <f>IFERROR(__xludf.DUMMYFUNCTION("""COMPUTED_VALUE"""),"      2.854")</f>
        <v>      2.854</v>
      </c>
    </row>
    <row r="1386">
      <c r="A1386" s="2" t="str">
        <f>IFERROR(__xludf.DUMMYFUNCTION("""COMPUTED_VALUE"""),"Antonio Sousa")</f>
        <v>Antonio Sousa</v>
      </c>
      <c r="B1386" s="2" t="str">
        <f>IFERROR(__xludf.DUMMYFUNCTION("""COMPUTED_VALUE"""),"rufinosousa")</f>
        <v>rufinosousa</v>
      </c>
      <c r="C1386" s="2" t="str">
        <f>IFERROR(__xludf.DUMMYFUNCTION("""COMPUTED_VALUE"""),"Agente de Policia Federal")</f>
        <v>Agente de Policia Federal</v>
      </c>
      <c r="D1386" s="2">
        <f>IFERROR(__xludf.DUMMYFUNCTION("""COMPUTED_VALUE"""),1.0028027568273113E-4)</f>
        <v>0.0001002802757</v>
      </c>
      <c r="E1386" s="2" t="str">
        <f>IFERROR(__xludf.DUMMYFUNCTION("""COMPUTED_VALUE"""),"      1.143")</f>
        <v>      1.143</v>
      </c>
    </row>
    <row r="1387">
      <c r="A1387" s="2" t="str">
        <f>IFERROR(__xludf.DUMMYFUNCTION("""COMPUTED_VALUE"""),"Uai so serious?")</f>
        <v>Uai so serious?</v>
      </c>
      <c r="B1387" s="2" t="str">
        <f>IFERROR(__xludf.DUMMYFUNCTION("""COMPUTED_VALUE"""),"anarchychains")</f>
        <v>anarchychains</v>
      </c>
      <c r="C1387" s="2" t="str">
        <f>IFERROR(__xludf.DUMMYFUNCTION("""COMPUTED_VALUE"""),"🐸web3 meme generator ☕️@blockaffee founder 🔬@ModularCrypto researcher🎙@NodleNetwork ambassador 🏴@BanklessBR DAO contributor 🚨don't follow me, I'm lost too!")</f>
        <v>🐸web3 meme generator ☕️@blockaffee founder 🔬@ModularCrypto researcher🎙@NodleNetwork ambassador 🏴@BanklessBR DAO contributor 🚨don't follow me, I'm lost too!</v>
      </c>
      <c r="D1387" s="2">
        <f>IFERROR(__xludf.DUMMYFUNCTION("""COMPUTED_VALUE"""),1.0028027568273113E-4)</f>
        <v>0.0001002802757</v>
      </c>
      <c r="E1387" s="2" t="str">
        <f>IFERROR(__xludf.DUMMYFUNCTION("""COMPUTED_VALUE"""),"      1.145")</f>
        <v>      1.145</v>
      </c>
    </row>
    <row r="1388">
      <c r="A1388" s="2" t="str">
        <f>IFERROR(__xludf.DUMMYFUNCTION("""COMPUTED_VALUE"""),"companheira dudaholic")</f>
        <v>companheira dudaholic</v>
      </c>
      <c r="B1388" s="2" t="str">
        <f>IFERROR(__xludf.DUMMYFUNCTION("""COMPUTED_VALUE"""),"itsdudaholic")</f>
        <v>itsdudaholic</v>
      </c>
      <c r="C1388" s="2" t="str">
        <f>IFERROR(__xludf.DUMMYFUNCTION("""COMPUTED_VALUE"""),"entusiasta de bibsfiha de calabresa.")</f>
        <v>entusiasta de bibsfiha de calabresa.</v>
      </c>
      <c r="D1388" s="2">
        <f>IFERROR(__xludf.DUMMYFUNCTION("""COMPUTED_VALUE"""),1.0028027568273113E-4)</f>
        <v>0.0001002802757</v>
      </c>
      <c r="E1388" s="2" t="str">
        <f>IFERROR(__xludf.DUMMYFUNCTION("""COMPUTED_VALUE"""),"      5.516")</f>
        <v>      5.516</v>
      </c>
    </row>
    <row r="1389">
      <c r="A1389" s="2" t="str">
        <f>IFERROR(__xludf.DUMMYFUNCTION("""COMPUTED_VALUE"""),"Sirlei Margarete Flesch")</f>
        <v>Sirlei Margarete Flesch</v>
      </c>
      <c r="B1389" s="2" t="str">
        <f>IFERROR(__xludf.DUMMYFUNCTION("""COMPUTED_VALUE"""),"sirleiflesch")</f>
        <v>sirleiflesch</v>
      </c>
      <c r="C1389" s="2" t="str">
        <f>IFERROR(__xludf.DUMMYFUNCTION("""COMPUTED_VALUE"""),"Lula meu eterno presidente !
O amor venceu 😍😍🙏")</f>
        <v>Lula meu eterno presidente !
O amor venceu 😍😍🙏</v>
      </c>
      <c r="D1389" s="2">
        <f>IFERROR(__xludf.DUMMYFUNCTION("""COMPUTED_VALUE"""),1.0028027568273113E-4)</f>
        <v>0.0001002802757</v>
      </c>
      <c r="E1389" s="2" t="str">
        <f>IFERROR(__xludf.DUMMYFUNCTION("""COMPUTED_VALUE"""),"      3.685")</f>
        <v>      3.685</v>
      </c>
    </row>
    <row r="1390">
      <c r="A1390" s="2" t="str">
        <f>IFERROR(__xludf.DUMMYFUNCTION("""COMPUTED_VALUE"""),"Machado")</f>
        <v>Machado</v>
      </c>
      <c r="B1390" s="2" t="str">
        <f>IFERROR(__xludf.DUMMYFUNCTION("""COMPUTED_VALUE"""),"wilsonjlmachad1")</f>
        <v>wilsonjlmachad1</v>
      </c>
      <c r="C1390" s="2" t="str">
        <f>IFERROR(__xludf.DUMMYFUNCTION("""COMPUTED_VALUE"""),"Amo a vida e o imponderável...")</f>
        <v>Amo a vida e o imponderável...</v>
      </c>
      <c r="D1390" s="2">
        <f>IFERROR(__xludf.DUMMYFUNCTION("""COMPUTED_VALUE"""),1.0028027568273113E-4)</f>
        <v>0.0001002802757</v>
      </c>
      <c r="E1390" s="2" t="str">
        <f>IFERROR(__xludf.DUMMYFUNCTION("""COMPUTED_VALUE"""),"      1.758")</f>
        <v>      1.758</v>
      </c>
    </row>
    <row r="1391">
      <c r="A1391" s="2" t="str">
        <f>IFERROR(__xludf.DUMMYFUNCTION("""COMPUTED_VALUE"""),"Ezequiel Fagundes")</f>
        <v>Ezequiel Fagundes</v>
      </c>
      <c r="B1391" s="2" t="str">
        <f>IFERROR(__xludf.DUMMYFUNCTION("""COMPUTED_VALUE"""),"ef_ezeqfagundes")</f>
        <v>ef_ezeqfagundes</v>
      </c>
      <c r="C1391" s="2" t="str">
        <f>IFERROR(__xludf.DUMMYFUNCTION("""COMPUTED_VALUE"""),"Repórter investigativo da Record TV Minas. Já foi de O Tempo, Hoje em Dia, Estado de Minas, Correio Braziliense e O Globo.")</f>
        <v>Repórter investigativo da Record TV Minas. Já foi de O Tempo, Hoje em Dia, Estado de Minas, Correio Braziliense e O Globo.</v>
      </c>
      <c r="D1391" s="2">
        <f>IFERROR(__xludf.DUMMYFUNCTION("""COMPUTED_VALUE"""),1.0028027568273113E-4)</f>
        <v>0.0001002802757</v>
      </c>
      <c r="E1391" s="2" t="str">
        <f>IFERROR(__xludf.DUMMYFUNCTION("""COMPUTED_VALUE"""),"      1.502")</f>
        <v>      1.502</v>
      </c>
    </row>
    <row r="1392">
      <c r="A1392" s="2" t="str">
        <f>IFERROR(__xludf.DUMMYFUNCTION("""COMPUTED_VALUE"""),"Solidários a Cuba 🇧🇷🇨🇺")</f>
        <v>Solidários a Cuba 🇧🇷🇨🇺</v>
      </c>
      <c r="B1392" s="2" t="str">
        <f>IFERROR(__xludf.DUMMYFUNCTION("""COMPUTED_VALUE"""),"blogsolidarios")</f>
        <v>blogsolidarios</v>
      </c>
      <c r="C1392" s="2" t="str">
        <f>IFERROR(__xludf.DUMMYFUNCTION("""COMPUTED_VALUE"""),"Blog | Solidariedade à Revolução Cubana, contra o bloqueio dos EUA a Cuba.
https://t.co/GXOfquJsEj 
https://t.co/Y9BUTTBGOK")</f>
        <v>Blog | Solidariedade à Revolução Cubana, contra o bloqueio dos EUA a Cuba.
https://t.co/GXOfquJsEj 
https://t.co/Y9BUTTBGOK</v>
      </c>
      <c r="D1392" s="2">
        <f>IFERROR(__xludf.DUMMYFUNCTION("""COMPUTED_VALUE"""),1.0028027568273113E-4)</f>
        <v>0.0001002802757</v>
      </c>
      <c r="E1392" s="2" t="str">
        <f>IFERROR(__xludf.DUMMYFUNCTION("""COMPUTED_VALUE"""),"      8.510")</f>
        <v>      8.510</v>
      </c>
    </row>
    <row r="1393">
      <c r="A1393" s="2" t="str">
        <f>IFERROR(__xludf.DUMMYFUNCTION("""COMPUTED_VALUE"""),"#LulaReconstruçãoDoBrasil e DinoJusbrasil no STF")</f>
        <v>#LulaReconstruçãoDoBrasil e DinoJusbrasil no STF</v>
      </c>
      <c r="B1393" s="2" t="str">
        <f>IFERROR(__xludf.DUMMYFUNCTION("""COMPUTED_VALUE"""),"mariamirai")</f>
        <v>mariamirai</v>
      </c>
      <c r="C1393" s="2" t="str">
        <f>IFERROR(__xludf.DUMMYFUNCTION("""COMPUTED_VALUE"""),"O Toffoli acaba de anular os acordos decorrentes da leniência da Odebrecht. Segundo ele, a PRISÃO DE LULA FOI UM DOS MAIORES ERROS DA HISTÓRIA! 
@joanaouteresa")</f>
        <v>O Toffoli acaba de anular os acordos decorrentes da leniência da Odebrecht. Segundo ele, a PRISÃO DE LULA FOI UM DOS MAIORES ERROS DA HISTÓRIA! 
@joanaouteresa</v>
      </c>
      <c r="D1393" s="2">
        <f>IFERROR(__xludf.DUMMYFUNCTION("""COMPUTED_VALUE"""),1.0028027568273113E-4)</f>
        <v>0.0001002802757</v>
      </c>
      <c r="E1393" s="2" t="str">
        <f>IFERROR(__xludf.DUMMYFUNCTION("""COMPUTED_VALUE"""),"      3.000")</f>
        <v>      3.000</v>
      </c>
    </row>
    <row r="1394">
      <c r="A1394" s="2" t="str">
        <f>IFERROR(__xludf.DUMMYFUNCTION("""COMPUTED_VALUE"""),"Confindustria Bergamo")</f>
        <v>Confindustria Bergamo</v>
      </c>
      <c r="B1394" s="2" t="str">
        <f>IFERROR(__xludf.DUMMYFUNCTION("""COMPUTED_VALUE"""),"confindustriabg")</f>
        <v>confindustriabg</v>
      </c>
      <c r="C1394" s="2" t="str">
        <f>IFERROR(__xludf.DUMMYFUNCTION("""COMPUTED_VALUE"""),"Associazione di rappresentanza delle imprese industriali e del terziario di Bergamo e provincia. Scopri tutte le novità del nostro ecosistema!")</f>
        <v>Associazione di rappresentanza delle imprese industriali e del terziario di Bergamo e provincia. Scopri tutte le novità del nostro ecosistema!</v>
      </c>
      <c r="D1394" s="2">
        <f>IFERROR(__xludf.DUMMYFUNCTION("""COMPUTED_VALUE"""),1.0028027568273113E-4)</f>
        <v>0.0001002802757</v>
      </c>
      <c r="E1394" s="2" t="str">
        <f>IFERROR(__xludf.DUMMYFUNCTION("""COMPUTED_VALUE"""),"      3.440")</f>
        <v>      3.440</v>
      </c>
    </row>
    <row r="1395">
      <c r="A1395" s="2" t="str">
        <f>IFERROR(__xludf.DUMMYFUNCTION("""COMPUTED_VALUE"""),"Sol")</f>
        <v>Sol</v>
      </c>
      <c r="B1395" s="2" t="str">
        <f>IFERROR(__xludf.DUMMYFUNCTION("""COMPUTED_VALUE"""),"solandreani2020")</f>
        <v>solandreani2020</v>
      </c>
      <c r="C1395" s="2"/>
      <c r="D1395" s="2">
        <f>IFERROR(__xludf.DUMMYFUNCTION("""COMPUTED_VALUE"""),1.0028027568273113E-4)</f>
        <v>0.0001002802757</v>
      </c>
      <c r="E1395" s="2" t="str">
        <f>IFERROR(__xludf.DUMMYFUNCTION("""COMPUTED_VALUE"""),"      5.918")</f>
        <v>      5.918</v>
      </c>
    </row>
    <row r="1396">
      <c r="A1396" s="2" t="str">
        <f>IFERROR(__xludf.DUMMYFUNCTION("""COMPUTED_VALUE"""),"Lux Lucidum 🇧🇷")</f>
        <v>Lux Lucidum 🇧🇷</v>
      </c>
      <c r="B1396" s="2" t="str">
        <f>IFERROR(__xludf.DUMMYFUNCTION("""COMPUTED_VALUE"""),"llucidum")</f>
        <v>llucidum</v>
      </c>
      <c r="C1396" s="2"/>
      <c r="D1396" s="2">
        <f>IFERROR(__xludf.DUMMYFUNCTION("""COMPUTED_VALUE"""),1.0028027568273113E-4)</f>
        <v>0.0001002802757</v>
      </c>
      <c r="E1396" s="2" t="str">
        <f>IFERROR(__xludf.DUMMYFUNCTION("""COMPUTED_VALUE"""),"      1.724")</f>
        <v>      1.724</v>
      </c>
    </row>
    <row r="1397">
      <c r="A1397" s="2" t="str">
        <f>IFERROR(__xludf.DUMMYFUNCTION("""COMPUTED_VALUE"""),"Λｎｔｅｒｏ Ｓａｎｔｏｓ")</f>
        <v>Λｎｔｅｒｏ Ｓａｎｔｏｓ</v>
      </c>
      <c r="B1397" s="2" t="str">
        <f>IFERROR(__xludf.DUMMYFUNCTION("""COMPUTED_VALUE"""),"anterosantos")</f>
        <v>anterosantos</v>
      </c>
      <c r="C1397" s="2" t="str">
        <f>IFERROR(__xludf.DUMMYFUNCTION("""COMPUTED_VALUE"""),"Perfection doesn't exist, when you realize this, you become more close to perfection!")</f>
        <v>Perfection doesn't exist, when you realize this, you become more close to perfection!</v>
      </c>
      <c r="D1397" s="2">
        <f>IFERROR(__xludf.DUMMYFUNCTION("""COMPUTED_VALUE"""),1.0028027568273113E-4)</f>
        <v>0.0001002802757</v>
      </c>
      <c r="E1397" s="2" t="str">
        <f>IFERROR(__xludf.DUMMYFUNCTION("""COMPUTED_VALUE"""),"      1.074")</f>
        <v>      1.074</v>
      </c>
    </row>
    <row r="1398">
      <c r="A1398" s="2" t="str">
        <f>IFERROR(__xludf.DUMMYFUNCTION("""COMPUTED_VALUE"""),"Marcelo A Coelho ⚫️⚪")</f>
        <v>Marcelo A Coelho ⚫️⚪</v>
      </c>
      <c r="B1398" s="2" t="str">
        <f>IFERROR(__xludf.DUMMYFUNCTION("""COMPUTED_VALUE"""),"marceloacoelho1")</f>
        <v>marceloacoelho1</v>
      </c>
      <c r="C1398" s="2" t="str">
        <f>IFERROR(__xludf.DUMMYFUNCTION("""COMPUTED_VALUE"""),"Fã de Angelis Borges, Manoella Stoltz e Denise Rocha    Petista   Vascaíno   Nascido e criado em Niterói")</f>
        <v>Fã de Angelis Borges, Manoella Stoltz e Denise Rocha    Petista   Vascaíno   Nascido e criado em Niterói</v>
      </c>
      <c r="D1398" s="2">
        <f>IFERROR(__xludf.DUMMYFUNCTION("""COMPUTED_VALUE"""),1.0028027568273113E-4)</f>
        <v>0.0001002802757</v>
      </c>
      <c r="E1398" s="2" t="str">
        <f>IFERROR(__xludf.DUMMYFUNCTION("""COMPUTED_VALUE"""),"      4.170")</f>
        <v>      4.170</v>
      </c>
    </row>
    <row r="1399">
      <c r="A1399" s="2" t="str">
        <f>IFERROR(__xludf.DUMMYFUNCTION("""COMPUTED_VALUE"""),"Dom Fabiano")</f>
        <v>Dom Fabiano</v>
      </c>
      <c r="B1399" s="2" t="str">
        <f>IFERROR(__xludf.DUMMYFUNCTION("""COMPUTED_VALUE"""),"lord_crisostomo")</f>
        <v>lord_crisostomo</v>
      </c>
      <c r="C1399" s="2" t="str">
        <f>IFERROR(__xludf.DUMMYFUNCTION("""COMPUTED_VALUE"""),"Autem Imperator. Firmitas Servitium Unitas Dominatio")</f>
        <v>Autem Imperator. Firmitas Servitium Unitas Dominatio</v>
      </c>
      <c r="D1399" s="2">
        <f>IFERROR(__xludf.DUMMYFUNCTION("""COMPUTED_VALUE"""),1.0028027568273113E-4)</f>
        <v>0.0001002802757</v>
      </c>
      <c r="E1399" s="2" t="str">
        <f>IFERROR(__xludf.DUMMYFUNCTION("""COMPUTED_VALUE"""),"      2.018")</f>
        <v>      2.018</v>
      </c>
    </row>
    <row r="1400">
      <c r="A1400" s="2" t="str">
        <f>IFERROR(__xludf.DUMMYFUNCTION("""COMPUTED_VALUE"""),"Vinícius Puhl")</f>
        <v>Vinícius Puhl</v>
      </c>
      <c r="B1400" s="2" t="str">
        <f>IFERROR(__xludf.DUMMYFUNCTION("""COMPUTED_VALUE"""),"viniciuspuhl")</f>
        <v>viniciuspuhl</v>
      </c>
      <c r="C1400" s="2" t="str">
        <f>IFERROR(__xludf.DUMMYFUNCTION("""COMPUTED_VALUE"""),"Perfil de ideias e opiniões pessoais. 2023 #Adiante")</f>
        <v>Perfil de ideias e opiniões pessoais. 2023 #Adiante</v>
      </c>
      <c r="D1400" s="2">
        <f>IFERROR(__xludf.DUMMYFUNCTION("""COMPUTED_VALUE"""),1.0028027568273113E-4)</f>
        <v>0.0001002802757</v>
      </c>
      <c r="E1400" s="2" t="str">
        <f>IFERROR(__xludf.DUMMYFUNCTION("""COMPUTED_VALUE"""),"      1.539")</f>
        <v>      1.539</v>
      </c>
    </row>
    <row r="1401">
      <c r="A1401" s="2" t="str">
        <f>IFERROR(__xludf.DUMMYFUNCTION("""COMPUTED_VALUE"""),"Neusa Lima Steinbach")</f>
        <v>Neusa Lima Steinbach</v>
      </c>
      <c r="B1401" s="2" t="str">
        <f>IFERROR(__xludf.DUMMYFUNCTION("""COMPUTED_VALUE"""),"neusasteinbach")</f>
        <v>neusasteinbach</v>
      </c>
      <c r="C1401" s="2" t="str">
        <f>IFERROR(__xludf.DUMMYFUNCTION("""COMPUTED_VALUE"""),"Respeitar sempre. Ser ligada no mundo.  Não suporto hipócritas. Professora aposentada. Escritora. Mãe, vó e bisavó. Sou gauche na vida.")</f>
        <v>Respeitar sempre. Ser ligada no mundo.  Não suporto hipócritas. Professora aposentada. Escritora. Mãe, vó e bisavó. Sou gauche na vida.</v>
      </c>
      <c r="D1401" s="2">
        <f>IFERROR(__xludf.DUMMYFUNCTION("""COMPUTED_VALUE"""),1.0028027568273113E-4)</f>
        <v>0.0001002802757</v>
      </c>
      <c r="E1401" s="2" t="str">
        <f>IFERROR(__xludf.DUMMYFUNCTION("""COMPUTED_VALUE"""),"      3.869")</f>
        <v>      3.869</v>
      </c>
    </row>
    <row r="1402">
      <c r="A1402" s="2" t="str">
        <f>IFERROR(__xludf.DUMMYFUNCTION("""COMPUTED_VALUE"""),"Luiz Betenheuser Jr.")</f>
        <v>Luiz Betenheuser Jr.</v>
      </c>
      <c r="B1402" s="2" t="str">
        <f>IFERROR(__xludf.DUMMYFUNCTION("""COMPUTED_VALUE"""),"nuncaabandona")</f>
        <v>nuncaabandona</v>
      </c>
      <c r="C1402" s="2" t="str">
        <f>IFERROR(__xludf.DUMMYFUNCTION("""COMPUTED_VALUE"""),"Pai de duas MARAVILHOSAS filhas. Minha esposa é FANTÁSTICA. Sou CORITIBA. Estudo ORÇAMENTO e POLÍTICAS PÚBLICAS e GESTÃO DESPORTIVA")</f>
        <v>Pai de duas MARAVILHOSAS filhas. Minha esposa é FANTÁSTICA. Sou CORITIBA. Estudo ORÇAMENTO e POLÍTICAS PÚBLICAS e GESTÃO DESPORTIVA</v>
      </c>
      <c r="D1402" s="2">
        <f>IFERROR(__xludf.DUMMYFUNCTION("""COMPUTED_VALUE"""),1.0028027568273113E-4)</f>
        <v>0.0001002802757</v>
      </c>
      <c r="E1402" s="2" t="str">
        <f>IFERROR(__xludf.DUMMYFUNCTION("""COMPUTED_VALUE"""),"      5.583")</f>
        <v>      5.583</v>
      </c>
    </row>
    <row r="1403">
      <c r="A1403" s="2" t="str">
        <f>IFERROR(__xludf.DUMMYFUNCTION("""COMPUTED_VALUE"""),"Lucas")</f>
        <v>Lucas</v>
      </c>
      <c r="B1403" s="2" t="str">
        <f>IFERROR(__xludf.DUMMYFUNCTION("""COMPUTED_VALUE"""),"lucaspfc10")</f>
        <v>lucaspfc10</v>
      </c>
      <c r="C1403" s="2" t="str">
        <f>IFERROR(__xludf.DUMMYFUNCTION("""COMPUTED_VALUE"""),"21 • graphic designer")</f>
        <v>21 • graphic designer</v>
      </c>
      <c r="D1403" s="2">
        <f>IFERROR(__xludf.DUMMYFUNCTION("""COMPUTED_VALUE"""),1.0028027568273113E-4)</f>
        <v>0.0001002802757</v>
      </c>
      <c r="E1403" s="2" t="str">
        <f>IFERROR(__xludf.DUMMYFUNCTION("""COMPUTED_VALUE"""),"      2.646")</f>
        <v>      2.646</v>
      </c>
    </row>
    <row r="1404">
      <c r="A1404" s="2" t="str">
        <f>IFERROR(__xludf.DUMMYFUNCTION("""COMPUTED_VALUE"""),"Mariluz ♥️")</f>
        <v>Mariluz ♥️</v>
      </c>
      <c r="B1404" s="2" t="str">
        <f>IFERROR(__xludf.DUMMYFUNCTION("""COMPUTED_VALUE"""),"thymarirochagm1")</f>
        <v>thymarirochagm1</v>
      </c>
      <c r="C1404" s="2" t="str">
        <f>IFERROR(__xludf.DUMMYFUNCTION("""COMPUTED_VALUE"""),"""As florestas são absolutamente cruciais para lutar contra o aquecimento global e contra a perda de biodiversidade"".  Emmanuel Macron")</f>
        <v>"As florestas são absolutamente cruciais para lutar contra o aquecimento global e contra a perda de biodiversidade".  Emmanuel Macron</v>
      </c>
      <c r="D1404" s="2">
        <f>IFERROR(__xludf.DUMMYFUNCTION("""COMPUTED_VALUE"""),1.0028027568273113E-4)</f>
        <v>0.0001002802757</v>
      </c>
      <c r="E1404" s="2" t="str">
        <f>IFERROR(__xludf.DUMMYFUNCTION("""COMPUTED_VALUE"""),"      2.123")</f>
        <v>      2.123</v>
      </c>
    </row>
    <row r="1405">
      <c r="A1405" s="2" t="str">
        <f>IFERROR(__xludf.DUMMYFUNCTION("""COMPUTED_VALUE"""),"🚩🚩🚩Everton Lula Teixeira Lima")</f>
        <v>🚩🚩🚩Everton Lula Teixeira Lima</v>
      </c>
      <c r="B1405" s="2" t="str">
        <f>IFERROR(__xludf.DUMMYFUNCTION("""COMPUTED_VALUE"""),"evertontl")</f>
        <v>evertontl</v>
      </c>
      <c r="C1405" s="2" t="str">
        <f>IFERROR(__xludf.DUMMYFUNCTION("""COMPUTED_VALUE"""),"Sou nordestino, Lulista e esquerdista!
Arquitetura e Urbanismo")</f>
        <v>Sou nordestino, Lulista e esquerdista!
Arquitetura e Urbanismo</v>
      </c>
      <c r="D1405" s="2">
        <f>IFERROR(__xludf.DUMMYFUNCTION("""COMPUTED_VALUE"""),1.0028027568273113E-4)</f>
        <v>0.0001002802757</v>
      </c>
      <c r="E1405" s="2" t="str">
        <f>IFERROR(__xludf.DUMMYFUNCTION("""COMPUTED_VALUE"""),"     11.955")</f>
        <v>     11.955</v>
      </c>
    </row>
    <row r="1406">
      <c r="A1406" s="2" t="str">
        <f>IFERROR(__xludf.DUMMYFUNCTION("""COMPUTED_VALUE"""),"alexandre")</f>
        <v>alexandre</v>
      </c>
      <c r="B1406" s="2" t="str">
        <f>IFERROR(__xludf.DUMMYFUNCTION("""COMPUTED_VALUE"""),"alexmonteiro93")</f>
        <v>alexmonteiro93</v>
      </c>
      <c r="C1406" s="2" t="str">
        <f>IFERROR(__xludf.DUMMYFUNCTION("""COMPUTED_VALUE"""),"E, enquanto não me descobres,
os mundos vão navegando
nos ares certos do tempo,
até não se sabe quando...
- e um dia me acabarei (C.M.)")</f>
        <v>E, enquanto não me descobres,
os mundos vão navegando
nos ares certos do tempo,
até não se sabe quando...
- e um dia me acabarei (C.M.)</v>
      </c>
      <c r="D1406" s="2">
        <f>IFERROR(__xludf.DUMMYFUNCTION("""COMPUTED_VALUE"""),1.0028027568273113E-4)</f>
        <v>0.0001002802757</v>
      </c>
      <c r="E1406" s="2" t="str">
        <f>IFERROR(__xludf.DUMMYFUNCTION("""COMPUTED_VALUE"""),"      1.034")</f>
        <v>      1.034</v>
      </c>
    </row>
    <row r="1407">
      <c r="A1407" s="2" t="str">
        <f>IFERROR(__xludf.DUMMYFUNCTION("""COMPUTED_VALUE"""),"Andrea Cabello Styles")</f>
        <v>Andrea Cabello Styles</v>
      </c>
      <c r="B1407" s="2" t="str">
        <f>IFERROR(__xludf.DUMMYFUNCTION("""COMPUTED_VALUE"""),"weknowakemeup")</f>
        <v>weknowakemeup</v>
      </c>
      <c r="C1407" s="2" t="str">
        <f>IFERROR(__xludf.DUMMYFUNCTION("""COMPUTED_VALUE"""),"Accountant, directioner, mixer, harmonizer, camilizer, swiftie e gavassier!!! Fã louca de G.A., tributo, divergente, potterhead e caçadora de sombras!!! 📚📚")</f>
        <v>Accountant, directioner, mixer, harmonizer, camilizer, swiftie e gavassier!!! Fã louca de G.A., tributo, divergente, potterhead e caçadora de sombras!!! 📚📚</v>
      </c>
      <c r="D1407" s="2">
        <f>IFERROR(__xludf.DUMMYFUNCTION("""COMPUTED_VALUE"""),1.0028027568273113E-4)</f>
        <v>0.0001002802757</v>
      </c>
      <c r="E1407" s="2" t="str">
        <f>IFERROR(__xludf.DUMMYFUNCTION("""COMPUTED_VALUE"""),"      1.083")</f>
        <v>      1.083</v>
      </c>
    </row>
    <row r="1408">
      <c r="A1408" s="2" t="str">
        <f>IFERROR(__xludf.DUMMYFUNCTION("""COMPUTED_VALUE"""),"Miguel")</f>
        <v>Miguel</v>
      </c>
      <c r="B1408" s="2" t="str">
        <f>IFERROR(__xludf.DUMMYFUNCTION("""COMPUTED_VALUE"""),"mig63")</f>
        <v>mig63</v>
      </c>
      <c r="C1408" s="2"/>
      <c r="D1408" s="2">
        <f>IFERROR(__xludf.DUMMYFUNCTION("""COMPUTED_VALUE"""),1.0028027568273113E-4)</f>
        <v>0.0001002802757</v>
      </c>
      <c r="E1408" s="2" t="str">
        <f>IFERROR(__xludf.DUMMYFUNCTION("""COMPUTED_VALUE"""),"      1.074")</f>
        <v>      1.074</v>
      </c>
    </row>
    <row r="1409">
      <c r="A1409" s="2" t="str">
        <f>IFERROR(__xludf.DUMMYFUNCTION("""COMPUTED_VALUE"""),"𝙇𝙖𝙧𝙮 𝙡𝙤𝙫𝙚𝙚𝙨🦋")</f>
        <v>𝙇𝙖𝙧𝙮 𝙡𝙤𝙫𝙚𝙚𝙨🦋</v>
      </c>
      <c r="B1409" s="2" t="str">
        <f>IFERROR(__xludf.DUMMYFUNCTION("""COMPUTED_VALUE"""),"selenaexpliciit")</f>
        <v>selenaexpliciit</v>
      </c>
      <c r="C1409" s="2" t="str">
        <f>IFERROR(__xludf.DUMMYFUNCTION("""COMPUTED_VALUE"""),"- Calling your name, the only language I can speak.
• Fan account/parody.
• EXPANSÃO DE DOMÍNIO.")</f>
        <v>- Calling your name, the only language I can speak.
• Fan account/parody.
• EXPANSÃO DE DOMÍNIO.</v>
      </c>
      <c r="D1409" s="2">
        <f>IFERROR(__xludf.DUMMYFUNCTION("""COMPUTED_VALUE"""),1.0028027568273113E-4)</f>
        <v>0.0001002802757</v>
      </c>
      <c r="E1409" s="2" t="str">
        <f>IFERROR(__xludf.DUMMYFUNCTION("""COMPUTED_VALUE"""),"      1.945")</f>
        <v>      1.945</v>
      </c>
    </row>
    <row r="1410">
      <c r="A1410" s="2" t="str">
        <f>IFERROR(__xludf.DUMMYFUNCTION("""COMPUTED_VALUE"""),"Samara 🇧🇷")</f>
        <v>Samara 🇧🇷</v>
      </c>
      <c r="B1410" s="2" t="str">
        <f>IFERROR(__xludf.DUMMYFUNCTION("""COMPUTED_VALUE"""),"samarafe88")</f>
        <v>samarafe88</v>
      </c>
      <c r="C1410" s="2" t="str">
        <f>IFERROR(__xludf.DUMMYFUNCTION("""COMPUTED_VALUE"""),"Feliz é a nação cujo Deus é o Senhor 🇧🇷 💚💛💙")</f>
        <v>Feliz é a nação cujo Deus é o Senhor 🇧🇷 💚💛💙</v>
      </c>
      <c r="D1410" s="2">
        <f>IFERROR(__xludf.DUMMYFUNCTION("""COMPUTED_VALUE"""),1.0028027568273113E-4)</f>
        <v>0.0001002802757</v>
      </c>
      <c r="E1410" s="2" t="str">
        <f>IFERROR(__xludf.DUMMYFUNCTION("""COMPUTED_VALUE"""),"      9.659")</f>
        <v>      9.659</v>
      </c>
    </row>
    <row r="1411">
      <c r="A1411" s="2" t="str">
        <f>IFERROR(__xludf.DUMMYFUNCTION("""COMPUTED_VALUE"""),"Elvis Ramon Vergara")</f>
        <v>Elvis Ramon Vergara</v>
      </c>
      <c r="B1411" s="2" t="str">
        <f>IFERROR(__xludf.DUMMYFUNCTION("""COMPUTED_VALUE"""),"elvisramonverga")</f>
        <v>elvisramonverga</v>
      </c>
      <c r="C1411" s="2"/>
      <c r="D1411" s="2">
        <f>IFERROR(__xludf.DUMMYFUNCTION("""COMPUTED_VALUE"""),1.0028027568273113E-4)</f>
        <v>0.0001002802757</v>
      </c>
      <c r="E1411" s="2" t="str">
        <f>IFERROR(__xludf.DUMMYFUNCTION("""COMPUTED_VALUE"""),"      2.746")</f>
        <v>      2.746</v>
      </c>
    </row>
    <row r="1412">
      <c r="A1412" s="2" t="str">
        <f>IFERROR(__xludf.DUMMYFUNCTION("""COMPUTED_VALUE"""),"Rolustosa 🇧🇷⭐️🚩")</f>
        <v>Rolustosa 🇧🇷⭐️🚩</v>
      </c>
      <c r="B1412" s="2" t="str">
        <f>IFERROR(__xludf.DUMMYFUNCTION("""COMPUTED_VALUE"""),"ro_lustosa")</f>
        <v>ro_lustosa</v>
      </c>
      <c r="C1412" s="2" t="str">
        <f>IFERROR(__xludf.DUMMYFUNCTION("""COMPUTED_VALUE"""),"DEMOCRACIA SEMPRE. Jamais poderão deter a chegada da Primavera")</f>
        <v>DEMOCRACIA SEMPRE. Jamais poderão deter a chegada da Primavera</v>
      </c>
      <c r="D1412" s="2">
        <f>IFERROR(__xludf.DUMMYFUNCTION("""COMPUTED_VALUE"""),1.0028027568273113E-4)</f>
        <v>0.0001002802757</v>
      </c>
      <c r="E1412" s="2" t="str">
        <f>IFERROR(__xludf.DUMMYFUNCTION("""COMPUTED_VALUE"""),"      8.449")</f>
        <v>      8.449</v>
      </c>
    </row>
    <row r="1413">
      <c r="A1413" s="2" t="str">
        <f>IFERROR(__xludf.DUMMYFUNCTION("""COMPUTED_VALUE"""),"Rogério Fontes")</f>
        <v>Rogério Fontes</v>
      </c>
      <c r="B1413" s="2" t="str">
        <f>IFERROR(__xludf.DUMMYFUNCTION("""COMPUTED_VALUE"""),"rogeriodefonte")</f>
        <v>rogeriodefonte</v>
      </c>
      <c r="C1413" s="2" t="str">
        <f>IFERROR(__xludf.DUMMYFUNCTION("""COMPUTED_VALUE"""),"Adm 🎓 Publicidade e Propaganda ❤️")</f>
        <v>Adm 🎓 Publicidade e Propaganda ❤️</v>
      </c>
      <c r="D1413" s="2">
        <f>IFERROR(__xludf.DUMMYFUNCTION("""COMPUTED_VALUE"""),1.0028027568273113E-4)</f>
        <v>0.0001002802757</v>
      </c>
      <c r="E1413" s="2" t="str">
        <f>IFERROR(__xludf.DUMMYFUNCTION("""COMPUTED_VALUE"""),"      7.049")</f>
        <v>      7.049</v>
      </c>
    </row>
    <row r="1414">
      <c r="A1414" s="2" t="str">
        <f>IFERROR(__xludf.DUMMYFUNCTION("""COMPUTED_VALUE"""),"Martina")</f>
        <v>Martina</v>
      </c>
      <c r="B1414" s="2" t="str">
        <f>IFERROR(__xludf.DUMMYFUNCTION("""COMPUTED_VALUE"""),"martinac1203")</f>
        <v>martinac1203</v>
      </c>
      <c r="C1414" s="2" t="str">
        <f>IFERROR(__xludf.DUMMYFUNCTION("""COMPUTED_VALUE"""),"“Fino alla Fine” non é solo un motto ma anche uno stile di vita @juventusfc 🤍🖤 @scuderiaferrari🏎")</f>
        <v>“Fino alla Fine” non é solo un motto ma anche uno stile di vita @juventusfc 🤍🖤 @scuderiaferrari🏎</v>
      </c>
      <c r="D1414" s="2">
        <f>IFERROR(__xludf.DUMMYFUNCTION("""COMPUTED_VALUE"""),1.0028027568273113E-4)</f>
        <v>0.0001002802757</v>
      </c>
      <c r="E1414" s="2" t="str">
        <f>IFERROR(__xludf.DUMMYFUNCTION("""COMPUTED_VALUE"""),"      1.192")</f>
        <v>      1.192</v>
      </c>
    </row>
    <row r="1415">
      <c r="A1415" s="2" t="str">
        <f>IFERROR(__xludf.DUMMYFUNCTION("""COMPUTED_VALUE"""),"Elmo de Moraes")</f>
        <v>Elmo de Moraes</v>
      </c>
      <c r="B1415" s="2" t="str">
        <f>IFERROR(__xludf.DUMMYFUNCTION("""COMPUTED_VALUE"""),"elmodemoraes")</f>
        <v>elmodemoraes</v>
      </c>
      <c r="C1415" s="2"/>
      <c r="D1415" s="2">
        <f>IFERROR(__xludf.DUMMYFUNCTION("""COMPUTED_VALUE"""),1.0028027568273113E-4)</f>
        <v>0.0001002802757</v>
      </c>
      <c r="E1415" s="2" t="str">
        <f>IFERROR(__xludf.DUMMYFUNCTION("""COMPUTED_VALUE"""),"      2.490")</f>
        <v>      2.490</v>
      </c>
    </row>
    <row r="1416">
      <c r="A1416" s="2" t="str">
        <f>IFERROR(__xludf.DUMMYFUNCTION("""COMPUTED_VALUE"""),"Marcos F. Barbosa")</f>
        <v>Marcos F. Barbosa</v>
      </c>
      <c r="B1416" s="2" t="str">
        <f>IFERROR(__xludf.DUMMYFUNCTION("""COMPUTED_VALUE"""),"marcosfbarbosa1")</f>
        <v>marcosfbarbosa1</v>
      </c>
      <c r="C1416" s="2" t="str">
        <f>IFERROR(__xludf.DUMMYFUNCTION("""COMPUTED_VALUE"""),"Eng. Agrônomo, UDESC  Lages SC. Mestrado em Fertildade e Nutrição de Plantas,UFLA MG. MBA em Marketing e Gestão Estratégica de Negócios, Uni America PR.")</f>
        <v>Eng. Agrônomo, UDESC  Lages SC. Mestrado em Fertildade e Nutrição de Plantas,UFLA MG. MBA em Marketing e Gestão Estratégica de Negócios, Uni America PR.</v>
      </c>
      <c r="D1416" s="2">
        <f>IFERROR(__xludf.DUMMYFUNCTION("""COMPUTED_VALUE"""),1.0028027568273113E-4)</f>
        <v>0.0001002802757</v>
      </c>
      <c r="E1416" s="2" t="str">
        <f>IFERROR(__xludf.DUMMYFUNCTION("""COMPUTED_VALUE"""),"      1.010")</f>
        <v>      1.010</v>
      </c>
    </row>
    <row r="1417">
      <c r="A1417" s="2" t="str">
        <f>IFERROR(__xludf.DUMMYFUNCTION("""COMPUTED_VALUE"""),"Luiza🌻🌹🌞")</f>
        <v>Luiza🌻🌹🌞</v>
      </c>
      <c r="B1417" s="2" t="str">
        <f>IFERROR(__xludf.DUMMYFUNCTION("""COMPUTED_VALUE"""),"luiza22brasil")</f>
        <v>luiza22brasil</v>
      </c>
      <c r="C1417" s="2"/>
      <c r="D1417" s="2">
        <f>IFERROR(__xludf.DUMMYFUNCTION("""COMPUTED_VALUE"""),1.0028027568273113E-4)</f>
        <v>0.0001002802757</v>
      </c>
      <c r="E1417" s="2" t="str">
        <f>IFERROR(__xludf.DUMMYFUNCTION("""COMPUTED_VALUE"""),"      2.176")</f>
        <v>      2.176</v>
      </c>
    </row>
    <row r="1418">
      <c r="A1418" s="2" t="str">
        <f>IFERROR(__xludf.DUMMYFUNCTION("""COMPUTED_VALUE"""),"Rafaela ⭐ 🚩🚩🇧🇷🌈🌍")</f>
        <v>Rafaela ⭐ 🚩🚩🇧🇷🌈🌍</v>
      </c>
      <c r="B1418" s="2" t="str">
        <f>IFERROR(__xludf.DUMMYFUNCTION("""COMPUTED_VALUE"""),"rafaelagranna")</f>
        <v>rafaelagranna</v>
      </c>
      <c r="C1418" s="2" t="str">
        <f>IFERROR(__xludf.DUMMYFUNCTION("""COMPUTED_VALUE"""),"Advogada, mãe da Maria Clara, defensora incondicional da democracia brasileira. LULISTA DE CORPO E ALMA!")</f>
        <v>Advogada, mãe da Maria Clara, defensora incondicional da democracia brasileira. LULISTA DE CORPO E ALMA!</v>
      </c>
      <c r="D1418" s="2">
        <f>IFERROR(__xludf.DUMMYFUNCTION("""COMPUTED_VALUE"""),1.0028027568273113E-4)</f>
        <v>0.0001002802757</v>
      </c>
      <c r="E1418" s="2" t="str">
        <f>IFERROR(__xludf.DUMMYFUNCTION("""COMPUTED_VALUE"""),"      2.408")</f>
        <v>      2.408</v>
      </c>
    </row>
    <row r="1419">
      <c r="A1419" s="2" t="str">
        <f>IFERROR(__xludf.DUMMYFUNCTION("""COMPUTED_VALUE"""),"Opressor (ZV)🃏")</f>
        <v>Opressor (ZV)🃏</v>
      </c>
      <c r="B1419" s="2" t="str">
        <f>IFERROR(__xludf.DUMMYFUNCTION("""COMPUTED_VALUE"""),"opressorzv")</f>
        <v>opressorzv</v>
      </c>
      <c r="C1419" s="2" t="str">
        <f>IFERROR(__xludf.DUMMYFUNCTION("""COMPUTED_VALUE"""),"Bolsonarista 🇧🇷💪🏼")</f>
        <v>Bolsonarista 🇧🇷💪🏼</v>
      </c>
      <c r="D1419" s="2">
        <f>IFERROR(__xludf.DUMMYFUNCTION("""COMPUTED_VALUE"""),1.0028027568273113E-4)</f>
        <v>0.0001002802757</v>
      </c>
      <c r="E1419" s="2" t="str">
        <f>IFERROR(__xludf.DUMMYFUNCTION("""COMPUTED_VALUE"""),"      1.486")</f>
        <v>      1.486</v>
      </c>
    </row>
    <row r="1420">
      <c r="A1420" s="2" t="str">
        <f>IFERROR(__xludf.DUMMYFUNCTION("""COMPUTED_VALUE"""),"Danilo Félix 🇧🇷🇭🇺🎸🤟")</f>
        <v>Danilo Félix 🇧🇷🇭🇺🎸🤟</v>
      </c>
      <c r="B1420" s="2" t="str">
        <f>IFERROR(__xludf.DUMMYFUNCTION("""COMPUTED_VALUE"""),"dansfelix")</f>
        <v>dansfelix</v>
      </c>
      <c r="C1420" s="2" t="str">
        <f>IFERROR(__xludf.DUMMYFUNCTION("""COMPUTED_VALUE"""),"Analista de Sistemas pós-graduado, Engenheiro de Dados, Pai, Conservador, Tricolor, Ex-Diretor de TI do @FluminenseFC, Rock n' Roll")</f>
        <v>Analista de Sistemas pós-graduado, Engenheiro de Dados, Pai, Conservador, Tricolor, Ex-Diretor de TI do @FluminenseFC, Rock n' Roll</v>
      </c>
      <c r="D1420" s="2">
        <f>IFERROR(__xludf.DUMMYFUNCTION("""COMPUTED_VALUE"""),1.0028027568273113E-4)</f>
        <v>0.0001002802757</v>
      </c>
      <c r="E1420" s="2" t="str">
        <f>IFERROR(__xludf.DUMMYFUNCTION("""COMPUTED_VALUE"""),"     17.230")</f>
        <v>     17.230</v>
      </c>
    </row>
    <row r="1421">
      <c r="A1421" s="2" t="str">
        <f>IFERROR(__xludf.DUMMYFUNCTION("""COMPUTED_VALUE"""),"Amora 🇧🇷🫶💫")</f>
        <v>Amora 🇧🇷🫶💫</v>
      </c>
      <c r="B1421" s="2" t="str">
        <f>IFERROR(__xludf.DUMMYFUNCTION("""COMPUTED_VALUE"""),"amora96757846")</f>
        <v>amora96757846</v>
      </c>
      <c r="C1421" s="2" t="str">
        <f>IFERROR(__xludf.DUMMYFUNCTION("""COMPUTED_VALUE"""),"Pra pedir silêncio eu peço, pra fazer barulho eu msm faço !
🌷🌺🌼🌻💞 ⬅️ 1️⃣3️⃣🚩")</f>
        <v>Pra pedir silêncio eu peço, pra fazer barulho eu msm faço !
🌷🌺🌼🌻💞 ⬅️ 1️⃣3️⃣🚩</v>
      </c>
      <c r="D1421" s="2">
        <f>IFERROR(__xludf.DUMMYFUNCTION("""COMPUTED_VALUE"""),1.0028027568273113E-4)</f>
        <v>0.0001002802757</v>
      </c>
      <c r="E1421" s="2" t="str">
        <f>IFERROR(__xludf.DUMMYFUNCTION("""COMPUTED_VALUE"""),"      2.360")</f>
        <v>      2.360</v>
      </c>
    </row>
    <row r="1422">
      <c r="A1422" s="2" t="str">
        <f>IFERROR(__xludf.DUMMYFUNCTION("""COMPUTED_VALUE"""),"leo")</f>
        <v>leo</v>
      </c>
      <c r="B1422" s="2" t="str">
        <f>IFERROR(__xludf.DUMMYFUNCTION("""COMPUTED_VALUE"""),"leoninismo")</f>
        <v>leoninismo</v>
      </c>
      <c r="C1422" s="2" t="str">
        <f>IFERROR(__xludf.DUMMYFUNCTION("""COMPUTED_VALUE"""),"cirurgião dentista, gremista e socialista. servidor público. atleta. mestrando PPGSS/Unioeste. editorial: militância, esportes e piadocas. @Psol50")</f>
        <v>cirurgião dentista, gremista e socialista. servidor público. atleta. mestrando PPGSS/Unioeste. editorial: militância, esportes e piadocas. @Psol50</v>
      </c>
      <c r="D1422" s="2">
        <f>IFERROR(__xludf.DUMMYFUNCTION("""COMPUTED_VALUE"""),1.0028027568273113E-4)</f>
        <v>0.0001002802757</v>
      </c>
      <c r="E1422" s="2" t="str">
        <f>IFERROR(__xludf.DUMMYFUNCTION("""COMPUTED_VALUE"""),"      1.990")</f>
        <v>      1.990</v>
      </c>
    </row>
    <row r="1423">
      <c r="A1423" s="2" t="str">
        <f>IFERROR(__xludf.DUMMYFUNCTION("""COMPUTED_VALUE"""),"Carlosrj")</f>
        <v>Carlosrj</v>
      </c>
      <c r="B1423" s="2" t="str">
        <f>IFERROR(__xludf.DUMMYFUNCTION("""COMPUTED_VALUE"""),"carlosrj20001")</f>
        <v>carlosrj20001</v>
      </c>
      <c r="C1423" s="2"/>
      <c r="D1423" s="2">
        <f>IFERROR(__xludf.DUMMYFUNCTION("""COMPUTED_VALUE"""),1.0028027568273113E-4)</f>
        <v>0.0001002802757</v>
      </c>
      <c r="E1423" s="2" t="str">
        <f>IFERROR(__xludf.DUMMYFUNCTION("""COMPUTED_VALUE"""),"      1.215")</f>
        <v>      1.215</v>
      </c>
    </row>
    <row r="1424">
      <c r="A1424" s="2" t="str">
        <f>IFERROR(__xludf.DUMMYFUNCTION("""COMPUTED_VALUE"""),"Lulista Democrático")</f>
        <v>Lulista Democrático</v>
      </c>
      <c r="B1424" s="2" t="str">
        <f>IFERROR(__xludf.DUMMYFUNCTION("""COMPUTED_VALUE"""),"lulistalivre")</f>
        <v>lulistalivre</v>
      </c>
      <c r="C1424" s="2" t="str">
        <f>IFERROR(__xludf.DUMMYFUNCTION("""COMPUTED_VALUE"""),"O Partido é dos Trabalhadores!
Lula Presidente 2022!
#JailBolsonaro")</f>
        <v>O Partido é dos Trabalhadores!
Lula Presidente 2022!
#JailBolsonaro</v>
      </c>
      <c r="D1424" s="2">
        <f>IFERROR(__xludf.DUMMYFUNCTION("""COMPUTED_VALUE"""),1.0028027568273113E-4)</f>
        <v>0.0001002802757</v>
      </c>
      <c r="E1424" s="2" t="str">
        <f>IFERROR(__xludf.DUMMYFUNCTION("""COMPUTED_VALUE"""),"      2.398")</f>
        <v>      2.398</v>
      </c>
    </row>
    <row r="1425">
      <c r="A1425" s="2" t="str">
        <f>IFERROR(__xludf.DUMMYFUNCTION("""COMPUTED_VALUE"""),"Lulíssima ️🌻")</f>
        <v>Lulíssima ️🌻</v>
      </c>
      <c r="B1425" s="2" t="str">
        <f>IFERROR(__xludf.DUMMYFUNCTION("""COMPUTED_VALUE"""),"galvao_jo")</f>
        <v>galvao_jo</v>
      </c>
      <c r="C1425" s="2" t="str">
        <f>IFERROR(__xludf.DUMMYFUNCTION("""COMPUTED_VALUE"""),"NORDESTINA COM MUITO  ORGULHO 🌵 SEGUIDORA 💯 FIEL DO PRESIDENTE LULA 🤜🏻🤛🏻")</f>
        <v>NORDESTINA COM MUITO  ORGULHO 🌵 SEGUIDORA 💯 FIEL DO PRESIDENTE LULA 🤜🏻🤛🏻</v>
      </c>
      <c r="D1425" s="2">
        <f>IFERROR(__xludf.DUMMYFUNCTION("""COMPUTED_VALUE"""),1.0028027568273113E-4)</f>
        <v>0.0001002802757</v>
      </c>
      <c r="E1425" s="2" t="str">
        <f>IFERROR(__xludf.DUMMYFUNCTION("""COMPUTED_VALUE"""),"     12.667")</f>
        <v>     12.667</v>
      </c>
    </row>
    <row r="1426">
      <c r="A1426" s="2" t="str">
        <f>IFERROR(__xludf.DUMMYFUNCTION("""COMPUTED_VALUE"""),"Anderson Zogbi 🇧🇷🇱🇧🇮🇹")</f>
        <v>Anderson Zogbi 🇧🇷🇱🇧🇮🇹</v>
      </c>
      <c r="B1426" s="2" t="str">
        <f>IFERROR(__xludf.DUMMYFUNCTION("""COMPUTED_VALUE"""),"zogbifla")</f>
        <v>zogbifla</v>
      </c>
      <c r="C1426" s="2" t="str">
        <f>IFERROR(__xludf.DUMMYFUNCTION("""COMPUTED_VALUE"""),"RUBRO NEGRO ⚫🔴")</f>
        <v>RUBRO NEGRO ⚫🔴</v>
      </c>
      <c r="D1426" s="2">
        <f>IFERROR(__xludf.DUMMYFUNCTION("""COMPUTED_VALUE"""),1.0028027568273113E-4)</f>
        <v>0.0001002802757</v>
      </c>
      <c r="E1426" s="2" t="str">
        <f>IFERROR(__xludf.DUMMYFUNCTION("""COMPUTED_VALUE"""),"      1.860")</f>
        <v>      1.860</v>
      </c>
    </row>
    <row r="1427">
      <c r="A1427" s="2" t="str">
        <f>IFERROR(__xludf.DUMMYFUNCTION("""COMPUTED_VALUE"""),"B. #3DeT⚡🎲🪇 #RevogaNEM #3DeTVictory")</f>
        <v>B. #3DeT⚡🎲🪇 #RevogaNEM #3DeTVictory</v>
      </c>
      <c r="B1427" s="2" t="str">
        <f>IFERROR(__xludf.DUMMYFUNCTION("""COMPUTED_VALUE"""),"bschlatter")</f>
        <v>bschlatter</v>
      </c>
      <c r="C1427" s="2" t="str">
        <f>IFERROR(__xludf.DUMMYFUNCTION("""COMPUTED_VALUE"""),"Melhor ser um porco que um fascista. Escrevo #3DeT⚡🎲📚 para @jamboeditora e dou aulas na escola pública. Aviso: pode conter traços de glúten e ironias.")</f>
        <v>Melhor ser um porco que um fascista. Escrevo #3DeT⚡🎲📚 para @jamboeditora e dou aulas na escola pública. Aviso: pode conter traços de glúten e ironias.</v>
      </c>
      <c r="D1427" s="2">
        <f>IFERROR(__xludf.DUMMYFUNCTION("""COMPUTED_VALUE"""),1.0028027568273113E-4)</f>
        <v>0.0001002802757</v>
      </c>
      <c r="E1427" s="2" t="str">
        <f>IFERROR(__xludf.DUMMYFUNCTION("""COMPUTED_VALUE"""),"      1.090")</f>
        <v>      1.090</v>
      </c>
    </row>
    <row r="1428">
      <c r="A1428" s="2" t="str">
        <f>IFERROR(__xludf.DUMMYFUNCTION("""COMPUTED_VALUE"""),"maia")</f>
        <v>maia</v>
      </c>
      <c r="B1428" s="2" t="str">
        <f>IFERROR(__xludf.DUMMYFUNCTION("""COMPUTED_VALUE"""),"maialunars")</f>
        <v>maialunars</v>
      </c>
      <c r="C1428" s="2" t="str">
        <f>IFERROR(__xludf.DUMMYFUNCTION("""COMPUTED_VALUE"""),"i am not a muse, i am the somebody.")</f>
        <v>i am not a muse, i am the somebody.</v>
      </c>
      <c r="D1428" s="2">
        <f>IFERROR(__xludf.DUMMYFUNCTION("""COMPUTED_VALUE"""),1.0028027568273113E-4)</f>
        <v>0.0001002802757</v>
      </c>
      <c r="E1428" s="2" t="str">
        <f>IFERROR(__xludf.DUMMYFUNCTION("""COMPUTED_VALUE"""),"      1.075")</f>
        <v>      1.075</v>
      </c>
    </row>
    <row r="1429">
      <c r="A1429" s="2" t="str">
        <f>IFERROR(__xludf.DUMMYFUNCTION("""COMPUTED_VALUE"""),"JUPITER TEATRO PRODUÇÕES🚩🚩")</f>
        <v>JUPITER TEATRO PRODUÇÕES🚩🚩</v>
      </c>
      <c r="B1429" s="2" t="str">
        <f>IFERROR(__xludf.DUMMYFUNCTION("""COMPUTED_VALUE"""),"teatro1994")</f>
        <v>teatro1994</v>
      </c>
      <c r="C1429" s="2" t="str">
        <f>IFERROR(__xludf.DUMMYFUNCTION("""COMPUTED_VALUE"""),"Fundada em agosto de 1994, na cidade do Rio de Janeiro, tendo como objetivo principal a produção e exibição de eventos culturais.")</f>
        <v>Fundada em agosto de 1994, na cidade do Rio de Janeiro, tendo como objetivo principal a produção e exibição de eventos culturais.</v>
      </c>
      <c r="D1429" s="2">
        <f>IFERROR(__xludf.DUMMYFUNCTION("""COMPUTED_VALUE"""),1.0028027568273113E-4)</f>
        <v>0.0001002802757</v>
      </c>
      <c r="E1429" s="2" t="str">
        <f>IFERROR(__xludf.DUMMYFUNCTION("""COMPUTED_VALUE"""),"      3.146")</f>
        <v>      3.146</v>
      </c>
    </row>
    <row r="1430">
      <c r="A1430" s="2" t="str">
        <f>IFERROR(__xludf.DUMMYFUNCTION("""COMPUTED_VALUE"""),"Lula¹³🇧🇷")</f>
        <v>Lula¹³🇧🇷</v>
      </c>
      <c r="B1430" s="2" t="str">
        <f>IFERROR(__xludf.DUMMYFUNCTION("""COMPUTED_VALUE"""),"_soulula13")</f>
        <v>_soulula13</v>
      </c>
      <c r="C1430" s="2" t="str">
        <f>IFERROR(__xludf.DUMMYFUNCTION("""COMPUTED_VALUE"""),"Fora gadaiada !
Falem com a minha mão!
Não respondo Gadotário!")</f>
        <v>Fora gadaiada !
Falem com a minha mão!
Não respondo Gadotário!</v>
      </c>
      <c r="D1430" s="2">
        <f>IFERROR(__xludf.DUMMYFUNCTION("""COMPUTED_VALUE"""),1.0028027568273113E-4)</f>
        <v>0.0001002802757</v>
      </c>
      <c r="E1430" s="2" t="str">
        <f>IFERROR(__xludf.DUMMYFUNCTION("""COMPUTED_VALUE"""),"      1.745")</f>
        <v>      1.745</v>
      </c>
    </row>
    <row r="1431">
      <c r="A1431" s="2" t="str">
        <f>IFERROR(__xludf.DUMMYFUNCTION("""COMPUTED_VALUE"""),"✨𝐻𝑒𝓁𝒶𝓃𝒹𝓎𝒶 𝒞𝒶𝓇𝓂❀")</f>
        <v>✨𝐻𝑒𝓁𝒶𝓃𝒹𝓎𝒶 𝒞𝒶𝓇𝓂❀</v>
      </c>
      <c r="B1431" s="2" t="str">
        <f>IFERROR(__xludf.DUMMYFUNCTION("""COMPUTED_VALUE"""),"helancarmo")</f>
        <v>helancarmo</v>
      </c>
      <c r="C1431" s="2" t="str">
        <f>IFERROR(__xludf.DUMMYFUNCTION("""COMPUTED_VALUE"""),"⚖️Direito - USF
💰Ciências Contábeis 
🏡Gestão Imobiliária 
🎼🎤Soprano 
💃Dança cigana /danças árabes /Salsa/bachata
🙏 Espiritualizada
🦅")</f>
        <v>⚖️Direito - USF
💰Ciências Contábeis 
🏡Gestão Imobiliária 
🎼🎤Soprano 
💃Dança cigana /danças árabes /Salsa/bachata
🙏 Espiritualizada
🦅</v>
      </c>
      <c r="D1431" s="2">
        <f>IFERROR(__xludf.DUMMYFUNCTION("""COMPUTED_VALUE"""),1.0028027568273113E-4)</f>
        <v>0.0001002802757</v>
      </c>
      <c r="E1431" s="2" t="str">
        <f>IFERROR(__xludf.DUMMYFUNCTION("""COMPUTED_VALUE"""),"      1.259")</f>
        <v>      1.259</v>
      </c>
    </row>
    <row r="1432">
      <c r="A1432" s="2" t="str">
        <f>IFERROR(__xludf.DUMMYFUNCTION("""COMPUTED_VALUE"""),"🇧🇷 amazoniainforma 🇧🇷🚩🚩")</f>
        <v>🇧🇷 amazoniainforma 🇧🇷🚩🚩</v>
      </c>
      <c r="B1432" s="2" t="str">
        <f>IFERROR(__xludf.DUMMYFUNCTION("""COMPUTED_VALUE"""),"amazoniainforma")</f>
        <v>amazoniainforma</v>
      </c>
      <c r="C1432" s="2" t="str">
        <f>IFERROR(__xludf.DUMMYFUNCTION("""COMPUTED_VALUE"""),"A Amazonia é a única floresta do tamanho de um Continente.#AmazoniaLivre “ Doação de órgãos salva vidas” sigo de volta")</f>
        <v>A Amazonia é a única floresta do tamanho de um Continente.#AmazoniaLivre “ Doação de órgãos salva vidas” sigo de volta</v>
      </c>
      <c r="D1432" s="2">
        <f>IFERROR(__xludf.DUMMYFUNCTION("""COMPUTED_VALUE"""),1.0028027568273113E-4)</f>
        <v>0.0001002802757</v>
      </c>
      <c r="E1432" s="2" t="str">
        <f>IFERROR(__xludf.DUMMYFUNCTION("""COMPUTED_VALUE"""),"     19.056")</f>
        <v>     19.056</v>
      </c>
    </row>
    <row r="1433">
      <c r="A1433" s="2" t="str">
        <f>IFERROR(__xludf.DUMMYFUNCTION("""COMPUTED_VALUE"""),"Lueci")</f>
        <v>Lueci</v>
      </c>
      <c r="B1433" s="2" t="str">
        <f>IFERROR(__xludf.DUMMYFUNCTION("""COMPUTED_VALUE"""),"luecifabretti")</f>
        <v>luecifabretti</v>
      </c>
      <c r="C1433" s="2" t="str">
        <f>IFERROR(__xludf.DUMMYFUNCTION("""COMPUTED_VALUE"""),"RETROCEDER, SOMENTE PARA PEGAR IMPULSO! 🙌💚💛🇧🇷🇧🇷🙏#SomosTodosBolsonaro")</f>
        <v>RETROCEDER, SOMENTE PARA PEGAR IMPULSO! 🙌💚💛🇧🇷🇧🇷🙏#SomosTodosBolsonaro</v>
      </c>
      <c r="D1433" s="2">
        <f>IFERROR(__xludf.DUMMYFUNCTION("""COMPUTED_VALUE"""),1.0028027568273113E-4)</f>
        <v>0.0001002802757</v>
      </c>
      <c r="E1433" s="2" t="str">
        <f>IFERROR(__xludf.DUMMYFUNCTION("""COMPUTED_VALUE"""),"     24.284")</f>
        <v>     24.284</v>
      </c>
    </row>
    <row r="1434">
      <c r="A1434" s="2" t="str">
        <f>IFERROR(__xludf.DUMMYFUNCTION("""COMPUTED_VALUE"""),"Paulo #LulaDaSilva Botelho")</f>
        <v>Paulo #LulaDaSilva Botelho</v>
      </c>
      <c r="B1434" s="2" t="str">
        <f>IFERROR(__xludf.DUMMYFUNCTION("""COMPUTED_VALUE"""),"ppbotelho")</f>
        <v>ppbotelho</v>
      </c>
      <c r="C1434" s="2" t="str">
        <f>IFERROR(__xludf.DUMMYFUNCTION("""COMPUTED_VALUE"""),"Empresário da área de TI. Petista convicto pelo que vi acontecer durante os anos de governo Lula e Dilma. #DitaduraNuncaMais")</f>
        <v>Empresário da área de TI. Petista convicto pelo que vi acontecer durante os anos de governo Lula e Dilma. #DitaduraNuncaMais</v>
      </c>
      <c r="D1434" s="2">
        <f>IFERROR(__xludf.DUMMYFUNCTION("""COMPUTED_VALUE"""),1.0028027568273113E-4)</f>
        <v>0.0001002802757</v>
      </c>
      <c r="E1434" s="2" t="str">
        <f>IFERROR(__xludf.DUMMYFUNCTION("""COMPUTED_VALUE"""),"      2.055")</f>
        <v>      2.055</v>
      </c>
    </row>
    <row r="1435">
      <c r="A1435" s="2" t="str">
        <f>IFERROR(__xludf.DUMMYFUNCTION("""COMPUTED_VALUE"""),"Razao17")</f>
        <v>Razao17</v>
      </c>
      <c r="B1435" s="2" t="str">
        <f>IFERROR(__xludf.DUMMYFUNCTION("""COMPUTED_VALUE"""),"razao17")</f>
        <v>razao17</v>
      </c>
      <c r="C1435" s="2" t="str">
        <f>IFERROR(__xludf.DUMMYFUNCTION("""COMPUTED_VALUE"""),"Sou a dona da rua.Respeite-me e serás respeitado(a),senão,talvez não tenha tempo de arrepender-se. Se me seguir,talvez aprenda, se eu te seguir não questione...")</f>
        <v>Sou a dona da rua.Respeite-me e serás respeitado(a),senão,talvez não tenha tempo de arrepender-se. Se me seguir,talvez aprenda, se eu te seguir não questione...</v>
      </c>
      <c r="D1435" s="2">
        <f>IFERROR(__xludf.DUMMYFUNCTION("""COMPUTED_VALUE"""),1.0028027568273113E-4)</f>
        <v>0.0001002802757</v>
      </c>
      <c r="E1435" s="2" t="str">
        <f>IFERROR(__xludf.DUMMYFUNCTION("""COMPUTED_VALUE"""),"     11.126")</f>
        <v>     11.126</v>
      </c>
    </row>
    <row r="1436">
      <c r="A1436" s="2" t="str">
        <f>IFERROR(__xludf.DUMMYFUNCTION("""COMPUTED_VALUE"""),"#Antiracista")</f>
        <v>#Antiracista</v>
      </c>
      <c r="B1436" s="2" t="str">
        <f>IFERROR(__xludf.DUMMYFUNCTION("""COMPUTED_VALUE"""),"bia_peppe")</f>
        <v>bia_peppe</v>
      </c>
      <c r="C1436" s="2" t="str">
        <f>IFERROR(__xludf.DUMMYFUNCTION("""COMPUTED_VALUE"""),"EsquerdistasSeguemEsquerdistas Não faça aos outro o que Voce, não quer para Sí.O Amor Tem que Vencer o Ódio
, Meu filho e Eu, q nunca mais verei.")</f>
        <v>EsquerdistasSeguemEsquerdistas Não faça aos outro o que Voce, não quer para Sí.O Amor Tem que Vencer o Ódio
, Meu filho e Eu, q nunca mais verei.</v>
      </c>
      <c r="D1436" s="2">
        <f>IFERROR(__xludf.DUMMYFUNCTION("""COMPUTED_VALUE"""),1.0028027568273113E-4)</f>
        <v>0.0001002802757</v>
      </c>
      <c r="E1436" s="2" t="str">
        <f>IFERROR(__xludf.DUMMYFUNCTION("""COMPUTED_VALUE"""),"      2.924")</f>
        <v>      2.924</v>
      </c>
    </row>
    <row r="1437">
      <c r="A1437" s="2" t="str">
        <f>IFERROR(__xludf.DUMMYFUNCTION("""COMPUTED_VALUE"""),"Bru west")</f>
        <v>Bru west</v>
      </c>
      <c r="B1437" s="2" t="str">
        <f>IFERROR(__xludf.DUMMYFUNCTION("""COMPUTED_VALUE"""),"1bru_")</f>
        <v>1bru_</v>
      </c>
      <c r="C1437" s="2" t="str">
        <f>IFERROR(__xludf.DUMMYFUNCTION("""COMPUTED_VALUE"""),"Taróloga - axé ⚒️🪞📿 Uma deusa, uma louca, uma feiticeira (literalmente)")</f>
        <v>Taróloga - axé ⚒️🪞📿 Uma deusa, uma louca, uma feiticeira (literalmente)</v>
      </c>
      <c r="D1437" s="2">
        <f>IFERROR(__xludf.DUMMYFUNCTION("""COMPUTED_VALUE"""),1.0028027568273113E-4)</f>
        <v>0.0001002802757</v>
      </c>
      <c r="E1437" s="2" t="str">
        <f>IFERROR(__xludf.DUMMYFUNCTION("""COMPUTED_VALUE"""),"      1.284")</f>
        <v>      1.284</v>
      </c>
    </row>
    <row r="1438">
      <c r="A1438" s="2" t="str">
        <f>IFERROR(__xludf.DUMMYFUNCTION("""COMPUTED_VALUE"""),"Histórias, nossas histórias")</f>
        <v>Histórias, nossas histórias</v>
      </c>
      <c r="B1438" s="2" t="str">
        <f>IFERROR(__xludf.DUMMYFUNCTION("""COMPUTED_VALUE"""),"elanegomes2022")</f>
        <v>elanegomes2022</v>
      </c>
      <c r="C1438" s="2" t="str">
        <f>IFERROR(__xludf.DUMMYFUNCTION("""COMPUTED_VALUE"""),"🚩 // O que a vida quer da gente é coragem // 🚩")</f>
        <v>🚩 // O que a vida quer da gente é coragem // 🚩</v>
      </c>
      <c r="D1438" s="2">
        <f>IFERROR(__xludf.DUMMYFUNCTION("""COMPUTED_VALUE"""),1.0028027568273113E-4)</f>
        <v>0.0001002802757</v>
      </c>
      <c r="E1438" s="2" t="str">
        <f>IFERROR(__xludf.DUMMYFUNCTION("""COMPUTED_VALUE"""),"      1.415")</f>
        <v>      1.415</v>
      </c>
    </row>
    <row r="1439">
      <c r="A1439" s="2" t="str">
        <f>IFERROR(__xludf.DUMMYFUNCTION("""COMPUTED_VALUE"""),"genario azevedo")</f>
        <v>genario azevedo</v>
      </c>
      <c r="B1439" s="2" t="str">
        <f>IFERROR(__xludf.DUMMYFUNCTION("""COMPUTED_VALUE"""),"genario_azevedo")</f>
        <v>genario_azevedo</v>
      </c>
      <c r="C1439" s="2" t="str">
        <f>IFERROR(__xludf.DUMMYFUNCTION("""COMPUTED_VALUE"""),"Engenheiro de Pesca - Ecossocialista - Educador Ambiental")</f>
        <v>Engenheiro de Pesca - Ecossocialista - Educador Ambiental</v>
      </c>
      <c r="D1439" s="2">
        <f>IFERROR(__xludf.DUMMYFUNCTION("""COMPUTED_VALUE"""),1.0028027568273113E-4)</f>
        <v>0.0001002802757</v>
      </c>
      <c r="E1439" s="2" t="str">
        <f>IFERROR(__xludf.DUMMYFUNCTION("""COMPUTED_VALUE"""),"      3.730")</f>
        <v>      3.730</v>
      </c>
    </row>
    <row r="1440">
      <c r="A1440" s="2" t="str">
        <f>IFERROR(__xludf.DUMMYFUNCTION("""COMPUTED_VALUE"""),"Suzete 🇧🇷🇧🇷")</f>
        <v>Suzete 🇧🇷🇧🇷</v>
      </c>
      <c r="B1440" s="2" t="str">
        <f>IFERROR(__xludf.DUMMYFUNCTION("""COMPUTED_VALUE"""),"suzeteassismelo")</f>
        <v>suzeteassismelo</v>
      </c>
      <c r="C1440" s="2" t="str">
        <f>IFERROR(__xludf.DUMMYFUNCTION("""COMPUTED_VALUE"""),"Quero meu país de volta! 
Recomeçando... 🔰💚💛🇧🇷🙌🌻😎")</f>
        <v>Quero meu país de volta! 
Recomeçando... 🔰💚💛🇧🇷🙌🌻😎</v>
      </c>
      <c r="D1440" s="2">
        <f>IFERROR(__xludf.DUMMYFUNCTION("""COMPUTED_VALUE"""),1.0028027568273113E-4)</f>
        <v>0.0001002802757</v>
      </c>
      <c r="E1440" s="2" t="str">
        <f>IFERROR(__xludf.DUMMYFUNCTION("""COMPUTED_VALUE"""),"      1.841")</f>
        <v>      1.841</v>
      </c>
    </row>
    <row r="1441">
      <c r="A1441" s="2" t="str">
        <f>IFERROR(__xludf.DUMMYFUNCTION("""COMPUTED_VALUE"""),"Patricia")</f>
        <v>Patricia</v>
      </c>
      <c r="B1441" s="2" t="str">
        <f>IFERROR(__xludf.DUMMYFUNCTION("""COMPUTED_VALUE"""),"camposmendonca")</f>
        <v>camposmendonca</v>
      </c>
      <c r="C1441" s="2"/>
      <c r="D1441" s="2">
        <f>IFERROR(__xludf.DUMMYFUNCTION("""COMPUTED_VALUE"""),1.0028027568273113E-4)</f>
        <v>0.0001002802757</v>
      </c>
      <c r="E1441" s="2" t="str">
        <f>IFERROR(__xludf.DUMMYFUNCTION("""COMPUTED_VALUE"""),"      1.186")</f>
        <v>      1.186</v>
      </c>
    </row>
    <row r="1442">
      <c r="A1442" s="2" t="str">
        <f>IFERROR(__xludf.DUMMYFUNCTION("""COMPUTED_VALUE"""),"iza 🍓")</f>
        <v>iza 🍓</v>
      </c>
      <c r="B1442" s="2" t="str">
        <f>IFERROR(__xludf.DUMMYFUNCTION("""COMPUTED_VALUE"""),"jbxhadid")</f>
        <v>jbxhadid</v>
      </c>
      <c r="C1442" s="2" t="str">
        <f>IFERROR(__xludf.DUMMYFUNCTION("""COMPUTED_VALUE"""),"if i die i’m a legend")</f>
        <v>if i die i’m a legend</v>
      </c>
      <c r="D1442" s="2">
        <f>IFERROR(__xludf.DUMMYFUNCTION("""COMPUTED_VALUE"""),1.0028027568273113E-4)</f>
        <v>0.0001002802757</v>
      </c>
      <c r="E1442" s="2" t="str">
        <f>IFERROR(__xludf.DUMMYFUNCTION("""COMPUTED_VALUE"""),"      1.930")</f>
        <v>      1.930</v>
      </c>
    </row>
    <row r="1443">
      <c r="A1443" s="2" t="str">
        <f>IFERROR(__xludf.DUMMYFUNCTION("""COMPUTED_VALUE"""),"FitecK - Novo Sol ☀️")</f>
        <v>FitecK - Novo Sol ☀️</v>
      </c>
      <c r="B1443" s="2" t="str">
        <f>IFERROR(__xludf.DUMMYFUNCTION("""COMPUTED_VALUE"""),"fitecksergio")</f>
        <v>fitecksergio</v>
      </c>
      <c r="C1443" s="2" t="str">
        <f>IFERROR(__xludf.DUMMYFUNCTION("""COMPUTED_VALUE"""),"Cantor - Compositor / Salvador -Ba
                                     OUÇA AGORA 
 - NOVO SOL -
https://t.co/8yojiCdC66")</f>
        <v>Cantor - Compositor / Salvador -Ba
                                     OUÇA AGORA 
 - NOVO SOL -
https://t.co/8yojiCdC66</v>
      </c>
      <c r="D1443" s="2">
        <f>IFERROR(__xludf.DUMMYFUNCTION("""COMPUTED_VALUE"""),1.0028027568273113E-4)</f>
        <v>0.0001002802757</v>
      </c>
      <c r="E1443" s="2" t="str">
        <f>IFERROR(__xludf.DUMMYFUNCTION("""COMPUTED_VALUE"""),"      1.156")</f>
        <v>      1.156</v>
      </c>
    </row>
    <row r="1444">
      <c r="A1444" s="2" t="str">
        <f>IFERROR(__xludf.DUMMYFUNCTION("""COMPUTED_VALUE"""),"𝒍𝒂𝒍𝒂𝒚 𑁍 1989")</f>
        <v>𝒍𝒂𝒍𝒂𝒚 𑁍 1989</v>
      </c>
      <c r="B1444" s="2" t="str">
        <f>IFERROR(__xludf.DUMMYFUNCTION("""COMPUTED_VALUE"""),"larueftswift")</f>
        <v>larueftswift</v>
      </c>
      <c r="C1444" s="2" t="str">
        <f>IFERROR(__xludf.DUMMYFUNCTION("""COMPUTED_VALUE"""),"➳ Its always 'I love you' and never 'you're like my own personal brand of heroin'")</f>
        <v>➳ Its always 'I love you' and never 'you're like my own personal brand of heroin'</v>
      </c>
      <c r="D1444" s="2">
        <f>IFERROR(__xludf.DUMMYFUNCTION("""COMPUTED_VALUE"""),1.0028027568273113E-4)</f>
        <v>0.0001002802757</v>
      </c>
      <c r="E1444" s="2" t="str">
        <f>IFERROR(__xludf.DUMMYFUNCTION("""COMPUTED_VALUE"""),"      1.710")</f>
        <v>      1.710</v>
      </c>
    </row>
    <row r="1445">
      <c r="A1445" s="2" t="str">
        <f>IFERROR(__xludf.DUMMYFUNCTION("""COMPUTED_VALUE"""),"🦋")</f>
        <v>🦋</v>
      </c>
      <c r="B1445" s="2" t="str">
        <f>IFERROR(__xludf.DUMMYFUNCTION("""COMPUTED_VALUE"""),"laraeuzebio_")</f>
        <v>laraeuzebio_</v>
      </c>
      <c r="C1445" s="2" t="str">
        <f>IFERROR(__xludf.DUMMYFUNCTION("""COMPUTED_VALUE"""),"Nɪɴɢᴜéᴍ ᴄᴏᴍᴏ Dᴇᴜs")</f>
        <v>Nɪɴɢᴜéᴍ ᴄᴏᴍᴏ Dᴇᴜs</v>
      </c>
      <c r="D1445" s="2">
        <f>IFERROR(__xludf.DUMMYFUNCTION("""COMPUTED_VALUE"""),1.0028027568273113E-4)</f>
        <v>0.0001002802757</v>
      </c>
      <c r="E1445" s="2" t="str">
        <f>IFERROR(__xludf.DUMMYFUNCTION("""COMPUTED_VALUE"""),"      1.127")</f>
        <v>      1.127</v>
      </c>
    </row>
    <row r="1446">
      <c r="A1446" s="2" t="str">
        <f>IFERROR(__xludf.DUMMYFUNCTION("""COMPUTED_VALUE"""),"Danillo Fratta | Analista Investimentos e Trade")</f>
        <v>Danillo Fratta | Analista Investimentos e Trade</v>
      </c>
      <c r="B1446" s="2" t="str">
        <f>IFERROR(__xludf.DUMMYFUNCTION("""COMPUTED_VALUE"""),"danillofratta")</f>
        <v>danillofratta</v>
      </c>
      <c r="C1446" s="2" t="str">
        <f>IFERROR(__xludf.DUMMYFUNCTION("""COMPUTED_VALUE"""),"Analista CNPI-T desde 2017 | Te ajudo a operar com AT
| Conheça as minhas carteiras 👇")</f>
        <v>Analista CNPI-T desde 2017 | Te ajudo a operar com AT
| Conheça as minhas carteiras 👇</v>
      </c>
      <c r="D1446" s="2">
        <f>IFERROR(__xludf.DUMMYFUNCTION("""COMPUTED_VALUE"""),1.0028027568273113E-4)</f>
        <v>0.0001002802757</v>
      </c>
      <c r="E1446" s="2" t="str">
        <f>IFERROR(__xludf.DUMMYFUNCTION("""COMPUTED_VALUE"""),"      1.134")</f>
        <v>      1.134</v>
      </c>
    </row>
    <row r="1447">
      <c r="A1447" s="2" t="str">
        <f>IFERROR(__xludf.DUMMYFUNCTION("""COMPUTED_VALUE"""),"Rita Ribeiro 🇧🇷")</f>
        <v>Rita Ribeiro 🇧🇷</v>
      </c>
      <c r="B1447" s="2" t="str">
        <f>IFERROR(__xludf.DUMMYFUNCTION("""COMPUTED_VALUE"""),"ritaribee")</f>
        <v>ritaribee</v>
      </c>
      <c r="C1447" s="2" t="str">
        <f>IFERROR(__xludf.DUMMYFUNCTION("""COMPUTED_VALUE"""),"Jornalista, pedagoga, amante do futebol.
Fb: https://t.co/t700rqiW5d
Ig: @ritaribee")</f>
        <v>Jornalista, pedagoga, amante do futebol.
Fb: https://t.co/t700rqiW5d
Ig: @ritaribee</v>
      </c>
      <c r="D1447" s="2">
        <f>IFERROR(__xludf.DUMMYFUNCTION("""COMPUTED_VALUE"""),1.0028027568273113E-4)</f>
        <v>0.0001002802757</v>
      </c>
      <c r="E1447" s="2" t="str">
        <f>IFERROR(__xludf.DUMMYFUNCTION("""COMPUTED_VALUE"""),"      2.643")</f>
        <v>      2.643</v>
      </c>
    </row>
    <row r="1448">
      <c r="A1448" s="2" t="str">
        <f>IFERROR(__xludf.DUMMYFUNCTION("""COMPUTED_VALUE"""),"o fí da Teinha ❤️‍🔥")</f>
        <v>o fí da Teinha ❤️‍🔥</v>
      </c>
      <c r="B1448" s="2" t="str">
        <f>IFERROR(__xludf.DUMMYFUNCTION("""COMPUTED_VALUE"""),"menezesjoaum")</f>
        <v>menezesjoaum</v>
      </c>
      <c r="C1448" s="2"/>
      <c r="D1448" s="2">
        <f>IFERROR(__xludf.DUMMYFUNCTION("""COMPUTED_VALUE"""),1.0028027568273113E-4)</f>
        <v>0.0001002802757</v>
      </c>
      <c r="E1448" s="2" t="str">
        <f>IFERROR(__xludf.DUMMYFUNCTION("""COMPUTED_VALUE"""),"      1.551")</f>
        <v>      1.551</v>
      </c>
    </row>
    <row r="1449">
      <c r="A1449" s="2" t="str">
        <f>IFERROR(__xludf.DUMMYFUNCTION("""COMPUTED_VALUE"""),"Renato P.")</f>
        <v>Renato P.</v>
      </c>
      <c r="B1449" s="2" t="str">
        <f>IFERROR(__xludf.DUMMYFUNCTION("""COMPUTED_VALUE"""),"renatopraxis")</f>
        <v>renatopraxis</v>
      </c>
      <c r="C1449" s="2" t="str">
        <f>IFERROR(__xludf.DUMMYFUNCTION("""COMPUTED_VALUE"""),"Cientista Social (UFSCar), Educador,  Militante Político Humanista, Democrata e Pacifista. Apesar de você...Vai passar. (Chico Buarque)")</f>
        <v>Cientista Social (UFSCar), Educador,  Militante Político Humanista, Democrata e Pacifista. Apesar de você...Vai passar. (Chico Buarque)</v>
      </c>
      <c r="D1449" s="2">
        <f>IFERROR(__xludf.DUMMYFUNCTION("""COMPUTED_VALUE"""),1.0028027568273113E-4)</f>
        <v>0.0001002802757</v>
      </c>
      <c r="E1449" s="2" t="str">
        <f>IFERROR(__xludf.DUMMYFUNCTION("""COMPUTED_VALUE"""),"      1.283")</f>
        <v>      1.283</v>
      </c>
    </row>
    <row r="1450">
      <c r="A1450" s="2" t="str">
        <f>IFERROR(__xludf.DUMMYFUNCTION("""COMPUTED_VALUE"""),"André Pereira")</f>
        <v>André Pereira</v>
      </c>
      <c r="B1450" s="2" t="str">
        <f>IFERROR(__xludf.DUMMYFUNCTION("""COMPUTED_VALUE"""),"al_peira")</f>
        <v>al_peira</v>
      </c>
      <c r="C1450" s="2" t="str">
        <f>IFERROR(__xludf.DUMMYFUNCTION("""COMPUTED_VALUE"""),"Agente e empreendedor social! Com um modelo de LAB na periferia da Z/O de Sampa")</f>
        <v>Agente e empreendedor social! Com um modelo de LAB na periferia da Z/O de Sampa</v>
      </c>
      <c r="D1450" s="2">
        <f>IFERROR(__xludf.DUMMYFUNCTION("""COMPUTED_VALUE"""),1.0028027568273113E-4)</f>
        <v>0.0001002802757</v>
      </c>
      <c r="E1450" s="2" t="str">
        <f>IFERROR(__xludf.DUMMYFUNCTION("""COMPUTED_VALUE"""),"      2.901")</f>
        <v>      2.901</v>
      </c>
    </row>
    <row r="1451">
      <c r="A1451" s="2" t="str">
        <f>IFERROR(__xludf.DUMMYFUNCTION("""COMPUTED_VALUE"""),"Rafael Garnica 🚜🍀🌖")</f>
        <v>Rafael Garnica 🚜🍀🌖</v>
      </c>
      <c r="B1451" s="2" t="str">
        <f>IFERROR(__xludf.DUMMYFUNCTION("""COMPUTED_VALUE"""),"garnicaoficial")</f>
        <v>garnicaoficial</v>
      </c>
      <c r="C1451" s="2" t="str">
        <f>IFERROR(__xludf.DUMMYFUNCTION("""COMPUTED_VALUE"""),"📌 Advocacia Consultiva e Agronegócio 🔰 Casado com a maravilhosa @baboopgarnica 💍👩🏻‍❤️‍👨🏻 🔰 Pai da doce e linda Giovanna🧑🏻‍🍼❤️ #Cristão #DeuséBom")</f>
        <v>📌 Advocacia Consultiva e Agronegócio 🔰 Casado com a maravilhosa @baboopgarnica 💍👩🏻‍❤️‍👨🏻 🔰 Pai da doce e linda Giovanna🧑🏻‍🍼❤️ #Cristão #DeuséBom</v>
      </c>
      <c r="D1451" s="2">
        <f>IFERROR(__xludf.DUMMYFUNCTION("""COMPUTED_VALUE"""),1.0028027568273113E-4)</f>
        <v>0.0001002802757</v>
      </c>
      <c r="E1451" s="2" t="str">
        <f>IFERROR(__xludf.DUMMYFUNCTION("""COMPUTED_VALUE"""),"      1.010")</f>
        <v>      1.010</v>
      </c>
    </row>
    <row r="1452">
      <c r="A1452" s="2" t="str">
        <f>IFERROR(__xludf.DUMMYFUNCTION("""COMPUTED_VALUE"""),"Débora ❤🖤")</f>
        <v>Débora ❤🖤</v>
      </c>
      <c r="B1452" s="2" t="str">
        <f>IFERROR(__xludf.DUMMYFUNCTION("""COMPUTED_VALUE"""),"debby_2010")</f>
        <v>debby_2010</v>
      </c>
      <c r="C1452" s="2" t="str">
        <f>IFERROR(__xludf.DUMMYFUNCTION("""COMPUTED_VALUE"""),"Flamenguista, amo cachorros e viajar.
Se for bolsonarento, nem vem pq toma block.
#SEMANISTIA")</f>
        <v>Flamenguista, amo cachorros e viajar.
Se for bolsonarento, nem vem pq toma block.
#SEMANISTIA</v>
      </c>
      <c r="D1452" s="2">
        <f>IFERROR(__xludf.DUMMYFUNCTION("""COMPUTED_VALUE"""),1.0028027568273113E-4)</f>
        <v>0.0001002802757</v>
      </c>
      <c r="E1452" s="2" t="str">
        <f>IFERROR(__xludf.DUMMYFUNCTION("""COMPUTED_VALUE"""),"      1.529")</f>
        <v>      1.529</v>
      </c>
    </row>
    <row r="1453">
      <c r="A1453" s="2" t="str">
        <f>IFERROR(__xludf.DUMMYFUNCTION("""COMPUTED_VALUE"""),"Lucas 🦇")</f>
        <v>Lucas 🦇</v>
      </c>
      <c r="B1453" s="2" t="str">
        <f>IFERROR(__xludf.DUMMYFUNCTION("""COMPUTED_VALUE"""),"vlucasrocha")</f>
        <v>vlucasrocha</v>
      </c>
      <c r="C1453" s="2" t="str">
        <f>IFERROR(__xludf.DUMMYFUNCTION("""COMPUTED_VALUE"""),"o menino do morcego")</f>
        <v>o menino do morcego</v>
      </c>
      <c r="D1453" s="2">
        <f>IFERROR(__xludf.DUMMYFUNCTION("""COMPUTED_VALUE"""),1.0028027568273113E-4)</f>
        <v>0.0001002802757</v>
      </c>
      <c r="E1453" s="2" t="str">
        <f>IFERROR(__xludf.DUMMYFUNCTION("""COMPUTED_VALUE"""),"     42.791")</f>
        <v>     42.791</v>
      </c>
    </row>
    <row r="1454">
      <c r="A1454" s="2" t="str">
        <f>IFERROR(__xludf.DUMMYFUNCTION("""COMPUTED_VALUE"""),"sɑmi ✞")</f>
        <v>sɑmi ✞</v>
      </c>
      <c r="B1454" s="2" t="str">
        <f>IFERROR(__xludf.DUMMYFUNCTION("""COMPUTED_VALUE"""),"ghstrust")</f>
        <v>ghstrust</v>
      </c>
      <c r="C1454" s="2" t="str">
        <f>IFERROR(__xludf.DUMMYFUNCTION("""COMPUTED_VALUE"""),"🧚🏻‍♀️🌟🍒")</f>
        <v>🧚🏻‍♀️🌟🍒</v>
      </c>
      <c r="D1454" s="2">
        <f>IFERROR(__xludf.DUMMYFUNCTION("""COMPUTED_VALUE"""),1.0028027568273113E-4)</f>
        <v>0.0001002802757</v>
      </c>
      <c r="E1454" s="2" t="str">
        <f>IFERROR(__xludf.DUMMYFUNCTION("""COMPUTED_VALUE"""),"      3.689")</f>
        <v>      3.689</v>
      </c>
    </row>
    <row r="1455">
      <c r="A1455" s="2" t="str">
        <f>IFERROR(__xludf.DUMMYFUNCTION("""COMPUTED_VALUE"""),"Tai ⚖️🪴📚🎨🚩🚩🚩")</f>
        <v>Tai ⚖️🪴📚🎨🚩🚩🚩</v>
      </c>
      <c r="B1455" s="2" t="str">
        <f>IFERROR(__xludf.DUMMYFUNCTION("""COMPUTED_VALUE"""),"taisaadv")</f>
        <v>taisaadv</v>
      </c>
      <c r="C1455" s="2" t="str">
        <f>IFERROR(__xludf.DUMMYFUNCTION("""COMPUTED_VALUE"""),"Aqui é Lula!
Baiana, soteropolitana e membro do #SDVESQUERDALIVRE!🚩
(⚠️SPACEs toda quinta, às 20h⚠️) 
Fortalecendo a corrente
🚩🚩SDV🚩🚩")</f>
        <v>Aqui é Lula!
Baiana, soteropolitana e membro do #SDVESQUERDALIVRE!🚩
(⚠️SPACEs toda quinta, às 20h⚠️) 
Fortalecendo a corrente
🚩🚩SDV🚩🚩</v>
      </c>
      <c r="D1455" s="2">
        <f>IFERROR(__xludf.DUMMYFUNCTION("""COMPUTED_VALUE"""),1.0028027568273113E-4)</f>
        <v>0.0001002802757</v>
      </c>
      <c r="E1455" s="2" t="str">
        <f>IFERROR(__xludf.DUMMYFUNCTION("""COMPUTED_VALUE"""),"      9.643")</f>
        <v>      9.643</v>
      </c>
    </row>
    <row r="1456">
      <c r="A1456" s="2" t="str">
        <f>IFERROR(__xludf.DUMMYFUNCTION("""COMPUTED_VALUE"""),"Ivanete Bezerra3")</f>
        <v>Ivanete Bezerra3</v>
      </c>
      <c r="B1456" s="2" t="str">
        <f>IFERROR(__xludf.DUMMYFUNCTION("""COMPUTED_VALUE"""),"ivanetebezerra3")</f>
        <v>ivanetebezerra3</v>
      </c>
      <c r="C1456" s="2" t="str">
        <f>IFERROR(__xludf.DUMMYFUNCTION("""COMPUTED_VALUE"""),"Mestre em História.   
Cada ser é único e merece respeito!
Fundadora do PT e militante desde 13 anos.
Amo política e reality.
LUMINADOS.")</f>
        <v>Mestre em História.   
Cada ser é único e merece respeito!
Fundadora do PT e militante desde 13 anos.
Amo política e reality.
LUMINADOS.</v>
      </c>
      <c r="D1456" s="2">
        <f>IFERROR(__xludf.DUMMYFUNCTION("""COMPUTED_VALUE"""),1.0028027568273113E-4)</f>
        <v>0.0001002802757</v>
      </c>
      <c r="E1456" s="2" t="str">
        <f>IFERROR(__xludf.DUMMYFUNCTION("""COMPUTED_VALUE"""),"      9.782")</f>
        <v>      9.782</v>
      </c>
    </row>
    <row r="1457">
      <c r="A1457" s="2" t="str">
        <f>IFERROR(__xludf.DUMMYFUNCTION("""COMPUTED_VALUE"""),"◌⑅⃝●Mrͥ.℘eͣrͫfec†")</f>
        <v>◌⑅⃝●Mrͥ.℘eͣrͫfec†</v>
      </c>
      <c r="B1457" s="2" t="str">
        <f>IFERROR(__xludf.DUMMYFUNCTION("""COMPUTED_VALUE"""),"mrperfectt_")</f>
        <v>mrperfectt_</v>
      </c>
      <c r="C1457" s="2" t="str">
        <f>IFERROR(__xludf.DUMMYFUNCTION("""COMPUTED_VALUE"""),"Warrior Of Thalapathy Vijay | King Kohli |Retweet not Endorsed | 189K Tweets Done |")</f>
        <v>Warrior Of Thalapathy Vijay | King Kohli |Retweet not Endorsed | 189K Tweets Done |</v>
      </c>
      <c r="D1457" s="2">
        <f>IFERROR(__xludf.DUMMYFUNCTION("""COMPUTED_VALUE"""),1.0028027568273113E-4)</f>
        <v>0.0001002802757</v>
      </c>
      <c r="E1457" s="2" t="str">
        <f>IFERROR(__xludf.DUMMYFUNCTION("""COMPUTED_VALUE"""),"      4.997")</f>
        <v>      4.997</v>
      </c>
    </row>
    <row r="1458">
      <c r="A1458" s="2" t="str">
        <f>IFERROR(__xludf.DUMMYFUNCTION("""COMPUTED_VALUE"""),"Everson Cassol")</f>
        <v>Everson Cassol</v>
      </c>
      <c r="B1458" s="2" t="str">
        <f>IFERROR(__xludf.DUMMYFUNCTION("""COMPUTED_VALUE"""),"eversoncassol")</f>
        <v>eversoncassol</v>
      </c>
      <c r="C1458" s="2" t="str">
        <f>IFERROR(__xludf.DUMMYFUNCTION("""COMPUTED_VALUE"""),"Capitão Exército Brasileiro
Administração/UFSM  
Tocando em frente, SEMPRE!!!")</f>
        <v>Capitão Exército Brasileiro
Administração/UFSM  
Tocando em frente, SEMPRE!!!</v>
      </c>
      <c r="D1458" s="2">
        <f>IFERROR(__xludf.DUMMYFUNCTION("""COMPUTED_VALUE"""),1.0028027568273113E-4)</f>
        <v>0.0001002802757</v>
      </c>
      <c r="E1458" s="2" t="str">
        <f>IFERROR(__xludf.DUMMYFUNCTION("""COMPUTED_VALUE"""),"      4.096")</f>
        <v>      4.096</v>
      </c>
    </row>
    <row r="1459">
      <c r="A1459" s="2" t="str">
        <f>IFERROR(__xludf.DUMMYFUNCTION("""COMPUTED_VALUE"""),"José Carlos Lula da Silva")</f>
        <v>José Carlos Lula da Silva</v>
      </c>
      <c r="B1459" s="2" t="str">
        <f>IFERROR(__xludf.DUMMYFUNCTION("""COMPUTED_VALUE"""),"viktista")</f>
        <v>viktista</v>
      </c>
      <c r="C1459" s="2"/>
      <c r="D1459" s="2">
        <f>IFERROR(__xludf.DUMMYFUNCTION("""COMPUTED_VALUE"""),1.0028027568273113E-4)</f>
        <v>0.0001002802757</v>
      </c>
      <c r="E1459" s="2" t="str">
        <f>IFERROR(__xludf.DUMMYFUNCTION("""COMPUTED_VALUE"""),"      1.075")</f>
        <v>      1.075</v>
      </c>
    </row>
    <row r="1460">
      <c r="A1460" s="2" t="str">
        <f>IFERROR(__xludf.DUMMYFUNCTION("""COMPUTED_VALUE"""),"Mary Sampaio")</f>
        <v>Mary Sampaio</v>
      </c>
      <c r="B1460" s="2" t="str">
        <f>IFERROR(__xludf.DUMMYFUNCTION("""COMPUTED_VALUE"""),"marysampaio4")</f>
        <v>marysampaio4</v>
      </c>
      <c r="C1460" s="2" t="str">
        <f>IFERROR(__xludf.DUMMYFUNCTION("""COMPUTED_VALUE"""),"🎓⚖️🖊️🆘🇻🇳1️⃣3️⃣🇧🇷
#TRICOLOR⚽ #BBMP ❤️ #BAHIA 🇱🇺  htt://www.youtube.com/4646
➡️#Instagram@marysampaio1313➡️ #Facebook  #TELEGRAM @marysampaio4")</f>
        <v>🎓⚖️🖊️🆘🇻🇳1️⃣3️⃣🇧🇷
#TRICOLOR⚽ #BBMP ❤️ #BAHIA 🇱🇺  htt://www.youtube.com/4646
➡️#Instagram@marysampaio1313➡️ #Facebook  #TELEGRAM @marysampaio4</v>
      </c>
      <c r="D1460" s="2">
        <f>IFERROR(__xludf.DUMMYFUNCTION("""COMPUTED_VALUE"""),1.0028027568273113E-4)</f>
        <v>0.0001002802757</v>
      </c>
      <c r="E1460" s="2" t="str">
        <f>IFERROR(__xludf.DUMMYFUNCTION("""COMPUTED_VALUE"""),"      4.666")</f>
        <v>      4.666</v>
      </c>
    </row>
    <row r="1461">
      <c r="A1461" s="2" t="str">
        <f>IFERROR(__xludf.DUMMYFUNCTION("""COMPUTED_VALUE"""),"Joao Marcos")</f>
        <v>Joao Marcos</v>
      </c>
      <c r="B1461" s="2" t="str">
        <f>IFERROR(__xludf.DUMMYFUNCTION("""COMPUTED_VALUE"""),"joaomviso")</f>
        <v>joaomviso</v>
      </c>
      <c r="C1461" s="2" t="str">
        <f>IFERROR(__xludf.DUMMYFUNCTION("""COMPUTED_VALUE"""),"Stocks US e BR. Quality at Reasonable Prices.")</f>
        <v>Stocks US e BR. Quality at Reasonable Prices.</v>
      </c>
      <c r="D1461" s="2">
        <f>IFERROR(__xludf.DUMMYFUNCTION("""COMPUTED_VALUE"""),1.0028027568273113E-4)</f>
        <v>0.0001002802757</v>
      </c>
      <c r="E1461" s="2" t="str">
        <f>IFERROR(__xludf.DUMMYFUNCTION("""COMPUTED_VALUE"""),"     11.318")</f>
        <v>     11.318</v>
      </c>
    </row>
    <row r="1462">
      <c r="A1462" s="2" t="str">
        <f>IFERROR(__xludf.DUMMYFUNCTION("""COMPUTED_VALUE"""),"CHAVAS")</f>
        <v>CHAVAS</v>
      </c>
      <c r="B1462" s="2" t="str">
        <f>IFERROR(__xludf.DUMMYFUNCTION("""COMPUTED_VALUE"""),"chaverinholol")</f>
        <v>chaverinholol</v>
      </c>
      <c r="C1462" s="2" t="str">
        <f>IFERROR(__xludf.DUMMYFUNCTION("""COMPUTED_VALUE"""),"Mono Darius, ensinando lunáticos a jogar, MAIOR darius player TRABALHADOR
Lives em - https://t.co/5OF5ZPtg8a
📧E-mail para contato ➡ calamnte123@gmail.com")</f>
        <v>Mono Darius, ensinando lunáticos a jogar, MAIOR darius player TRABALHADOR
Lives em - https://t.co/5OF5ZPtg8a
📧E-mail para contato ➡ calamnte123@gmail.com</v>
      </c>
      <c r="D1462" s="2">
        <f>IFERROR(__xludf.DUMMYFUNCTION("""COMPUTED_VALUE"""),1.0028027568273113E-4)</f>
        <v>0.0001002802757</v>
      </c>
      <c r="E1462" s="2" t="str">
        <f>IFERROR(__xludf.DUMMYFUNCTION("""COMPUTED_VALUE"""),"      1.736")</f>
        <v>      1.736</v>
      </c>
    </row>
    <row r="1463">
      <c r="A1463" s="2" t="str">
        <f>IFERROR(__xludf.DUMMYFUNCTION("""COMPUTED_VALUE"""),"Luki")</f>
        <v>Luki</v>
      </c>
      <c r="B1463" s="2" t="str">
        <f>IFERROR(__xludf.DUMMYFUNCTION("""COMPUTED_VALUE"""),"ljsimas")</f>
        <v>ljsimas</v>
      </c>
      <c r="C1463" s="2" t="str">
        <f>IFERROR(__xludf.DUMMYFUNCTION("""COMPUTED_VALUE"""),"A moral e a ética são os princípios básicos das pessoas de bem.
#BolsonaroHeróiDoBrasil")</f>
        <v>A moral e a ética são os princípios básicos das pessoas de bem.
#BolsonaroHeróiDoBrasil</v>
      </c>
      <c r="D1463" s="2">
        <f>IFERROR(__xludf.DUMMYFUNCTION("""COMPUTED_VALUE"""),1.0028027568273113E-4)</f>
        <v>0.0001002802757</v>
      </c>
      <c r="E1463" s="2" t="str">
        <f>IFERROR(__xludf.DUMMYFUNCTION("""COMPUTED_VALUE"""),"      3.357")</f>
        <v>      3.357</v>
      </c>
    </row>
    <row r="1464">
      <c r="A1464" s="2" t="str">
        <f>IFERROR(__xludf.DUMMYFUNCTION("""COMPUTED_VALUE"""),"🌏Geografianews21 - Geopolítica🚩")</f>
        <v>🌏Geografianews21 - Geopolítica🚩</v>
      </c>
      <c r="B1464" s="2" t="str">
        <f>IFERROR(__xludf.DUMMYFUNCTION("""COMPUTED_VALUE"""),"geografianews21")</f>
        <v>geografianews21</v>
      </c>
      <c r="C1464" s="2" t="str">
        <f>IFERROR(__xludf.DUMMYFUNCTION("""COMPUTED_VALUE"""),"💫 Sigo de volta. ✨ Faz o L Brasil 🇧🇷 o Brasil melhor com LULA Presidente🤩🤩🤩🤩")</f>
        <v>💫 Sigo de volta. ✨ Faz o L Brasil 🇧🇷 o Brasil melhor com LULA Presidente🤩🤩🤩🤩</v>
      </c>
      <c r="D1464" s="2">
        <f>IFERROR(__xludf.DUMMYFUNCTION("""COMPUTED_VALUE"""),1.0028027568273113E-4)</f>
        <v>0.0001002802757</v>
      </c>
      <c r="E1464" s="2" t="str">
        <f>IFERROR(__xludf.DUMMYFUNCTION("""COMPUTED_VALUE"""),"      3.721")</f>
        <v>      3.721</v>
      </c>
    </row>
    <row r="1465">
      <c r="A1465" s="2" t="str">
        <f>IFERROR(__xludf.DUMMYFUNCTION("""COMPUTED_VALUE"""),"Nilson Nunes")</f>
        <v>Nilson Nunes</v>
      </c>
      <c r="B1465" s="2" t="str">
        <f>IFERROR(__xludf.DUMMYFUNCTION("""COMPUTED_VALUE"""),"nnunesjr")</f>
        <v>nnunesjr</v>
      </c>
      <c r="C1465" s="2" t="str">
        <f>IFERROR(__xludf.DUMMYFUNCTION("""COMPUTED_VALUE"""),"Advogado. Especialista e Mestre em Direito. Professor de Direito Constitucional e Tributário.")</f>
        <v>Advogado. Especialista e Mestre em Direito. Professor de Direito Constitucional e Tributário.</v>
      </c>
      <c r="D1465" s="2">
        <f>IFERROR(__xludf.DUMMYFUNCTION("""COMPUTED_VALUE"""),1.0028027568273113E-4)</f>
        <v>0.0001002802757</v>
      </c>
      <c r="E1465" s="2" t="str">
        <f>IFERROR(__xludf.DUMMYFUNCTION("""COMPUTED_VALUE"""),"      3.950")</f>
        <v>      3.950</v>
      </c>
    </row>
    <row r="1466">
      <c r="A1466" s="2" t="str">
        <f>IFERROR(__xludf.DUMMYFUNCTION("""COMPUTED_VALUE"""),"LISCA DOIDO 🫶")</f>
        <v>LISCA DOIDO 🫶</v>
      </c>
      <c r="B1466" s="2" t="str">
        <f>IFERROR(__xludf.DUMMYFUNCTION("""COMPUTED_VALUE"""),"liscadoido")</f>
        <v>liscadoido</v>
      </c>
      <c r="C1466" s="2" t="str">
        <f>IFERROR(__xludf.DUMMYFUNCTION("""COMPUTED_VALUE"""),"GENÉRICO - AMANTE DOS ALAMBRADOS")</f>
        <v>GENÉRICO - AMANTE DOS ALAMBRADOS</v>
      </c>
      <c r="D1466" s="2">
        <f>IFERROR(__xludf.DUMMYFUNCTION("""COMPUTED_VALUE"""),1.0028027568273113E-4)</f>
        <v>0.0001002802757</v>
      </c>
      <c r="E1466" s="2" t="str">
        <f>IFERROR(__xludf.DUMMYFUNCTION("""COMPUTED_VALUE"""),"     25.503")</f>
        <v>     25.503</v>
      </c>
    </row>
    <row r="1467">
      <c r="A1467" s="2" t="str">
        <f>IFERROR(__xludf.DUMMYFUNCTION("""COMPUTED_VALUE"""),"Maria Tiruí")</f>
        <v>Maria Tiruí</v>
      </c>
      <c r="B1467" s="2" t="str">
        <f>IFERROR(__xludf.DUMMYFUNCTION("""COMPUTED_VALUE"""),"mariatirui")</f>
        <v>mariatirui</v>
      </c>
      <c r="C1467" s="2" t="str">
        <f>IFERROR(__xludf.DUMMYFUNCTION("""COMPUTED_VALUE"""),"Cansada... exausta sim.
Sem esperanças nunca!")</f>
        <v>Cansada... exausta sim.
Sem esperanças nunca!</v>
      </c>
      <c r="D1467" s="2">
        <f>IFERROR(__xludf.DUMMYFUNCTION("""COMPUTED_VALUE"""),1.0028027568273113E-4)</f>
        <v>0.0001002802757</v>
      </c>
      <c r="E1467" s="2" t="str">
        <f>IFERROR(__xludf.DUMMYFUNCTION("""COMPUTED_VALUE"""),"      2.979")</f>
        <v>      2.979</v>
      </c>
    </row>
    <row r="1468">
      <c r="A1468" s="2" t="str">
        <f>IFERROR(__xludf.DUMMYFUNCTION("""COMPUTED_VALUE"""),"Cici Dutra.")</f>
        <v>Cici Dutra.</v>
      </c>
      <c r="B1468" s="2" t="str">
        <f>IFERROR(__xludf.DUMMYFUNCTION("""COMPUTED_VALUE"""),"juraci_dutra")</f>
        <v>juraci_dutra</v>
      </c>
      <c r="C1468" s="2" t="str">
        <f>IFERROR(__xludf.DUMMYFUNCTION("""COMPUTED_VALUE"""),"Psicóloga que ama jardinagem e viajar")</f>
        <v>Psicóloga que ama jardinagem e viajar</v>
      </c>
      <c r="D1468" s="2">
        <f>IFERROR(__xludf.DUMMYFUNCTION("""COMPUTED_VALUE"""),1.0028027568273113E-4)</f>
        <v>0.0001002802757</v>
      </c>
      <c r="E1468" s="2" t="str">
        <f>IFERROR(__xludf.DUMMYFUNCTION("""COMPUTED_VALUE"""),"      1.080")</f>
        <v>      1.080</v>
      </c>
    </row>
    <row r="1469">
      <c r="A1469" s="2" t="str">
        <f>IFERROR(__xludf.DUMMYFUNCTION("""COMPUTED_VALUE"""),"guinho.")</f>
        <v>guinho.</v>
      </c>
      <c r="B1469" s="2" t="str">
        <f>IFERROR(__xludf.DUMMYFUNCTION("""COMPUTED_VALUE"""),"guinho_tt")</f>
        <v>guinho_tt</v>
      </c>
      <c r="C1469" s="2" t="str">
        <f>IFERROR(__xludf.DUMMYFUNCTION("""COMPUTED_VALUE"""),"666 |
sc |
20 |")</f>
        <v>666 |
sc |
20 |</v>
      </c>
      <c r="D1469" s="2">
        <f>IFERROR(__xludf.DUMMYFUNCTION("""COMPUTED_VALUE"""),1.0028027568273113E-4)</f>
        <v>0.0001002802757</v>
      </c>
      <c r="E1469" s="2" t="str">
        <f>IFERROR(__xludf.DUMMYFUNCTION("""COMPUTED_VALUE"""),"      1.086")</f>
        <v>      1.086</v>
      </c>
    </row>
    <row r="1470">
      <c r="A1470" s="2" t="str">
        <f>IFERROR(__xludf.DUMMYFUNCTION("""COMPUTED_VALUE"""),"TutyLiny1924")</f>
        <v>TutyLiny1924</v>
      </c>
      <c r="B1470" s="2" t="str">
        <f>IFERROR(__xludf.DUMMYFUNCTION("""COMPUTED_VALUE"""),"jurktoti")</f>
        <v>jurktoti</v>
      </c>
      <c r="C1470" s="2" t="str">
        <f>IFERROR(__xludf.DUMMYFUNCTION("""COMPUTED_VALUE"""),"Quando cheguei aqui era tudo mato..")</f>
        <v>Quando cheguei aqui era tudo mato..</v>
      </c>
      <c r="D1470" s="2">
        <f>IFERROR(__xludf.DUMMYFUNCTION("""COMPUTED_VALUE"""),1.0028027568273113E-4)</f>
        <v>0.0001002802757</v>
      </c>
      <c r="E1470" s="2" t="str">
        <f>IFERROR(__xludf.DUMMYFUNCTION("""COMPUTED_VALUE"""),"      1.084")</f>
        <v>      1.084</v>
      </c>
    </row>
    <row r="1471">
      <c r="A1471" s="2" t="str">
        <f>IFERROR(__xludf.DUMMYFUNCTION("""COMPUTED_VALUE"""),"Rodrigo Felipe das Cativas 🐓")</f>
        <v>Rodrigo Felipe das Cativas 🐓</v>
      </c>
      <c r="B1471" s="2" t="str">
        <f>IFERROR(__xludf.DUMMYFUNCTION("""COMPUTED_VALUE"""),"rodrigo22galo")</f>
        <v>rodrigo22galo</v>
      </c>
      <c r="C1471" s="2" t="str">
        <f>IFERROR(__xludf.DUMMYFUNCTION("""COMPUTED_VALUE"""),"Amor demais pelo Clube Atlético Mineiro!!  5 cadeiras cativas")</f>
        <v>Amor demais pelo Clube Atlético Mineiro!!  5 cadeiras cativas</v>
      </c>
      <c r="D1471" s="2">
        <f>IFERROR(__xludf.DUMMYFUNCTION("""COMPUTED_VALUE"""),1.0028027568273113E-4)</f>
        <v>0.0001002802757</v>
      </c>
      <c r="E1471" s="2" t="str">
        <f>IFERROR(__xludf.DUMMYFUNCTION("""COMPUTED_VALUE"""),"      3.159")</f>
        <v>      3.159</v>
      </c>
    </row>
    <row r="1472">
      <c r="A1472" s="2" t="str">
        <f>IFERROR(__xludf.DUMMYFUNCTION("""COMPUTED_VALUE"""),"Jose Sergio Alipio Brandão")</f>
        <v>Jose Sergio Alipio Brandão</v>
      </c>
      <c r="B1472" s="2" t="str">
        <f>IFERROR(__xludf.DUMMYFUNCTION("""COMPUTED_VALUE"""),"josesergioalip1")</f>
        <v>josesergioalip1</v>
      </c>
      <c r="C1472" s="2"/>
      <c r="D1472" s="2">
        <f>IFERROR(__xludf.DUMMYFUNCTION("""COMPUTED_VALUE"""),1.0028027568273113E-4)</f>
        <v>0.0001002802757</v>
      </c>
      <c r="E1472" s="2" t="str">
        <f>IFERROR(__xludf.DUMMYFUNCTION("""COMPUTED_VALUE"""),"      1.038")</f>
        <v>      1.038</v>
      </c>
    </row>
    <row r="1473">
      <c r="A1473" s="2" t="str">
        <f>IFERROR(__xludf.DUMMYFUNCTION("""COMPUTED_VALUE"""),"Lautykese VICECAMPIONE D'EUROPA")</f>
        <v>Lautykese VICECAMPIONE D'EUROPA</v>
      </c>
      <c r="B1473" s="2" t="str">
        <f>IFERROR(__xludf.DUMMYFUNCTION("""COMPUTED_VALUE"""),"marco171292")</f>
        <v>marco171292</v>
      </c>
      <c r="C1473" s="2" t="str">
        <f>IFERROR(__xludf.DUMMYFUNCTION("""COMPUTED_VALUE"""),"lo #scudettino ficcatelo nel culo
fai il tuo che già fai fatica")</f>
        <v>lo #scudettino ficcatelo nel culo
fai il tuo che già fai fatica</v>
      </c>
      <c r="D1473" s="2">
        <f>IFERROR(__xludf.DUMMYFUNCTION("""COMPUTED_VALUE"""),1.0028027568273113E-4)</f>
        <v>0.0001002802757</v>
      </c>
      <c r="E1473" s="2" t="str">
        <f>IFERROR(__xludf.DUMMYFUNCTION("""COMPUTED_VALUE"""),"      1.093")</f>
        <v>      1.093</v>
      </c>
    </row>
    <row r="1474">
      <c r="A1474" s="2" t="str">
        <f>IFERROR(__xludf.DUMMYFUNCTION("""COMPUTED_VALUE"""),"BIGJASON")</f>
        <v>BIGJASON</v>
      </c>
      <c r="B1474" s="2" t="str">
        <f>IFERROR(__xludf.DUMMYFUNCTION("""COMPUTED_VALUE"""),"bigjason252")</f>
        <v>bigjason252</v>
      </c>
      <c r="C1474" s="2" t="str">
        <f>IFERROR(__xludf.DUMMYFUNCTION("""COMPUTED_VALUE"""),"Sou PT ,Sou LulaLivre,LulaPresidente... Odeio Ciro corone Gomes")</f>
        <v>Sou PT ,Sou LulaLivre,LulaPresidente... Odeio Ciro corone Gomes</v>
      </c>
      <c r="D1474" s="2">
        <f>IFERROR(__xludf.DUMMYFUNCTION("""COMPUTED_VALUE"""),1.0028027568273113E-4)</f>
        <v>0.0001002802757</v>
      </c>
      <c r="E1474" s="2" t="str">
        <f>IFERROR(__xludf.DUMMYFUNCTION("""COMPUTED_VALUE"""),"      1.557")</f>
        <v>      1.557</v>
      </c>
    </row>
    <row r="1475">
      <c r="A1475" s="2" t="str">
        <f>IFERROR(__xludf.DUMMYFUNCTION("""COMPUTED_VALUE"""),"Dada")</f>
        <v>Dada</v>
      </c>
      <c r="B1475" s="2" t="str">
        <f>IFERROR(__xludf.DUMMYFUNCTION("""COMPUTED_VALUE"""),"dadaanziotto")</f>
        <v>dadaanziotto</v>
      </c>
      <c r="C1475" s="2"/>
      <c r="D1475" s="2">
        <f>IFERROR(__xludf.DUMMYFUNCTION("""COMPUTED_VALUE"""),1.0028027568273113E-4)</f>
        <v>0.0001002802757</v>
      </c>
      <c r="E1475" s="2" t="str">
        <f>IFERROR(__xludf.DUMMYFUNCTION("""COMPUTED_VALUE"""),"      1.226")</f>
        <v>      1.226</v>
      </c>
    </row>
    <row r="1476">
      <c r="A1476" s="2" t="str">
        <f>IFERROR(__xludf.DUMMYFUNCTION("""COMPUTED_VALUE"""),"Bete Amaral 🇧🇷")</f>
        <v>Bete Amaral 🇧🇷</v>
      </c>
      <c r="B1476" s="2" t="str">
        <f>IFERROR(__xludf.DUMMYFUNCTION("""COMPUTED_VALUE"""),"beteamarall")</f>
        <v>beteamarall</v>
      </c>
      <c r="C1476" s="2"/>
      <c r="D1476" s="2">
        <f>IFERROR(__xludf.DUMMYFUNCTION("""COMPUTED_VALUE"""),1.0028027568273113E-4)</f>
        <v>0.0001002802757</v>
      </c>
      <c r="E1476" s="2" t="str">
        <f>IFERROR(__xludf.DUMMYFUNCTION("""COMPUTED_VALUE"""),"      2.401")</f>
        <v>      2.401</v>
      </c>
    </row>
    <row r="1477">
      <c r="A1477" s="2" t="str">
        <f>IFERROR(__xludf.DUMMYFUNCTION("""COMPUTED_VALUE"""),"Clebão© ˢᵖᶠᶜ 🇾🇪")</f>
        <v>Clebão© ˢᵖᶠᶜ 🇾🇪</v>
      </c>
      <c r="B1477" s="2" t="str">
        <f>IFERROR(__xludf.DUMMYFUNCTION("""COMPUTED_VALUE"""),"cleb_633")</f>
        <v>cleb_633</v>
      </c>
      <c r="C1477" s="2" t="str">
        <f>IFERROR(__xludf.DUMMYFUNCTION("""COMPUTED_VALUE"""),"São Paulino  🏟️🇾🇪                                                        
                                        Twitch: clebaoo23")</f>
        <v>São Paulino  🏟️🇾🇪                                                        
                                        Twitch: clebaoo23</v>
      </c>
      <c r="D1477" s="2">
        <f>IFERROR(__xludf.DUMMYFUNCTION("""COMPUTED_VALUE"""),1.0028027568273113E-4)</f>
        <v>0.0001002802757</v>
      </c>
      <c r="E1477" s="2" t="str">
        <f>IFERROR(__xludf.DUMMYFUNCTION("""COMPUTED_VALUE"""),"      1.042")</f>
        <v>      1.042</v>
      </c>
    </row>
    <row r="1478">
      <c r="A1478" s="2" t="str">
        <f>IFERROR(__xludf.DUMMYFUNCTION("""COMPUTED_VALUE"""),"Rohit Rajeev")</f>
        <v>Rohit Rajeev</v>
      </c>
      <c r="B1478" s="2" t="str">
        <f>IFERROR(__xludf.DUMMYFUNCTION("""COMPUTED_VALUE"""),"keralista")</f>
        <v>keralista</v>
      </c>
      <c r="C1478" s="2" t="str">
        <f>IFERROR(__xludf.DUMMYFUNCTION("""COMPUTED_VALUE"""),"An Entrepreneur with an 👁️ for tactics and 🔬. Words for @sempremilancom and @_GIFN. Backup account: @milantactics. 📹: @keralista_v2")</f>
        <v>An Entrepreneur with an 👁️ for tactics and 🔬. Words for @sempremilancom and @_GIFN. Backup account: @milantactics. 📹: @keralista_v2</v>
      </c>
      <c r="D1478" s="2">
        <f>IFERROR(__xludf.DUMMYFUNCTION("""COMPUTED_VALUE"""),1.0028027568273113E-4)</f>
        <v>0.0001002802757</v>
      </c>
      <c r="E1478" s="2" t="str">
        <f>IFERROR(__xludf.DUMMYFUNCTION("""COMPUTED_VALUE"""),"      8.595")</f>
        <v>      8.595</v>
      </c>
    </row>
    <row r="1479">
      <c r="A1479" s="2" t="str">
        <f>IFERROR(__xludf.DUMMYFUNCTION("""COMPUTED_VALUE"""),"manu")</f>
        <v>manu</v>
      </c>
      <c r="B1479" s="2" t="str">
        <f>IFERROR(__xludf.DUMMYFUNCTION("""COMPUTED_VALUE"""),"lovatogang")</f>
        <v>lovatogang</v>
      </c>
      <c r="C1479" s="2" t="str">
        <f>IFERROR(__xludf.DUMMYFUNCTION("""COMPUTED_VALUE"""),"ele/dele")</f>
        <v>ele/dele</v>
      </c>
      <c r="D1479" s="2">
        <f>IFERROR(__xludf.DUMMYFUNCTION("""COMPUTED_VALUE"""),1.0028027568273113E-4)</f>
        <v>0.0001002802757</v>
      </c>
      <c r="E1479" s="2" t="str">
        <f>IFERROR(__xludf.DUMMYFUNCTION("""COMPUTED_VALUE"""),"      1.504")</f>
        <v>      1.504</v>
      </c>
    </row>
    <row r="1480">
      <c r="A1480" s="2" t="str">
        <f>IFERROR(__xludf.DUMMYFUNCTION("""COMPUTED_VALUE"""),"legendas cuck ♠")</f>
        <v>legendas cuck ♠</v>
      </c>
      <c r="B1480" s="2" t="str">
        <f>IFERROR(__xludf.DUMMYFUNCTION("""COMPUTED_VALUE"""),"bzsccl")</f>
        <v>bzsccl</v>
      </c>
      <c r="C1480" s="2" t="str">
        <f>IFERROR(__xludf.DUMMYFUNCTION("""COMPUTED_VALUE"""),"DM para entrar no circulo e receber sempre o dobro de posts no precinho
Circle: @bzsXxX
Finder: @bzsfinder
Discord: https://t.co/bEvRIBpCKG")</f>
        <v>DM para entrar no circulo e receber sempre o dobro de posts no precinho
Circle: @bzsXxX
Finder: @bzsfinder
Discord: https://t.co/bEvRIBpCKG</v>
      </c>
      <c r="D1480" s="2">
        <f>IFERROR(__xludf.DUMMYFUNCTION("""COMPUTED_VALUE"""),1.0028027568273113E-4)</f>
        <v>0.0001002802757</v>
      </c>
      <c r="E1480" s="2" t="str">
        <f>IFERROR(__xludf.DUMMYFUNCTION("""COMPUTED_VALUE"""),"      8.123")</f>
        <v>      8.123</v>
      </c>
    </row>
    <row r="1481">
      <c r="A1481" s="2" t="str">
        <f>IFERROR(__xludf.DUMMYFUNCTION("""COMPUTED_VALUE"""),"Lady Botelho")</f>
        <v>Lady Botelho</v>
      </c>
      <c r="B1481" s="2" t="str">
        <f>IFERROR(__xludf.DUMMYFUNCTION("""COMPUTED_VALUE"""),"botelho4lady")</f>
        <v>botelho4lady</v>
      </c>
      <c r="C1481" s="2"/>
      <c r="D1481" s="2">
        <f>IFERROR(__xludf.DUMMYFUNCTION("""COMPUTED_VALUE"""),1.0028027568273113E-4)</f>
        <v>0.0001002802757</v>
      </c>
      <c r="E1481" s="2" t="str">
        <f>IFERROR(__xludf.DUMMYFUNCTION("""COMPUTED_VALUE"""),"      3.469")</f>
        <v>      3.469</v>
      </c>
    </row>
    <row r="1482">
      <c r="A1482" s="2" t="str">
        <f>IFERROR(__xludf.DUMMYFUNCTION("""COMPUTED_VALUE"""),"єdvαł łiмα - CєαráSC 🏳️🏴🇧🇷🚩🚩🚩")</f>
        <v>єdvαł łiмα - CєαráSC 🏳️🏴🇧🇷🚩🚩🚩</v>
      </c>
      <c r="B1482" s="2" t="str">
        <f>IFERROR(__xludf.DUMMYFUNCTION("""COMPUTED_VALUE"""),"edvalvozao")</f>
        <v>edvalvozao</v>
      </c>
      <c r="C1482" s="2" t="str">
        <f>IFERROR(__xludf.DUMMYFUNCTION("""COMPUTED_VALUE"""),"Paulista que reside em Fortaleza , Torcedor do Ceará , Casado com Vilma Clei. Pai de 3 filhos: Anderson,Samuel e Luana. https://t.co/OlrSh9Hm5q")</f>
        <v>Paulista que reside em Fortaleza , Torcedor do Ceará , Casado com Vilma Clei. Pai de 3 filhos: Anderson,Samuel e Luana. https://t.co/OlrSh9Hm5q</v>
      </c>
      <c r="D1482" s="2">
        <f>IFERROR(__xludf.DUMMYFUNCTION("""COMPUTED_VALUE"""),1.0028027568273113E-4)</f>
        <v>0.0001002802757</v>
      </c>
      <c r="E1482" s="2" t="str">
        <f>IFERROR(__xludf.DUMMYFUNCTION("""COMPUTED_VALUE"""),"      1.698")</f>
        <v>      1.698</v>
      </c>
    </row>
    <row r="1483">
      <c r="A1483" s="2" t="str">
        <f>IFERROR(__xludf.DUMMYFUNCTION("""COMPUTED_VALUE"""),"Eloi Moccellin")</f>
        <v>Eloi Moccellin</v>
      </c>
      <c r="B1483" s="2" t="str">
        <f>IFERROR(__xludf.DUMMYFUNCTION("""COMPUTED_VALUE"""),"garimpodeacoes")</f>
        <v>garimpodeacoes</v>
      </c>
      <c r="C1483" s="2" t="str">
        <f>IFERROR(__xludf.DUMMYFUNCTION("""COMPUTED_VALUE"""),"Garimpeiro de fatos e boatos sobre todos os assuntos.")</f>
        <v>Garimpeiro de fatos e boatos sobre todos os assuntos.</v>
      </c>
      <c r="D1483" s="2">
        <f>IFERROR(__xludf.DUMMYFUNCTION("""COMPUTED_VALUE"""),1.0028027568273113E-4)</f>
        <v>0.0001002802757</v>
      </c>
      <c r="E1483" s="2" t="str">
        <f>IFERROR(__xludf.DUMMYFUNCTION("""COMPUTED_VALUE"""),"      6.752")</f>
        <v>      6.752</v>
      </c>
    </row>
    <row r="1484">
      <c r="A1484" s="2" t="str">
        <f>IFERROR(__xludf.DUMMYFUNCTION("""COMPUTED_VALUE"""),"Rodrigo #Lula13 #PrendamBolsonaro&amp;Moro")</f>
        <v>Rodrigo #Lula13 #PrendamBolsonaro&amp;Moro</v>
      </c>
      <c r="B1484" s="2" t="str">
        <f>IFERROR(__xludf.DUMMYFUNCTION("""COMPUTED_VALUE"""),"rodp13")</f>
        <v>rodp13</v>
      </c>
      <c r="C1484" s="2" t="str">
        <f>IFERROR(__xludf.DUMMYFUNCTION("""COMPUTED_VALUE"""),"Ex-preso político em 1971/72. Na luta nestes tempos difíceis de fascismo.")</f>
        <v>Ex-preso político em 1971/72. Na luta nestes tempos difíceis de fascismo.</v>
      </c>
      <c r="D1484" s="2">
        <f>IFERROR(__xludf.DUMMYFUNCTION("""COMPUTED_VALUE"""),1.0028027568273113E-4)</f>
        <v>0.0001002802757</v>
      </c>
      <c r="E1484" s="2" t="str">
        <f>IFERROR(__xludf.DUMMYFUNCTION("""COMPUTED_VALUE"""),"     32.254")</f>
        <v>     32.254</v>
      </c>
    </row>
    <row r="1485">
      <c r="A1485" s="2" t="str">
        <f>IFERROR(__xludf.DUMMYFUNCTION("""COMPUTED_VALUE"""),"PT - Lagoa Dourada (MG)")</f>
        <v>PT - Lagoa Dourada (MG)</v>
      </c>
      <c r="B1485" s="2" t="str">
        <f>IFERROR(__xludf.DUMMYFUNCTION("""COMPUTED_VALUE"""),"ptlagoadourada")</f>
        <v>ptlagoadourada</v>
      </c>
      <c r="C1485" s="2" t="str">
        <f>IFERROR(__xludf.DUMMYFUNCTION("""COMPUTED_VALUE"""),"Lagoa Petista. Somos o Partido dos Trabalhadores em Lagoa Dourada! 
Siga-nos:
Face: https://t.co/G9s3pUG5UT Insta: https://t.co/QDxD6EajoW")</f>
        <v>Lagoa Petista. Somos o Partido dos Trabalhadores em Lagoa Dourada! 
Siga-nos:
Face: https://t.co/G9s3pUG5UT Insta: https://t.co/QDxD6EajoW</v>
      </c>
      <c r="D1485" s="2">
        <f>IFERROR(__xludf.DUMMYFUNCTION("""COMPUTED_VALUE"""),1.0028027568273113E-4)</f>
        <v>0.0001002802757</v>
      </c>
      <c r="E1485" s="2" t="str">
        <f>IFERROR(__xludf.DUMMYFUNCTION("""COMPUTED_VALUE"""),"      1.578")</f>
        <v>      1.578</v>
      </c>
    </row>
    <row r="1486">
      <c r="A1486" s="2" t="str">
        <f>IFERROR(__xludf.DUMMYFUNCTION("""COMPUTED_VALUE"""),"Beto Progressista 🚩🚩🚩 Anti bozo! Agnóstico")</f>
        <v>Beto Progressista 🚩🚩🚩 Anti bozo! Agnóstico</v>
      </c>
      <c r="B1486" s="2" t="str">
        <f>IFERROR(__xludf.DUMMYFUNCTION("""COMPUTED_VALUE"""),"prosecutormaste")</f>
        <v>prosecutormaste</v>
      </c>
      <c r="C1486" s="2" t="str">
        <f>IFERROR(__xludf.DUMMYFUNCTION("""COMPUTED_VALUE"""),"2001")</f>
        <v>2001</v>
      </c>
      <c r="D1486" s="2">
        <f>IFERROR(__xludf.DUMMYFUNCTION("""COMPUTED_VALUE"""),1.0028027568273113E-4)</f>
        <v>0.0001002802757</v>
      </c>
      <c r="E1486" s="2" t="str">
        <f>IFERROR(__xludf.DUMMYFUNCTION("""COMPUTED_VALUE"""),"      4.947")</f>
        <v>      4.947</v>
      </c>
    </row>
    <row r="1487">
      <c r="A1487" s="2" t="str">
        <f>IFERROR(__xludf.DUMMYFUNCTION("""COMPUTED_VALUE"""),"PLS 299/23 PELA DESAPOSENTAÇÃO")</f>
        <v>PLS 299/23 PELA DESAPOSENTAÇÃO</v>
      </c>
      <c r="B1487" s="2" t="str">
        <f>IFERROR(__xludf.DUMMYFUNCTION("""COMPUTED_VALUE"""),"catarina_47")</f>
        <v>catarina_47</v>
      </c>
      <c r="C1487" s="2"/>
      <c r="D1487" s="2">
        <f>IFERROR(__xludf.DUMMYFUNCTION("""COMPUTED_VALUE"""),1.0028027568273113E-4)</f>
        <v>0.0001002802757</v>
      </c>
      <c r="E1487" s="2" t="str">
        <f>IFERROR(__xludf.DUMMYFUNCTION("""COMPUTED_VALUE"""),"      2.679")</f>
        <v>      2.679</v>
      </c>
    </row>
    <row r="1488">
      <c r="A1488" s="2" t="str">
        <f>IFERROR(__xludf.DUMMYFUNCTION("""COMPUTED_VALUE"""),"ASTOLFO 🇷🇺❤️🇷🇺")</f>
        <v>ASTOLFO 🇷🇺❤️🇷🇺</v>
      </c>
      <c r="B1488" s="2" t="str">
        <f>IFERROR(__xludf.DUMMYFUNCTION("""COMPUTED_VALUE"""),"astolfo1968")</f>
        <v>astolfo1968</v>
      </c>
      <c r="C1488" s="2" t="str">
        <f>IFERROR(__xludf.DUMMYFUNCTION("""COMPUTED_VALUE"""),"La mia famiglia, l'essenza della vita.")</f>
        <v>La mia famiglia, l'essenza della vita.</v>
      </c>
      <c r="D1488" s="2">
        <f>IFERROR(__xludf.DUMMYFUNCTION("""COMPUTED_VALUE"""),1.0028027568273113E-4)</f>
        <v>0.0001002802757</v>
      </c>
      <c r="E1488" s="2" t="str">
        <f>IFERROR(__xludf.DUMMYFUNCTION("""COMPUTED_VALUE"""),"      2.253")</f>
        <v>      2.253</v>
      </c>
    </row>
    <row r="1489">
      <c r="A1489" s="2" t="str">
        <f>IFERROR(__xludf.DUMMYFUNCTION("""COMPUTED_VALUE"""),"Elizier De Oliveira")</f>
        <v>Elizier De Oliveira</v>
      </c>
      <c r="B1489" s="2" t="str">
        <f>IFERROR(__xludf.DUMMYFUNCTION("""COMPUTED_VALUE"""),"eliziernemoveio")</f>
        <v>eliziernemoveio</v>
      </c>
      <c r="C1489" s="2" t="str">
        <f>IFERROR(__xludf.DUMMYFUNCTION("""COMPUTED_VALUE"""),"DEUS, Pátria, Família e Liberdade ,PT é a escória do Brasil, estou no limbo do mercado de trabalho por Etarismo!Pix 422.474.540-20 me ajuda sobreviver, obrigado")</f>
        <v>DEUS, Pátria, Família e Liberdade ,PT é a escória do Brasil, estou no limbo do mercado de trabalho por Etarismo!Pix 422.474.540-20 me ajuda sobreviver, obrigado</v>
      </c>
      <c r="D1489" s="2">
        <f>IFERROR(__xludf.DUMMYFUNCTION("""COMPUTED_VALUE"""),1.0028027568273113E-4)</f>
        <v>0.0001002802757</v>
      </c>
      <c r="E1489" s="2" t="str">
        <f>IFERROR(__xludf.DUMMYFUNCTION("""COMPUTED_VALUE"""),"      2.462")</f>
        <v>      2.462</v>
      </c>
    </row>
    <row r="1490">
      <c r="A1490" s="2" t="str">
        <f>IFERROR(__xludf.DUMMYFUNCTION("""COMPUTED_VALUE"""),"Gancho🇧🇷🇧🇷🇧🇷")</f>
        <v>Gancho🇧🇷🇧🇷🇧🇷</v>
      </c>
      <c r="B1490" s="2" t="str">
        <f>IFERROR(__xludf.DUMMYFUNCTION("""COMPUTED_VALUE"""),"gancho_23")</f>
        <v>gancho_23</v>
      </c>
      <c r="C1490" s="2" t="str">
        <f>IFERROR(__xludf.DUMMYFUNCTION("""COMPUTED_VALUE"""),"Deus, Pátria, Família e Liberdade!")</f>
        <v>Deus, Pátria, Família e Liberdade!</v>
      </c>
      <c r="D1490" s="2">
        <f>IFERROR(__xludf.DUMMYFUNCTION("""COMPUTED_VALUE"""),1.0028027568273113E-4)</f>
        <v>0.0001002802757</v>
      </c>
      <c r="E1490" s="2" t="str">
        <f>IFERROR(__xludf.DUMMYFUNCTION("""COMPUTED_VALUE"""),"      1.663")</f>
        <v>      1.663</v>
      </c>
    </row>
    <row r="1491">
      <c r="A1491" s="2" t="str">
        <f>IFERROR(__xludf.DUMMYFUNCTION("""COMPUTED_VALUE"""),"Osvaldo Martinez®🚩")</f>
        <v>Osvaldo Martinez®🚩</v>
      </c>
      <c r="B1491" s="2" t="str">
        <f>IFERROR(__xludf.DUMMYFUNCTION("""COMPUTED_VALUE"""),"osvaldomtnez90")</f>
        <v>osvaldomtnez90</v>
      </c>
      <c r="C1491" s="2" t="str">
        <f>IFERROR(__xludf.DUMMYFUNCTION("""COMPUTED_VALUE"""),"💢«⭐️ Viajes ⭐️ Aventuras ⭐️ Naturaleza ⭐️ Turismo ⭐️ Revolución ⭐️ Rock ⭐️ Política» #LoveTwitter")</f>
        <v>💢«⭐️ Viajes ⭐️ Aventuras ⭐️ Naturaleza ⭐️ Turismo ⭐️ Revolución ⭐️ Rock ⭐️ Política» #LoveTwitter</v>
      </c>
      <c r="D1491" s="2">
        <f>IFERROR(__xludf.DUMMYFUNCTION("""COMPUTED_VALUE"""),1.0028027568273113E-4)</f>
        <v>0.0001002802757</v>
      </c>
      <c r="E1491" s="2" t="str">
        <f>IFERROR(__xludf.DUMMYFUNCTION("""COMPUTED_VALUE"""),"     17.864")</f>
        <v>     17.864</v>
      </c>
    </row>
    <row r="1492">
      <c r="A1492" s="2" t="str">
        <f>IFERROR(__xludf.DUMMYFUNCTION("""COMPUTED_VALUE"""),"Gi Roza S. #Lula13Presidente #MarcoTemporalNão “Mo")</f>
        <v>Gi Roza S. #Lula13Presidente #MarcoTemporalNão “Mo</v>
      </c>
      <c r="B1492" s="2" t="str">
        <f>IFERROR(__xludf.DUMMYFUNCTION("""COMPUTED_VALUE"""),"giovanadarozas2")</f>
        <v>giovanadarozas2</v>
      </c>
      <c r="C1492" s="2" t="str">
        <f>IFERROR(__xludf.DUMMYFUNCTION("""COMPUTED_VALUE"""),"Abomino injustiças, covardias, hipocrisia, repressão  e violência . Amo e respeito muito a Mãe Natureza !  https://t.co/YY4dTBJaNY    @giovana2OJU9U")</f>
        <v>Abomino injustiças, covardias, hipocrisia, repressão  e violência . Amo e respeito muito a Mãe Natureza !  https://t.co/YY4dTBJaNY    @giovana2OJU9U</v>
      </c>
      <c r="D1492" s="2">
        <f>IFERROR(__xludf.DUMMYFUNCTION("""COMPUTED_VALUE"""),1.0028027568273113E-4)</f>
        <v>0.0001002802757</v>
      </c>
      <c r="E1492" s="2" t="str">
        <f>IFERROR(__xludf.DUMMYFUNCTION("""COMPUTED_VALUE"""),"     12.060")</f>
        <v>     12.060</v>
      </c>
    </row>
    <row r="1493">
      <c r="A1493" s="2" t="str">
        <f>IFERROR(__xludf.DUMMYFUNCTION("""COMPUTED_VALUE"""),"Vanessa Carvalho")</f>
        <v>Vanessa Carvalho</v>
      </c>
      <c r="B1493" s="2" t="str">
        <f>IFERROR(__xludf.DUMMYFUNCTION("""COMPUTED_VALUE"""),"vanessasoaresc4")</f>
        <v>vanessasoaresc4</v>
      </c>
      <c r="C1493" s="2" t="str">
        <f>IFERROR(__xludf.DUMMYFUNCTION("""COMPUTED_VALUE"""),"Lulista")</f>
        <v>Lulista</v>
      </c>
      <c r="D1493" s="2">
        <f>IFERROR(__xludf.DUMMYFUNCTION("""COMPUTED_VALUE"""),1.0028027568273113E-4)</f>
        <v>0.0001002802757</v>
      </c>
      <c r="E1493" s="2" t="str">
        <f>IFERROR(__xludf.DUMMYFUNCTION("""COMPUTED_VALUE"""),"     23.102")</f>
        <v>     23.102</v>
      </c>
    </row>
    <row r="1494">
      <c r="A1494" s="2" t="str">
        <f>IFERROR(__xludf.DUMMYFUNCTION("""COMPUTED_VALUE"""),"sergio brandão lulista.")</f>
        <v>sergio brandão lulista.</v>
      </c>
      <c r="B1494" s="2" t="str">
        <f>IFERROR(__xludf.DUMMYFUNCTION("""COMPUTED_VALUE"""),"sergioronnie")</f>
        <v>sergioronnie</v>
      </c>
      <c r="C1494" s="2" t="str">
        <f>IFERROR(__xludf.DUMMYFUNCTION("""COMPUTED_VALUE"""),"Um humilde brasileiro,amante da sétima arte,professor e amargurado com as durezas da vida,mas vou na fé!")</f>
        <v>Um humilde brasileiro,amante da sétima arte,professor e amargurado com as durezas da vida,mas vou na fé!</v>
      </c>
      <c r="D1494" s="2">
        <f>IFERROR(__xludf.DUMMYFUNCTION("""COMPUTED_VALUE"""),1.0028027568273113E-4)</f>
        <v>0.0001002802757</v>
      </c>
      <c r="E1494" s="2" t="str">
        <f>IFERROR(__xludf.DUMMYFUNCTION("""COMPUTED_VALUE"""),"      2.280")</f>
        <v>      2.280</v>
      </c>
    </row>
    <row r="1495">
      <c r="A1495" s="2" t="str">
        <f>IFERROR(__xludf.DUMMYFUNCTION("""COMPUTED_VALUE"""),"waldemir")</f>
        <v>waldemir</v>
      </c>
      <c r="B1495" s="2" t="str">
        <f>IFERROR(__xludf.DUMMYFUNCTION("""COMPUTED_VALUE"""),"w080560")</f>
        <v>w080560</v>
      </c>
      <c r="C1495" s="2" t="str">
        <f>IFERROR(__xludf.DUMMYFUNCTION("""COMPUTED_VALUE"""),"Somos orientados por uma base ideológica. A questão é; a sua é inclusiva ou excludente' - Paulo Freire")</f>
        <v>Somos orientados por uma base ideológica. A questão é; a sua é inclusiva ou excludente' - Paulo Freire</v>
      </c>
      <c r="D1495" s="2">
        <f>IFERROR(__xludf.DUMMYFUNCTION("""COMPUTED_VALUE"""),1.0028027568273113E-4)</f>
        <v>0.0001002802757</v>
      </c>
      <c r="E1495" s="2" t="str">
        <f>IFERROR(__xludf.DUMMYFUNCTION("""COMPUTED_VALUE"""),"      2.242")</f>
        <v>      2.242</v>
      </c>
    </row>
    <row r="1496">
      <c r="A1496" s="2" t="str">
        <f>IFERROR(__xludf.DUMMYFUNCTION("""COMPUTED_VALUE"""),"#DitaduraNuncaMais 🌵🦅")</f>
        <v>#DitaduraNuncaMais 🌵🦅</v>
      </c>
      <c r="B1496" s="2" t="str">
        <f>IFERROR(__xludf.DUMMYFUNCTION("""COMPUTED_VALUE"""),"drairacema_")</f>
        <v>drairacema_</v>
      </c>
      <c r="C1496" s="2" t="str">
        <f>IFERROR(__xludf.DUMMYFUNCTION("""COMPUTED_VALUE"""),"DemocraciaParaSempre com Estado de Direito.Professora,Advogada.Para expurgar o #NaziFascismo: Lula!")</f>
        <v>DemocraciaParaSempre com Estado de Direito.Professora,Advogada.Para expurgar o #NaziFascismo: Lula!</v>
      </c>
      <c r="D1496" s="2">
        <f>IFERROR(__xludf.DUMMYFUNCTION("""COMPUTED_VALUE"""),1.0028027568273113E-4)</f>
        <v>0.0001002802757</v>
      </c>
      <c r="E1496" s="2" t="str">
        <f>IFERROR(__xludf.DUMMYFUNCTION("""COMPUTED_VALUE"""),"     17.521")</f>
        <v>     17.521</v>
      </c>
    </row>
    <row r="1497">
      <c r="A1497" s="2" t="str">
        <f>IFERROR(__xludf.DUMMYFUNCTION("""COMPUTED_VALUE"""),"Rei Dom Rossoni 🇧🇷 🇮🇱 Anti-Woke")</f>
        <v>Rei Dom Rossoni 🇧🇷 🇮🇱 Anti-Woke</v>
      </c>
      <c r="B1497" s="2" t="str">
        <f>IFERROR(__xludf.DUMMYFUNCTION("""COMPUTED_VALUE"""),"rinaldorossoni")</f>
        <v>rinaldorossoni</v>
      </c>
      <c r="C1497" s="2" t="str">
        <f>IFERROR(__xludf.DUMMYFUNCTION("""COMPUTED_VALUE"""),"Jamais desistiremos de um Brasil livre da tirania comunista!
Não aceitaremos um governo liderado por um presidiário apoiador de ditadores e da ORCRIM!")</f>
        <v>Jamais desistiremos de um Brasil livre da tirania comunista!
Não aceitaremos um governo liderado por um presidiário apoiador de ditadores e da ORCRIM!</v>
      </c>
      <c r="D1497" s="2">
        <f>IFERROR(__xludf.DUMMYFUNCTION("""COMPUTED_VALUE"""),1.0028027568273113E-4)</f>
        <v>0.0001002802757</v>
      </c>
      <c r="E1497" s="2" t="str">
        <f>IFERROR(__xludf.DUMMYFUNCTION("""COMPUTED_VALUE"""),"      1.749")</f>
        <v>      1.749</v>
      </c>
    </row>
    <row r="1498">
      <c r="A1498" s="2" t="str">
        <f>IFERROR(__xludf.DUMMYFUNCTION("""COMPUTED_VALUE"""),"marília do couto e s")</f>
        <v>marília do couto e s</v>
      </c>
      <c r="B1498" s="2" t="str">
        <f>IFERROR(__xludf.DUMMYFUNCTION("""COMPUTED_VALUE"""),"mariliacoutoesi")</f>
        <v>mariliacoutoesi</v>
      </c>
      <c r="C1498" s="2"/>
      <c r="D1498" s="2">
        <f>IFERROR(__xludf.DUMMYFUNCTION("""COMPUTED_VALUE"""),1.0028027568273113E-4)</f>
        <v>0.0001002802757</v>
      </c>
      <c r="E1498" s="2" t="str">
        <f>IFERROR(__xludf.DUMMYFUNCTION("""COMPUTED_VALUE"""),"      2.168")</f>
        <v>      2.168</v>
      </c>
    </row>
    <row r="1499">
      <c r="A1499" s="2" t="str">
        <f>IFERROR(__xludf.DUMMYFUNCTION("""COMPUTED_VALUE"""),"Fabrizio Bava")</f>
        <v>Fabrizio Bava</v>
      </c>
      <c r="B1499" s="2" t="str">
        <f>IFERROR(__xludf.DUMMYFUNCTION("""COMPUTED_VALUE"""),"fabriziobava")</f>
        <v>fabriziobava</v>
      </c>
      <c r="C1499" s="2" t="str">
        <f>IFERROR(__xludf.DUMMYFUNCTION("""COMPUTED_VALUE"""),"Insegno nel Dipartimento di Management dell’Università di Torino bilancio e revisione e svolgo la professione di dottore commercialista.")</f>
        <v>Insegno nel Dipartimento di Management dell’Università di Torino bilancio e revisione e svolgo la professione di dottore commercialista.</v>
      </c>
      <c r="D1499" s="2">
        <f>IFERROR(__xludf.DUMMYFUNCTION("""COMPUTED_VALUE"""),1.0028027568273113E-4)</f>
        <v>0.0001002802757</v>
      </c>
      <c r="E1499" s="2" t="str">
        <f>IFERROR(__xludf.DUMMYFUNCTION("""COMPUTED_VALUE"""),"      3.075")</f>
        <v>      3.075</v>
      </c>
    </row>
    <row r="1500">
      <c r="A1500" s="2" t="str">
        <f>IFERROR(__xludf.DUMMYFUNCTION("""COMPUTED_VALUE"""),"Vôlei Fans Brasil 🏐🇧🇷")</f>
        <v>Vôlei Fans Brasil 🏐🇧🇷</v>
      </c>
      <c r="B1500" s="2" t="str">
        <f>IFERROR(__xludf.DUMMYFUNCTION("""COMPUTED_VALUE"""),"voleifans_br")</f>
        <v>voleifans_br</v>
      </c>
      <c r="C1500" s="2" t="str">
        <f>IFERROR(__xludf.DUMMYFUNCTION("""COMPUTED_VALUE"""),"🗣 Novo portal voltado à informações e entretenimento destinados aos fãs do vôlei nacional e internacional. | 📧 Contato: portalvoleimania2022@gmail.com")</f>
        <v>🗣 Novo portal voltado à informações e entretenimento destinados aos fãs do vôlei nacional e internacional. | 📧 Contato: portalvoleimania2022@gmail.com</v>
      </c>
      <c r="D1500" s="2">
        <f>IFERROR(__xludf.DUMMYFUNCTION("""COMPUTED_VALUE"""),1.0028027568273113E-4)</f>
        <v>0.0001002802757</v>
      </c>
      <c r="E1500" s="2" t="str">
        <f>IFERROR(__xludf.DUMMYFUNCTION("""COMPUTED_VALUE"""),"      1.361")</f>
        <v>      1.361</v>
      </c>
    </row>
    <row r="1501">
      <c r="A1501" s="2" t="str">
        <f>IFERROR(__xludf.DUMMYFUNCTION("""COMPUTED_VALUE"""),"Gus 🚩🇧🇷")</f>
        <v>Gus 🚩🇧🇷</v>
      </c>
      <c r="B1501" s="2" t="str">
        <f>IFERROR(__xludf.DUMMYFUNCTION("""COMPUTED_VALUE"""),"artistario")</f>
        <v>artistario</v>
      </c>
      <c r="C1501" s="2" t="str">
        <f>IFERROR(__xludf.DUMMYFUNCTION("""COMPUTED_VALUE"""),"Cristão, social democrata, fã de Prince. Gosto do bom debate e não levo discussão política pro lado pessoal. Retweet nao é endosso.")</f>
        <v>Cristão, social democrata, fã de Prince. Gosto do bom debate e não levo discussão política pro lado pessoal. Retweet nao é endosso.</v>
      </c>
      <c r="D1501" s="2">
        <f>IFERROR(__xludf.DUMMYFUNCTION("""COMPUTED_VALUE"""),1.0028027568273113E-4)</f>
        <v>0.0001002802757</v>
      </c>
      <c r="E1501" s="2" t="str">
        <f>IFERROR(__xludf.DUMMYFUNCTION("""COMPUTED_VALUE"""),"      1.891")</f>
        <v>      1.891</v>
      </c>
    </row>
    <row r="1502">
      <c r="A1502" s="2" t="str">
        <f>IFERROR(__xludf.DUMMYFUNCTION("""COMPUTED_VALUE"""),"Thiago Ferreira")</f>
        <v>Thiago Ferreira</v>
      </c>
      <c r="B1502" s="2" t="str">
        <f>IFERROR(__xludf.DUMMYFUNCTION("""COMPUTED_VALUE"""),"coachthiagao")</f>
        <v>coachthiagao</v>
      </c>
      <c r="C1502" s="2" t="str">
        <f>IFERROR(__xludf.DUMMYFUNCTION("""COMPUTED_VALUE"""),"Diretor Manager @ssofc__")</f>
        <v>Diretor Manager @ssofc__</v>
      </c>
      <c r="D1502" s="2">
        <f>IFERROR(__xludf.DUMMYFUNCTION("""COMPUTED_VALUE"""),1.0028027568273113E-4)</f>
        <v>0.0001002802757</v>
      </c>
      <c r="E1502" s="2" t="str">
        <f>IFERROR(__xludf.DUMMYFUNCTION("""COMPUTED_VALUE"""),"      3.319")</f>
        <v>      3.319</v>
      </c>
    </row>
    <row r="1503">
      <c r="A1503" s="2" t="str">
        <f>IFERROR(__xludf.DUMMYFUNCTION("""COMPUTED_VALUE"""),"Eduardo Lacerda 🚩🇧🇷🇺🇾🇵🇷🇸🇩1️⃣3️⃣")</f>
        <v>Eduardo Lacerda 🚩🇧🇷🇺🇾🇵🇷🇸🇩1️⃣3️⃣</v>
      </c>
      <c r="B1503" s="2" t="str">
        <f>IFERROR(__xludf.DUMMYFUNCTION("""COMPUTED_VALUE"""),"eduardo33867333")</f>
        <v>eduardo33867333</v>
      </c>
      <c r="C1503" s="2" t="str">
        <f>IFERROR(__xludf.DUMMYFUNCTION("""COMPUTED_VALUE"""),"Gaúcho morando no ES, esquerdopata, Lulista, advogado e Petroleiro.")</f>
        <v>Gaúcho morando no ES, esquerdopata, Lulista, advogado e Petroleiro.</v>
      </c>
      <c r="D1503" s="2">
        <f>IFERROR(__xludf.DUMMYFUNCTION("""COMPUTED_VALUE"""),1.0028027568273113E-4)</f>
        <v>0.0001002802757</v>
      </c>
      <c r="E1503" s="2" t="str">
        <f>IFERROR(__xludf.DUMMYFUNCTION("""COMPUTED_VALUE"""),"      2.706")</f>
        <v>      2.706</v>
      </c>
    </row>
    <row r="1504">
      <c r="A1504" s="2" t="str">
        <f>IFERROR(__xludf.DUMMYFUNCTION("""COMPUTED_VALUE"""),"Keli 🙏☘️🌷")</f>
        <v>Keli 🙏☘️🌷</v>
      </c>
      <c r="B1504" s="2" t="str">
        <f>IFERROR(__xludf.DUMMYFUNCTION("""COMPUTED_VALUE"""),"keliveronezi")</f>
        <v>keliveronezi</v>
      </c>
      <c r="C1504" s="2" t="str">
        <f>IFERROR(__xludf.DUMMYFUNCTION("""COMPUTED_VALUE"""),"Casada, mãe, em busca de um Brasil melhor!!!")</f>
        <v>Casada, mãe, em busca de um Brasil melhor!!!</v>
      </c>
      <c r="D1504" s="2">
        <f>IFERROR(__xludf.DUMMYFUNCTION("""COMPUTED_VALUE"""),1.0028027568273113E-4)</f>
        <v>0.0001002802757</v>
      </c>
      <c r="E1504" s="2" t="str">
        <f>IFERROR(__xludf.DUMMYFUNCTION("""COMPUTED_VALUE"""),"      8.680")</f>
        <v>      8.680</v>
      </c>
    </row>
    <row r="1505">
      <c r="A1505" s="2" t="str">
        <f>IFERROR(__xludf.DUMMYFUNCTION("""COMPUTED_VALUE"""),"🏹Coxa Eu Te Amo!!!💚 Só se vive uma vez.")</f>
        <v>🏹Coxa Eu Te Amo!!!💚 Só se vive uma vez.</v>
      </c>
      <c r="B1505" s="2" t="str">
        <f>IFERROR(__xludf.DUMMYFUNCTION("""COMPUTED_VALUE"""),"ike_coxa")</f>
        <v>ike_coxa</v>
      </c>
      <c r="C1505" s="2" t="str">
        <f>IFERROR(__xludf.DUMMYFUNCTION("""COMPUTED_VALUE"""),"Amo a Vida, a Família e o Coritiba Foot Ball Club!!!")</f>
        <v>Amo a Vida, a Família e o Coritiba Foot Ball Club!!!</v>
      </c>
      <c r="D1505" s="2">
        <f>IFERROR(__xludf.DUMMYFUNCTION("""COMPUTED_VALUE"""),1.0028027568273113E-4)</f>
        <v>0.0001002802757</v>
      </c>
      <c r="E1505" s="2" t="str">
        <f>IFERROR(__xludf.DUMMYFUNCTION("""COMPUTED_VALUE"""),"      3.447")</f>
        <v>      3.447</v>
      </c>
    </row>
    <row r="1506">
      <c r="A1506" s="2" t="str">
        <f>IFERROR(__xludf.DUMMYFUNCTION("""COMPUTED_VALUE"""),"Iliria Abrao")</f>
        <v>Iliria Abrao</v>
      </c>
      <c r="B1506" s="2" t="str">
        <f>IFERROR(__xludf.DUMMYFUNCTION("""COMPUTED_VALUE"""),"abrao_iliria")</f>
        <v>abrao_iliria</v>
      </c>
      <c r="C1506" s="2"/>
      <c r="D1506" s="2">
        <f>IFERROR(__xludf.DUMMYFUNCTION("""COMPUTED_VALUE"""),1.0028027568273113E-4)</f>
        <v>0.0001002802757</v>
      </c>
      <c r="E1506" s="2" t="str">
        <f>IFERROR(__xludf.DUMMYFUNCTION("""COMPUTED_VALUE"""),"      1.320")</f>
        <v>      1.320</v>
      </c>
    </row>
    <row r="1507">
      <c r="A1507" s="2" t="str">
        <f>IFERROR(__xludf.DUMMYFUNCTION("""COMPUTED_VALUE"""),"L@nn@ Alencar M. Rammacher")</f>
        <v>L@nn@ Alencar M. Rammacher</v>
      </c>
      <c r="B1507" s="2" t="str">
        <f>IFERROR(__xludf.DUMMYFUNCTION("""COMPUTED_VALUE"""),"lnnalencarmram1")</f>
        <v>lnnalencarmram1</v>
      </c>
      <c r="C1507" s="2"/>
      <c r="D1507" s="2">
        <f>IFERROR(__xludf.DUMMYFUNCTION("""COMPUTED_VALUE"""),1.0028027568273113E-4)</f>
        <v>0.0001002802757</v>
      </c>
      <c r="E1507" s="2" t="str">
        <f>IFERROR(__xludf.DUMMYFUNCTION("""COMPUTED_VALUE"""),"      2.300")</f>
        <v>      2.300</v>
      </c>
    </row>
    <row r="1508">
      <c r="A1508" s="2" t="str">
        <f>IFERROR(__xludf.DUMMYFUNCTION("""COMPUTED_VALUE"""),"Sônia Salino🌸🌺🌼")</f>
        <v>Sônia Salino🌸🌺🌼</v>
      </c>
      <c r="B1508" s="2" t="str">
        <f>IFERROR(__xludf.DUMMYFUNCTION("""COMPUTED_VALUE"""),"soniasallino")</f>
        <v>soniasallino</v>
      </c>
      <c r="C1508" s="2" t="str">
        <f>IFERROR(__xludf.DUMMYFUNCTION("""COMPUTED_VALUE"""),"Geógrafa 🌎 🌍🌏Professora da Rede Estadual e Municipal do Rio de Janeiro. Anseio por uma sociedade mais justa, inclusiva e humana!🚩🇧🇷❤️")</f>
        <v>Geógrafa 🌎 🌍🌏Professora da Rede Estadual e Municipal do Rio de Janeiro. Anseio por uma sociedade mais justa, inclusiva e humana!🚩🇧🇷❤️</v>
      </c>
      <c r="D1508" s="2">
        <f>IFERROR(__xludf.DUMMYFUNCTION("""COMPUTED_VALUE"""),1.0028027568273113E-4)</f>
        <v>0.0001002802757</v>
      </c>
      <c r="E1508" s="2" t="str">
        <f>IFERROR(__xludf.DUMMYFUNCTION("""COMPUTED_VALUE"""),"     17.569")</f>
        <v>     17.569</v>
      </c>
    </row>
    <row r="1509">
      <c r="A1509" s="2" t="str">
        <f>IFERROR(__xludf.DUMMYFUNCTION("""COMPUTED_VALUE"""),"Celina Esteticista 🚩🚩🏴🏴")</f>
        <v>Celina Esteticista 🚩🚩🏴🏴</v>
      </c>
      <c r="B1509" s="2" t="str">
        <f>IFERROR(__xludf.DUMMYFUNCTION("""COMPUTED_VALUE"""),"celinasantoses1")</f>
        <v>celinasantoses1</v>
      </c>
      <c r="C1509" s="2" t="str">
        <f>IFERROR(__xludf.DUMMYFUNCTION("""COMPUTED_VALUE"""),"Sou Petista desde os anos 80, 
Sou Esteticista, Mãe de dois filhos, também Petistas, sempre na luta por um País melhor para todos 🚩🚩")</f>
        <v>Sou Petista desde os anos 80, 
Sou Esteticista, Mãe de dois filhos, também Petistas, sempre na luta por um País melhor para todos 🚩🚩</v>
      </c>
      <c r="D1509" s="2">
        <f>IFERROR(__xludf.DUMMYFUNCTION("""COMPUTED_VALUE"""),1.0028027568273113E-4)</f>
        <v>0.0001002802757</v>
      </c>
      <c r="E1509" s="2" t="str">
        <f>IFERROR(__xludf.DUMMYFUNCTION("""COMPUTED_VALUE"""),"      3.787")</f>
        <v>      3.787</v>
      </c>
    </row>
    <row r="1510">
      <c r="A1510" s="2" t="str">
        <f>IFERROR(__xludf.DUMMYFUNCTION("""COMPUTED_VALUE"""),"elly")</f>
        <v>elly</v>
      </c>
      <c r="B1510" s="2" t="str">
        <f>IFERROR(__xludf.DUMMYFUNCTION("""COMPUTED_VALUE"""),"gcfthvr")</f>
        <v>gcfthvr</v>
      </c>
      <c r="C1510" s="2" t="str">
        <f>IFERROR(__xludf.DUMMYFUNCTION("""COMPUTED_VALUE"""),"͏ ͏ ͏ ͏ ͏ ͏ ͏ ͏ ͏ ͏ ͏ ͏ ͏ ͏ ͏ ͏ ͏ ͏ ͏ ͏ ͏ ͏ ͏ ͏ ͏ ͏ ͏ ͏ ͏ ͏adepta ao https://t.co/7aZwi2yJGj")</f>
        <v>͏ ͏ ͏ ͏ ͏ ͏ ͏ ͏ ͏ ͏ ͏ ͏ ͏ ͏ ͏ ͏ ͏ ͏ ͏ ͏ ͏ ͏ ͏ ͏ ͏ ͏ ͏ ͏ ͏ ͏adepta ao https://t.co/7aZwi2yJGj</v>
      </c>
      <c r="D1510" s="2">
        <f>IFERROR(__xludf.DUMMYFUNCTION("""COMPUTED_VALUE"""),1.0028027568273113E-4)</f>
        <v>0.0001002802757</v>
      </c>
      <c r="E1510" s="2" t="str">
        <f>IFERROR(__xludf.DUMMYFUNCTION("""COMPUTED_VALUE"""),"      2.313")</f>
        <v>      2.313</v>
      </c>
    </row>
    <row r="1511">
      <c r="A1511" s="2" t="str">
        <f>IFERROR(__xludf.DUMMYFUNCTION("""COMPUTED_VALUE"""),"Breca Bores🏳️‍🌈🚩🌹🌎👭🙏💉⚽")</f>
        <v>Breca Bores🏳️‍🌈🚩🌹🌎👭🙏💉⚽</v>
      </c>
      <c r="B1511" s="2" t="str">
        <f>IFERROR(__xludf.DUMMYFUNCTION("""COMPUTED_VALUE"""),"brecabores")</f>
        <v>brecabores</v>
      </c>
      <c r="C1511" s="2" t="str">
        <f>IFERROR(__xludf.DUMMYFUNCTION("""COMPUTED_VALUE"""),"Sócia Torcedora do SPFC🇾🇪
Mae de pet - Moana!🐶
Concurseira, Esquerdista.📚
Fã de: Marta, Ceni, Messi e James Rodrigues! ⚽
Lula lá lá!🚩")</f>
        <v>Sócia Torcedora do SPFC🇾🇪
Mae de pet - Moana!🐶
Concurseira, Esquerdista.📚
Fã de: Marta, Ceni, Messi e James Rodrigues! ⚽
Lula lá lá!🚩</v>
      </c>
      <c r="D1511" s="2">
        <f>IFERROR(__xludf.DUMMYFUNCTION("""COMPUTED_VALUE"""),1.0028027568273113E-4)</f>
        <v>0.0001002802757</v>
      </c>
      <c r="E1511" s="2" t="str">
        <f>IFERROR(__xludf.DUMMYFUNCTION("""COMPUTED_VALUE"""),"      1.506")</f>
        <v>      1.506</v>
      </c>
    </row>
    <row r="1512">
      <c r="A1512" s="2" t="str">
        <f>IFERROR(__xludf.DUMMYFUNCTION("""COMPUTED_VALUE"""),"lala")</f>
        <v>lala</v>
      </c>
      <c r="B1512" s="2" t="str">
        <f>IFERROR(__xludf.DUMMYFUNCTION("""COMPUTED_VALUE"""),"bzzlerpeaches")</f>
        <v>bzzlerpeaches</v>
      </c>
      <c r="C1512" s="2" t="str">
        <f>IFERROR(__xludf.DUMMYFUNCTION("""COMPUTED_VALUE"""),"Belieber❤💗")</f>
        <v>Belieber❤💗</v>
      </c>
      <c r="D1512" s="2">
        <f>IFERROR(__xludf.DUMMYFUNCTION("""COMPUTED_VALUE"""),1.0028027568273113E-4)</f>
        <v>0.0001002802757</v>
      </c>
      <c r="E1512" s="2" t="str">
        <f>IFERROR(__xludf.DUMMYFUNCTION("""COMPUTED_VALUE"""),"      1.576")</f>
        <v>      1.576</v>
      </c>
    </row>
    <row r="1513">
      <c r="A1513" s="2" t="str">
        <f>IFERROR(__xludf.DUMMYFUNCTION("""COMPUTED_VALUE"""),"KRISNITTO")</f>
        <v>KRISNITTO</v>
      </c>
      <c r="B1513" s="2" t="str">
        <f>IFERROR(__xludf.DUMMYFUNCTION("""COMPUTED_VALUE"""),"mybestanitta")</f>
        <v>mybestanitta</v>
      </c>
      <c r="C1513" s="2" t="str">
        <f>IFERROR(__xludf.DUMMYFUNCTION("""COMPUTED_VALUE"""),"“Una perra de raza muy dura de matar”| Anitter")</f>
        <v>“Una perra de raza muy dura de matar”| Anitter</v>
      </c>
      <c r="D1513" s="2">
        <f>IFERROR(__xludf.DUMMYFUNCTION("""COMPUTED_VALUE"""),1.0028027568273113E-4)</f>
        <v>0.0001002802757</v>
      </c>
      <c r="E1513" s="2" t="str">
        <f>IFERROR(__xludf.DUMMYFUNCTION("""COMPUTED_VALUE"""),"      1.016")</f>
        <v>      1.016</v>
      </c>
    </row>
    <row r="1514">
      <c r="A1514" s="2" t="str">
        <f>IFERROR(__xludf.DUMMYFUNCTION("""COMPUTED_VALUE"""),"ver meu time na tv 🚩")</f>
        <v>ver meu time na tv 🚩</v>
      </c>
      <c r="B1514" s="2" t="str">
        <f>IFERROR(__xludf.DUMMYFUNCTION("""COMPUTED_VALUE"""),"assirtirmeutime")</f>
        <v>assirtirmeutime</v>
      </c>
      <c r="C1514" s="2"/>
      <c r="D1514" s="2">
        <f>IFERROR(__xludf.DUMMYFUNCTION("""COMPUTED_VALUE"""),1.0028027568273113E-4)</f>
        <v>0.0001002802757</v>
      </c>
      <c r="E1514" s="2" t="str">
        <f>IFERROR(__xludf.DUMMYFUNCTION("""COMPUTED_VALUE"""),"      1.961")</f>
        <v>      1.961</v>
      </c>
    </row>
    <row r="1515">
      <c r="A1515" s="2" t="str">
        <f>IFERROR(__xludf.DUMMYFUNCTION("""COMPUTED_VALUE"""),"Ruby🚩💎 Conta Reserva")</f>
        <v>Ruby🚩💎 Conta Reserva</v>
      </c>
      <c r="B1515" s="2" t="str">
        <f>IFERROR(__xludf.DUMMYFUNCTION("""COMPUTED_VALUE"""),"ellyporciuncula")</f>
        <v>ellyporciuncula</v>
      </c>
      <c r="C1515" s="2" t="str">
        <f>IFERROR(__xludf.DUMMYFUNCTION("""COMPUTED_VALUE"""),"Eu faço sorvete desaparecer. Qual é o seu superpoder?")</f>
        <v>Eu faço sorvete desaparecer. Qual é o seu superpoder?</v>
      </c>
      <c r="D1515" s="2">
        <f>IFERROR(__xludf.DUMMYFUNCTION("""COMPUTED_VALUE"""),1.0028027568273113E-4)</f>
        <v>0.0001002802757</v>
      </c>
      <c r="E1515" s="2" t="str">
        <f>IFERROR(__xludf.DUMMYFUNCTION("""COMPUTED_VALUE"""),"      1.073")</f>
        <v>      1.073</v>
      </c>
    </row>
    <row r="1516">
      <c r="A1516" s="2" t="str">
        <f>IFERROR(__xludf.DUMMYFUNCTION("""COMPUTED_VALUE"""),"Ezequias Neto")</f>
        <v>Ezequias Neto</v>
      </c>
      <c r="B1516" s="2" t="str">
        <f>IFERROR(__xludf.DUMMYFUNCTION("""COMPUTED_VALUE"""),"ezequiasns")</f>
        <v>ezequiasns</v>
      </c>
      <c r="C1516" s="2" t="str">
        <f>IFERROR(__xludf.DUMMYFUNCTION("""COMPUTED_VALUE"""),"חזקיהו")</f>
        <v>חזקיהו</v>
      </c>
      <c r="D1516" s="2">
        <f>IFERROR(__xludf.DUMMYFUNCTION("""COMPUTED_VALUE"""),1.0028027568273113E-4)</f>
        <v>0.0001002802757</v>
      </c>
      <c r="E1516" s="2" t="str">
        <f>IFERROR(__xludf.DUMMYFUNCTION("""COMPUTED_VALUE"""),"     37.018")</f>
        <v>     37.018</v>
      </c>
    </row>
    <row r="1517">
      <c r="A1517" s="2" t="str">
        <f>IFERROR(__xludf.DUMMYFUNCTION("""COMPUTED_VALUE"""),"Ricardo Felippe")</f>
        <v>Ricardo Felippe</v>
      </c>
      <c r="B1517" s="2" t="str">
        <f>IFERROR(__xludf.DUMMYFUNCTION("""COMPUTED_VALUE"""),"ricardoafelippe")</f>
        <v>ricardoafelippe</v>
      </c>
      <c r="C1517" s="2" t="str">
        <f>IFERROR(__xludf.DUMMYFUNCTION("""COMPUTED_VALUE"""),"Petista, Lulista e Dilmista. Sou PT desde 1982.")</f>
        <v>Petista, Lulista e Dilmista. Sou PT desde 1982.</v>
      </c>
      <c r="D1517" s="2">
        <f>IFERROR(__xludf.DUMMYFUNCTION("""COMPUTED_VALUE"""),1.0028027568273113E-4)</f>
        <v>0.0001002802757</v>
      </c>
      <c r="E1517" s="2" t="str">
        <f>IFERROR(__xludf.DUMMYFUNCTION("""COMPUTED_VALUE"""),"      2.495")</f>
        <v>      2.495</v>
      </c>
    </row>
    <row r="1518">
      <c r="A1518" s="2" t="str">
        <f>IFERROR(__xludf.DUMMYFUNCTION("""COMPUTED_VALUE"""),"ki-suke de uva")</f>
        <v>ki-suke de uva</v>
      </c>
      <c r="B1518" s="2" t="str">
        <f>IFERROR(__xludf.DUMMYFUNCTION("""COMPUTED_VALUE"""),"dinkerbu")</f>
        <v>dinkerbu</v>
      </c>
      <c r="C1518" s="2" t="str">
        <f>IFERROR(__xludf.DUMMYFUNCTION("""COMPUTED_VALUE"""),"* .•° ◇ •  ✷ · ˚ * . 　 　*　　* ⋆  . ·* ¤°  ♡▪multifɑndon ɑccount▪♡ ✦ °⋆ · 　° *. ☆* 　　　　° . * · ˚ * . 　*　　* ⋆  . ·*")</f>
        <v>* .•° ◇ •  ✷ · ˚ * . 　 　*　　* ⋆  . ·* ¤°  ♡▪multifɑndon ɑccount▪♡ ✦ °⋆ · 　° *. ☆* 　　　　° . * · ˚ * . 　*　　* ⋆  . ·*</v>
      </c>
      <c r="D1518" s="2">
        <f>IFERROR(__xludf.DUMMYFUNCTION("""COMPUTED_VALUE"""),1.0028027568273113E-4)</f>
        <v>0.0001002802757</v>
      </c>
      <c r="E1518" s="2" t="str">
        <f>IFERROR(__xludf.DUMMYFUNCTION("""COMPUTED_VALUE"""),"      1.249")</f>
        <v>      1.249</v>
      </c>
    </row>
    <row r="1519">
      <c r="A1519" s="2" t="str">
        <f>IFERROR(__xludf.DUMMYFUNCTION("""COMPUTED_VALUE"""),"Danni Cristina ⭐🏳️‍🌈🏳️‍⚧️")</f>
        <v>Danni Cristina ⭐🏳️‍🌈🏳️‍⚧️</v>
      </c>
      <c r="B1519" s="2" t="str">
        <f>IFERROR(__xludf.DUMMYFUNCTION("""COMPUTED_VALUE"""),"dannicristtin")</f>
        <v>dannicristtin</v>
      </c>
      <c r="C1519" s="2" t="str">
        <f>IFERROR(__xludf.DUMMYFUNCTION("""COMPUTED_VALUE"""),"Mergulhe no que você não conhece como eu mergulhei. Não se preocupe em entender, viver ultrapassa qualquer entendimento.” Clarice Lispector.")</f>
        <v>Mergulhe no que você não conhece como eu mergulhei. Não se preocupe em entender, viver ultrapassa qualquer entendimento.” Clarice Lispector.</v>
      </c>
      <c r="D1519" s="2">
        <f>IFERROR(__xludf.DUMMYFUNCTION("""COMPUTED_VALUE"""),1.0028027568273113E-4)</f>
        <v>0.0001002802757</v>
      </c>
      <c r="E1519" s="2" t="str">
        <f>IFERROR(__xludf.DUMMYFUNCTION("""COMPUTED_VALUE"""),"      2.580")</f>
        <v>      2.580</v>
      </c>
    </row>
    <row r="1520">
      <c r="A1520" s="2" t="str">
        <f>IFERROR(__xludf.DUMMYFUNCTION("""COMPUTED_VALUE"""),"Brasil !!!")</f>
        <v>Brasil !!!</v>
      </c>
      <c r="B1520" s="2" t="str">
        <f>IFERROR(__xludf.DUMMYFUNCTION("""COMPUTED_VALUE"""),"politicacoco")</f>
        <v>politicacoco</v>
      </c>
      <c r="C1520" s="2" t="str">
        <f>IFERROR(__xludf.DUMMYFUNCTION("""COMPUTED_VALUE"""),"A verdade do Brasil.")</f>
        <v>A verdade do Brasil.</v>
      </c>
      <c r="D1520" s="2">
        <f>IFERROR(__xludf.DUMMYFUNCTION("""COMPUTED_VALUE"""),1.0028027568273113E-4)</f>
        <v>0.0001002802757</v>
      </c>
      <c r="E1520" s="2" t="str">
        <f>IFERROR(__xludf.DUMMYFUNCTION("""COMPUTED_VALUE"""),"      1.093")</f>
        <v>      1.093</v>
      </c>
    </row>
    <row r="1521">
      <c r="A1521" s="2" t="str">
        <f>IFERROR(__xludf.DUMMYFUNCTION("""COMPUTED_VALUE"""),"Edilton Silva 🇾🇪🇳🇬")</f>
        <v>Edilton Silva 🇾🇪🇳🇬</v>
      </c>
      <c r="B1521" s="2" t="str">
        <f>IFERROR(__xludf.DUMMYFUNCTION("""COMPUTED_VALUE"""),"edilton09")</f>
        <v>edilton09</v>
      </c>
      <c r="C1521" s="2" t="str">
        <f>IFERROR(__xludf.DUMMYFUNCTION("""COMPUTED_VALUE"""),"Torcedor do  @SaoPauloFC e @FCBarcelona, Fã da serie Pro Evolution Soccer (@play_eFootball) ⚽")</f>
        <v>Torcedor do  @SaoPauloFC e @FCBarcelona, Fã da serie Pro Evolution Soccer (@play_eFootball) ⚽</v>
      </c>
      <c r="D1521" s="2">
        <f>IFERROR(__xludf.DUMMYFUNCTION("""COMPUTED_VALUE"""),1.0028027568273113E-4)</f>
        <v>0.0001002802757</v>
      </c>
      <c r="E1521" s="2" t="str">
        <f>IFERROR(__xludf.DUMMYFUNCTION("""COMPUTED_VALUE"""),"      2.098")</f>
        <v>      2.098</v>
      </c>
    </row>
    <row r="1522">
      <c r="A1522" s="2" t="str">
        <f>IFERROR(__xludf.DUMMYFUNCTION("""COMPUTED_VALUE"""),"Lula 13")</f>
        <v>Lula 13</v>
      </c>
      <c r="B1522" s="2" t="str">
        <f>IFERROR(__xludf.DUMMYFUNCTION("""COMPUTED_VALUE"""),"lula_tani1000")</f>
        <v>lula_tani1000</v>
      </c>
      <c r="C1522" s="2" t="str">
        <f>IFERROR(__xludf.DUMMYFUNCTION("""COMPUTED_VALUE"""),"AMO MEU PAÍS")</f>
        <v>AMO MEU PAÍS</v>
      </c>
      <c r="D1522" s="2">
        <f>IFERROR(__xludf.DUMMYFUNCTION("""COMPUTED_VALUE"""),1.0028027568273113E-4)</f>
        <v>0.0001002802757</v>
      </c>
      <c r="E1522" s="2" t="str">
        <f>IFERROR(__xludf.DUMMYFUNCTION("""COMPUTED_VALUE"""),"      2.949")</f>
        <v>      2.949</v>
      </c>
    </row>
    <row r="1523">
      <c r="A1523" s="2" t="str">
        <f>IFERROR(__xludf.DUMMYFUNCTION("""COMPUTED_VALUE"""),"Marlene Moreira")</f>
        <v>Marlene Moreira</v>
      </c>
      <c r="B1523" s="2" t="str">
        <f>IFERROR(__xludf.DUMMYFUNCTION("""COMPUTED_VALUE"""),"prudentemarlene")</f>
        <v>prudentemarlene</v>
      </c>
      <c r="C1523" s="2" t="str">
        <f>IFERROR(__xludf.DUMMYFUNCTION("""COMPUTED_VALUE"""),"Na hora do vamos ver quem defende você é o PT
Lula13 Presidente do Brasil
Haddad governador de São Paulo")</f>
        <v>Na hora do vamos ver quem defende você é o PT
Lula13 Presidente do Brasil
Haddad governador de São Paulo</v>
      </c>
      <c r="D1523" s="2">
        <f>IFERROR(__xludf.DUMMYFUNCTION("""COMPUTED_VALUE"""),1.0028027568273113E-4)</f>
        <v>0.0001002802757</v>
      </c>
      <c r="E1523" s="2" t="str">
        <f>IFERROR(__xludf.DUMMYFUNCTION("""COMPUTED_VALUE"""),"     17.322")</f>
        <v>     17.322</v>
      </c>
    </row>
    <row r="1524">
      <c r="A1524" s="2" t="str">
        <f>IFERROR(__xludf.DUMMYFUNCTION("""COMPUTED_VALUE"""),"Vitor Santos")</f>
        <v>Vitor Santos</v>
      </c>
      <c r="B1524" s="2" t="str">
        <f>IFERROR(__xludf.DUMMYFUNCTION("""COMPUTED_VALUE"""),"jornalistavitor")</f>
        <v>jornalistavitor</v>
      </c>
      <c r="C1524" s="2" t="str">
        <f>IFERROR(__xludf.DUMMYFUNCTION("""COMPUTED_VALUE"""),"VITOR SANTOS é jornalista,escritor, consultor, pesquisador, e autor de vários artigos Facebook https://t.co/zr7gpVta8X…")</f>
        <v>VITOR SANTOS é jornalista,escritor, consultor, pesquisador, e autor de vários artigos Facebook https://t.co/zr7gpVta8X…</v>
      </c>
      <c r="D1524" s="2">
        <f>IFERROR(__xludf.DUMMYFUNCTION("""COMPUTED_VALUE"""),1.0028027568273113E-4)</f>
        <v>0.0001002802757</v>
      </c>
      <c r="E1524" s="2" t="str">
        <f>IFERROR(__xludf.DUMMYFUNCTION("""COMPUTED_VALUE"""),"     36.022")</f>
        <v>     36.022</v>
      </c>
    </row>
    <row r="1525">
      <c r="A1525" s="2" t="str">
        <f>IFERROR(__xludf.DUMMYFUNCTION("""COMPUTED_VALUE"""),"Snooze acoustic' OUT NOW ❤️ (31-7-22 😭❤️)")</f>
        <v>Snooze acoustic' OUT NOW ❤️ (31-7-22 😭❤️)</v>
      </c>
      <c r="B1525" s="2" t="str">
        <f>IFERROR(__xludf.DUMMYFUNCTION("""COMPUTED_VALUE"""),"alexjb1_")</f>
        <v>alexjb1_</v>
      </c>
      <c r="C1525" s="2" t="str">
        <f>IFERROR(__xludf.DUMMYFUNCTION("""COMPUTED_VALUE"""),"For a hundred people who hate you a thousand love you, remember it @justinbieber 💖                  
Italian belieber 🇮🇹   ***FANPAGE***")</f>
        <v>For a hundred people who hate you a thousand love you, remember it @justinbieber 💖                  
Italian belieber 🇮🇹   ***FANPAGE***</v>
      </c>
      <c r="D1525" s="2">
        <f>IFERROR(__xludf.DUMMYFUNCTION("""COMPUTED_VALUE"""),1.0028027568273113E-4)</f>
        <v>0.0001002802757</v>
      </c>
      <c r="E1525" s="2" t="str">
        <f>IFERROR(__xludf.DUMMYFUNCTION("""COMPUTED_VALUE"""),"      3.003")</f>
        <v>      3.003</v>
      </c>
    </row>
    <row r="1526">
      <c r="A1526" s="2" t="str">
        <f>IFERROR(__xludf.DUMMYFUNCTION("""COMPUTED_VALUE"""),"Arnaldonepu ᶜʳᶠ")</f>
        <v>Arnaldonepu ᶜʳᶠ</v>
      </c>
      <c r="B1526" s="2" t="str">
        <f>IFERROR(__xludf.DUMMYFUNCTION("""COMPUTED_VALUE"""),"arnaldonepu")</f>
        <v>arnaldonepu</v>
      </c>
      <c r="C1526" s="2" t="str">
        <f>IFERROR(__xludf.DUMMYFUNCTION("""COMPUTED_VALUE"""),"@Flamengo")</f>
        <v>@Flamengo</v>
      </c>
      <c r="D1526" s="2">
        <f>IFERROR(__xludf.DUMMYFUNCTION("""COMPUTED_VALUE"""),1.0028027568273113E-4)</f>
        <v>0.0001002802757</v>
      </c>
      <c r="E1526" s="2" t="str">
        <f>IFERROR(__xludf.DUMMYFUNCTION("""COMPUTED_VALUE"""),"      4.283")</f>
        <v>      4.283</v>
      </c>
    </row>
    <row r="1527">
      <c r="A1527" s="2" t="str">
        <f>IFERROR(__xludf.DUMMYFUNCTION("""COMPUTED_VALUE"""),"Leonardo Osorio")</f>
        <v>Leonardo Osorio</v>
      </c>
      <c r="B1527" s="2" t="str">
        <f>IFERROR(__xludf.DUMMYFUNCTION("""COMPUTED_VALUE"""),"leorxtosorio")</f>
        <v>leorxtosorio</v>
      </c>
      <c r="C1527" s="2" t="str">
        <f>IFERROR(__xludf.DUMMYFUNCTION("""COMPUTED_VALUE"""),"#Lulalivre 🚩🚩#Lulainocente🚩🚩 #Lulapresidente🚩🚩")</f>
        <v>#Lulalivre 🚩🚩#Lulainocente🚩🚩 #Lulapresidente🚩🚩</v>
      </c>
      <c r="D1527" s="2">
        <f>IFERROR(__xludf.DUMMYFUNCTION("""COMPUTED_VALUE"""),1.0028027568273113E-4)</f>
        <v>0.0001002802757</v>
      </c>
      <c r="E1527" s="2" t="str">
        <f>IFERROR(__xludf.DUMMYFUNCTION("""COMPUTED_VALUE"""),"      1.740")</f>
        <v>      1.740</v>
      </c>
    </row>
    <row r="1528">
      <c r="A1528" s="2" t="str">
        <f>IFERROR(__xludf.DUMMYFUNCTION("""COMPUTED_VALUE"""),"Nety Belarmino🚩🇾🇪 🍀🎨🌶")</f>
        <v>Nety Belarmino🚩🇾🇪 🍀🎨🌶</v>
      </c>
      <c r="B1528" s="2" t="str">
        <f>IFERROR(__xludf.DUMMYFUNCTION("""COMPUTED_VALUE"""),"belarminonety")</f>
        <v>belarminonety</v>
      </c>
      <c r="C1528" s="2" t="str">
        <f>IFERROR(__xludf.DUMMYFUNCTION("""COMPUTED_VALUE"""),"Vovózona de Esquerda.
Professora Artesã.
Amo fazer trilha.
Mãezinha de 4 😍
Vovó de 3 ♥️
Luto por justiça social. Um dia de casa vez.💥💥💥")</f>
        <v>Vovózona de Esquerda.
Professora Artesã.
Amo fazer trilha.
Mãezinha de 4 😍
Vovó de 3 ♥️
Luto por justiça social. Um dia de casa vez.💥💥💥</v>
      </c>
      <c r="D1528" s="2">
        <f>IFERROR(__xludf.DUMMYFUNCTION("""COMPUTED_VALUE"""),1.0028027568273113E-4)</f>
        <v>0.0001002802757</v>
      </c>
      <c r="E1528" s="2" t="str">
        <f>IFERROR(__xludf.DUMMYFUNCTION("""COMPUTED_VALUE"""),"      4.441")</f>
        <v>      4.441</v>
      </c>
    </row>
    <row r="1529">
      <c r="A1529" s="2" t="str">
        <f>IFERROR(__xludf.DUMMYFUNCTION("""COMPUTED_VALUE"""),"Kleber Silva #Lula13🚩 🇻🇳 🚩")</f>
        <v>Kleber Silva #Lula13🚩 🇻🇳 🚩</v>
      </c>
      <c r="B1529" s="2" t="str">
        <f>IFERROR(__xludf.DUMMYFUNCTION("""COMPUTED_VALUE"""),"_kleber_silva")</f>
        <v>_kleber_silva</v>
      </c>
      <c r="C1529" s="2" t="str">
        <f>IFERROR(__xludf.DUMMYFUNCTION("""COMPUTED_VALUE"""),"Por dentro eu sei
Que nunca senti
Nada além de amor
Em tudo o que vivi… 
(sempre brilhará - Celso Blues Boy)")</f>
        <v>Por dentro eu sei
Que nunca senti
Nada além de amor
Em tudo o que vivi… 
(sempre brilhará - Celso Blues Boy)</v>
      </c>
      <c r="D1529" s="2">
        <f>IFERROR(__xludf.DUMMYFUNCTION("""COMPUTED_VALUE"""),1.0028027568273113E-4)</f>
        <v>0.0001002802757</v>
      </c>
      <c r="E1529" s="2" t="str">
        <f>IFERROR(__xludf.DUMMYFUNCTION("""COMPUTED_VALUE"""),"     14.246")</f>
        <v>     14.246</v>
      </c>
    </row>
    <row r="1530">
      <c r="A1530" s="2" t="str">
        <f>IFERROR(__xludf.DUMMYFUNCTION("""COMPUTED_VALUE"""),"irys 📖")</f>
        <v>irys 📖</v>
      </c>
      <c r="B1530" s="2" t="str">
        <f>IFERROR(__xludf.DUMMYFUNCTION("""COMPUTED_VALUE"""),"irysbook")</f>
        <v>irysbook</v>
      </c>
      <c r="C1530" s="2" t="str">
        <f>IFERROR(__xludf.DUMMYFUNCTION("""COMPUTED_VALUE"""),"cr: uma nova chance")</f>
        <v>cr: uma nova chance</v>
      </c>
      <c r="D1530" s="2">
        <f>IFERROR(__xludf.DUMMYFUNCTION("""COMPUTED_VALUE"""),1.0028027568273113E-4)</f>
        <v>0.0001002802757</v>
      </c>
      <c r="E1530" s="2" t="str">
        <f>IFERROR(__xludf.DUMMYFUNCTION("""COMPUTED_VALUE"""),"      1.917")</f>
        <v>      1.917</v>
      </c>
    </row>
    <row r="1531">
      <c r="A1531" s="2" t="str">
        <f>IFERROR(__xludf.DUMMYFUNCTION("""COMPUTED_VALUE"""),"Luiz Carlos")</f>
        <v>Luiz Carlos</v>
      </c>
      <c r="B1531" s="2" t="str">
        <f>IFERROR(__xludf.DUMMYFUNCTION("""COMPUTED_VALUE"""),"luizcar20454634")</f>
        <v>luizcar20454634</v>
      </c>
      <c r="C1531" s="2"/>
      <c r="D1531" s="2">
        <f>IFERROR(__xludf.DUMMYFUNCTION("""COMPUTED_VALUE"""),1.0028027568273113E-4)</f>
        <v>0.0001002802757</v>
      </c>
      <c r="E1531" s="2" t="str">
        <f>IFERROR(__xludf.DUMMYFUNCTION("""COMPUTED_VALUE"""),"      2.415")</f>
        <v>      2.415</v>
      </c>
    </row>
    <row r="1532">
      <c r="A1532" s="2" t="str">
        <f>IFERROR(__xludf.DUMMYFUNCTION("""COMPUTED_VALUE"""),"Salvador Felipe")</f>
        <v>Salvador Felipe</v>
      </c>
      <c r="B1532" s="2" t="str">
        <f>IFERROR(__xludf.DUMMYFUNCTION("""COMPUTED_VALUE"""),"salvadorfelip12")</f>
        <v>salvadorfelip12</v>
      </c>
      <c r="C1532" s="2" t="str">
        <f>IFERROR(__xludf.DUMMYFUNCTION("""COMPUTED_VALUE"""),"Política e Governo 
#Esquerdasempre")</f>
        <v>Política e Governo 
#Esquerdasempre</v>
      </c>
      <c r="D1532" s="2">
        <f>IFERROR(__xludf.DUMMYFUNCTION("""COMPUTED_VALUE"""),1.0028027568273113E-4)</f>
        <v>0.0001002802757</v>
      </c>
      <c r="E1532" s="2" t="str">
        <f>IFERROR(__xludf.DUMMYFUNCTION("""COMPUTED_VALUE"""),"      3.302")</f>
        <v>      3.302</v>
      </c>
    </row>
    <row r="1533">
      <c r="A1533" s="2" t="str">
        <f>IFERROR(__xludf.DUMMYFUNCTION("""COMPUTED_VALUE"""),"Gostosa Estranha! 🦁🥬🚩🇧🇷🚩")</f>
        <v>Gostosa Estranha! 🦁🥬🚩🇧🇷🚩</v>
      </c>
      <c r="B1533" s="2" t="str">
        <f>IFERROR(__xludf.DUMMYFUNCTION("""COMPUTED_VALUE"""),"rdumar2")</f>
        <v>rdumar2</v>
      </c>
      <c r="C1533" s="2" t="str">
        <f>IFERROR(__xludf.DUMMYFUNCTION("""COMPUTED_VALUE"""),"falta poucoooo")</f>
        <v>falta poucoooo</v>
      </c>
      <c r="D1533" s="2">
        <f>IFERROR(__xludf.DUMMYFUNCTION("""COMPUTED_VALUE"""),1.0028027568273113E-4)</f>
        <v>0.0001002802757</v>
      </c>
      <c r="E1533" s="2" t="str">
        <f>IFERROR(__xludf.DUMMYFUNCTION("""COMPUTED_VALUE"""),"      1.816")</f>
        <v>      1.816</v>
      </c>
    </row>
    <row r="1534">
      <c r="A1534" s="2" t="str">
        <f>IFERROR(__xludf.DUMMYFUNCTION("""COMPUTED_VALUE"""),"nexus6")</f>
        <v>nexus6</v>
      </c>
      <c r="B1534" s="2" t="str">
        <f>IFERROR(__xludf.DUMMYFUNCTION("""COMPUTED_VALUE"""),"nexussei_6")</f>
        <v>nexussei_6</v>
      </c>
      <c r="C1534" s="2" t="str">
        <f>IFERROR(__xludf.DUMMYFUNCTION("""COMPUTED_VALUE"""),"Bianco, maschio, etero, italiano, famiglia cattolica; nato in Nord-Italia, vivo e sono cresciuto in Veneto...
Insomma, causa Salvini, mi sto sul cazzo da solo")</f>
        <v>Bianco, maschio, etero, italiano, famiglia cattolica; nato in Nord-Italia, vivo e sono cresciuto in Veneto...
Insomma, causa Salvini, mi sto sul cazzo da solo</v>
      </c>
      <c r="D1534" s="2">
        <f>IFERROR(__xludf.DUMMYFUNCTION("""COMPUTED_VALUE"""),1.0028027568273113E-4)</f>
        <v>0.0001002802757</v>
      </c>
      <c r="E1534" s="2" t="str">
        <f>IFERROR(__xludf.DUMMYFUNCTION("""COMPUTED_VALUE"""),"      1.924")</f>
        <v>      1.924</v>
      </c>
    </row>
    <row r="1535">
      <c r="A1535" s="2" t="str">
        <f>IFERROR(__xludf.DUMMYFUNCTION("""COMPUTED_VALUE"""),"Diego Fabiano")</f>
        <v>Diego Fabiano</v>
      </c>
      <c r="B1535" s="2" t="str">
        <f>IFERROR(__xludf.DUMMYFUNCTION("""COMPUTED_VALUE"""),"diegofabiano_35")</f>
        <v>diegofabiano_35</v>
      </c>
      <c r="C1535" s="2" t="str">
        <f>IFERROR(__xludf.DUMMYFUNCTION("""COMPUTED_VALUE"""),"Deus!!! Família!! Brasil!🇧🇷🇧🇷🇧🇷")</f>
        <v>Deus!!! Família!! Brasil!🇧🇷🇧🇷🇧🇷</v>
      </c>
      <c r="D1535" s="2">
        <f>IFERROR(__xludf.DUMMYFUNCTION("""COMPUTED_VALUE"""),1.0028027568273113E-4)</f>
        <v>0.0001002802757</v>
      </c>
      <c r="E1535" s="2" t="str">
        <f>IFERROR(__xludf.DUMMYFUNCTION("""COMPUTED_VALUE"""),"      3.125")</f>
        <v>      3.125</v>
      </c>
    </row>
    <row r="1536">
      <c r="A1536" s="2" t="str">
        <f>IFERROR(__xludf.DUMMYFUNCTION("""COMPUTED_VALUE"""),"tem pão velho aqui nao")</f>
        <v>tem pão velho aqui nao</v>
      </c>
      <c r="B1536" s="2" t="str">
        <f>IFERROR(__xludf.DUMMYFUNCTION("""COMPUTED_VALUE"""),"dozzedo")</f>
        <v>dozzedo</v>
      </c>
      <c r="C1536" s="2"/>
      <c r="D1536" s="2">
        <f>IFERROR(__xludf.DUMMYFUNCTION("""COMPUTED_VALUE"""),1.0028027568273113E-4)</f>
        <v>0.0001002802757</v>
      </c>
      <c r="E1536" s="2" t="str">
        <f>IFERROR(__xludf.DUMMYFUNCTION("""COMPUTED_VALUE"""),"      7.397")</f>
        <v>      7.397</v>
      </c>
    </row>
    <row r="1537">
      <c r="A1537" s="2" t="str">
        <f>IFERROR(__xludf.DUMMYFUNCTION("""COMPUTED_VALUE"""),"karly")</f>
        <v>karly</v>
      </c>
      <c r="B1537" s="2" t="str">
        <f>IFERROR(__xludf.DUMMYFUNCTION("""COMPUTED_VALUE"""),"karlys0n")</f>
        <v>karlys0n</v>
      </c>
      <c r="C1537" s="2" t="str">
        <f>IFERROR(__xludf.DUMMYFUNCTION("""COMPUTED_VALUE"""),"free soul")</f>
        <v>free soul</v>
      </c>
      <c r="D1537" s="2">
        <f>IFERROR(__xludf.DUMMYFUNCTION("""COMPUTED_VALUE"""),1.0028027568273113E-4)</f>
        <v>0.0001002802757</v>
      </c>
      <c r="E1537" s="2" t="str">
        <f>IFERROR(__xludf.DUMMYFUNCTION("""COMPUTED_VALUE"""),"      1.310")</f>
        <v>      1.310</v>
      </c>
    </row>
    <row r="1538">
      <c r="A1538" s="2" t="str">
        <f>IFERROR(__xludf.DUMMYFUNCTION("""COMPUTED_VALUE"""),"Amarildo Lucena")</f>
        <v>Amarildo Lucena</v>
      </c>
      <c r="B1538" s="2" t="str">
        <f>IFERROR(__xludf.DUMMYFUNCTION("""COMPUTED_VALUE"""),"lucenaamarildo")</f>
        <v>lucenaamarildo</v>
      </c>
      <c r="C1538" s="2" t="str">
        <f>IFERROR(__xludf.DUMMYFUNCTION("""COMPUTED_VALUE"""),"DEUS, FAMÍLIA, PATRIA e LIBERDADE 🇧🇷🇧🇷🇧🇷 CATÓLICO,CASADO, PAI,AVÔ/ ATIVISTA POLÍTICO!🇧🇷👊")</f>
        <v>DEUS, FAMÍLIA, PATRIA e LIBERDADE 🇧🇷🇧🇷🇧🇷 CATÓLICO,CASADO, PAI,AVÔ/ ATIVISTA POLÍTICO!🇧🇷👊</v>
      </c>
      <c r="D1538" s="2">
        <f>IFERROR(__xludf.DUMMYFUNCTION("""COMPUTED_VALUE"""),1.0028027568273113E-4)</f>
        <v>0.0001002802757</v>
      </c>
      <c r="E1538" s="2" t="str">
        <f>IFERROR(__xludf.DUMMYFUNCTION("""COMPUTED_VALUE"""),"      8.058")</f>
        <v>      8.058</v>
      </c>
    </row>
    <row r="1539">
      <c r="A1539" s="2" t="str">
        <f>IFERROR(__xludf.DUMMYFUNCTION("""COMPUTED_VALUE"""),"OFernandes")</f>
        <v>OFernandes</v>
      </c>
      <c r="B1539" s="2" t="str">
        <f>IFERROR(__xludf.DUMMYFUNCTION("""COMPUTED_VALUE"""),"oswalber")</f>
        <v>oswalber</v>
      </c>
      <c r="C1539" s="2"/>
      <c r="D1539" s="2">
        <f>IFERROR(__xludf.DUMMYFUNCTION("""COMPUTED_VALUE"""),1.0028027568273113E-4)</f>
        <v>0.0001002802757</v>
      </c>
      <c r="E1539" s="2" t="str">
        <f>IFERROR(__xludf.DUMMYFUNCTION("""COMPUTED_VALUE"""),"      1.391")</f>
        <v>      1.391</v>
      </c>
    </row>
    <row r="1540">
      <c r="A1540" s="2" t="str">
        <f>IFERROR(__xludf.DUMMYFUNCTION("""COMPUTED_VALUE"""),"ErikGremista11")</f>
        <v>ErikGremista11</v>
      </c>
      <c r="B1540" s="2" t="str">
        <f>IFERROR(__xludf.DUMMYFUNCTION("""COMPUTED_VALUE"""),"erikrs11")</f>
        <v>erikrs11</v>
      </c>
      <c r="C1540" s="2" t="str">
        <f>IFERROR(__xludf.DUMMYFUNCTION("""COMPUTED_VALUE"""),"ECONOMISTA, SOCIALISTA, ATEU, ANTI-NAZIFASCISTA, ANTI-RACISTA, ANTI-HOMOFÓBICO, ANTI-MACHISTA e GREMISTA.
Em defesa da DEMOCRACIA e pela UNIDADE DAS ESQUERDAS!")</f>
        <v>ECONOMISTA, SOCIALISTA, ATEU, ANTI-NAZIFASCISTA, ANTI-RACISTA, ANTI-HOMOFÓBICO, ANTI-MACHISTA e GREMISTA.
Em defesa da DEMOCRACIA e pela UNIDADE DAS ESQUERDAS!</v>
      </c>
      <c r="D1540" s="2">
        <f>IFERROR(__xludf.DUMMYFUNCTION("""COMPUTED_VALUE"""),1.0028027568273113E-4)</f>
        <v>0.0001002802757</v>
      </c>
      <c r="E1540" s="2" t="str">
        <f>IFERROR(__xludf.DUMMYFUNCTION("""COMPUTED_VALUE"""),"      6.117")</f>
        <v>      6.117</v>
      </c>
    </row>
    <row r="1541">
      <c r="A1541" s="2" t="str">
        <f>IFERROR(__xludf.DUMMYFUNCTION("""COMPUTED_VALUE"""),"Malek Zein, CNPI")</f>
        <v>Malek Zein, CNPI</v>
      </c>
      <c r="B1541" s="2" t="str">
        <f>IFERROR(__xludf.DUMMYFUNCTION("""COMPUTED_VALUE"""),"malekzein7")</f>
        <v>malekzein7</v>
      </c>
      <c r="C1541" s="2" t="str">
        <f>IFERROR(__xludf.DUMMYFUNCTION("""COMPUTED_VALUE"""),"TC Matrix - Equity Research Analyst")</f>
        <v>TC Matrix - Equity Research Analyst</v>
      </c>
      <c r="D1541" s="2">
        <f>IFERROR(__xludf.DUMMYFUNCTION("""COMPUTED_VALUE"""),1.0028027568273113E-4)</f>
        <v>0.0001002802757</v>
      </c>
      <c r="E1541" s="2" t="str">
        <f>IFERROR(__xludf.DUMMYFUNCTION("""COMPUTED_VALUE"""),"      1.100")</f>
        <v>      1.100</v>
      </c>
    </row>
    <row r="1542">
      <c r="A1542" s="2" t="str">
        <f>IFERROR(__xludf.DUMMYFUNCTION("""COMPUTED_VALUE"""),"Hugo Braga ➡️💡 🇧🇷")</f>
        <v>Hugo Braga ➡️💡 🇧🇷</v>
      </c>
      <c r="B1542" s="2" t="str">
        <f>IFERROR(__xludf.DUMMYFUNCTION("""COMPUTED_VALUE"""),"hugocbraga")</f>
        <v>hugocbraga</v>
      </c>
      <c r="C1542" s="2" t="str">
        <f>IFERROR(__xludf.DUMMYFUNCTION("""COMPUTED_VALUE"""),"Professor de Português e estudante de Direito. Por um projeto de país que não seja de um nome só: Projeto Nacional de Desenvolvimento.")</f>
        <v>Professor de Português e estudante de Direito. Por um projeto de país que não seja de um nome só: Projeto Nacional de Desenvolvimento.</v>
      </c>
      <c r="D1542" s="2">
        <f>IFERROR(__xludf.DUMMYFUNCTION("""COMPUTED_VALUE"""),1.0028027568273113E-4)</f>
        <v>0.0001002802757</v>
      </c>
      <c r="E1542" s="2" t="str">
        <f>IFERROR(__xludf.DUMMYFUNCTION("""COMPUTED_VALUE"""),"      4.281")</f>
        <v>      4.281</v>
      </c>
    </row>
    <row r="1543">
      <c r="A1543" s="2" t="str">
        <f>IFERROR(__xludf.DUMMYFUNCTION("""COMPUTED_VALUE"""),"José J Vieira")</f>
        <v>José J Vieira</v>
      </c>
      <c r="B1543" s="2" t="str">
        <f>IFERROR(__xludf.DUMMYFUNCTION("""COMPUTED_VALUE"""),"jjvieira6")</f>
        <v>jjvieira6</v>
      </c>
      <c r="C1543" s="2" t="str">
        <f>IFERROR(__xludf.DUMMYFUNCTION("""COMPUTED_VALUE"""),"Patriota, Cristão conservador.                     
Sigo a direita. ➡️ 🇧🇷")</f>
        <v>Patriota, Cristão conservador.                     
Sigo a direita. ➡️ 🇧🇷</v>
      </c>
      <c r="D1543" s="2">
        <f>IFERROR(__xludf.DUMMYFUNCTION("""COMPUTED_VALUE"""),1.0028027568273113E-4)</f>
        <v>0.0001002802757</v>
      </c>
      <c r="E1543" s="2" t="str">
        <f>IFERROR(__xludf.DUMMYFUNCTION("""COMPUTED_VALUE"""),"     37.029")</f>
        <v>     37.029</v>
      </c>
    </row>
    <row r="1544">
      <c r="A1544" s="2" t="str">
        <f>IFERROR(__xludf.DUMMYFUNCTION("""COMPUTED_VALUE"""),"Rafael Alves")</f>
        <v>Rafael Alves</v>
      </c>
      <c r="B1544" s="2" t="str">
        <f>IFERROR(__xludf.DUMMYFUNCTION("""COMPUTED_VALUE"""),"rafaelalvesilva")</f>
        <v>rafaelalvesilva</v>
      </c>
      <c r="C1544" s="2"/>
      <c r="D1544" s="2">
        <f>IFERROR(__xludf.DUMMYFUNCTION("""COMPUTED_VALUE"""),1.0028027568273113E-4)</f>
        <v>0.0001002802757</v>
      </c>
      <c r="E1544" s="2" t="str">
        <f>IFERROR(__xludf.DUMMYFUNCTION("""COMPUTED_VALUE"""),"      1.416")</f>
        <v>      1.416</v>
      </c>
    </row>
    <row r="1545">
      <c r="A1545" s="2" t="str">
        <f>IFERROR(__xludf.DUMMYFUNCTION("""COMPUTED_VALUE"""),"Victor Hugo 🚩")</f>
        <v>Victor Hugo 🚩</v>
      </c>
      <c r="B1545" s="2" t="str">
        <f>IFERROR(__xludf.DUMMYFUNCTION("""COMPUTED_VALUE"""),"vh_aferreira")</f>
        <v>vh_aferreira</v>
      </c>
      <c r="C1545" s="2" t="str">
        <f>IFERROR(__xludf.DUMMYFUNCTION("""COMPUTED_VALUE"""),"Desenvolvedor")</f>
        <v>Desenvolvedor</v>
      </c>
      <c r="D1545" s="2">
        <f>IFERROR(__xludf.DUMMYFUNCTION("""COMPUTED_VALUE"""),1.0028027568273113E-4)</f>
        <v>0.0001002802757</v>
      </c>
      <c r="E1545" s="2" t="str">
        <f>IFERROR(__xludf.DUMMYFUNCTION("""COMPUTED_VALUE"""),"      4.211")</f>
        <v>      4.211</v>
      </c>
    </row>
    <row r="1546">
      <c r="A1546" s="2" t="str">
        <f>IFERROR(__xludf.DUMMYFUNCTION("""COMPUTED_VALUE"""),"‏ً")</f>
        <v>‏ً</v>
      </c>
      <c r="B1546" s="2" t="str">
        <f>IFERROR(__xludf.DUMMYFUNCTION("""COMPUTED_VALUE"""),"mybiebergirl")</f>
        <v>mybiebergirl</v>
      </c>
      <c r="C1546" s="2" t="str">
        <f>IFERROR(__xludf.DUMMYFUNCTION("""COMPUTED_VALUE"""),"my badass bitch")</f>
        <v>my badass bitch</v>
      </c>
      <c r="D1546" s="2">
        <f>IFERROR(__xludf.DUMMYFUNCTION("""COMPUTED_VALUE"""),1.0028027568273113E-4)</f>
        <v>0.0001002802757</v>
      </c>
      <c r="E1546" s="2" t="str">
        <f>IFERROR(__xludf.DUMMYFUNCTION("""COMPUTED_VALUE"""),"      4.486")</f>
        <v>      4.486</v>
      </c>
    </row>
    <row r="1547">
      <c r="A1547" s="2" t="str">
        <f>IFERROR(__xludf.DUMMYFUNCTION("""COMPUTED_VALUE"""),"Michael")</f>
        <v>Michael</v>
      </c>
      <c r="B1547" s="2" t="str">
        <f>IFERROR(__xludf.DUMMYFUNCTION("""COMPUTED_VALUE"""),"michaelpavoni2")</f>
        <v>michaelpavoni2</v>
      </c>
      <c r="C1547" s="2" t="str">
        <f>IFERROR(__xludf.DUMMYFUNCTION("""COMPUTED_VALUE"""),"No Brasil, diversos grupos podem ser classificados como minorias: isso inclui a população LGBTQIA+, mulheres, negros, pessoas com deficiência (PCDs), pessoas de")</f>
        <v>No Brasil, diversos grupos podem ser classificados como minorias: isso inclui a população LGBTQIA+, mulheres, negros, pessoas com deficiência (PCDs), pessoas de</v>
      </c>
      <c r="D1547" s="2">
        <f>IFERROR(__xludf.DUMMYFUNCTION("""COMPUTED_VALUE"""),1.0028027568273113E-4)</f>
        <v>0.0001002802757</v>
      </c>
      <c r="E1547" s="2" t="str">
        <f>IFERROR(__xludf.DUMMYFUNCTION("""COMPUTED_VALUE"""),"      2.545")</f>
        <v>      2.545</v>
      </c>
    </row>
    <row r="1548">
      <c r="A1548" s="2" t="str">
        <f>IFERROR(__xludf.DUMMYFUNCTION("""COMPUTED_VALUE"""),"ᶻ 𝗓 𐰁")</f>
        <v>ᶻ 𝗓 𐰁</v>
      </c>
      <c r="B1548" s="2" t="str">
        <f>IFERROR(__xludf.DUMMYFUNCTION("""COMPUTED_VALUE"""),"huenitos")</f>
        <v>huenitos</v>
      </c>
      <c r="C1548" s="2" t="str">
        <f>IFERROR(__xludf.DUMMYFUNCTION("""COMPUTED_VALUE"""),"ᅟ ͏ ͏ ͏ ͏ ͏ ͏ ͏ ͏ ͏:P bleh, this user is ͏https://t.co/lkX3xMxjV1  
 ͏ ͏ ͏ ͏ ͏")</f>
        <v>ᅟ ͏ ͏ ͏ ͏ ͏ ͏ ͏ ͏ ͏:P bleh, this user is ͏https://t.co/lkX3xMxjV1  
 ͏ ͏ ͏ ͏ ͏</v>
      </c>
      <c r="D1548" s="2">
        <f>IFERROR(__xludf.DUMMYFUNCTION("""COMPUTED_VALUE"""),1.0028027568273113E-4)</f>
        <v>0.0001002802757</v>
      </c>
      <c r="E1548" s="2" t="str">
        <f>IFERROR(__xludf.DUMMYFUNCTION("""COMPUTED_VALUE"""),"      2.300")</f>
        <v>      2.300</v>
      </c>
    </row>
    <row r="1549">
      <c r="A1549" s="2" t="str">
        <f>IFERROR(__xludf.DUMMYFUNCTION("""COMPUTED_VALUE"""),"Usiel Rios")</f>
        <v>Usiel Rios</v>
      </c>
      <c r="B1549" s="2" t="str">
        <f>IFERROR(__xludf.DUMMYFUNCTION("""COMPUTED_VALUE"""),"usielrios")</f>
        <v>usielrios</v>
      </c>
      <c r="C1549" s="2" t="str">
        <f>IFERROR(__xludf.DUMMYFUNCTION("""COMPUTED_VALUE"""),"""...sem dinheiro no banco, sem parentes importantes..."" Indignado com o avanço do fascismo no Brasil, mas com a esperança renovada do que nos trará 2023.")</f>
        <v>"...sem dinheiro no banco, sem parentes importantes..." Indignado com o avanço do fascismo no Brasil, mas com a esperança renovada do que nos trará 2023.</v>
      </c>
      <c r="D1549" s="2">
        <f>IFERROR(__xludf.DUMMYFUNCTION("""COMPUTED_VALUE"""),1.0028027568273113E-4)</f>
        <v>0.0001002802757</v>
      </c>
      <c r="E1549" s="2" t="str">
        <f>IFERROR(__xludf.DUMMYFUNCTION("""COMPUTED_VALUE"""),"      5.052")</f>
        <v>      5.052</v>
      </c>
    </row>
    <row r="1550">
      <c r="A1550" s="2" t="str">
        <f>IFERROR(__xludf.DUMMYFUNCTION("""COMPUTED_VALUE"""),"Gabriel Kraus")</f>
        <v>Gabriel Kraus</v>
      </c>
      <c r="B1550" s="2" t="str">
        <f>IFERROR(__xludf.DUMMYFUNCTION("""COMPUTED_VALUE"""),"gabriel_kraus13")</f>
        <v>gabriel_kraus13</v>
      </c>
      <c r="C1550" s="2" t="str">
        <f>IFERROR(__xludf.DUMMYFUNCTION("""COMPUTED_VALUE"""),"colorado 🇮🇩")</f>
        <v>colorado 🇮🇩</v>
      </c>
      <c r="D1550" s="2">
        <f>IFERROR(__xludf.DUMMYFUNCTION("""COMPUTED_VALUE"""),1.0028027568273113E-4)</f>
        <v>0.0001002802757</v>
      </c>
      <c r="E1550" s="2" t="str">
        <f>IFERROR(__xludf.DUMMYFUNCTION("""COMPUTED_VALUE"""),"      1.138")</f>
        <v>      1.138</v>
      </c>
    </row>
    <row r="1551">
      <c r="A1551" s="2" t="str">
        <f>IFERROR(__xludf.DUMMYFUNCTION("""COMPUTED_VALUE"""),"josé altair msampaio")</f>
        <v>josé altair msampaio</v>
      </c>
      <c r="B1551" s="2" t="str">
        <f>IFERROR(__xludf.DUMMYFUNCTION("""COMPUTED_VALUE"""),"jamszeca")</f>
        <v>jamszeca</v>
      </c>
      <c r="C1551" s="2" t="str">
        <f>IFERROR(__xludf.DUMMYFUNCTION("""COMPUTED_VALUE"""),"sou trabalhador bancário e milito na Central Única dos Trabalhadores.")</f>
        <v>sou trabalhador bancário e milito na Central Única dos Trabalhadores.</v>
      </c>
      <c r="D1551" s="2">
        <f>IFERROR(__xludf.DUMMYFUNCTION("""COMPUTED_VALUE"""),1.0028027568273113E-4)</f>
        <v>0.0001002802757</v>
      </c>
      <c r="E1551" s="2" t="str">
        <f>IFERROR(__xludf.DUMMYFUNCTION("""COMPUTED_VALUE"""),"      2.855")</f>
        <v>      2.855</v>
      </c>
    </row>
    <row r="1552">
      <c r="A1552" s="2" t="str">
        <f>IFERROR(__xludf.DUMMYFUNCTION("""COMPUTED_VALUE"""),"naoko 100% megumin")</f>
        <v>naoko 100% megumin</v>
      </c>
      <c r="B1552" s="2" t="str">
        <f>IFERROR(__xludf.DUMMYFUNCTION("""COMPUTED_VALUE"""),"naokocos")</f>
        <v>naokocos</v>
      </c>
      <c r="C1552" s="2" t="str">
        <f>IFERROR(__xludf.DUMMYFUNCTION("""COMPUTED_VALUE"""),"SP/BR 🇧🇷
cosplayer desde 2015 🥰
email pra contato: naoko.cosplay@hotmail.com
Lelouch vi Britannia ❤️
faço live")</f>
        <v>SP/BR 🇧🇷
cosplayer desde 2015 🥰
email pra contato: naoko.cosplay@hotmail.com
Lelouch vi Britannia ❤️
faço live</v>
      </c>
      <c r="D1552" s="2">
        <f>IFERROR(__xludf.DUMMYFUNCTION("""COMPUTED_VALUE"""),1.0028027568273113E-4)</f>
        <v>0.0001002802757</v>
      </c>
      <c r="E1552" s="2" t="str">
        <f>IFERROR(__xludf.DUMMYFUNCTION("""COMPUTED_VALUE"""),"      4.307")</f>
        <v>      4.307</v>
      </c>
    </row>
    <row r="1553">
      <c r="A1553" s="2" t="str">
        <f>IFERROR(__xludf.DUMMYFUNCTION("""COMPUTED_VALUE"""),"Enrique Rosales Jiménez")</f>
        <v>Enrique Rosales Jiménez</v>
      </c>
      <c r="B1553" s="2" t="str">
        <f>IFERROR(__xludf.DUMMYFUNCTION("""COMPUTED_VALUE"""),"enrique24875105")</f>
        <v>enrique24875105</v>
      </c>
      <c r="C1553" s="2" t="str">
        <f>IFERROR(__xludf.DUMMYFUNCTION("""COMPUTED_VALUE"""),"cubano, revolucionario  de pura sepa, Martiano, fidelista y convencido que un mundo mejor es posible")</f>
        <v>cubano, revolucionario  de pura sepa, Martiano, fidelista y convencido que un mundo mejor es posible</v>
      </c>
      <c r="D1553" s="2">
        <f>IFERROR(__xludf.DUMMYFUNCTION("""COMPUTED_VALUE"""),1.0028027568273113E-4)</f>
        <v>0.0001002802757</v>
      </c>
      <c r="E1553" s="2" t="str">
        <f>IFERROR(__xludf.DUMMYFUNCTION("""COMPUTED_VALUE"""),"      3.547")</f>
        <v>      3.547</v>
      </c>
    </row>
    <row r="1554">
      <c r="A1554" s="2" t="str">
        <f>IFERROR(__xludf.DUMMYFUNCTION("""COMPUTED_VALUE"""),"Pedro Jardim")</f>
        <v>Pedro Jardim</v>
      </c>
      <c r="B1554" s="2" t="str">
        <f>IFERROR(__xludf.DUMMYFUNCTION("""COMPUTED_VALUE"""),"ptgarden13")</f>
        <v>ptgarden13</v>
      </c>
      <c r="C1554" s="2" t="str">
        <f>IFERROR(__xludf.DUMMYFUNCTION("""COMPUTED_VALUE"""),"Terrivelmente de esquerda")</f>
        <v>Terrivelmente de esquerda</v>
      </c>
      <c r="D1554" s="2">
        <f>IFERROR(__xludf.DUMMYFUNCTION("""COMPUTED_VALUE"""),1.0028027568273113E-4)</f>
        <v>0.0001002802757</v>
      </c>
      <c r="E1554" s="2" t="str">
        <f>IFERROR(__xludf.DUMMYFUNCTION("""COMPUTED_VALUE"""),"      3.445")</f>
        <v>      3.445</v>
      </c>
    </row>
    <row r="1555">
      <c r="A1555" s="2" t="str">
        <f>IFERROR(__xludf.DUMMYFUNCTION("""COMPUTED_VALUE"""),"carla gastal 🌺")</f>
        <v>carla gastal 🌺</v>
      </c>
      <c r="B1555" s="2" t="str">
        <f>IFERROR(__xludf.DUMMYFUNCTION("""COMPUTED_VALUE"""),"carlagastal")</f>
        <v>carlagastal</v>
      </c>
      <c r="C1555" s="2" t="str">
        <f>IFERROR(__xludf.DUMMYFUNCTION("""COMPUTED_VALUE"""),"artesana, mamá de olija, inti &amp; isa y de una bicharada rara, licenciada en lengua y literatura castellana, la abuela cuentacuentos de maría luíza...")</f>
        <v>artesana, mamá de olija, inti &amp; isa y de una bicharada rara, licenciada en lengua y literatura castellana, la abuela cuentacuentos de maría luíza...</v>
      </c>
      <c r="D1555" s="2">
        <f>IFERROR(__xludf.DUMMYFUNCTION("""COMPUTED_VALUE"""),1.0028027568273113E-4)</f>
        <v>0.0001002802757</v>
      </c>
      <c r="E1555" s="2" t="str">
        <f>IFERROR(__xludf.DUMMYFUNCTION("""COMPUTED_VALUE"""),"      5.852")</f>
        <v>      5.852</v>
      </c>
    </row>
    <row r="1556">
      <c r="A1556" s="2" t="str">
        <f>IFERROR(__xludf.DUMMYFUNCTION("""COMPUTED_VALUE"""),"mushi-san - 🐞🏳️‍⚧️ ✍️ 📚 💬")</f>
        <v>mushi-san - 🐞🏳️‍⚧️ ✍️ 📚 💬</v>
      </c>
      <c r="B1556" s="2" t="str">
        <f>IFERROR(__xludf.DUMMYFUNCTION("""COMPUTED_VALUE"""),"mushisan")</f>
        <v>mushisan</v>
      </c>
      <c r="C1556" s="2" t="str">
        <f>IFERROR(__xludf.DUMMYFUNCTION("""COMPUTED_VALUE"""),"Redonda e vermelha com bolinhas pretas
Mais conhecida pela curadoria dos RTs, escrevo histórias que ninguém lê (porque o mau-gosto impera :P)
She/her/ela")</f>
        <v>Redonda e vermelha com bolinhas pretas
Mais conhecida pela curadoria dos RTs, escrevo histórias que ninguém lê (porque o mau-gosto impera :P)
She/her/ela</v>
      </c>
      <c r="D1556" s="2">
        <f>IFERROR(__xludf.DUMMYFUNCTION("""COMPUTED_VALUE"""),1.0028027568273113E-4)</f>
        <v>0.0001002802757</v>
      </c>
      <c r="E1556" s="2" t="str">
        <f>IFERROR(__xludf.DUMMYFUNCTION("""COMPUTED_VALUE"""),"      1.568")</f>
        <v>      1.568</v>
      </c>
    </row>
    <row r="1557">
      <c r="A1557" s="2" t="str">
        <f>IFERROR(__xludf.DUMMYFUNCTION("""COMPUTED_VALUE"""),"vera araujo 🚩🇧🇷")</f>
        <v>vera araujo 🚩🇧🇷</v>
      </c>
      <c r="B1557" s="2" t="str">
        <f>IFERROR(__xludf.DUMMYFUNCTION("""COMPUTED_VALUE"""),"veluc111")</f>
        <v>veluc111</v>
      </c>
      <c r="C1557" s="2" t="str">
        <f>IFERROR(__xludf.DUMMYFUNCTION("""COMPUTED_VALUE"""),"Militante Independente.
América do Sul")</f>
        <v>Militante Independente.
América do Sul</v>
      </c>
      <c r="D1557" s="2">
        <f>IFERROR(__xludf.DUMMYFUNCTION("""COMPUTED_VALUE"""),1.0028027568273113E-4)</f>
        <v>0.0001002802757</v>
      </c>
      <c r="E1557" s="2" t="str">
        <f>IFERROR(__xludf.DUMMYFUNCTION("""COMPUTED_VALUE"""),"     12.565")</f>
        <v>     12.565</v>
      </c>
    </row>
    <row r="1558">
      <c r="A1558" s="2" t="str">
        <f>IFERROR(__xludf.DUMMYFUNCTION("""COMPUTED_VALUE"""),"Lucas Paniago")</f>
        <v>Lucas Paniago</v>
      </c>
      <c r="B1558" s="2" t="str">
        <f>IFERROR(__xludf.DUMMYFUNCTION("""COMPUTED_VALUE"""),"lucas_pan91")</f>
        <v>lucas_pan91</v>
      </c>
      <c r="C1558" s="2" t="str">
        <f>IFERROR(__xludf.DUMMYFUNCTION("""COMPUTED_VALUE"""),"I know what I like, and I like what I know!")</f>
        <v>I know what I like, and I like what I know!</v>
      </c>
      <c r="D1558" s="2">
        <f>IFERROR(__xludf.DUMMYFUNCTION("""COMPUTED_VALUE"""),1.0028027568273113E-4)</f>
        <v>0.0001002802757</v>
      </c>
      <c r="E1558" s="2" t="str">
        <f>IFERROR(__xludf.DUMMYFUNCTION("""COMPUTED_VALUE"""),"      4.175")</f>
        <v>      4.175</v>
      </c>
    </row>
    <row r="1559">
      <c r="A1559" s="2" t="str">
        <f>IFERROR(__xludf.DUMMYFUNCTION("""COMPUTED_VALUE"""),"🇧🇷vbrito🇧🇷")</f>
        <v>🇧🇷vbrito🇧🇷</v>
      </c>
      <c r="B1559" s="2" t="str">
        <f>IFERROR(__xludf.DUMMYFUNCTION("""COMPUTED_VALUE"""),"v_bbrito")</f>
        <v>v_bbrito</v>
      </c>
      <c r="C1559" s="2" t="str">
        <f>IFERROR(__xludf.DUMMYFUNCTION("""COMPUTED_VALUE"""),"BRASILEIRO COM MUITO ORGULHO")</f>
        <v>BRASILEIRO COM MUITO ORGULHO</v>
      </c>
      <c r="D1559" s="2">
        <f>IFERROR(__xludf.DUMMYFUNCTION("""COMPUTED_VALUE"""),1.0028027568273113E-4)</f>
        <v>0.0001002802757</v>
      </c>
      <c r="E1559" s="2" t="str">
        <f>IFERROR(__xludf.DUMMYFUNCTION("""COMPUTED_VALUE"""),"      1.253")</f>
        <v>      1.253</v>
      </c>
    </row>
    <row r="1560">
      <c r="A1560" s="2" t="str">
        <f>IFERROR(__xludf.DUMMYFUNCTION("""COMPUTED_VALUE"""),"Dani - L")</f>
        <v>Dani - L</v>
      </c>
      <c r="B1560" s="2" t="str">
        <f>IFERROR(__xludf.DUMMYFUNCTION("""COMPUTED_VALUE"""),"daniellapjd")</f>
        <v>daniellapjd</v>
      </c>
      <c r="C1560" s="2" t="str">
        <f>IFERROR(__xludf.DUMMYFUNCTION("""COMPUTED_VALUE"""),"brasileira")</f>
        <v>brasileira</v>
      </c>
      <c r="D1560" s="2">
        <f>IFERROR(__xludf.DUMMYFUNCTION("""COMPUTED_VALUE"""),1.0028027568273113E-4)</f>
        <v>0.0001002802757</v>
      </c>
      <c r="E1560" s="2" t="str">
        <f>IFERROR(__xludf.DUMMYFUNCTION("""COMPUTED_VALUE"""),"      5.475")</f>
        <v>      5.475</v>
      </c>
    </row>
    <row r="1561">
      <c r="A1561" s="2" t="str">
        <f>IFERROR(__xludf.DUMMYFUNCTION("""COMPUTED_VALUE"""),"GdsSilva-Capixaba")</f>
        <v>GdsSilva-Capixaba</v>
      </c>
      <c r="B1561" s="2" t="str">
        <f>IFERROR(__xludf.DUMMYFUNCTION("""COMPUTED_VALUE"""),"gustavo74501339")</f>
        <v>gustavo74501339</v>
      </c>
      <c r="C1561" s="2" t="str">
        <f>IFERROR(__xludf.DUMMYFUNCTION("""COMPUTED_VALUE"""),"Deus , pátria e família🇧🇷🇧🇷🇧🇷🇧🇷")</f>
        <v>Deus , pátria e família🇧🇷🇧🇷🇧🇷🇧🇷</v>
      </c>
      <c r="D1561" s="2">
        <f>IFERROR(__xludf.DUMMYFUNCTION("""COMPUTED_VALUE"""),1.0028027568273113E-4)</f>
        <v>0.0001002802757</v>
      </c>
      <c r="E1561" s="2" t="str">
        <f>IFERROR(__xludf.DUMMYFUNCTION("""COMPUTED_VALUE"""),"      1.196")</f>
        <v>      1.196</v>
      </c>
    </row>
    <row r="1562">
      <c r="A1562" s="2" t="str">
        <f>IFERROR(__xludf.DUMMYFUNCTION("""COMPUTED_VALUE"""),"Fabio I")</f>
        <v>Fabio I</v>
      </c>
      <c r="B1562" s="2" t="str">
        <f>IFERROR(__xludf.DUMMYFUNCTION("""COMPUTED_VALUE"""),"fabioing")</f>
        <v>fabioing</v>
      </c>
      <c r="C1562" s="2"/>
      <c r="D1562" s="2">
        <f>IFERROR(__xludf.DUMMYFUNCTION("""COMPUTED_VALUE"""),1.0028027568273113E-4)</f>
        <v>0.0001002802757</v>
      </c>
      <c r="E1562" s="2" t="str">
        <f>IFERROR(__xludf.DUMMYFUNCTION("""COMPUTED_VALUE"""),"      1.030")</f>
        <v>      1.030</v>
      </c>
    </row>
    <row r="1563">
      <c r="A1563" s="2" t="str">
        <f>IFERROR(__xludf.DUMMYFUNCTION("""COMPUTED_VALUE"""),".'")</f>
        <v>.'</v>
      </c>
      <c r="B1563" s="2" t="str">
        <f>IFERROR(__xludf.DUMMYFUNCTION("""COMPUTED_VALUE"""),"alessandrabrvna")</f>
        <v>alessandrabrvna</v>
      </c>
      <c r="C1563" s="2" t="str">
        <f>IFERROR(__xludf.DUMMYFUNCTION("""COMPUTED_VALUE"""),"um robô (esquerdista) aprendendo português 🤖")</f>
        <v>um robô (esquerdista) aprendendo português 🤖</v>
      </c>
      <c r="D1563" s="2">
        <f>IFERROR(__xludf.DUMMYFUNCTION("""COMPUTED_VALUE"""),1.0028027568273113E-4)</f>
        <v>0.0001002802757</v>
      </c>
      <c r="E1563" s="2" t="str">
        <f>IFERROR(__xludf.DUMMYFUNCTION("""COMPUTED_VALUE"""),"      4.315")</f>
        <v>      4.315</v>
      </c>
    </row>
    <row r="1564">
      <c r="A1564" s="2" t="str">
        <f>IFERROR(__xludf.DUMMYFUNCTION("""COMPUTED_VALUE"""),"Eudora")</f>
        <v>Eudora</v>
      </c>
      <c r="B1564" s="2" t="str">
        <f>IFERROR(__xludf.DUMMYFUNCTION("""COMPUTED_VALUE"""),"eudora")</f>
        <v>eudora</v>
      </c>
      <c r="C1564" s="2" t="str">
        <f>IFERROR(__xludf.DUMMYFUNCTION("""COMPUTED_VALUE"""),"Seu brilho é único ✨
Compre online ou encontre a Representante mais próxima de você. 👇
https://t.co/8sB4CKofMF")</f>
        <v>Seu brilho é único ✨
Compre online ou encontre a Representante mais próxima de você. 👇
https://t.co/8sB4CKofMF</v>
      </c>
      <c r="D1564" s="2">
        <f>IFERROR(__xludf.DUMMYFUNCTION("""COMPUTED_VALUE"""),1.0028027568273113E-4)</f>
        <v>0.0001002802757</v>
      </c>
      <c r="E1564" s="2" t="str">
        <f>IFERROR(__xludf.DUMMYFUNCTION("""COMPUTED_VALUE"""),"     37.133")</f>
        <v>     37.133</v>
      </c>
    </row>
    <row r="1565">
      <c r="A1565" s="2" t="str">
        <f>IFERROR(__xludf.DUMMYFUNCTION("""COMPUTED_VALUE"""),"Orlando Simões")</f>
        <v>Orlando Simões</v>
      </c>
      <c r="B1565" s="2" t="str">
        <f>IFERROR(__xludf.DUMMYFUNCTION("""COMPUTED_VALUE"""),"_osnt_")</f>
        <v>_osnt_</v>
      </c>
      <c r="C1565" s="2" t="str">
        <f>IFERROR(__xludf.DUMMYFUNCTION("""COMPUTED_VALUE"""),"Cearense, ambidestro, capricorniano, sensato (as vezes), Nutrigeneticista e futuro Md.")</f>
        <v>Cearense, ambidestro, capricorniano, sensato (as vezes), Nutrigeneticista e futuro Md.</v>
      </c>
      <c r="D1565" s="2">
        <f>IFERROR(__xludf.DUMMYFUNCTION("""COMPUTED_VALUE"""),1.0028027568273113E-4)</f>
        <v>0.0001002802757</v>
      </c>
      <c r="E1565" s="2" t="str">
        <f>IFERROR(__xludf.DUMMYFUNCTION("""COMPUTED_VALUE"""),"      5.723")</f>
        <v>      5.723</v>
      </c>
    </row>
    <row r="1566">
      <c r="A1566" s="2" t="str">
        <f>IFERROR(__xludf.DUMMYFUNCTION("""COMPUTED_VALUE"""),"Olimpio Dognini")</f>
        <v>Olimpio Dognini</v>
      </c>
      <c r="B1566" s="2" t="str">
        <f>IFERROR(__xludf.DUMMYFUNCTION("""COMPUTED_VALUE"""),"olimpio_dognini")</f>
        <v>olimpio_dognini</v>
      </c>
      <c r="C1566" s="2" t="str">
        <f>IFERROR(__xludf.DUMMYFUNCTION("""COMPUTED_VALUE"""),"Advogado inscrito na OAB/SC, Especialista em Direito Previdenciário, casado com Joyce, pai do João e da Ana. Cristão, conservador e liberal.")</f>
        <v>Advogado inscrito na OAB/SC, Especialista em Direito Previdenciário, casado com Joyce, pai do João e da Ana. Cristão, conservador e liberal.</v>
      </c>
      <c r="D1566" s="2">
        <f>IFERROR(__xludf.DUMMYFUNCTION("""COMPUTED_VALUE"""),1.0028027568273113E-4)</f>
        <v>0.0001002802757</v>
      </c>
      <c r="E1566" s="2" t="str">
        <f>IFERROR(__xludf.DUMMYFUNCTION("""COMPUTED_VALUE"""),"      3.558")</f>
        <v>      3.558</v>
      </c>
    </row>
    <row r="1567">
      <c r="A1567" s="2" t="str">
        <f>IFERROR(__xludf.DUMMYFUNCTION("""COMPUTED_VALUE"""),"𝐃𝐚𝐧 Magico")</f>
        <v>𝐃𝐚𝐧 Magico</v>
      </c>
      <c r="B1567" s="2" t="str">
        <f>IFERROR(__xludf.DUMMYFUNCTION("""COMPUTED_VALUE"""),"earthmixer")</f>
        <v>earthmixer</v>
      </c>
      <c r="C1567" s="2" t="str">
        <f>IFERROR(__xludf.DUMMYFUNCTION("""COMPUTED_VALUE"""),"Earth &amp; Mix ⚣ Anitta")</f>
        <v>Earth &amp; Mix ⚣ Anitta</v>
      </c>
      <c r="D1567" s="2">
        <f>IFERROR(__xludf.DUMMYFUNCTION("""COMPUTED_VALUE"""),1.0028027568273113E-4)</f>
        <v>0.0001002802757</v>
      </c>
      <c r="E1567" s="2" t="str">
        <f>IFERROR(__xludf.DUMMYFUNCTION("""COMPUTED_VALUE"""),"      2.861")</f>
        <v>      2.861</v>
      </c>
    </row>
    <row r="1568">
      <c r="A1568" s="2" t="str">
        <f>IFERROR(__xludf.DUMMYFUNCTION("""COMPUTED_VALUE"""),"Jota Vidal")</f>
        <v>Jota Vidal</v>
      </c>
      <c r="B1568" s="2" t="str">
        <f>IFERROR(__xludf.DUMMYFUNCTION("""COMPUTED_VALUE"""),"jotavidal88")</f>
        <v>jotavidal88</v>
      </c>
      <c r="C1568" s="2" t="str">
        <f>IFERROR(__xludf.DUMMYFUNCTION("""COMPUTED_VALUE"""),"Coordenador logístico de uma grande emissora de TV.
Estudando Direito 🎓⚖. 
Amante do SPFC, musculação e Muay Thai!")</f>
        <v>Coordenador logístico de uma grande emissora de TV.
Estudando Direito 🎓⚖. 
Amante do SPFC, musculação e Muay Thai!</v>
      </c>
      <c r="D1568" s="2">
        <f>IFERROR(__xludf.DUMMYFUNCTION("""COMPUTED_VALUE"""),1.0028027568273113E-4)</f>
        <v>0.0001002802757</v>
      </c>
      <c r="E1568" s="2" t="str">
        <f>IFERROR(__xludf.DUMMYFUNCTION("""COMPUTED_VALUE"""),"      3.916")</f>
        <v>      3.916</v>
      </c>
    </row>
    <row r="1569">
      <c r="A1569" s="2" t="str">
        <f>IFERROR(__xludf.DUMMYFUNCTION("""COMPUTED_VALUE"""),"jordana")</f>
        <v>jordana</v>
      </c>
      <c r="B1569" s="2" t="str">
        <f>IFERROR(__xludf.DUMMYFUNCTION("""COMPUTED_VALUE"""),"lmjsecrett")</f>
        <v>lmjsecrett</v>
      </c>
      <c r="C1569" s="2" t="str">
        <f>IFERROR(__xludf.DUMMYFUNCTION("""COMPUTED_VALUE"""),"só falo de vôlei feminino")</f>
        <v>só falo de vôlei feminino</v>
      </c>
      <c r="D1569" s="2">
        <f>IFERROR(__xludf.DUMMYFUNCTION("""COMPUTED_VALUE"""),1.0028027568273113E-4)</f>
        <v>0.0001002802757</v>
      </c>
      <c r="E1569" s="2" t="str">
        <f>IFERROR(__xludf.DUMMYFUNCTION("""COMPUTED_VALUE"""),"     29.706")</f>
        <v>     29.706</v>
      </c>
    </row>
    <row r="1570">
      <c r="A1570" s="2" t="str">
        <f>IFERROR(__xludf.DUMMYFUNCTION("""COMPUTED_VALUE"""),"Boo Seungkwan Baksu")</f>
        <v>Boo Seungkwan Baksu</v>
      </c>
      <c r="B1570" s="2" t="str">
        <f>IFERROR(__xludf.DUMMYFUNCTION("""COMPUTED_VALUE"""),"boosandans")</f>
        <v>boosandans</v>
      </c>
      <c r="C1570" s="2" t="str">
        <f>IFERROR(__xludf.DUMMYFUNCTION("""COMPUTED_VALUE"""),"fan account 《seventeen and monstax》")</f>
        <v>fan account 《seventeen and monstax》</v>
      </c>
      <c r="D1570" s="2">
        <f>IFERROR(__xludf.DUMMYFUNCTION("""COMPUTED_VALUE"""),1.0028027568273113E-4)</f>
        <v>0.0001002802757</v>
      </c>
      <c r="E1570" s="2" t="str">
        <f>IFERROR(__xludf.DUMMYFUNCTION("""COMPUTED_VALUE"""),"      1.593")</f>
        <v>      1.593</v>
      </c>
    </row>
    <row r="1571">
      <c r="A1571" s="2" t="str">
        <f>IFERROR(__xludf.DUMMYFUNCTION("""COMPUTED_VALUE"""),"joão carlos")</f>
        <v>joão carlos</v>
      </c>
      <c r="B1571" s="2" t="str">
        <f>IFERROR(__xludf.DUMMYFUNCTION("""COMPUTED_VALUE"""),"joocarl85230660")</f>
        <v>joocarl85230660</v>
      </c>
      <c r="C1571" s="2" t="str">
        <f>IFERROR(__xludf.DUMMYFUNCTION("""COMPUTED_VALUE"""),"Bolsonaro desde 2014")</f>
        <v>Bolsonaro desde 2014</v>
      </c>
      <c r="D1571" s="2">
        <f>IFERROR(__xludf.DUMMYFUNCTION("""COMPUTED_VALUE"""),1.0028027568273113E-4)</f>
        <v>0.0001002802757</v>
      </c>
      <c r="E1571" s="2" t="str">
        <f>IFERROR(__xludf.DUMMYFUNCTION("""COMPUTED_VALUE"""),"      2.237")</f>
        <v>      2.237</v>
      </c>
    </row>
    <row r="1572">
      <c r="A1572" s="2" t="str">
        <f>IFERROR(__xludf.DUMMYFUNCTION("""COMPUTED_VALUE"""),"SAMIRA ALI BOTELHO")</f>
        <v>SAMIRA ALI BOTELHO</v>
      </c>
      <c r="B1572" s="2" t="str">
        <f>IFERROR(__xludf.DUMMYFUNCTION("""COMPUTED_VALUE"""),"ali_botelho")</f>
        <v>ali_botelho</v>
      </c>
      <c r="C1572" s="2" t="str">
        <f>IFERROR(__xludf.DUMMYFUNCTION("""COMPUTED_VALUE"""),"SOU DIREITA 
66anos 
#FechadacomBolsonaro
*ESQUERDA É UM CÂNCER 
NÃO desisto
 Brasil acima de tudo
Sigo de volta  Exceto com cadeado
espiritualista 
ITAJUBÁ MG")</f>
        <v>SOU DIREITA 
66anos 
#FechadacomBolsonaro
*ESQUERDA É UM CÂNCER 
NÃO desisto
 Brasil acima de tudo
Sigo de volta  Exceto com cadeado
espiritualista 
ITAJUBÁ MG</v>
      </c>
      <c r="D1572" s="2">
        <f>IFERROR(__xludf.DUMMYFUNCTION("""COMPUTED_VALUE"""),1.0028027568273113E-4)</f>
        <v>0.0001002802757</v>
      </c>
      <c r="E1572" s="2" t="str">
        <f>IFERROR(__xludf.DUMMYFUNCTION("""COMPUTED_VALUE"""),"      3.189")</f>
        <v>      3.189</v>
      </c>
    </row>
    <row r="1573">
      <c r="A1573" s="2" t="str">
        <f>IFERROR(__xludf.DUMMYFUNCTION("""COMPUTED_VALUE"""),"tmz pinto")</f>
        <v>tmz pinto</v>
      </c>
      <c r="B1573" s="2" t="str">
        <f>IFERROR(__xludf.DUMMYFUNCTION("""COMPUTED_VALUE"""),"elementosujeito")</f>
        <v>elementosujeito</v>
      </c>
      <c r="C1573" s="2" t="str">
        <f>IFERROR(__xludf.DUMMYFUNCTION("""COMPUTED_VALUE"""),"Esquerda Antifascista. Em defesa da educação pública, gratuita e de qualidade.")</f>
        <v>Esquerda Antifascista. Em defesa da educação pública, gratuita e de qualidade.</v>
      </c>
      <c r="D1573" s="2">
        <f>IFERROR(__xludf.DUMMYFUNCTION("""COMPUTED_VALUE"""),1.0028027568273113E-4)</f>
        <v>0.0001002802757</v>
      </c>
      <c r="E1573" s="2" t="str">
        <f>IFERROR(__xludf.DUMMYFUNCTION("""COMPUTED_VALUE"""),"      1.696")</f>
        <v>      1.696</v>
      </c>
    </row>
    <row r="1574">
      <c r="A1574" s="2" t="str">
        <f>IFERROR(__xludf.DUMMYFUNCTION("""COMPUTED_VALUE"""),"Coren-DF")</f>
        <v>Coren-DF</v>
      </c>
      <c r="B1574" s="2" t="str">
        <f>IFERROR(__xludf.DUMMYFUNCTION("""COMPUTED_VALUE"""),"coren_df")</f>
        <v>coren_df</v>
      </c>
      <c r="C1574" s="2" t="str">
        <f>IFERROR(__xludf.DUMMYFUNCTION("""COMPUTED_VALUE"""),"Perfil oficial do Conselho Regional de Enfermagem do Distrito Federal")</f>
        <v>Perfil oficial do Conselho Regional de Enfermagem do Distrito Federal</v>
      </c>
      <c r="D1574" s="2">
        <f>IFERROR(__xludf.DUMMYFUNCTION("""COMPUTED_VALUE"""),1.0028027568273113E-4)</f>
        <v>0.0001002802757</v>
      </c>
      <c r="E1574" s="2" t="str">
        <f>IFERROR(__xludf.DUMMYFUNCTION("""COMPUTED_VALUE"""),"      2.784")</f>
        <v>      2.784</v>
      </c>
    </row>
    <row r="1575">
      <c r="A1575" s="2" t="str">
        <f>IFERROR(__xludf.DUMMYFUNCTION("""COMPUTED_VALUE"""),"Ivan Santos")</f>
        <v>Ivan Santos</v>
      </c>
      <c r="B1575" s="2" t="str">
        <f>IFERROR(__xludf.DUMMYFUNCTION("""COMPUTED_VALUE"""),"arte_prima")</f>
        <v>arte_prima</v>
      </c>
      <c r="C1575" s="2" t="str">
        <f>IFERROR(__xludf.DUMMYFUNCTION("""COMPUTED_VALUE"""),"Dêem flores para os jovens que falharam...      A hipocrisia é a homenagem que o vicio presta à virtude...")</f>
        <v>Dêem flores para os jovens que falharam...      A hipocrisia é a homenagem que o vicio presta à virtude...</v>
      </c>
      <c r="D1575" s="2">
        <f>IFERROR(__xludf.DUMMYFUNCTION("""COMPUTED_VALUE"""),1.0028027568273113E-4)</f>
        <v>0.0001002802757</v>
      </c>
      <c r="E1575" s="2" t="str">
        <f>IFERROR(__xludf.DUMMYFUNCTION("""COMPUTED_VALUE"""),"     23.617")</f>
        <v>     23.617</v>
      </c>
    </row>
    <row r="1576">
      <c r="A1576" s="2" t="str">
        <f>IFERROR(__xludf.DUMMYFUNCTION("""COMPUTED_VALUE"""),"Elizângela Bleggi")</f>
        <v>Elizângela Bleggi</v>
      </c>
      <c r="B1576" s="2" t="str">
        <f>IFERROR(__xludf.DUMMYFUNCTION("""COMPUTED_VALUE"""),"elizangelabisc1")</f>
        <v>elizangelabisc1</v>
      </c>
      <c r="C1576" s="2" t="str">
        <f>IFERROR(__xludf.DUMMYFUNCTION("""COMPUTED_VALUE"""),"Quem sou eu uma mãe, mulher que quer um pais de igualdade social, nunca vou desistir destas luta Sou petista de coração e alma")</f>
        <v>Quem sou eu uma mãe, mulher que quer um pais de igualdade social, nunca vou desistir destas luta Sou petista de coração e alma</v>
      </c>
      <c r="D1576" s="2">
        <f>IFERROR(__xludf.DUMMYFUNCTION("""COMPUTED_VALUE"""),1.0028027568273113E-4)</f>
        <v>0.0001002802757</v>
      </c>
      <c r="E1576" s="2" t="str">
        <f>IFERROR(__xludf.DUMMYFUNCTION("""COMPUTED_VALUE"""),"      1.216")</f>
        <v>      1.216</v>
      </c>
    </row>
    <row r="1577">
      <c r="A1577" s="2" t="str">
        <f>IFERROR(__xludf.DUMMYFUNCTION("""COMPUTED_VALUE"""),"Marcelo de Carvalho🇧🇷🌳🚜🔴⚫")</f>
        <v>Marcelo de Carvalho🇧🇷🌳🚜🔴⚫</v>
      </c>
      <c r="B1577" s="2" t="str">
        <f>IFERROR(__xludf.DUMMYFUNCTION("""COMPUTED_VALUE"""),"carv16de")</f>
        <v>carv16de</v>
      </c>
      <c r="C1577" s="2" t="str">
        <f>IFERROR(__xludf.DUMMYFUNCTION("""COMPUTED_VALUE"""),"Eng Florestal  1977 UFRRJ
#FechadocomBolsonaroAté2026")</f>
        <v>Eng Florestal  1977 UFRRJ
#FechadocomBolsonaroAté2026</v>
      </c>
      <c r="D1577" s="2">
        <f>IFERROR(__xludf.DUMMYFUNCTION("""COMPUTED_VALUE"""),1.0028027568273113E-4)</f>
        <v>0.0001002802757</v>
      </c>
      <c r="E1577" s="2" t="str">
        <f>IFERROR(__xludf.DUMMYFUNCTION("""COMPUTED_VALUE"""),"      3.827")</f>
        <v>      3.827</v>
      </c>
    </row>
    <row r="1578">
      <c r="A1578" s="2" t="str">
        <f>IFERROR(__xludf.DUMMYFUNCTION("""COMPUTED_VALUE"""),"TMD SPORTS ® ( De 🏡 ) 🔰")</f>
        <v>TMD SPORTS ® ( De 🏡 ) 🔰</v>
      </c>
      <c r="B1578" s="2" t="str">
        <f>IFERROR(__xludf.DUMMYFUNCTION("""COMPUTED_VALUE"""),"vempratmdsports")</f>
        <v>vempratmdsports</v>
      </c>
      <c r="C1578" s="2" t="str">
        <f>IFERROR(__xludf.DUMMYFUNCTION("""COMPUTED_VALUE"""),"⚽| Link De Matérial
📊| Assessoria
🎯| Indicações
🔊| Divulgação
💻| Gerenciamento de Mídias Sócias
💡| Mkt Esportivo
🌐 Site TMD ↙")</f>
        <v>⚽| Link De Matérial
📊| Assessoria
🎯| Indicações
🔊| Divulgação
💻| Gerenciamento de Mídias Sócias
💡| Mkt Esportivo
🌐 Site TMD ↙</v>
      </c>
      <c r="D1578" s="2">
        <f>IFERROR(__xludf.DUMMYFUNCTION("""COMPUTED_VALUE"""),1.0028027568273113E-4)</f>
        <v>0.0001002802757</v>
      </c>
      <c r="E1578" s="2" t="str">
        <f>IFERROR(__xludf.DUMMYFUNCTION("""COMPUTED_VALUE"""),"      2.459")</f>
        <v>      2.459</v>
      </c>
    </row>
    <row r="1579">
      <c r="A1579" s="2" t="str">
        <f>IFERROR(__xludf.DUMMYFUNCTION("""COMPUTED_VALUE"""),"Marcos Lima")</f>
        <v>Marcos Lima</v>
      </c>
      <c r="B1579" s="2" t="str">
        <f>IFERROR(__xludf.DUMMYFUNCTION("""COMPUTED_VALUE"""),"marcosl95254714")</f>
        <v>marcosl95254714</v>
      </c>
      <c r="C1579" s="2" t="str">
        <f>IFERROR(__xludf.DUMMYFUNCTION("""COMPUTED_VALUE"""),"segue de volta")</f>
        <v>segue de volta</v>
      </c>
      <c r="D1579" s="2">
        <f>IFERROR(__xludf.DUMMYFUNCTION("""COMPUTED_VALUE"""),1.0028027568273113E-4)</f>
        <v>0.0001002802757</v>
      </c>
      <c r="E1579" s="2" t="str">
        <f>IFERROR(__xludf.DUMMYFUNCTION("""COMPUTED_VALUE"""),"      8.629")</f>
        <v>      8.629</v>
      </c>
    </row>
    <row r="1580">
      <c r="A1580" s="2" t="str">
        <f>IFERROR(__xludf.DUMMYFUNCTION("""COMPUTED_VALUE"""),"Ivonélio Jr.")</f>
        <v>Ivonélio Jr.</v>
      </c>
      <c r="B1580" s="2" t="str">
        <f>IFERROR(__xludf.DUMMYFUNCTION("""COMPUTED_VALUE"""),"ivoneliojr")</f>
        <v>ivoneliojr</v>
      </c>
      <c r="C1580" s="2" t="str">
        <f>IFERROR(__xludf.DUMMYFUNCTION("""COMPUTED_VALUE"""),"Comentários, interações e informações sobre futebol e vôlei... entusiasta do Mercado Financeiro⚽🏐💰 
No peito cravado ⭐️⭐️⭐️⭐️⭐️")</f>
        <v>Comentários, interações e informações sobre futebol e vôlei... entusiasta do Mercado Financeiro⚽🏐💰 
No peito cravado ⭐️⭐️⭐️⭐️⭐️</v>
      </c>
      <c r="D1580" s="2">
        <f>IFERROR(__xludf.DUMMYFUNCTION("""COMPUTED_VALUE"""),1.0028027568273113E-4)</f>
        <v>0.0001002802757</v>
      </c>
      <c r="E1580" s="2" t="str">
        <f>IFERROR(__xludf.DUMMYFUNCTION("""COMPUTED_VALUE"""),"      4.618")</f>
        <v>      4.618</v>
      </c>
    </row>
    <row r="1581">
      <c r="A1581" s="2" t="str">
        <f>IFERROR(__xludf.DUMMYFUNCTION("""COMPUTED_VALUE"""),"Barça timão🚩🚩🚩")</f>
        <v>Barça timão🚩🚩🚩</v>
      </c>
      <c r="B1581" s="2" t="str">
        <f>IFERROR(__xludf.DUMMYFUNCTION("""COMPUTED_VALUE"""),"viniforce1")</f>
        <v>viniforce1</v>
      </c>
      <c r="C1581" s="2" t="str">
        <f>IFERROR(__xludf.DUMMYFUNCTION("""COMPUTED_VALUE"""),"Barça Corinthians, FORA CAMPOS NETO! SEM ANISTIA!")</f>
        <v>Barça Corinthians, FORA CAMPOS NETO! SEM ANISTIA!</v>
      </c>
      <c r="D1581" s="2">
        <f>IFERROR(__xludf.DUMMYFUNCTION("""COMPUTED_VALUE"""),1.0028027568273113E-4)</f>
        <v>0.0001002802757</v>
      </c>
      <c r="E1581" s="2" t="str">
        <f>IFERROR(__xludf.DUMMYFUNCTION("""COMPUTED_VALUE"""),"      1.396")</f>
        <v>      1.396</v>
      </c>
    </row>
    <row r="1582">
      <c r="A1582" s="13" t="str">
        <f>IFERROR(__xludf.DUMMYFUNCTION("""COMPUTED_VALUE"""),"https://www.kooapp.com/profile/Anna_Lupereira")</f>
        <v>https://www.kooapp.com/profile/Anna_Lupereira</v>
      </c>
      <c r="B1582" s="2" t="str">
        <f>IFERROR(__xludf.DUMMYFUNCTION("""COMPUTED_VALUE"""),"anna_lupereira")</f>
        <v>anna_lupereira</v>
      </c>
      <c r="C1582" s="2" t="str">
        <f>IFERROR(__xludf.DUMMYFUNCTION("""COMPUTED_VALUE"""),"Seguida por @Lulaoficial
No KOO @Anna_Lupereira
Sempre à esquerda discordar sem ofender 
A luta é de classes
#EsquerdistasSeguemEsquerdistas")</f>
        <v>Seguida por @Lulaoficial
No KOO @Anna_Lupereira
Sempre à esquerda discordar sem ofender 
A luta é de classes
#EsquerdistasSeguemEsquerdistas</v>
      </c>
      <c r="D1582" s="2">
        <f>IFERROR(__xludf.DUMMYFUNCTION("""COMPUTED_VALUE"""),1.0028027568273113E-4)</f>
        <v>0.0001002802757</v>
      </c>
      <c r="E1582" s="2" t="str">
        <f>IFERROR(__xludf.DUMMYFUNCTION("""COMPUTED_VALUE"""),"     10.384")</f>
        <v>     10.384</v>
      </c>
    </row>
    <row r="1583">
      <c r="A1583" s="2" t="str">
        <f>IFERROR(__xludf.DUMMYFUNCTION("""COMPUTED_VALUE"""),"Eduardo #uranium 🇧🇷")</f>
        <v>Eduardo #uranium 🇧🇷</v>
      </c>
      <c r="B1583" s="2" t="str">
        <f>IFERROR(__xludf.DUMMYFUNCTION("""COMPUTED_VALUE"""),"dubortoli")</f>
        <v>dubortoli</v>
      </c>
      <c r="C1583" s="2" t="str">
        <f>IFERROR(__xludf.DUMMYFUNCTION("""COMPUTED_VALUE"""),"Investor, enthusiastc of the #uranium thesis, this can be a unique opportunity in Life")</f>
        <v>Investor, enthusiastc of the #uranium thesis, this can be a unique opportunity in Life</v>
      </c>
      <c r="D1583" s="2">
        <f>IFERROR(__xludf.DUMMYFUNCTION("""COMPUTED_VALUE"""),1.0028027568273113E-4)</f>
        <v>0.0001002802757</v>
      </c>
      <c r="E1583" s="2" t="str">
        <f>IFERROR(__xludf.DUMMYFUNCTION("""COMPUTED_VALUE"""),"      2.399")</f>
        <v>      2.399</v>
      </c>
    </row>
    <row r="1584">
      <c r="A1584" s="2" t="str">
        <f>IFERROR(__xludf.DUMMYFUNCTION("""COMPUTED_VALUE"""),"SEPalestra 41/45 🇧🇷")</f>
        <v>SEPalestra 41/45 🇧🇷</v>
      </c>
      <c r="B1584" s="2" t="str">
        <f>IFERROR(__xludf.DUMMYFUNCTION("""COMPUTED_VALUE"""),"palestrasep51")</f>
        <v>palestrasep51</v>
      </c>
      <c r="C1584" s="2" t="str">
        <f>IFERROR(__xludf.DUMMYFUNCTION("""COMPUTED_VALUE"""),"De direita.")</f>
        <v>De direita.</v>
      </c>
      <c r="D1584" s="2">
        <f>IFERROR(__xludf.DUMMYFUNCTION("""COMPUTED_VALUE"""),1.0028027568273113E-4)</f>
        <v>0.0001002802757</v>
      </c>
      <c r="E1584" s="2" t="str">
        <f>IFERROR(__xludf.DUMMYFUNCTION("""COMPUTED_VALUE"""),"      1.174")</f>
        <v>      1.174</v>
      </c>
    </row>
    <row r="1585">
      <c r="A1585" s="2" t="str">
        <f>IFERROR(__xludf.DUMMYFUNCTION("""COMPUTED_VALUE"""),"Be Update (Fan account)")</f>
        <v>Be Update (Fan account)</v>
      </c>
      <c r="B1585" s="2" t="str">
        <f>IFERROR(__xludf.DUMMYFUNCTION("""COMPUTED_VALUE"""),"believeinrio_")</f>
        <v>believeinrio_</v>
      </c>
      <c r="C1585" s="2" t="str">
        <f>IFERROR(__xludf.DUMMYFUNCTION("""COMPUTED_VALUE"""),"Perfil irônico")</f>
        <v>Perfil irônico</v>
      </c>
      <c r="D1585" s="2">
        <f>IFERROR(__xludf.DUMMYFUNCTION("""COMPUTED_VALUE"""),1.0028027568273113E-4)</f>
        <v>0.0001002802757</v>
      </c>
      <c r="E1585" s="2" t="str">
        <f>IFERROR(__xludf.DUMMYFUNCTION("""COMPUTED_VALUE"""),"      1.658")</f>
        <v>      1.658</v>
      </c>
    </row>
    <row r="1586">
      <c r="A1586" s="2" t="str">
        <f>IFERROR(__xludf.DUMMYFUNCTION("""COMPUTED_VALUE"""),"Nina Luz - Rtt tudo!!!!👍")</f>
        <v>Nina Luz - Rtt tudo!!!!👍</v>
      </c>
      <c r="B1586" s="2" t="str">
        <f>IFERROR(__xludf.DUMMYFUNCTION("""COMPUTED_VALUE"""),"ninaluz23695256")</f>
        <v>ninaluz23695256</v>
      </c>
      <c r="C1586" s="2" t="str">
        <f>IFERROR(__xludf.DUMMYFUNCTION("""COMPUTED_VALUE"""),"💯🇧🇷 Brasileira!")</f>
        <v>💯🇧🇷 Brasileira!</v>
      </c>
      <c r="D1586" s="2">
        <f>IFERROR(__xludf.DUMMYFUNCTION("""COMPUTED_VALUE"""),1.0028027568273113E-4)</f>
        <v>0.0001002802757</v>
      </c>
      <c r="E1586" s="2" t="str">
        <f>IFERROR(__xludf.DUMMYFUNCTION("""COMPUTED_VALUE"""),"     24.110")</f>
        <v>     24.110</v>
      </c>
    </row>
    <row r="1587">
      <c r="A1587" s="2" t="str">
        <f>IFERROR(__xludf.DUMMYFUNCTION("""COMPUTED_VALUE"""),"BRASINHA")</f>
        <v>BRASINHA</v>
      </c>
      <c r="B1587" s="2" t="str">
        <f>IFERROR(__xludf.DUMMYFUNCTION("""COMPUTED_VALUE"""),"pauloli67036484")</f>
        <v>pauloli67036484</v>
      </c>
      <c r="C1587" s="2" t="str">
        <f>IFERROR(__xludf.DUMMYFUNCTION("""COMPUTED_VALUE"""),"De poder ao homem,
E você conhecera seu verdadeiro caráter, Judeu ""ATEU"", Antifa, Em um relacionamento aberto, tenho pavor de evangélicos !!!!!!!!!!!!")</f>
        <v>De poder ao homem,
E você conhecera seu verdadeiro caráter, Judeu "ATEU", Antifa, Em um relacionamento aberto, tenho pavor de evangélicos !!!!!!!!!!!!</v>
      </c>
      <c r="D1587" s="2">
        <f>IFERROR(__xludf.DUMMYFUNCTION("""COMPUTED_VALUE"""),1.0028027568273113E-4)</f>
        <v>0.0001002802757</v>
      </c>
      <c r="E1587" s="2" t="str">
        <f>IFERROR(__xludf.DUMMYFUNCTION("""COMPUTED_VALUE"""),"      1.238")</f>
        <v>      1.238</v>
      </c>
    </row>
    <row r="1588">
      <c r="A1588" s="2" t="str">
        <f>IFERROR(__xludf.DUMMYFUNCTION("""COMPUTED_VALUE"""),"(Agente DEL-X) DPFL NEWS #ConservadoresEmAcao")</f>
        <v>(Agente DEL-X) DPFL NEWS #ConservadoresEmAcao</v>
      </c>
      <c r="B1588" s="2" t="str">
        <f>IFERROR(__xludf.DUMMYFUNCTION("""COMPUTED_VALUE"""),"agentedel1984")</f>
        <v>agentedel1984</v>
      </c>
      <c r="C1588" s="2" t="str">
        <f>IFERROR(__xludf.DUMMYFUNCTION("""COMPUTED_VALUE"""),"Agente de informação 🧑🏻‍💻🇧🇷 
 Página Policial 👮🚔
Participo ativamente da política em SP
e estou de olho em Brasilia
- Setembro 🟨🌞")</f>
        <v>Agente de informação 🧑🏻‍💻🇧🇷 
 Página Policial 👮🚔
Participo ativamente da política em SP
e estou de olho em Brasilia
- Setembro 🟨🌞</v>
      </c>
      <c r="D1588" s="2">
        <f>IFERROR(__xludf.DUMMYFUNCTION("""COMPUTED_VALUE"""),1.0028027568273113E-4)</f>
        <v>0.0001002802757</v>
      </c>
      <c r="E1588" s="2" t="str">
        <f>IFERROR(__xludf.DUMMYFUNCTION("""COMPUTED_VALUE"""),"     26.214")</f>
        <v>     26.214</v>
      </c>
    </row>
    <row r="1589">
      <c r="A1589" s="2" t="str">
        <f>IFERROR(__xludf.DUMMYFUNCTION("""COMPUTED_VALUE"""),"*_*")</f>
        <v>*_*</v>
      </c>
      <c r="B1589" s="2" t="str">
        <f>IFERROR(__xludf.DUMMYFUNCTION("""COMPUTED_VALUE"""),"aidarmarina")</f>
        <v>aidarmarina</v>
      </c>
      <c r="C1589" s="2" t="str">
        <f>IFERROR(__xludf.DUMMYFUNCTION("""COMPUTED_VALUE"""),"Maturidade")</f>
        <v>Maturidade</v>
      </c>
      <c r="D1589" s="2">
        <f>IFERROR(__xludf.DUMMYFUNCTION("""COMPUTED_VALUE"""),1.0028027568273113E-4)</f>
        <v>0.0001002802757</v>
      </c>
      <c r="E1589" s="2" t="str">
        <f>IFERROR(__xludf.DUMMYFUNCTION("""COMPUTED_VALUE"""),"      4.889")</f>
        <v>      4.889</v>
      </c>
    </row>
    <row r="1590">
      <c r="A1590" s="2" t="str">
        <f>IFERROR(__xludf.DUMMYFUNCTION("""COMPUTED_VALUE"""),"Gabriel PT sempre")</f>
        <v>Gabriel PT sempre</v>
      </c>
      <c r="B1590" s="2" t="str">
        <f>IFERROR(__xludf.DUMMYFUNCTION("""COMPUTED_VALUE"""),"gabriel6828")</f>
        <v>gabriel6828</v>
      </c>
      <c r="C1590" s="2"/>
      <c r="D1590" s="2">
        <f>IFERROR(__xludf.DUMMYFUNCTION("""COMPUTED_VALUE"""),1.0028027568273113E-4)</f>
        <v>0.0001002802757</v>
      </c>
      <c r="E1590" s="2" t="str">
        <f>IFERROR(__xludf.DUMMYFUNCTION("""COMPUTED_VALUE"""),"      6.741")</f>
        <v>      6.741</v>
      </c>
    </row>
    <row r="1591">
      <c r="A1591" s="2" t="str">
        <f>IFERROR(__xludf.DUMMYFUNCTION("""COMPUTED_VALUE"""),"Operário 13 Z 🇧🇷🇷🇺🇨🇺🇷🇺")</f>
        <v>Operário 13 Z 🇧🇷🇷🇺🇨🇺🇷🇺</v>
      </c>
      <c r="B1591" s="2" t="str">
        <f>IFERROR(__xludf.DUMMYFUNCTION("""COMPUTED_VALUE"""),"adaofilhosilvei")</f>
        <v>adaofilhosilvei</v>
      </c>
      <c r="C1591" s="2" t="str">
        <f>IFERROR(__xludf.DUMMYFUNCTION("""COMPUTED_VALUE"""),"Lulista, Operário da Construção Civil,Trabalhadores unidos🇧🇷🇧🇷 pró Rússia 🇷🇺 brics totalmente anti imperialista,socialista, comunista,juche 🇰🇵.")</f>
        <v>Lulista, Operário da Construção Civil,Trabalhadores unidos🇧🇷🇧🇷 pró Rússia 🇷🇺 brics totalmente anti imperialista,socialista, comunista,juche 🇰🇵.</v>
      </c>
      <c r="D1591" s="2">
        <f>IFERROR(__xludf.DUMMYFUNCTION("""COMPUTED_VALUE"""),1.0028027568273113E-4)</f>
        <v>0.0001002802757</v>
      </c>
      <c r="E1591" s="2" t="str">
        <f>IFERROR(__xludf.DUMMYFUNCTION("""COMPUTED_VALUE"""),"      1.665")</f>
        <v>      1.665</v>
      </c>
    </row>
    <row r="1592">
      <c r="A1592" s="2" t="str">
        <f>IFERROR(__xludf.DUMMYFUNCTION("""COMPUTED_VALUE"""),"Marcos Martins")</f>
        <v>Marcos Martins</v>
      </c>
      <c r="B1592" s="2" t="str">
        <f>IFERROR(__xludf.DUMMYFUNCTION("""COMPUTED_VALUE"""),"marcosm92777567")</f>
        <v>marcosm92777567</v>
      </c>
      <c r="C1592" s="2" t="str">
        <f>IFERROR(__xludf.DUMMYFUNCTION("""COMPUTED_VALUE"""),"Sou motorista de ônibus é bolsonarista")</f>
        <v>Sou motorista de ônibus é bolsonarista</v>
      </c>
      <c r="D1592" s="2">
        <f>IFERROR(__xludf.DUMMYFUNCTION("""COMPUTED_VALUE"""),1.0028027568273113E-4)</f>
        <v>0.0001002802757</v>
      </c>
      <c r="E1592" s="2" t="str">
        <f>IFERROR(__xludf.DUMMYFUNCTION("""COMPUTED_VALUE"""),"      1.354")</f>
        <v>      1.354</v>
      </c>
    </row>
    <row r="1593">
      <c r="A1593" s="2" t="str">
        <f>IFERROR(__xludf.DUMMYFUNCTION("""COMPUTED_VALUE"""),"MAX MENA")</f>
        <v>MAX MENA</v>
      </c>
      <c r="B1593" s="2" t="str">
        <f>IFERROR(__xludf.DUMMYFUNCTION("""COMPUTED_VALUE"""),"maxmena12")</f>
        <v>maxmena12</v>
      </c>
      <c r="C1593" s="2" t="str">
        <f>IFERROR(__xludf.DUMMYFUNCTION("""COMPUTED_VALUE"""),"Brasil acima de tudo!🇧🇷🇧🇷🇧🇷")</f>
        <v>Brasil acima de tudo!🇧🇷🇧🇷🇧🇷</v>
      </c>
      <c r="D1593" s="2">
        <f>IFERROR(__xludf.DUMMYFUNCTION("""COMPUTED_VALUE"""),1.0028027568273113E-4)</f>
        <v>0.0001002802757</v>
      </c>
      <c r="E1593" s="2" t="str">
        <f>IFERROR(__xludf.DUMMYFUNCTION("""COMPUTED_VALUE"""),"      1.497")</f>
        <v>      1.497</v>
      </c>
    </row>
    <row r="1594">
      <c r="A1594" s="2" t="str">
        <f>IFERROR(__xludf.DUMMYFUNCTION("""COMPUTED_VALUE"""),"Irene Tozzi")</f>
        <v>Irene Tozzi</v>
      </c>
      <c r="B1594" s="2" t="str">
        <f>IFERROR(__xludf.DUMMYFUNCTION("""COMPUTED_VALUE"""),"tozzi_irene")</f>
        <v>tozzi_irene</v>
      </c>
      <c r="C1594" s="2" t="str">
        <f>IFERROR(__xludf.DUMMYFUNCTION("""COMPUTED_VALUE"""),"Deus é tudo na minha vida")</f>
        <v>Deus é tudo na minha vida</v>
      </c>
      <c r="D1594" s="2">
        <f>IFERROR(__xludf.DUMMYFUNCTION("""COMPUTED_VALUE"""),1.0028027568273113E-4)</f>
        <v>0.0001002802757</v>
      </c>
      <c r="E1594" s="2" t="str">
        <f>IFERROR(__xludf.DUMMYFUNCTION("""COMPUTED_VALUE"""),"      1.553")</f>
        <v>      1.553</v>
      </c>
    </row>
    <row r="1595">
      <c r="A1595" s="2" t="str">
        <f>IFERROR(__xludf.DUMMYFUNCTION("""COMPUTED_VALUE"""),"m")</f>
        <v>m</v>
      </c>
      <c r="B1595" s="2" t="str">
        <f>IFERROR(__xludf.DUMMYFUNCTION("""COMPUTED_VALUE"""),"coelhosoty")</f>
        <v>coelhosoty</v>
      </c>
      <c r="C1595" s="2" t="str">
        <f>IFERROR(__xludf.DUMMYFUNCTION("""COMPUTED_VALUE"""),"benito antonio supremacy")</f>
        <v>benito antonio supremacy</v>
      </c>
      <c r="D1595" s="2">
        <f>IFERROR(__xludf.DUMMYFUNCTION("""COMPUTED_VALUE"""),1.0028027568273113E-4)</f>
        <v>0.0001002802757</v>
      </c>
      <c r="E1595" s="2" t="str">
        <f>IFERROR(__xludf.DUMMYFUNCTION("""COMPUTED_VALUE"""),"      4.911")</f>
        <v>      4.911</v>
      </c>
    </row>
    <row r="1596">
      <c r="A1596" s="2" t="str">
        <f>IFERROR(__xludf.DUMMYFUNCTION("""COMPUTED_VALUE"""),"Alexandre Palma 🇪🇨 ❤️ yo apoyo a Luisa Gonzalez")</f>
        <v>Alexandre Palma 🇪🇨 ❤️ yo apoyo a Luisa Gonzalez</v>
      </c>
      <c r="B1596" s="2" t="str">
        <f>IFERROR(__xludf.DUMMYFUNCTION("""COMPUTED_VALUE"""),"alexpalmatv")</f>
        <v>alexpalmatv</v>
      </c>
      <c r="C1596" s="2" t="str">
        <f>IFERROR(__xludf.DUMMYFUNCTION("""COMPUTED_VALUE"""),"Mi nombre es Alexandre Palma soy Chileno 🇨🇱 y apoyo a Luisa Gonzalez ❤️ una Mujer Valiente y Guerrera  la Próxima Presidenta del Ecuador 🇪🇨 y Andrés Arauz")</f>
        <v>Mi nombre es Alexandre Palma soy Chileno 🇨🇱 y apoyo a Luisa Gonzalez ❤️ una Mujer Valiente y Guerrera  la Próxima Presidenta del Ecuador 🇪🇨 y Andrés Arauz</v>
      </c>
      <c r="D1596" s="2">
        <f>IFERROR(__xludf.DUMMYFUNCTION("""COMPUTED_VALUE"""),1.0028027568273113E-4)</f>
        <v>0.0001002802757</v>
      </c>
      <c r="E1596" s="2" t="str">
        <f>IFERROR(__xludf.DUMMYFUNCTION("""COMPUTED_VALUE"""),"      6.042")</f>
        <v>      6.042</v>
      </c>
    </row>
    <row r="1597">
      <c r="A1597" s="2" t="str">
        <f>IFERROR(__xludf.DUMMYFUNCTION("""COMPUTED_VALUE"""),"#LulaRousseff")</f>
        <v>#LulaRousseff</v>
      </c>
      <c r="B1597" s="2" t="str">
        <f>IFERROR(__xludf.DUMMYFUNCTION("""COMPUTED_VALUE"""),"mariluparreiras")</f>
        <v>mariluparreiras</v>
      </c>
      <c r="C1597" s="2" t="str">
        <f>IFERROR(__xludf.DUMMYFUNCTION("""COMPUTED_VALUE"""),"#FORACamposNeto
Cumpra-se a CONSTITUIÇÃO FEDERAL. Tuiteira independente. 
O mundo é um grande quintal. Não sou nada, só quero que tudo dê certo.")</f>
        <v>#FORACamposNeto
Cumpra-se a CONSTITUIÇÃO FEDERAL. Tuiteira independente. 
O mundo é um grande quintal. Não sou nada, só quero que tudo dê certo.</v>
      </c>
      <c r="D1597" s="2">
        <f>IFERROR(__xludf.DUMMYFUNCTION("""COMPUTED_VALUE"""),1.0028027568273113E-4)</f>
        <v>0.0001002802757</v>
      </c>
      <c r="E1597" s="2" t="str">
        <f>IFERROR(__xludf.DUMMYFUNCTION("""COMPUTED_VALUE"""),"     20.603")</f>
        <v>     20.603</v>
      </c>
    </row>
    <row r="1598">
      <c r="A1598" s="2" t="str">
        <f>IFERROR(__xludf.DUMMYFUNCTION("""COMPUTED_VALUE"""),"CLÁUDIO M.B.")</f>
        <v>CLÁUDIO M.B.</v>
      </c>
      <c r="B1598" s="2" t="str">
        <f>IFERROR(__xludf.DUMMYFUNCTION("""COMPUTED_VALUE"""),"cmbortowski")</f>
        <v>cmbortowski</v>
      </c>
      <c r="C1598" s="2" t="str">
        <f>IFERROR(__xludf.DUMMYFUNCTION("""COMPUTED_VALUE"""),"CIDADÃO BRASILEIRO,GAÚCHO, HUMANISTA, DEMOCRATA, SOCIAL-PROGRESSISTA, NA DEFESA DO BRASIL SOBERANO, DOS DIREITOS-GARANTIAS DOS TRABALHADORES E MINORIAS SOCIAIS.")</f>
        <v>CIDADÃO BRASILEIRO,GAÚCHO, HUMANISTA, DEMOCRATA, SOCIAL-PROGRESSISTA, NA DEFESA DO BRASIL SOBERANO, DOS DIREITOS-GARANTIAS DOS TRABALHADORES E MINORIAS SOCIAIS.</v>
      </c>
      <c r="D1598" s="2">
        <f>IFERROR(__xludf.DUMMYFUNCTION("""COMPUTED_VALUE"""),1.0028027568273113E-4)</f>
        <v>0.0001002802757</v>
      </c>
      <c r="E1598" s="2" t="str">
        <f>IFERROR(__xludf.DUMMYFUNCTION("""COMPUTED_VALUE"""),"      2.444")</f>
        <v>      2.444</v>
      </c>
    </row>
    <row r="1599">
      <c r="A1599" s="2" t="str">
        <f>IFERROR(__xludf.DUMMYFUNCTION("""COMPUTED_VALUE"""),"enio pires")</f>
        <v>enio pires</v>
      </c>
      <c r="B1599" s="2" t="str">
        <f>IFERROR(__xludf.DUMMYFUNCTION("""COMPUTED_VALUE"""),"piresenio")</f>
        <v>piresenio</v>
      </c>
      <c r="C1599" s="2"/>
      <c r="D1599" s="2">
        <f>IFERROR(__xludf.DUMMYFUNCTION("""COMPUTED_VALUE"""),1.0028027568273113E-4)</f>
        <v>0.0001002802757</v>
      </c>
      <c r="E1599" s="2" t="str">
        <f>IFERROR(__xludf.DUMMYFUNCTION("""COMPUTED_VALUE"""),"      3.166")</f>
        <v>      3.166</v>
      </c>
    </row>
    <row r="1600">
      <c r="A1600" s="2" t="str">
        <f>IFERROR(__xludf.DUMMYFUNCTION("""COMPUTED_VALUE"""),"BIA")</f>
        <v>BIA</v>
      </c>
      <c r="B1600" s="2" t="str">
        <f>IFERROR(__xludf.DUMMYFUNCTION("""COMPUTED_VALUE"""),"biabionica")</f>
        <v>biabionica</v>
      </c>
      <c r="C1600" s="2" t="str">
        <f>IFERROR(__xludf.DUMMYFUNCTION("""COMPUTED_VALUE"""),"Verdade, justiça e bem comum. Palmeiras até morrer.
DM🚫")</f>
        <v>Verdade, justiça e bem comum. Palmeiras até morrer.
DM🚫</v>
      </c>
      <c r="D1600" s="2">
        <f>IFERROR(__xludf.DUMMYFUNCTION("""COMPUTED_VALUE"""),1.0028027568273113E-4)</f>
        <v>0.0001002802757</v>
      </c>
      <c r="E1600" s="2" t="str">
        <f>IFERROR(__xludf.DUMMYFUNCTION("""COMPUTED_VALUE"""),"     15.512")</f>
        <v>     15.512</v>
      </c>
    </row>
    <row r="1601">
      <c r="A1601" s="2" t="str">
        <f>IFERROR(__xludf.DUMMYFUNCTION("""COMPUTED_VALUE"""),"Roberta Andrade")</f>
        <v>Roberta Andrade</v>
      </c>
      <c r="B1601" s="2" t="str">
        <f>IFERROR(__xludf.DUMMYFUNCTION("""COMPUTED_VALUE"""),"andradeeroberta")</f>
        <v>andradeeroberta</v>
      </c>
      <c r="C1601" s="2" t="str">
        <f>IFERROR(__xludf.DUMMYFUNCTION("""COMPUTED_VALUE"""),"Radialista, jornalista, dirigente sindical @stertSergipe, filiado ao @ptbrasil, protetora🐈🐕, psicologia - UNIT, - 
ajudante parlamentar 🔰")</f>
        <v>Radialista, jornalista, dirigente sindical @stertSergipe, filiado ao @ptbrasil, protetora🐈🐕, psicologia - UNIT, - 
ajudante parlamentar 🔰</v>
      </c>
      <c r="D1601" s="2">
        <f>IFERROR(__xludf.DUMMYFUNCTION("""COMPUTED_VALUE"""),1.0028027568273113E-4)</f>
        <v>0.0001002802757</v>
      </c>
      <c r="E1601" s="2" t="str">
        <f>IFERROR(__xludf.DUMMYFUNCTION("""COMPUTED_VALUE"""),"     24.245")</f>
        <v>     24.245</v>
      </c>
    </row>
    <row r="1602">
      <c r="A1602" s="2" t="str">
        <f>IFERROR(__xludf.DUMMYFUNCTION("""COMPUTED_VALUE"""),"Daniel")</f>
        <v>Daniel</v>
      </c>
      <c r="B1602" s="2" t="str">
        <f>IFERROR(__xludf.DUMMYFUNCTION("""COMPUTED_VALUE"""),"daaandann")</f>
        <v>daaandann</v>
      </c>
      <c r="C1602" s="2" t="str">
        <f>IFERROR(__xludf.DUMMYFUNCTION("""COMPUTED_VALUE"""),"Vivão e vivendo 💭🍺 #caiovive #casluvive")</f>
        <v>Vivão e vivendo 💭🍺 #caiovive #casluvive</v>
      </c>
      <c r="D1602" s="2">
        <f>IFERROR(__xludf.DUMMYFUNCTION("""COMPUTED_VALUE"""),1.0028027568273113E-4)</f>
        <v>0.0001002802757</v>
      </c>
      <c r="E1602" s="2" t="str">
        <f>IFERROR(__xludf.DUMMYFUNCTION("""COMPUTED_VALUE"""),"      1.209")</f>
        <v>      1.209</v>
      </c>
    </row>
    <row r="1603">
      <c r="A1603" s="2" t="str">
        <f>IFERROR(__xludf.DUMMYFUNCTION("""COMPUTED_VALUE"""),"Lula Livre da Silva")</f>
        <v>Lula Livre da Silva</v>
      </c>
      <c r="B1603" s="2" t="str">
        <f>IFERROR(__xludf.DUMMYFUNCTION("""COMPUTED_VALUE"""),"lulamariandreia")</f>
        <v>lulamariandreia</v>
      </c>
      <c r="C1603" s="2" t="str">
        <f>IFERROR(__xludf.DUMMYFUNCTION("""COMPUTED_VALUE"""),"Da vida!")</f>
        <v>Da vida!</v>
      </c>
      <c r="D1603" s="2">
        <f>IFERROR(__xludf.DUMMYFUNCTION("""COMPUTED_VALUE"""),1.0028027568273113E-4)</f>
        <v>0.0001002802757</v>
      </c>
      <c r="E1603" s="2" t="str">
        <f>IFERROR(__xludf.DUMMYFUNCTION("""COMPUTED_VALUE"""),"      2.630")</f>
        <v>      2.630</v>
      </c>
    </row>
    <row r="1604">
      <c r="A1604" s="2" t="str">
        <f>IFERROR(__xludf.DUMMYFUNCTION("""COMPUTED_VALUE"""),"Alexandra Peixoto")</f>
        <v>Alexandra Peixoto</v>
      </c>
      <c r="B1604" s="2" t="str">
        <f>IFERROR(__xludf.DUMMYFUNCTION("""COMPUTED_VALUE"""),"djalepeixoto")</f>
        <v>djalepeixoto</v>
      </c>
      <c r="C1604" s="2" t="str">
        <f>IFERROR(__xludf.DUMMYFUNCTION("""COMPUTED_VALUE"""),"COMUM  @docomum (instagram e facebook)
@comumbr (twitter)")</f>
        <v>COMUM  @docomum (instagram e facebook)
@comumbr (twitter)</v>
      </c>
      <c r="D1604" s="2">
        <f>IFERROR(__xludf.DUMMYFUNCTION("""COMPUTED_VALUE"""),1.0028027568273113E-4)</f>
        <v>0.0001002802757</v>
      </c>
      <c r="E1604" s="2" t="str">
        <f>IFERROR(__xludf.DUMMYFUNCTION("""COMPUTED_VALUE"""),"      2.272")</f>
        <v>      2.272</v>
      </c>
    </row>
    <row r="1605">
      <c r="A1605" s="2" t="str">
        <f>IFERROR(__xludf.DUMMYFUNCTION("""COMPUTED_VALUE"""),"Leão da Arrábida")</f>
        <v>Leão da Arrábida</v>
      </c>
      <c r="B1605" s="2" t="str">
        <f>IFERROR(__xludf.DUMMYFUNCTION("""COMPUTED_VALUE"""),"leaodaarrabida")</f>
        <v>leaodaarrabida</v>
      </c>
      <c r="C1605" s="2" t="str">
        <f>IFERROR(__xludf.DUMMYFUNCTION("""COMPUTED_VALUE"""),"The sun is the same in a relative way but you're older
Shorter of breath and one day closer to death")</f>
        <v>The sun is the same in a relative way but you're older
Shorter of breath and one day closer to death</v>
      </c>
      <c r="D1605" s="2">
        <f>IFERROR(__xludf.DUMMYFUNCTION("""COMPUTED_VALUE"""),1.0028027568273113E-4)</f>
        <v>0.0001002802757</v>
      </c>
      <c r="E1605" s="2" t="str">
        <f>IFERROR(__xludf.DUMMYFUNCTION("""COMPUTED_VALUE"""),"      2.021")</f>
        <v>      2.021</v>
      </c>
    </row>
    <row r="1606">
      <c r="A1606" s="2" t="str">
        <f>IFERROR(__xludf.DUMMYFUNCTION("""COMPUTED_VALUE"""),"lucia 🇧🇷🇧🇷🇺🇸")</f>
        <v>lucia 🇧🇷🇧🇷🇺🇸</v>
      </c>
      <c r="B1606" s="2" t="str">
        <f>IFERROR(__xludf.DUMMYFUNCTION("""COMPUTED_VALUE"""),"reginalucia")</f>
        <v>reginalucia</v>
      </c>
      <c r="C1606" s="2" t="str">
        <f>IFERROR(__xludf.DUMMYFUNCTION("""COMPUTED_VALUE"""),"“Conservador não tem ideologia, tem valores” Os Conservadores são muito perigosos: Eles trabalham, estudam, respeitam a família e são cristãos.")</f>
        <v>“Conservador não tem ideologia, tem valores” Os Conservadores são muito perigosos: Eles trabalham, estudam, respeitam a família e são cristãos.</v>
      </c>
      <c r="D1606" s="2">
        <f>IFERROR(__xludf.DUMMYFUNCTION("""COMPUTED_VALUE"""),1.0028027568273113E-4)</f>
        <v>0.0001002802757</v>
      </c>
      <c r="E1606" s="2" t="str">
        <f>IFERROR(__xludf.DUMMYFUNCTION("""COMPUTED_VALUE"""),"      2.706")</f>
        <v>      2.706</v>
      </c>
    </row>
    <row r="1607">
      <c r="A1607" s="2" t="str">
        <f>IFERROR(__xludf.DUMMYFUNCTION("""COMPUTED_VALUE"""),"🇧🇷LUCIMARA PEREIRA ROSA🇧🇷")</f>
        <v>🇧🇷LUCIMARA PEREIRA ROSA🇧🇷</v>
      </c>
      <c r="B1607" s="2" t="str">
        <f>IFERROR(__xludf.DUMMYFUNCTION("""COMPUTED_VALUE"""),"lucimar11279256")</f>
        <v>lucimar11279256</v>
      </c>
      <c r="C1607" s="2" t="str">
        <f>IFERROR(__xludf.DUMMYFUNCTION("""COMPUTED_VALUE"""),"Se você é pro governo Bolsonaro e torce para o Brasil dar certo, eu sigo de volta!")</f>
        <v>Se você é pro governo Bolsonaro e torce para o Brasil dar certo, eu sigo de volta!</v>
      </c>
      <c r="D1607" s="2">
        <f>IFERROR(__xludf.DUMMYFUNCTION("""COMPUTED_VALUE"""),1.0028027568273113E-4)</f>
        <v>0.0001002802757</v>
      </c>
      <c r="E1607" s="2" t="str">
        <f>IFERROR(__xludf.DUMMYFUNCTION("""COMPUTED_VALUE"""),"      1.063")</f>
        <v>      1.063</v>
      </c>
    </row>
    <row r="1608">
      <c r="A1608" s="2" t="str">
        <f>IFERROR(__xludf.DUMMYFUNCTION("""COMPUTED_VALUE"""),"Mika")</f>
        <v>Mika</v>
      </c>
      <c r="B1608" s="2" t="str">
        <f>IFERROR(__xludf.DUMMYFUNCTION("""COMPUTED_VALUE"""),"itsforyoujustin")</f>
        <v>itsforyoujustin</v>
      </c>
      <c r="C1608" s="2" t="str">
        <f>IFERROR(__xludf.DUMMYFUNCTION("""COMPUTED_VALUE"""),"It's funny to see people that used me for attention and still try to point the finger this way. Sad. All love.")</f>
        <v>It's funny to see people that used me for attention and still try to point the finger this way. Sad. All love.</v>
      </c>
      <c r="D1608" s="2">
        <f>IFERROR(__xludf.DUMMYFUNCTION("""COMPUTED_VALUE"""),1.0028027568273113E-4)</f>
        <v>0.0001002802757</v>
      </c>
      <c r="E1608" s="2" t="str">
        <f>IFERROR(__xludf.DUMMYFUNCTION("""COMPUTED_VALUE"""),"     11.846")</f>
        <v>     11.846</v>
      </c>
    </row>
    <row r="1609">
      <c r="A1609" s="2" t="str">
        <f>IFERROR(__xludf.DUMMYFUNCTION("""COMPUTED_VALUE"""),"Ivete Bolsonaro Melhor Presidente")</f>
        <v>Ivete Bolsonaro Melhor Presidente</v>
      </c>
      <c r="B1609" s="2" t="str">
        <f>IFERROR(__xludf.DUMMYFUNCTION("""COMPUTED_VALUE"""),"orgulho_2")</f>
        <v>orgulho_2</v>
      </c>
      <c r="C1609" s="2" t="str">
        <f>IFERROR(__xludf.DUMMYFUNCTION("""COMPUTED_VALUE"""),"Conservadora,casada cristã
@DavidIvete 1° conta BOLSONARO PRA SEMPRE")</f>
        <v>Conservadora,casada cristã
@DavidIvete 1° conta BOLSONARO PRA SEMPRE</v>
      </c>
      <c r="D1609" s="2">
        <f>IFERROR(__xludf.DUMMYFUNCTION("""COMPUTED_VALUE"""),1.0028027568273113E-4)</f>
        <v>0.0001002802757</v>
      </c>
      <c r="E1609" s="2" t="str">
        <f>IFERROR(__xludf.DUMMYFUNCTION("""COMPUTED_VALUE"""),"      9.503")</f>
        <v>      9.503</v>
      </c>
    </row>
    <row r="1610">
      <c r="A1610" s="2" t="str">
        <f>IFERROR(__xludf.DUMMYFUNCTION("""COMPUTED_VALUE"""),"Adelaide💬")</f>
        <v>Adelaide💬</v>
      </c>
      <c r="B1610" s="2" t="str">
        <f>IFERROR(__xludf.DUMMYFUNCTION("""COMPUTED_VALUE"""),"abreuad")</f>
        <v>abreuad</v>
      </c>
      <c r="C1610" s="2" t="str">
        <f>IFERROR(__xludf.DUMMYFUNCTION("""COMPUTED_VALUE"""),"“Só sei que nada sei” (Sócrates)")</f>
        <v>“Só sei que nada sei” (Sócrates)</v>
      </c>
      <c r="D1610" s="2">
        <f>IFERROR(__xludf.DUMMYFUNCTION("""COMPUTED_VALUE"""),1.0028027568273113E-4)</f>
        <v>0.0001002802757</v>
      </c>
      <c r="E1610" s="2" t="str">
        <f>IFERROR(__xludf.DUMMYFUNCTION("""COMPUTED_VALUE"""),"      4.334")</f>
        <v>      4.334</v>
      </c>
    </row>
    <row r="1611">
      <c r="A1611" s="2" t="str">
        <f>IFERROR(__xludf.DUMMYFUNCTION("""COMPUTED_VALUE"""),"🚩Elizabete Duarte")</f>
        <v>🚩Elizabete Duarte</v>
      </c>
      <c r="B1611" s="2" t="str">
        <f>IFERROR(__xludf.DUMMYFUNCTION("""COMPUTED_VALUE"""),"betiduarte")</f>
        <v>betiduarte</v>
      </c>
      <c r="C1611" s="2" t="str">
        <f>IFERROR(__xludf.DUMMYFUNCTION("""COMPUTED_VALUE"""),"Lula Livre Sempre.")</f>
        <v>Lula Livre Sempre.</v>
      </c>
      <c r="D1611" s="2">
        <f>IFERROR(__xludf.DUMMYFUNCTION("""COMPUTED_VALUE"""),1.0028027568273113E-4)</f>
        <v>0.0001002802757</v>
      </c>
      <c r="E1611" s="2" t="str">
        <f>IFERROR(__xludf.DUMMYFUNCTION("""COMPUTED_VALUE"""),"      2.941")</f>
        <v>      2.941</v>
      </c>
    </row>
    <row r="1612">
      <c r="A1612" s="2" t="str">
        <f>IFERROR(__xludf.DUMMYFUNCTION("""COMPUTED_VALUE"""),"duuuFN")</f>
        <v>duuuFN</v>
      </c>
      <c r="B1612" s="2" t="str">
        <f>IFERROR(__xludf.DUMMYFUNCTION("""COMPUTED_VALUE"""),"duuufn")</f>
        <v>duuufn</v>
      </c>
      <c r="C1612" s="2" t="str">
        <f>IFERROR(__xludf.DUMMYFUNCTION("""COMPUTED_VALUE"""),"Fortnite Player | 30K+ on @twitch | $18.000 earnings")</f>
        <v>Fortnite Player | 30K+ on @twitch | $18.000 earnings</v>
      </c>
      <c r="D1612" s="2">
        <f>IFERROR(__xludf.DUMMYFUNCTION("""COMPUTED_VALUE"""),1.0028027568273113E-4)</f>
        <v>0.0001002802757</v>
      </c>
      <c r="E1612" s="2" t="str">
        <f>IFERROR(__xludf.DUMMYFUNCTION("""COMPUTED_VALUE"""),"      3.893")</f>
        <v>      3.893</v>
      </c>
    </row>
    <row r="1613">
      <c r="A1613" s="2" t="str">
        <f>IFERROR(__xludf.DUMMYFUNCTION("""COMPUTED_VALUE"""),"@SOS_RIO")</f>
        <v>@SOS_RIO</v>
      </c>
      <c r="B1613" s="2" t="str">
        <f>IFERROR(__xludf.DUMMYFUNCTION("""COMPUTED_VALUE"""),"sos_rio")</f>
        <v>sos_rio</v>
      </c>
      <c r="C1613" s="2" t="str">
        <f>IFERROR(__xludf.DUMMYFUNCTION("""COMPUTED_VALUE"""),"Errar é humano, persistir no erro é burrice.")</f>
        <v>Errar é humano, persistir no erro é burrice.</v>
      </c>
      <c r="D1613" s="2">
        <f>IFERROR(__xludf.DUMMYFUNCTION("""COMPUTED_VALUE"""),1.0028027568273113E-4)</f>
        <v>0.0001002802757</v>
      </c>
      <c r="E1613" s="2" t="str">
        <f>IFERROR(__xludf.DUMMYFUNCTION("""COMPUTED_VALUE"""),"     10.979")</f>
        <v>     10.979</v>
      </c>
    </row>
    <row r="1614">
      <c r="A1614" s="2" t="str">
        <f>IFERROR(__xludf.DUMMYFUNCTION("""COMPUTED_VALUE"""),"Sandra Luiza de almeida")</f>
        <v>Sandra Luiza de almeida</v>
      </c>
      <c r="B1614" s="2" t="str">
        <f>IFERROR(__xludf.DUMMYFUNCTION("""COMPUTED_VALUE"""),"sandraluizadea2")</f>
        <v>sandraluizadea2</v>
      </c>
      <c r="C1614" s="2"/>
      <c r="D1614" s="2">
        <f>IFERROR(__xludf.DUMMYFUNCTION("""COMPUTED_VALUE"""),1.0028027568273113E-4)</f>
        <v>0.0001002802757</v>
      </c>
      <c r="E1614" s="2" t="str">
        <f>IFERROR(__xludf.DUMMYFUNCTION("""COMPUTED_VALUE"""),"      3.964")</f>
        <v>      3.964</v>
      </c>
    </row>
    <row r="1615">
      <c r="A1615" s="2" t="str">
        <f>IFERROR(__xludf.DUMMYFUNCTION("""COMPUTED_VALUE"""),"Athalaia 🚩🌵")</f>
        <v>Athalaia 🚩🌵</v>
      </c>
      <c r="B1615" s="2" t="str">
        <f>IFERROR(__xludf.DUMMYFUNCTION("""COMPUTED_VALUE"""),"samtei46")</f>
        <v>samtei46</v>
      </c>
      <c r="C1615" s="2" t="str">
        <f>IFERROR(__xludf.DUMMYFUNCTION("""COMPUTED_VALUE"""),"Mercado virtual")</f>
        <v>Mercado virtual</v>
      </c>
      <c r="D1615" s="2">
        <f>IFERROR(__xludf.DUMMYFUNCTION("""COMPUTED_VALUE"""),1.0028027568273113E-4)</f>
        <v>0.0001002802757</v>
      </c>
      <c r="E1615" s="2" t="str">
        <f>IFERROR(__xludf.DUMMYFUNCTION("""COMPUTED_VALUE"""),"      2.971")</f>
        <v>      2.971</v>
      </c>
    </row>
    <row r="1616">
      <c r="A1616" s="2" t="str">
        <f>IFERROR(__xludf.DUMMYFUNCTION("""COMPUTED_VALUE"""),"𝘊hris | fwd: 💌")</f>
        <v>𝘊hris | fwd: 💌</v>
      </c>
      <c r="B1616" s="2" t="str">
        <f>IFERROR(__xludf.DUMMYFUNCTION("""COMPUTED_VALUE"""),"is_vem")</f>
        <v>is_vem</v>
      </c>
      <c r="C1616" s="2" t="str">
        <f>IFERROR(__xludf.DUMMYFUNCTION("""COMPUTED_VALUE"""),"track 13. email's I can't send")</f>
        <v>track 13. email's I can't send</v>
      </c>
      <c r="D1616" s="2">
        <f>IFERROR(__xludf.DUMMYFUNCTION("""COMPUTED_VALUE"""),1.0028027568273113E-4)</f>
        <v>0.0001002802757</v>
      </c>
      <c r="E1616" s="2" t="str">
        <f>IFERROR(__xludf.DUMMYFUNCTION("""COMPUTED_VALUE"""),"      3.231")</f>
        <v>      3.231</v>
      </c>
    </row>
    <row r="1617">
      <c r="A1617" s="2" t="str">
        <f>IFERROR(__xludf.DUMMYFUNCTION("""COMPUTED_VALUE"""),"PBS 22")</f>
        <v>PBS 22</v>
      </c>
      <c r="B1617" s="2" t="str">
        <f>IFERROR(__xludf.DUMMYFUNCTION("""COMPUTED_VALUE"""),"paulopbs2")</f>
        <v>paulopbs2</v>
      </c>
      <c r="C1617" s="2" t="str">
        <f>IFERROR(__xludf.DUMMYFUNCTION("""COMPUTED_VALUE"""),"CRISTÃO/app BBNradio/Revista Oeste/BSM/O Brasil é dos patriotas/
LUTE POR SUA LIBERDADE/CF-
Votocontadopúbliconasecão/Pró_Armas_SP/LEALDADE SEMPRE/
Persevere/")</f>
        <v>CRISTÃO/app BBNradio/Revista Oeste/BSM/O Brasil é dos patriotas/
LUTE POR SUA LIBERDADE/CF-
Votocontadopúbliconasecão/Pró_Armas_SP/LEALDADE SEMPRE/
Persevere/</v>
      </c>
      <c r="D1617" s="2">
        <f>IFERROR(__xludf.DUMMYFUNCTION("""COMPUTED_VALUE"""),1.0028027568273113E-4)</f>
        <v>0.0001002802757</v>
      </c>
      <c r="E1617" s="2" t="str">
        <f>IFERROR(__xludf.DUMMYFUNCTION("""COMPUTED_VALUE"""),"      1.043")</f>
        <v>      1.043</v>
      </c>
    </row>
    <row r="1618">
      <c r="A1618" s="2" t="str">
        <f>IFERROR(__xludf.DUMMYFUNCTION("""COMPUTED_VALUE"""),"Marília Tramontini🚩")</f>
        <v>Marília Tramontini🚩</v>
      </c>
      <c r="B1618" s="2" t="str">
        <f>IFERROR(__xludf.DUMMYFUNCTION("""COMPUTED_VALUE"""),"marliatramonti1")</f>
        <v>marliatramonti1</v>
      </c>
      <c r="C1618" s="2" t="str">
        <f>IFERROR(__xludf.DUMMYFUNCTION("""COMPUTED_VALUE"""),"Non nobis, Domini, non nobis, sed Nomini Tuo ad glorian.")</f>
        <v>Non nobis, Domini, non nobis, sed Nomini Tuo ad glorian.</v>
      </c>
      <c r="D1618" s="2">
        <f>IFERROR(__xludf.DUMMYFUNCTION("""COMPUTED_VALUE"""),1.0028027568273113E-4)</f>
        <v>0.0001002802757</v>
      </c>
      <c r="E1618" s="2" t="str">
        <f>IFERROR(__xludf.DUMMYFUNCTION("""COMPUTED_VALUE"""),"      2.012")</f>
        <v>      2.012</v>
      </c>
    </row>
    <row r="1619">
      <c r="A1619" s="2" t="str">
        <f>IFERROR(__xludf.DUMMYFUNCTION("""COMPUTED_VALUE"""),"Estelita Borges ☮🚩")</f>
        <v>Estelita Borges ☮🚩</v>
      </c>
      <c r="B1619" s="2" t="str">
        <f>IFERROR(__xludf.DUMMYFUNCTION("""COMPUTED_VALUE"""),"estelitaborges")</f>
        <v>estelitaborges</v>
      </c>
      <c r="C1619" s="2" t="str">
        <f>IFERROR(__xludf.DUMMYFUNCTION("""COMPUTED_VALUE"""),"Filosofia e História são minhas paixões. Com muito orgulho faço parte da classe trabalhadora. Sou ateia. Sou feminista. Sou de esquerda. Sou Goiás Esporte Clube")</f>
        <v>Filosofia e História são minhas paixões. Com muito orgulho faço parte da classe trabalhadora. Sou ateia. Sou feminista. Sou de esquerda. Sou Goiás Esporte Clube</v>
      </c>
      <c r="D1619" s="2">
        <f>IFERROR(__xludf.DUMMYFUNCTION("""COMPUTED_VALUE"""),1.0028027568273113E-4)</f>
        <v>0.0001002802757</v>
      </c>
      <c r="E1619" s="2" t="str">
        <f>IFERROR(__xludf.DUMMYFUNCTION("""COMPUTED_VALUE"""),"      7.321")</f>
        <v>      7.321</v>
      </c>
    </row>
    <row r="1620">
      <c r="A1620" s="2" t="str">
        <f>IFERROR(__xludf.DUMMYFUNCTION("""COMPUTED_VALUE"""),"Jeffers Junitta | Fan Account")</f>
        <v>Jeffers Junitta | Fan Account</v>
      </c>
      <c r="B1620" s="2" t="str">
        <f>IFERROR(__xludf.DUMMYFUNCTION("""COMPUTED_VALUE"""),"jeffersjunitta")</f>
        <v>jeffersjunitta</v>
      </c>
      <c r="C1620" s="2" t="str">
        <f>IFERROR(__xludf.DUMMYFUNCTION("""COMPUTED_VALUE"""),"Fã das Rainhas Anitta e Juliette 👑🔥")</f>
        <v>Fã das Rainhas Anitta e Juliette 👑🔥</v>
      </c>
      <c r="D1620" s="2">
        <f>IFERROR(__xludf.DUMMYFUNCTION("""COMPUTED_VALUE"""),1.0028027568273113E-4)</f>
        <v>0.0001002802757</v>
      </c>
      <c r="E1620" s="2" t="str">
        <f>IFERROR(__xludf.DUMMYFUNCTION("""COMPUTED_VALUE"""),"      1.107")</f>
        <v>      1.107</v>
      </c>
    </row>
    <row r="1621">
      <c r="A1621" s="2" t="str">
        <f>IFERROR(__xludf.DUMMYFUNCTION("""COMPUTED_VALUE"""),"Mônica Salome")</f>
        <v>Mônica Salome</v>
      </c>
      <c r="B1621" s="2" t="str">
        <f>IFERROR(__xludf.DUMMYFUNCTION("""COMPUTED_VALUE"""),"mnicasalome2")</f>
        <v>mnicasalome2</v>
      </c>
      <c r="C1621" s="2" t="str">
        <f>IFERROR(__xludf.DUMMYFUNCTION("""COMPUTED_VALUE"""),"🇧🇷🇧🇷Liberdade!! abra as asas🇧🇷Brasileira,mãe de deficiente, só quero um Brasil mais justo para todos!!Deus acima de tudo🙏 Palmeiras sempre!!💚💚💚💚")</f>
        <v>🇧🇷🇧🇷Liberdade!! abra as asas🇧🇷Brasileira,mãe de deficiente, só quero um Brasil mais justo para todos!!Deus acima de tudo🙏 Palmeiras sempre!!💚💚💚💚</v>
      </c>
      <c r="D1621" s="2">
        <f>IFERROR(__xludf.DUMMYFUNCTION("""COMPUTED_VALUE"""),1.0028027568273113E-4)</f>
        <v>0.0001002802757</v>
      </c>
      <c r="E1621" s="2" t="str">
        <f>IFERROR(__xludf.DUMMYFUNCTION("""COMPUTED_VALUE"""),"      4.566")</f>
        <v>      4.566</v>
      </c>
    </row>
    <row r="1622">
      <c r="A1622" s="2" t="str">
        <f>IFERROR(__xludf.DUMMYFUNCTION("""COMPUTED_VALUE"""),"Laudeci Lula Rousseff")</f>
        <v>Laudeci Lula Rousseff</v>
      </c>
      <c r="B1622" s="2" t="str">
        <f>IFERROR(__xludf.DUMMYFUNCTION("""COMPUTED_VALUE"""),"laudeci_m")</f>
        <v>laudeci_m</v>
      </c>
      <c r="C1622" s="2" t="str">
        <f>IFERROR(__xludf.DUMMYFUNCTION("""COMPUTED_VALUE"""),"Ou mudamos o domínio geopolítico  dos EUA, ou o mundo vai ser quintal estadunidense. Chega da interferência saques e mortes.")</f>
        <v>Ou mudamos o domínio geopolítico  dos EUA, ou o mundo vai ser quintal estadunidense. Chega da interferência saques e mortes.</v>
      </c>
      <c r="D1622" s="2">
        <f>IFERROR(__xludf.DUMMYFUNCTION("""COMPUTED_VALUE"""),1.0028027568273113E-4)</f>
        <v>0.0001002802757</v>
      </c>
      <c r="E1622" s="2" t="str">
        <f>IFERROR(__xludf.DUMMYFUNCTION("""COMPUTED_VALUE"""),"      3.206")</f>
        <v>      3.206</v>
      </c>
    </row>
    <row r="1623">
      <c r="A1623" s="2" t="str">
        <f>IFERROR(__xludf.DUMMYFUNCTION("""COMPUTED_VALUE"""),"Marca LULA13")</f>
        <v>Marca LULA13</v>
      </c>
      <c r="B1623" s="2" t="str">
        <f>IFERROR(__xludf.DUMMYFUNCTION("""COMPUTED_VALUE"""),"marca13613")</f>
        <v>marca13613</v>
      </c>
      <c r="C1623" s="2" t="str">
        <f>IFERROR(__xludf.DUMMYFUNCTION("""COMPUTED_VALUE"""),"Petista, lulista #lula13")</f>
        <v>Petista, lulista #lula13</v>
      </c>
      <c r="D1623" s="2">
        <f>IFERROR(__xludf.DUMMYFUNCTION("""COMPUTED_VALUE"""),1.0028027568273113E-4)</f>
        <v>0.0001002802757</v>
      </c>
      <c r="E1623" s="2" t="str">
        <f>IFERROR(__xludf.DUMMYFUNCTION("""COMPUTED_VALUE"""),"      4.601")</f>
        <v>      4.601</v>
      </c>
    </row>
    <row r="1624">
      <c r="A1624" s="2" t="str">
        <f>IFERROR(__xludf.DUMMYFUNCTION("""COMPUTED_VALUE"""),"Eudi José Moronta Suarez")</f>
        <v>Eudi José Moronta Suarez</v>
      </c>
      <c r="B1624" s="2" t="str">
        <f>IFERROR(__xludf.DUMMYFUNCTION("""COMPUTED_VALUE"""),"futuritos")</f>
        <v>futuritos</v>
      </c>
      <c r="C1624" s="2" t="str">
        <f>IFERROR(__xludf.DUMMYFUNCTION("""COMPUTED_VALUE"""),"Artista plástico, proyectista en publicidad exterior, arte digital. Chavista, Humanista, Bolivariano y Socialista. Proyectos de Arte y Publicidad Exterior")</f>
        <v>Artista plástico, proyectista en publicidad exterior, arte digital. Chavista, Humanista, Bolivariano y Socialista. Proyectos de Arte y Publicidad Exterior</v>
      </c>
      <c r="D1624" s="2">
        <f>IFERROR(__xludf.DUMMYFUNCTION("""COMPUTED_VALUE"""),1.0028027568273113E-4)</f>
        <v>0.0001002802757</v>
      </c>
      <c r="E1624" s="2" t="str">
        <f>IFERROR(__xludf.DUMMYFUNCTION("""COMPUTED_VALUE"""),"      1.122")</f>
        <v>      1.122</v>
      </c>
    </row>
    <row r="1625">
      <c r="A1625" s="2" t="str">
        <f>IFERROR(__xludf.DUMMYFUNCTION("""COMPUTED_VALUE"""),"RosaMendes2🚩⭐#LULA ♥️🚩")</f>
        <v>RosaMendes2🚩⭐#LULA ♥️🚩</v>
      </c>
      <c r="B1625" s="2" t="str">
        <f>IFERROR(__xludf.DUMMYFUNCTION("""COMPUTED_VALUE"""),"bloisimendes")</f>
        <v>bloisimendes</v>
      </c>
      <c r="C1625" s="2" t="str">
        <f>IFERROR(__xludf.DUMMYFUNCTION("""COMPUTED_VALUE"""),"2a conta⭐Viveremos e Venceremos!⭐Vamos Juntos Reconstruir o Brasil👊🏽#LULISTA❤️ #PTseguePT #LULA13🌟 #EsquerdistasSeguemEsquerdistas SDV 👊🏽✨")</f>
        <v>2a conta⭐Viveremos e Venceremos!⭐Vamos Juntos Reconstruir o Brasil👊🏽#LULISTA❤️ #PTseguePT #LULA13🌟 #EsquerdistasSeguemEsquerdistas SDV 👊🏽✨</v>
      </c>
      <c r="D1625" s="2">
        <f>IFERROR(__xludf.DUMMYFUNCTION("""COMPUTED_VALUE"""),1.0028027568273113E-4)</f>
        <v>0.0001002802757</v>
      </c>
      <c r="E1625" s="2" t="str">
        <f>IFERROR(__xludf.DUMMYFUNCTION("""COMPUTED_VALUE"""),"     26.041")</f>
        <v>     26.041</v>
      </c>
    </row>
    <row r="1626">
      <c r="A1626" s="2" t="str">
        <f>IFERROR(__xludf.DUMMYFUNCTION("""COMPUTED_VALUE"""),"Free Speech")</f>
        <v>Free Speech</v>
      </c>
      <c r="B1626" s="2" t="str">
        <f>IFERROR(__xludf.DUMMYFUNCTION("""COMPUTED_VALUE"""),"cpayens")</f>
        <v>cpayens</v>
      </c>
      <c r="C1626" s="2" t="str">
        <f>IFERROR(__xludf.DUMMYFUNCTION("""COMPUTED_VALUE"""),"Só um batalhador. Conservador - Vida, liberdade e direito a busca da felicidade.")</f>
        <v>Só um batalhador. Conservador - Vida, liberdade e direito a busca da felicidade.</v>
      </c>
      <c r="D1626" s="2">
        <f>IFERROR(__xludf.DUMMYFUNCTION("""COMPUTED_VALUE"""),1.0028027568273113E-4)</f>
        <v>0.0001002802757</v>
      </c>
      <c r="E1626" s="2" t="str">
        <f>IFERROR(__xludf.DUMMYFUNCTION("""COMPUTED_VALUE"""),"      1.274")</f>
        <v>      1.274</v>
      </c>
    </row>
    <row r="1627">
      <c r="A1627" s="2" t="str">
        <f>IFERROR(__xludf.DUMMYFUNCTION("""COMPUTED_VALUE"""),"anitocame is back for more")</f>
        <v>anitocame is back for more</v>
      </c>
      <c r="B1627" s="2" t="str">
        <f>IFERROR(__xludf.DUMMYFUNCTION("""COMPUTED_VALUE"""),"anitocame_")</f>
        <v>anitocame_</v>
      </c>
      <c r="C1627" s="2" t="str">
        <f>IFERROR(__xludf.DUMMYFUNCTION("""COMPUTED_VALUE"""),"keep talkin' cause i ain't gon' hear what you say")</f>
        <v>keep talkin' cause i ain't gon' hear what you say</v>
      </c>
      <c r="D1627" s="2">
        <f>IFERROR(__xludf.DUMMYFUNCTION("""COMPUTED_VALUE"""),1.0028027568273113E-4)</f>
        <v>0.0001002802757</v>
      </c>
      <c r="E1627" s="2" t="str">
        <f>IFERROR(__xludf.DUMMYFUNCTION("""COMPUTED_VALUE"""),"      3.795")</f>
        <v>      3.795</v>
      </c>
    </row>
    <row r="1628">
      <c r="A1628" s="2" t="str">
        <f>IFERROR(__xludf.DUMMYFUNCTION("""COMPUTED_VALUE"""),"Lucas Lima🇧🇷🇧🇷")</f>
        <v>Lucas Lima🇧🇷🇧🇷</v>
      </c>
      <c r="B1628" s="2" t="str">
        <f>IFERROR(__xludf.DUMMYFUNCTION("""COMPUTED_VALUE"""),"lucaslima8115")</f>
        <v>lucaslima8115</v>
      </c>
      <c r="C1628" s="2" t="str">
        <f>IFERROR(__xludf.DUMMYFUNCTION("""COMPUTED_VALUE"""),"Sou de São Paulo SP moro em São Sebastião SP  . 
Palmeirense Lula Presidente 🌟
FÃ DO BIG BROTHER BRASIL  #TeamLucasLima")</f>
        <v>Sou de São Paulo SP moro em São Sebastião SP  . 
Palmeirense Lula Presidente 🌟
FÃ DO BIG BROTHER BRASIL  #TeamLucasLima</v>
      </c>
      <c r="D1628" s="2">
        <f>IFERROR(__xludf.DUMMYFUNCTION("""COMPUTED_VALUE"""),1.0028027568273113E-4)</f>
        <v>0.0001002802757</v>
      </c>
      <c r="E1628" s="2" t="str">
        <f>IFERROR(__xludf.DUMMYFUNCTION("""COMPUTED_VALUE"""),"      2.146")</f>
        <v>      2.146</v>
      </c>
    </row>
    <row r="1629">
      <c r="A1629" s="2" t="str">
        <f>IFERROR(__xludf.DUMMYFUNCTION("""COMPUTED_VALUE"""),"Daniela 🇧🇷🇺🇸")</f>
        <v>Daniela 🇧🇷🇺🇸</v>
      </c>
      <c r="B1629" s="2" t="str">
        <f>IFERROR(__xludf.DUMMYFUNCTION("""COMPUTED_VALUE"""),"dani_danibr")</f>
        <v>dani_danibr</v>
      </c>
      <c r="C1629" s="2" t="str">
        <f>IFERROR(__xludf.DUMMYFUNCTION("""COMPUTED_VALUE"""),"⚖️👩🏻‍⚖️Immigration Law • Global Mobility Expatriates | #AntiWEF #AntiGlobalist | Team 𝕏 #Spaceshost")</f>
        <v>⚖️👩🏻‍⚖️Immigration Law • Global Mobility Expatriates | #AntiWEF #AntiGlobalist | Team 𝕏 #Spaceshost</v>
      </c>
      <c r="D1629" s="2">
        <f>IFERROR(__xludf.DUMMYFUNCTION("""COMPUTED_VALUE"""),1.0028027568273113E-4)</f>
        <v>0.0001002802757</v>
      </c>
      <c r="E1629" s="2" t="str">
        <f>IFERROR(__xludf.DUMMYFUNCTION("""COMPUTED_VALUE"""),"      6.915")</f>
        <v>      6.915</v>
      </c>
    </row>
    <row r="1630">
      <c r="A1630" s="2" t="str">
        <f>IFERROR(__xludf.DUMMYFUNCTION("""COMPUTED_VALUE"""),"Comunadeusaaaaaaaa")</f>
        <v>Comunadeusaaaaaaaa</v>
      </c>
      <c r="B1630" s="2" t="str">
        <f>IFERROR(__xludf.DUMMYFUNCTION("""COMPUTED_VALUE"""),"nideoliveira71")</f>
        <v>nideoliveira71</v>
      </c>
      <c r="C1630" s="2" t="str">
        <f>IFERROR(__xludf.DUMMYFUNCTION("""COMPUTED_VALUE"""),"#AlmaSuína, anarcotroska, jornalista irresponsável e tia do pavê. Diretora Sindjors. Co-autora do livro HISTÓRIAS DE MORTE MATADA CONTADAS FEITO MORTE MORRIDA.")</f>
        <v>#AlmaSuína, anarcotroska, jornalista irresponsável e tia do pavê. Diretora Sindjors. Co-autora do livro HISTÓRIAS DE MORTE MATADA CONTADAS FEITO MORTE MORRIDA.</v>
      </c>
      <c r="D1630" s="2">
        <f>IFERROR(__xludf.DUMMYFUNCTION("""COMPUTED_VALUE"""),1.0028027568273113E-4)</f>
        <v>0.0001002802757</v>
      </c>
      <c r="E1630" s="2" t="str">
        <f>IFERROR(__xludf.DUMMYFUNCTION("""COMPUTED_VALUE"""),"      4.851")</f>
        <v>      4.851</v>
      </c>
    </row>
    <row r="1631">
      <c r="A1631" s="2" t="str">
        <f>IFERROR(__xludf.DUMMYFUNCTION("""COMPUTED_VALUE"""),"Meninos na Papuda, meninas na Colméia!")</f>
        <v>Meninos na Papuda, meninas na Colméia!</v>
      </c>
      <c r="B1631" s="2" t="str">
        <f>IFERROR(__xludf.DUMMYFUNCTION("""COMPUTED_VALUE"""),"marioasouza72")</f>
        <v>marioasouza72</v>
      </c>
      <c r="C1631" s="2" t="str">
        <f>IFERROR(__xludf.DUMMYFUNCTION("""COMPUTED_VALUE"""),"O inferno está vazio e todos os demônios estão aqui!")</f>
        <v>O inferno está vazio e todos os demônios estão aqui!</v>
      </c>
      <c r="D1631" s="2">
        <f>IFERROR(__xludf.DUMMYFUNCTION("""COMPUTED_VALUE"""),1.0028027568273113E-4)</f>
        <v>0.0001002802757</v>
      </c>
      <c r="E1631" s="2" t="str">
        <f>IFERROR(__xludf.DUMMYFUNCTION("""COMPUTED_VALUE"""),"      6.740")</f>
        <v>      6.740</v>
      </c>
    </row>
    <row r="1632">
      <c r="A1632" s="2" t="str">
        <f>IFERROR(__xludf.DUMMYFUNCTION("""COMPUTED_VALUE"""),"Nilton Mário Miranda")</f>
        <v>Nilton Mário Miranda</v>
      </c>
      <c r="B1632" s="2" t="str">
        <f>IFERROR(__xludf.DUMMYFUNCTION("""COMPUTED_VALUE"""),"niltin57")</f>
        <v>niltin57</v>
      </c>
      <c r="C1632" s="2"/>
      <c r="D1632" s="2">
        <f>IFERROR(__xludf.DUMMYFUNCTION("""COMPUTED_VALUE"""),1.0028027568273113E-4)</f>
        <v>0.0001002802757</v>
      </c>
      <c r="E1632" s="2" t="str">
        <f>IFERROR(__xludf.DUMMYFUNCTION("""COMPUTED_VALUE"""),"      2.295")</f>
        <v>      2.295</v>
      </c>
    </row>
    <row r="1633">
      <c r="A1633" s="2" t="str">
        <f>IFERROR(__xludf.DUMMYFUNCTION("""COMPUTED_VALUE"""),"pepito83")</f>
        <v>pepito83</v>
      </c>
      <c r="B1633" s="2" t="str">
        <f>IFERROR(__xludf.DUMMYFUNCTION("""COMPUTED_VALUE"""),"pepito831")</f>
        <v>pepito831</v>
      </c>
      <c r="C1633" s="2" t="str">
        <f>IFERROR(__xludf.DUMMYFUNCTION("""COMPUTED_VALUE"""),"Cubano 🇨🇺100% luchador incansable de las ideas de Martí,  Fidel y Raúl. Sígueme y te sigo…  #PasiónXCuba 🇨🇺 #DeZurdaTeam🤝🦉")</f>
        <v>Cubano 🇨🇺100% luchador incansable de las ideas de Martí,  Fidel y Raúl. Sígueme y te sigo…  #PasiónXCuba 🇨🇺 #DeZurdaTeam🤝🦉</v>
      </c>
      <c r="D1633" s="2">
        <f>IFERROR(__xludf.DUMMYFUNCTION("""COMPUTED_VALUE"""),1.0028027568273113E-4)</f>
        <v>0.0001002802757</v>
      </c>
      <c r="E1633" s="2" t="str">
        <f>IFERROR(__xludf.DUMMYFUNCTION("""COMPUTED_VALUE"""),"      4.528")</f>
        <v>      4.528</v>
      </c>
    </row>
    <row r="1634">
      <c r="A1634" s="2" t="str">
        <f>IFERROR(__xludf.DUMMYFUNCTION("""COMPUTED_VALUE"""),"Lucas Mendonça")</f>
        <v>Lucas Mendonça</v>
      </c>
      <c r="B1634" s="2" t="str">
        <f>IFERROR(__xludf.DUMMYFUNCTION("""COMPUTED_VALUE"""),"talqueira")</f>
        <v>talqueira</v>
      </c>
      <c r="C1634" s="2" t="str">
        <f>IFERROR(__xludf.DUMMYFUNCTION("""COMPUTED_VALUE"""),"SBT a paixão é aqui 😍❤
#ChampionsNoSBT #SulAmericanaNoSBT #EuropaLeagueNoSBT  fã de esportes, Flamenguista, Sbtista 💓 Rio 40° 
carioca e paraense")</f>
        <v>SBT a paixão é aqui 😍❤
#ChampionsNoSBT #SulAmericanaNoSBT #EuropaLeagueNoSBT  fã de esportes, Flamenguista, Sbtista 💓 Rio 40° 
carioca e paraense</v>
      </c>
      <c r="D1634" s="2">
        <f>IFERROR(__xludf.DUMMYFUNCTION("""COMPUTED_VALUE"""),1.0028027568273113E-4)</f>
        <v>0.0001002802757</v>
      </c>
      <c r="E1634" s="2" t="str">
        <f>IFERROR(__xludf.DUMMYFUNCTION("""COMPUTED_VALUE"""),"      1.173")</f>
        <v>      1.173</v>
      </c>
    </row>
    <row r="1635">
      <c r="A1635" s="2" t="str">
        <f>IFERROR(__xludf.DUMMYFUNCTION("""COMPUTED_VALUE"""),"Lucia Resende 13")</f>
        <v>Lucia Resende 13</v>
      </c>
      <c r="B1635" s="2" t="str">
        <f>IFERROR(__xludf.DUMMYFUNCTION("""COMPUTED_VALUE"""),"mluciares")</f>
        <v>mluciares</v>
      </c>
      <c r="C1635" s="2" t="str">
        <f>IFERROR(__xludf.DUMMYFUNCTION("""COMPUTED_VALUE"""),"Sonhar sempre. Lutar, lutar. Acreditar na utopia possível. Indignar-se e resistir. Fazer a hora. Sempre 13")</f>
        <v>Sonhar sempre. Lutar, lutar. Acreditar na utopia possível. Indignar-se e resistir. Fazer a hora. Sempre 13</v>
      </c>
      <c r="D1635" s="2">
        <f>IFERROR(__xludf.DUMMYFUNCTION("""COMPUTED_VALUE"""),1.0028027568273113E-4)</f>
        <v>0.0001002802757</v>
      </c>
      <c r="E1635" s="2" t="str">
        <f>IFERROR(__xludf.DUMMYFUNCTION("""COMPUTED_VALUE"""),"      5.476")</f>
        <v>      5.476</v>
      </c>
    </row>
    <row r="1636">
      <c r="A1636" s="2" t="str">
        <f>IFERROR(__xludf.DUMMYFUNCTION("""COMPUTED_VALUE"""),"Simone 3ªConta!")</f>
        <v>Simone 3ªConta!</v>
      </c>
      <c r="B1636" s="2" t="str">
        <f>IFERROR(__xludf.DUMMYFUNCTION("""COMPUTED_VALUE"""),"simonetupper")</f>
        <v>simonetupper</v>
      </c>
      <c r="C1636" s="2"/>
      <c r="D1636" s="2">
        <f>IFERROR(__xludf.DUMMYFUNCTION("""COMPUTED_VALUE"""),1.0028027568273113E-4)</f>
        <v>0.0001002802757</v>
      </c>
      <c r="E1636" s="2" t="str">
        <f>IFERROR(__xludf.DUMMYFUNCTION("""COMPUTED_VALUE"""),"      3.316")</f>
        <v>      3.316</v>
      </c>
    </row>
    <row r="1637">
      <c r="A1637" s="2" t="str">
        <f>IFERROR(__xludf.DUMMYFUNCTION("""COMPUTED_VALUE"""),"Romero Souza 🇧🇷")</f>
        <v>Romero Souza 🇧🇷</v>
      </c>
      <c r="B1637" s="2" t="str">
        <f>IFERROR(__xludf.DUMMYFUNCTION("""COMPUTED_VALUE"""),"romerossouza")</f>
        <v>romerossouza</v>
      </c>
      <c r="C1637" s="2" t="str">
        <f>IFERROR(__xludf.DUMMYFUNCTION("""COMPUTED_VALUE"""),"Cristão Casado Conservador Patriota Apoio Incondicional a Bolsonaro🇧🇷💛💚
🇧🇷 🆙 De Tudo E Deus 🆙 De Todos
Meu Pr É Jair Bolsonaro
SDV para perfil a Direita")</f>
        <v>Cristão Casado Conservador Patriota Apoio Incondicional a Bolsonaro🇧🇷💛💚
🇧🇷 🆙 De Tudo E Deus 🆙 De Todos
Meu Pr É Jair Bolsonaro
SDV para perfil a Direita</v>
      </c>
      <c r="D1637" s="2">
        <f>IFERROR(__xludf.DUMMYFUNCTION("""COMPUTED_VALUE"""),1.0028027568273113E-4)</f>
        <v>0.0001002802757</v>
      </c>
      <c r="E1637" s="2" t="str">
        <f>IFERROR(__xludf.DUMMYFUNCTION("""COMPUTED_VALUE"""),"     15.177")</f>
        <v>     15.177</v>
      </c>
    </row>
    <row r="1638">
      <c r="A1638" s="2" t="str">
        <f>IFERROR(__xludf.DUMMYFUNCTION("""COMPUTED_VALUE"""),"Luiza Fritzen")</f>
        <v>Luiza Fritzen</v>
      </c>
      <c r="B1638" s="2" t="str">
        <f>IFERROR(__xludf.DUMMYFUNCTION("""COMPUTED_VALUE"""),"luhfritzen")</f>
        <v>luhfritzen</v>
      </c>
      <c r="C1638" s="2" t="str">
        <f>IFERROR(__xludf.DUMMYFUNCTION("""COMPUTED_VALUE"""),"Mulher de pautas")</f>
        <v>Mulher de pautas</v>
      </c>
      <c r="D1638" s="2">
        <f>IFERROR(__xludf.DUMMYFUNCTION("""COMPUTED_VALUE"""),1.0028027568273113E-4)</f>
        <v>0.0001002802757</v>
      </c>
      <c r="E1638" s="2" t="str">
        <f>IFERROR(__xludf.DUMMYFUNCTION("""COMPUTED_VALUE"""),"      2.333")</f>
        <v>      2.333</v>
      </c>
    </row>
    <row r="1639">
      <c r="A1639" s="2" t="str">
        <f>IFERROR(__xludf.DUMMYFUNCTION("""COMPUTED_VALUE"""),"McCoy")</f>
        <v>McCoy</v>
      </c>
      <c r="B1639" s="2" t="str">
        <f>IFERROR(__xludf.DUMMYFUNCTION("""COMPUTED_VALUE"""),"caravanamccoy")</f>
        <v>caravanamccoy</v>
      </c>
      <c r="C1639" s="2" t="str">
        <f>IFERROR(__xludf.DUMMYFUNCTION("""COMPUTED_VALUE"""),"Bolsonarista, Patriota e só.
Músico 🎸e Socorrista🚑 nas horas vagas (não necessariamente nessa ordem).
Deus, Pátria, Família.
getrr @McCoy_Musico")</f>
        <v>Bolsonarista, Patriota e só.
Músico 🎸e Socorrista🚑 nas horas vagas (não necessariamente nessa ordem).
Deus, Pátria, Família.
getrr @McCoy_Musico</v>
      </c>
      <c r="D1639" s="2">
        <f>IFERROR(__xludf.DUMMYFUNCTION("""COMPUTED_VALUE"""),1.0028027568273113E-4)</f>
        <v>0.0001002802757</v>
      </c>
      <c r="E1639" s="2" t="str">
        <f>IFERROR(__xludf.DUMMYFUNCTION("""COMPUTED_VALUE"""),"      7.546")</f>
        <v>      7.546</v>
      </c>
    </row>
    <row r="1640">
      <c r="A1640" s="2" t="str">
        <f>IFERROR(__xludf.DUMMYFUNCTION("""COMPUTED_VALUE"""),"Roberto Barros @oficial")</f>
        <v>Roberto Barros @oficial</v>
      </c>
      <c r="B1640" s="2" t="str">
        <f>IFERROR(__xludf.DUMMYFUNCTION("""COMPUTED_VALUE"""),"robertobarros13")</f>
        <v>robertobarros13</v>
      </c>
      <c r="C1640" s="2"/>
      <c r="D1640" s="2">
        <f>IFERROR(__xludf.DUMMYFUNCTION("""COMPUTED_VALUE"""),1.0028027568273113E-4)</f>
        <v>0.0001002802757</v>
      </c>
      <c r="E1640" s="2" t="str">
        <f>IFERROR(__xludf.DUMMYFUNCTION("""COMPUTED_VALUE"""),"      1.614")</f>
        <v>      1.614</v>
      </c>
    </row>
    <row r="1641">
      <c r="A1641" s="2" t="str">
        <f>IFERROR(__xludf.DUMMYFUNCTION("""COMPUTED_VALUE"""),"但Esperança 🌎")</f>
        <v>但Esperança 🌎</v>
      </c>
      <c r="B1641" s="2" t="str">
        <f>IFERROR(__xludf.DUMMYFUNCTION("""COMPUTED_VALUE"""),"hopeluta_")</f>
        <v>hopeluta_</v>
      </c>
      <c r="C1641" s="2" t="str">
        <f>IFERROR(__xludf.DUMMYFUNCTION("""COMPUTED_VALUE"""),"🚩💉😷🍀 #FORACAMPOSNETO #ToComMST")</f>
        <v>🚩💉😷🍀 #FORACAMPOSNETO #ToComMST</v>
      </c>
      <c r="D1641" s="2">
        <f>IFERROR(__xludf.DUMMYFUNCTION("""COMPUTED_VALUE"""),1.0028027568273113E-4)</f>
        <v>0.0001002802757</v>
      </c>
      <c r="E1641" s="2" t="str">
        <f>IFERROR(__xludf.DUMMYFUNCTION("""COMPUTED_VALUE"""),"      9.798")</f>
        <v>      9.798</v>
      </c>
    </row>
    <row r="1642">
      <c r="A1642" s="2" t="str">
        <f>IFERROR(__xludf.DUMMYFUNCTION("""COMPUTED_VALUE"""),"💜")</f>
        <v>💜</v>
      </c>
      <c r="B1642" s="2" t="str">
        <f>IFERROR(__xludf.DUMMYFUNCTION("""COMPUTED_VALUE"""),"danifernandacrf")</f>
        <v>danifernandacrf</v>
      </c>
      <c r="C1642" s="2" t="str">
        <f>IFERROR(__xludf.DUMMYFUNCTION("""COMPUTED_VALUE"""),"👩‍👧‍👦❣️")</f>
        <v>👩‍👧‍👦❣️</v>
      </c>
      <c r="D1642" s="2">
        <f>IFERROR(__xludf.DUMMYFUNCTION("""COMPUTED_VALUE"""),1.0028027568273113E-4)</f>
        <v>0.0001002802757</v>
      </c>
      <c r="E1642" s="2" t="str">
        <f>IFERROR(__xludf.DUMMYFUNCTION("""COMPUTED_VALUE"""),"      1.377")</f>
        <v>      1.377</v>
      </c>
    </row>
    <row r="1643">
      <c r="A1643" s="2" t="str">
        <f>IFERROR(__xludf.DUMMYFUNCTION("""COMPUTED_VALUE"""),"uma DOIDA *new era*")</f>
        <v>uma DOIDA *new era*</v>
      </c>
      <c r="B1643" s="2" t="str">
        <f>IFERROR(__xludf.DUMMYFUNCTION("""COMPUTED_VALUE"""),"srkingkong")</f>
        <v>srkingkong</v>
      </c>
      <c r="C1643" s="2" t="str">
        <f>IFERROR(__xludf.DUMMYFUNCTION("""COMPUTED_VALUE"""),"bluesky: warriorqueen")</f>
        <v>bluesky: warriorqueen</v>
      </c>
      <c r="D1643" s="2">
        <f>IFERROR(__xludf.DUMMYFUNCTION("""COMPUTED_VALUE"""),1.0028027568273113E-4)</f>
        <v>0.0001002802757</v>
      </c>
      <c r="E1643" s="2" t="str">
        <f>IFERROR(__xludf.DUMMYFUNCTION("""COMPUTED_VALUE"""),"      1.543")</f>
        <v>      1.543</v>
      </c>
    </row>
    <row r="1644">
      <c r="A1644" s="2" t="str">
        <f>IFERROR(__xludf.DUMMYFUNCTION("""COMPUTED_VALUE"""),"Niv Al")</f>
        <v>Niv Al</v>
      </c>
      <c r="B1644" s="2" t="str">
        <f>IFERROR(__xludf.DUMMYFUNCTION("""COMPUTED_VALUE"""),"alvanive")</f>
        <v>alvanive</v>
      </c>
      <c r="C1644" s="2" t="str">
        <f>IFERROR(__xludf.DUMMYFUNCTION("""COMPUTED_VALUE"""),"Apaixonado pelo Brasil /
RT não é endosso")</f>
        <v>Apaixonado pelo Brasil /
RT não é endosso</v>
      </c>
      <c r="D1644" s="2">
        <f>IFERROR(__xludf.DUMMYFUNCTION("""COMPUTED_VALUE"""),1.0028027568273113E-4)</f>
        <v>0.0001002802757</v>
      </c>
      <c r="E1644" s="2" t="str">
        <f>IFERROR(__xludf.DUMMYFUNCTION("""COMPUTED_VALUE"""),"      1.351")</f>
        <v>      1.351</v>
      </c>
    </row>
    <row r="1645">
      <c r="A1645" s="2" t="str">
        <f>IFERROR(__xludf.DUMMYFUNCTION("""COMPUTED_VALUE"""),"valmirgs")</f>
        <v>valmirgs</v>
      </c>
      <c r="B1645" s="2" t="str">
        <f>IFERROR(__xludf.DUMMYFUNCTION("""COMPUTED_VALUE"""),"valmirgs")</f>
        <v>valmirgs</v>
      </c>
      <c r="C1645" s="2"/>
      <c r="D1645" s="2">
        <f>IFERROR(__xludf.DUMMYFUNCTION("""COMPUTED_VALUE"""),1.0028027568273113E-4)</f>
        <v>0.0001002802757</v>
      </c>
      <c r="E1645" s="2" t="str">
        <f>IFERROR(__xludf.DUMMYFUNCTION("""COMPUTED_VALUE"""),"      2.379")</f>
        <v>      2.379</v>
      </c>
    </row>
    <row r="1646">
      <c r="A1646" s="2" t="str">
        <f>IFERROR(__xludf.DUMMYFUNCTION("""COMPUTED_VALUE"""),"Stella de Mendonça Lula da Silva")</f>
        <v>Stella de Mendonça Lula da Silva</v>
      </c>
      <c r="B1646" s="2" t="str">
        <f>IFERROR(__xludf.DUMMYFUNCTION("""COMPUTED_VALUE"""),"stellamendonca")</f>
        <v>stellamendonca</v>
      </c>
      <c r="C1646" s="2" t="str">
        <f>IFERROR(__xludf.DUMMYFUNCTION("""COMPUTED_VALUE"""),"Restauradora de Bens Culturais, escritora, consultora, perita e pesquisadora da obra e vida de Anita Malfatti. (Expertise)")</f>
        <v>Restauradora de Bens Culturais, escritora, consultora, perita e pesquisadora da obra e vida de Anita Malfatti. (Expertise)</v>
      </c>
      <c r="D1646" s="2">
        <f>IFERROR(__xludf.DUMMYFUNCTION("""COMPUTED_VALUE"""),1.0028027568273113E-4)</f>
        <v>0.0001002802757</v>
      </c>
      <c r="E1646" s="2" t="str">
        <f>IFERROR(__xludf.DUMMYFUNCTION("""COMPUTED_VALUE"""),"     17.494")</f>
        <v>     17.494</v>
      </c>
    </row>
    <row r="1647">
      <c r="A1647" s="2" t="str">
        <f>IFERROR(__xludf.DUMMYFUNCTION("""COMPUTED_VALUE"""),"N.I.C.K")</f>
        <v>N.I.C.K</v>
      </c>
      <c r="B1647" s="2" t="str">
        <f>IFERROR(__xludf.DUMMYFUNCTION("""COMPUTED_VALUE"""),"preciousleighad")</f>
        <v>preciousleighad</v>
      </c>
      <c r="C1647" s="2" t="str">
        <f>IFERROR(__xludf.DUMMYFUNCTION("""COMPUTED_VALUE"""),"When all is settle and done, you’ll believe god is a woman")</f>
        <v>When all is settle and done, you’ll believe god is a woman</v>
      </c>
      <c r="D1647" s="2">
        <f>IFERROR(__xludf.DUMMYFUNCTION("""COMPUTED_VALUE"""),1.0028027568273113E-4)</f>
        <v>0.0001002802757</v>
      </c>
      <c r="E1647" s="2" t="str">
        <f>IFERROR(__xludf.DUMMYFUNCTION("""COMPUTED_VALUE"""),"      1.063")</f>
        <v>      1.063</v>
      </c>
    </row>
    <row r="1648">
      <c r="A1648" s="2" t="str">
        <f>IFERROR(__xludf.DUMMYFUNCTION("""COMPUTED_VALUE"""),"Hernani Oliveira")</f>
        <v>Hernani Oliveira</v>
      </c>
      <c r="B1648" s="2" t="str">
        <f>IFERROR(__xludf.DUMMYFUNCTION("""COMPUTED_VALUE"""),"hernanifmo")</f>
        <v>hernanifmo</v>
      </c>
      <c r="C1648" s="2" t="str">
        <f>IFERROR(__xludf.DUMMYFUNCTION("""COMPUTED_VALUE"""),"Environmental Health Consultant
Biodiversity Loss - Climate Change - One Health")</f>
        <v>Environmental Health Consultant
Biodiversity Loss - Climate Change - One Health</v>
      </c>
      <c r="D1648" s="2">
        <f>IFERROR(__xludf.DUMMYFUNCTION("""COMPUTED_VALUE"""),1.0028027568273113E-4)</f>
        <v>0.0001002802757</v>
      </c>
      <c r="E1648" s="2" t="str">
        <f>IFERROR(__xludf.DUMMYFUNCTION("""COMPUTED_VALUE"""),"      2.167")</f>
        <v>      2.167</v>
      </c>
    </row>
    <row r="1649">
      <c r="A1649" s="2" t="str">
        <f>IFERROR(__xludf.DUMMYFUNCTION("""COMPUTED_VALUE"""),"Costa Max 🚩🚩🇧🇷")</f>
        <v>Costa Max 🚩🚩🇧🇷</v>
      </c>
      <c r="B1649" s="2" t="str">
        <f>IFERROR(__xludf.DUMMYFUNCTION("""COMPUTED_VALUE"""),"costamax2206")</f>
        <v>costamax2206</v>
      </c>
      <c r="C1649" s="2" t="str">
        <f>IFERROR(__xludf.DUMMYFUNCTION("""COMPUTED_VALUE"""),"Bolsominions não são bem vindos, adoro os animais e Corinthians no ❤")</f>
        <v>Bolsominions não são bem vindos, adoro os animais e Corinthians no ❤</v>
      </c>
      <c r="D1649" s="2">
        <f>IFERROR(__xludf.DUMMYFUNCTION("""COMPUTED_VALUE"""),1.0028027568273113E-4)</f>
        <v>0.0001002802757</v>
      </c>
      <c r="E1649" s="2" t="str">
        <f>IFERROR(__xludf.DUMMYFUNCTION("""COMPUTED_VALUE"""),"      5.786")</f>
        <v>      5.786</v>
      </c>
    </row>
    <row r="1650">
      <c r="A1650" s="2" t="str">
        <f>IFERROR(__xludf.DUMMYFUNCTION("""COMPUTED_VALUE"""),"Juçara")</f>
        <v>Juçara</v>
      </c>
      <c r="B1650" s="2" t="str">
        <f>IFERROR(__xludf.DUMMYFUNCTION("""COMPUTED_VALUE"""),"jucaravlf")</f>
        <v>jucaravlf</v>
      </c>
      <c r="C1650" s="2" t="str">
        <f>IFERROR(__xludf.DUMMYFUNCTION("""COMPUTED_VALUE"""),"aposentada ‘quero um país melhor…🎼🎼🎼")</f>
        <v>aposentada ‘quero um país melhor…🎼🎼🎼</v>
      </c>
      <c r="D1650" s="2">
        <f>IFERROR(__xludf.DUMMYFUNCTION("""COMPUTED_VALUE"""),1.0028027568273113E-4)</f>
        <v>0.0001002802757</v>
      </c>
      <c r="E1650" s="2" t="str">
        <f>IFERROR(__xludf.DUMMYFUNCTION("""COMPUTED_VALUE"""),"      1.853")</f>
        <v>      1.853</v>
      </c>
    </row>
    <row r="1651">
      <c r="A1651" s="2" t="str">
        <f>IFERROR(__xludf.DUMMYFUNCTION("""COMPUTED_VALUE"""),"Katia garrido🚩")</f>
        <v>Katia garrido🚩</v>
      </c>
      <c r="B1651" s="2" t="str">
        <f>IFERROR(__xludf.DUMMYFUNCTION("""COMPUTED_VALUE"""),"katiasimonegar1")</f>
        <v>katiasimonegar1</v>
      </c>
      <c r="C1651" s="2" t="str">
        <f>IFERROR(__xludf.DUMMYFUNCTION("""COMPUTED_VALUE"""),"professora, de esquerda,  antifascista,")</f>
        <v>professora, de esquerda,  antifascista,</v>
      </c>
      <c r="D1651" s="2">
        <f>IFERROR(__xludf.DUMMYFUNCTION("""COMPUTED_VALUE"""),1.0028027568273113E-4)</f>
        <v>0.0001002802757</v>
      </c>
      <c r="E1651" s="2" t="str">
        <f>IFERROR(__xludf.DUMMYFUNCTION("""COMPUTED_VALUE"""),"      1.092")</f>
        <v>      1.092</v>
      </c>
    </row>
    <row r="1652">
      <c r="A1652" s="2" t="str">
        <f>IFERROR(__xludf.DUMMYFUNCTION("""COMPUTED_VALUE"""),"A luta continua...")</f>
        <v>A luta continua...</v>
      </c>
      <c r="B1652" s="2" t="str">
        <f>IFERROR(__xludf.DUMMYFUNCTION("""COMPUTED_VALUE"""),"alutacontinua01")</f>
        <v>alutacontinua01</v>
      </c>
      <c r="C1652" s="2" t="str">
        <f>IFERROR(__xludf.DUMMYFUNCTION("""COMPUTED_VALUE"""),"Por dias melhores!!!")</f>
        <v>Por dias melhores!!!</v>
      </c>
      <c r="D1652" s="2">
        <f>IFERROR(__xludf.DUMMYFUNCTION("""COMPUTED_VALUE"""),1.0028027568273113E-4)</f>
        <v>0.0001002802757</v>
      </c>
      <c r="E1652" s="2" t="str">
        <f>IFERROR(__xludf.DUMMYFUNCTION("""COMPUTED_VALUE"""),"      6.613")</f>
        <v>      6.613</v>
      </c>
    </row>
    <row r="1653">
      <c r="A1653" s="2" t="str">
        <f>IFERROR(__xludf.DUMMYFUNCTION("""COMPUTED_VALUE"""),"Edeson Oliveira Jr.🇧🇷🇧🇷🇧🇷🇧🇷")</f>
        <v>Edeson Oliveira Jr.🇧🇷🇧🇷🇧🇷🇧🇷</v>
      </c>
      <c r="B1653" s="2" t="str">
        <f>IFERROR(__xludf.DUMMYFUNCTION("""COMPUTED_VALUE"""),"soares_edeson")</f>
        <v>soares_edeson</v>
      </c>
      <c r="C1653" s="2" t="str">
        <f>IFERROR(__xludf.DUMMYFUNCTION("""COMPUTED_VALUE"""),"Brasileiro , Patriota, Carioca e Flamenguista com muito orgulho!!
Gosto de ser Romântico, cavalheiro e carinhoso!Muito amoroso e gosto de poesia!❤❤")</f>
        <v>Brasileiro , Patriota, Carioca e Flamenguista com muito orgulho!!
Gosto de ser Romântico, cavalheiro e carinhoso!Muito amoroso e gosto de poesia!❤❤</v>
      </c>
      <c r="D1653" s="2">
        <f>IFERROR(__xludf.DUMMYFUNCTION("""COMPUTED_VALUE"""),1.0028027568273113E-4)</f>
        <v>0.0001002802757</v>
      </c>
      <c r="E1653" s="2" t="str">
        <f>IFERROR(__xludf.DUMMYFUNCTION("""COMPUTED_VALUE"""),"      2.337")</f>
        <v>      2.337</v>
      </c>
    </row>
    <row r="1654">
      <c r="A1654" s="2" t="str">
        <f>IFERROR(__xludf.DUMMYFUNCTION("""COMPUTED_VALUE"""),"Victor Kietzmann Jr")</f>
        <v>Victor Kietzmann Jr</v>
      </c>
      <c r="B1654" s="2" t="str">
        <f>IFERROR(__xludf.DUMMYFUNCTION("""COMPUTED_VALUE"""),"victorkj")</f>
        <v>victorkj</v>
      </c>
      <c r="C1654" s="2" t="str">
        <f>IFERROR(__xludf.DUMMYFUNCTION("""COMPUTED_VALUE"""),"Sócio Portal SmallCaps @portalsmallcaps")</f>
        <v>Sócio Portal SmallCaps @portalsmallcaps</v>
      </c>
      <c r="D1654" s="2">
        <f>IFERROR(__xludf.DUMMYFUNCTION("""COMPUTED_VALUE"""),1.0028027568273113E-4)</f>
        <v>0.0001002802757</v>
      </c>
      <c r="E1654" s="2" t="str">
        <f>IFERROR(__xludf.DUMMYFUNCTION("""COMPUTED_VALUE"""),"      2.271")</f>
        <v>      2.271</v>
      </c>
    </row>
    <row r="1655">
      <c r="A1655" s="2" t="str">
        <f>IFERROR(__xludf.DUMMYFUNCTION("""COMPUTED_VALUE"""),"Mursi Braz")</f>
        <v>Mursi Braz</v>
      </c>
      <c r="B1655" s="2" t="str">
        <f>IFERROR(__xludf.DUMMYFUNCTION("""COMPUTED_VALUE"""),"brazmursi")</f>
        <v>brazmursi</v>
      </c>
      <c r="C1655" s="2" t="str">
        <f>IFERROR(__xludf.DUMMYFUNCTION("""COMPUTED_VALUE"""),"Ariana, casada, mãe, feminista, defensora dos direitos humanos, contra os retrocessos e  a favor da vacina adquirida com lisura")</f>
        <v>Ariana, casada, mãe, feminista, defensora dos direitos humanos, contra os retrocessos e  a favor da vacina adquirida com lisura</v>
      </c>
      <c r="D1655" s="2">
        <f>IFERROR(__xludf.DUMMYFUNCTION("""COMPUTED_VALUE"""),1.0028027568273113E-4)</f>
        <v>0.0001002802757</v>
      </c>
      <c r="E1655" s="2" t="str">
        <f>IFERROR(__xludf.DUMMYFUNCTION("""COMPUTED_VALUE"""),"      1.629")</f>
        <v>      1.629</v>
      </c>
    </row>
    <row r="1656">
      <c r="A1656" s="2" t="str">
        <f>IFERROR(__xludf.DUMMYFUNCTION("""COMPUTED_VALUE"""),"sergio yamamoto")</f>
        <v>sergio yamamoto</v>
      </c>
      <c r="B1656" s="2" t="str">
        <f>IFERROR(__xludf.DUMMYFUNCTION("""COMPUTED_VALUE"""),"sergioyamamoto9")</f>
        <v>sergioyamamoto9</v>
      </c>
      <c r="C1656" s="2" t="str">
        <f>IFERROR(__xludf.DUMMYFUNCTION("""COMPUTED_VALUE"""),"Nascido em São Paulo/SP, conservador,direita")</f>
        <v>Nascido em São Paulo/SP, conservador,direita</v>
      </c>
      <c r="D1656" s="2">
        <f>IFERROR(__xludf.DUMMYFUNCTION("""COMPUTED_VALUE"""),1.0028027568273113E-4)</f>
        <v>0.0001002802757</v>
      </c>
      <c r="E1656" s="2" t="str">
        <f>IFERROR(__xludf.DUMMYFUNCTION("""COMPUTED_VALUE"""),"      1.055")</f>
        <v>      1.055</v>
      </c>
    </row>
    <row r="1657">
      <c r="A1657" s="2" t="str">
        <f>IFERROR(__xludf.DUMMYFUNCTION("""COMPUTED_VALUE"""),"Baby Investidor")</f>
        <v>Baby Investidor</v>
      </c>
      <c r="B1657" s="2" t="str">
        <f>IFERROR(__xludf.DUMMYFUNCTION("""COMPUTED_VALUE"""),"baby_investidor")</f>
        <v>baby_investidor</v>
      </c>
      <c r="C1657" s="2" t="str">
        <f>IFERROR(__xludf.DUMMYFUNCTION("""COMPUTED_VALUE"""),"Ajudo você e seus filhos a investirem melhor")</f>
        <v>Ajudo você e seus filhos a investirem melhor</v>
      </c>
      <c r="D1657" s="2">
        <f>IFERROR(__xludf.DUMMYFUNCTION("""COMPUTED_VALUE"""),1.0028027568273113E-4)</f>
        <v>0.0001002802757</v>
      </c>
      <c r="E1657" s="2" t="str">
        <f>IFERROR(__xludf.DUMMYFUNCTION("""COMPUTED_VALUE"""),"      6.374")</f>
        <v>      6.374</v>
      </c>
    </row>
    <row r="1658">
      <c r="A1658" s="2" t="str">
        <f>IFERROR(__xludf.DUMMYFUNCTION("""COMPUTED_VALUE"""),"Francesca Cassano 🇪🇺🇮🇹🇬🇧")</f>
        <v>Francesca Cassano 🇪🇺🇮🇹🇬🇧</v>
      </c>
      <c r="B1658" s="2" t="str">
        <f>IFERROR(__xludf.DUMMYFUNCTION("""COMPUTED_VALUE"""),"ukitaeu")</f>
        <v>ukitaeu</v>
      </c>
      <c r="C1658" s="2" t="str">
        <f>IFERROR(__xludf.DUMMYFUNCTION("""COMPUTED_VALUE"""),"(millennial in spirit)")</f>
        <v>(millennial in spirit)</v>
      </c>
      <c r="D1658" s="2">
        <f>IFERROR(__xludf.DUMMYFUNCTION("""COMPUTED_VALUE"""),1.0028027568273113E-4)</f>
        <v>0.0001002802757</v>
      </c>
      <c r="E1658" s="2" t="str">
        <f>IFERROR(__xludf.DUMMYFUNCTION("""COMPUTED_VALUE"""),"      2.294")</f>
        <v>      2.294</v>
      </c>
    </row>
    <row r="1659">
      <c r="A1659" s="2" t="str">
        <f>IFERROR(__xludf.DUMMYFUNCTION("""COMPUTED_VALUE"""),"Duff │ O Cara que COLAPSOU 16 Milhões! ⭐🚀💚")</f>
        <v>Duff │ O Cara que COLAPSOU 16 Milhões! ⭐🚀💚</v>
      </c>
      <c r="B1659" s="2" t="str">
        <f>IFERROR(__xludf.DUMMYFUNCTION("""COMPUTED_VALUE"""),"ocervejeiro_")</f>
        <v>ocervejeiro_</v>
      </c>
      <c r="C1659" s="2" t="str">
        <f>IFERROR(__xludf.DUMMYFUNCTION("""COMPUTED_VALUE"""),"GT: Leandrus Duff
ID: NGRofficial")</f>
        <v>GT: Leandrus Duff
ID: NGRofficial</v>
      </c>
      <c r="D1659" s="2">
        <f>IFERROR(__xludf.DUMMYFUNCTION("""COMPUTED_VALUE"""),1.0028027568273113E-4)</f>
        <v>0.0001002802757</v>
      </c>
      <c r="E1659" s="2" t="str">
        <f>IFERROR(__xludf.DUMMYFUNCTION("""COMPUTED_VALUE"""),"     13.893")</f>
        <v>     13.893</v>
      </c>
    </row>
    <row r="1660">
      <c r="A1660" s="2" t="str">
        <f>IFERROR(__xludf.DUMMYFUNCTION("""COMPUTED_VALUE"""),"Wilma Moraes🇧🇷🌈💙💛🤍")</f>
        <v>Wilma Moraes🇧🇷🌈💙💛🤍</v>
      </c>
      <c r="B1660" s="2" t="str">
        <f>IFERROR(__xludf.DUMMYFUNCTION("""COMPUTED_VALUE"""),"wilmaamoraes")</f>
        <v>wilmaamoraes</v>
      </c>
      <c r="C1660" s="2" t="str">
        <f>IFERROR(__xludf.DUMMYFUNCTION("""COMPUTED_VALUE"""),"Analista Fiscal Tributária")</f>
        <v>Analista Fiscal Tributária</v>
      </c>
      <c r="D1660" s="2">
        <f>IFERROR(__xludf.DUMMYFUNCTION("""COMPUTED_VALUE"""),1.0028027568273113E-4)</f>
        <v>0.0001002802757</v>
      </c>
      <c r="E1660" s="2" t="str">
        <f>IFERROR(__xludf.DUMMYFUNCTION("""COMPUTED_VALUE"""),"      2.112")</f>
        <v>      2.112</v>
      </c>
    </row>
    <row r="1661">
      <c r="A1661" s="2" t="str">
        <f>IFERROR(__xludf.DUMMYFUNCTION("""COMPUTED_VALUE"""),"Kevin Pantoja Padrón 💯 🇨🇺 🇻🇪")</f>
        <v>Kevin Pantoja Padrón 💯 🇨🇺 🇻🇪</v>
      </c>
      <c r="B1661" s="2" t="str">
        <f>IFERROR(__xludf.DUMMYFUNCTION("""COMPUTED_VALUE"""),"padronpantoja")</f>
        <v>padronpantoja</v>
      </c>
      <c r="C1661" s="2"/>
      <c r="D1661" s="2">
        <f>IFERROR(__xludf.DUMMYFUNCTION("""COMPUTED_VALUE"""),1.0028027568273113E-4)</f>
        <v>0.0001002802757</v>
      </c>
      <c r="E1661" s="2" t="str">
        <f>IFERROR(__xludf.DUMMYFUNCTION("""COMPUTED_VALUE"""),"      1.838")</f>
        <v>      1.838</v>
      </c>
    </row>
    <row r="1662">
      <c r="A1662" s="2" t="str">
        <f>IFERROR(__xludf.DUMMYFUNCTION("""COMPUTED_VALUE"""),"José♥️🇧🇷")</f>
        <v>José♥️🇧🇷</v>
      </c>
      <c r="B1662" s="2" t="str">
        <f>IFERROR(__xludf.DUMMYFUNCTION("""COMPUTED_VALUE"""),"petucios")</f>
        <v>petucios</v>
      </c>
      <c r="C1662" s="2" t="str">
        <f>IFERROR(__xludf.DUMMYFUNCTION("""COMPUTED_VALUE"""),"Não diga que a vitória está perdida, tenha fé em Deus.
E a vitória só conseguimos todos juntos e misturados.")</f>
        <v>Não diga que a vitória está perdida, tenha fé em Deus.
E a vitória só conseguimos todos juntos e misturados.</v>
      </c>
      <c r="D1662" s="2">
        <f>IFERROR(__xludf.DUMMYFUNCTION("""COMPUTED_VALUE"""),1.0028027568273113E-4)</f>
        <v>0.0001002802757</v>
      </c>
      <c r="E1662" s="2" t="str">
        <f>IFERROR(__xludf.DUMMYFUNCTION("""COMPUTED_VALUE"""),"      4.552")</f>
        <v>      4.552</v>
      </c>
    </row>
    <row r="1663">
      <c r="A1663" s="2" t="str">
        <f>IFERROR(__xludf.DUMMYFUNCTION("""COMPUTED_VALUE"""),"Carlos Henrique lima de melo.")</f>
        <v>Carlos Henrique lima de melo.</v>
      </c>
      <c r="B1663" s="2" t="str">
        <f>IFERROR(__xludf.DUMMYFUNCTION("""COMPUTED_VALUE"""),"shama_carlos")</f>
        <v>shama_carlos</v>
      </c>
      <c r="C1663" s="2" t="str">
        <f>IFERROR(__xludf.DUMMYFUNCTION("""COMPUTED_VALUE"""),"Amo o que faço e  faço o que amo.")</f>
        <v>Amo o que faço e  faço o que amo.</v>
      </c>
      <c r="D1663" s="2">
        <f>IFERROR(__xludf.DUMMYFUNCTION("""COMPUTED_VALUE"""),1.0028027568273113E-4)</f>
        <v>0.0001002802757</v>
      </c>
      <c r="E1663" s="2" t="str">
        <f>IFERROR(__xludf.DUMMYFUNCTION("""COMPUTED_VALUE"""),"      1.086")</f>
        <v>      1.086</v>
      </c>
    </row>
    <row r="1664">
      <c r="A1664" s="2" t="str">
        <f>IFERROR(__xludf.DUMMYFUNCTION("""COMPUTED_VALUE"""),"Fran Barbosa")</f>
        <v>Fran Barbosa</v>
      </c>
      <c r="B1664" s="2" t="str">
        <f>IFERROR(__xludf.DUMMYFUNCTION("""COMPUTED_VALUE"""),"franbar76500532")</f>
        <v>franbar76500532</v>
      </c>
      <c r="C1664" s="2"/>
      <c r="D1664" s="2">
        <f>IFERROR(__xludf.DUMMYFUNCTION("""COMPUTED_VALUE"""),1.0028027568273113E-4)</f>
        <v>0.0001002802757</v>
      </c>
      <c r="E1664" s="2" t="str">
        <f>IFERROR(__xludf.DUMMYFUNCTION("""COMPUTED_VALUE"""),"      1.059")</f>
        <v>      1.059</v>
      </c>
    </row>
    <row r="1665">
      <c r="A1665" s="2" t="str">
        <f>IFERROR(__xludf.DUMMYFUNCTION("""COMPUTED_VALUE"""),"Marcio Costa 🇧🇷🇧🇷")</f>
        <v>Marcio Costa 🇧🇷🇧🇷</v>
      </c>
      <c r="B1665" s="2" t="str">
        <f>IFERROR(__xludf.DUMMYFUNCTION("""COMPUTED_VALUE"""),"marciofeco")</f>
        <v>marciofeco</v>
      </c>
      <c r="C1665" s="2" t="str">
        <f>IFERROR(__xludf.DUMMYFUNCTION("""COMPUTED_VALUE"""),"Brasil acima de tudo! Deus acima de todos 🇧🇷🇧🇷🇧🇷")</f>
        <v>Brasil acima de tudo! Deus acima de todos 🇧🇷🇧🇷🇧🇷</v>
      </c>
      <c r="D1665" s="2">
        <f>IFERROR(__xludf.DUMMYFUNCTION("""COMPUTED_VALUE"""),1.0028027568273113E-4)</f>
        <v>0.0001002802757</v>
      </c>
      <c r="E1665" s="2" t="str">
        <f>IFERROR(__xludf.DUMMYFUNCTION("""COMPUTED_VALUE"""),"      1.492")</f>
        <v>      1.492</v>
      </c>
    </row>
    <row r="1666">
      <c r="A1666" s="2" t="str">
        <f>IFERROR(__xludf.DUMMYFUNCTION("""COMPUTED_VALUE"""),"🚩Jorge Romanholi 🚩🚩🚩👈")</f>
        <v>🚩Jorge Romanholi 🚩🚩🚩👈</v>
      </c>
      <c r="B1666" s="2" t="str">
        <f>IFERROR(__xludf.DUMMYFUNCTION("""COMPUTED_VALUE"""),"jorgeromanholi2")</f>
        <v>jorgeromanholi2</v>
      </c>
      <c r="C1666" s="2" t="str">
        <f>IFERROR(__xludf.DUMMYFUNCTION("""COMPUTED_VALUE"""),"Realidade e o que interessa .Não acredito em fakes . Progressista desde criança . Filiado ao PT . #Lula 2022 é em que votarei .")</f>
        <v>Realidade e o que interessa .Não acredito em fakes . Progressista desde criança . Filiado ao PT . #Lula 2022 é em que votarei .</v>
      </c>
      <c r="D1666" s="2">
        <f>IFERROR(__xludf.DUMMYFUNCTION("""COMPUTED_VALUE"""),1.0028027568273113E-4)</f>
        <v>0.0001002802757</v>
      </c>
      <c r="E1666" s="2" t="str">
        <f>IFERROR(__xludf.DUMMYFUNCTION("""COMPUTED_VALUE"""),"      6.997")</f>
        <v>      6.997</v>
      </c>
    </row>
    <row r="1667">
      <c r="A1667" s="2" t="str">
        <f>IFERROR(__xludf.DUMMYFUNCTION("""COMPUTED_VALUE"""),"Rita de Cássia Pinheiro🇧🇷🦆🦆")</f>
        <v>Rita de Cássia Pinheiro🇧🇷🦆🦆</v>
      </c>
      <c r="B1667" s="2" t="str">
        <f>IFERROR(__xludf.DUMMYFUNCTION("""COMPUTED_VALUE"""),"ritadecassiapl")</f>
        <v>ritadecassiapl</v>
      </c>
      <c r="C1667" s="2"/>
      <c r="D1667" s="2">
        <f>IFERROR(__xludf.DUMMYFUNCTION("""COMPUTED_VALUE"""),1.0028027568273113E-4)</f>
        <v>0.0001002802757</v>
      </c>
      <c r="E1667" s="2" t="str">
        <f>IFERROR(__xludf.DUMMYFUNCTION("""COMPUTED_VALUE"""),"      5.995")</f>
        <v>      5.995</v>
      </c>
    </row>
    <row r="1668">
      <c r="A1668" s="2" t="str">
        <f>IFERROR(__xludf.DUMMYFUNCTION("""COMPUTED_VALUE"""),"¯̷\̷_̷(̷ツ̷)̷_̷/̷¯̷༗̷☬̷☢̷L̷i̷g̷i̷a̷g̷u̷e̷r̷r̷a̷")</f>
        <v>¯̷\̷_̷(̷ツ̷)̷_̷/̷¯̷༗̷☬̷☢̷L̷i̷g̷i̷a̷g̷u̷e̷r̷r̷a̷</v>
      </c>
      <c r="B1668" s="2" t="str">
        <f>IFERROR(__xludf.DUMMYFUNCTION("""COMPUTED_VALUE"""),"ligiaguerra7")</f>
        <v>ligiaguerra7</v>
      </c>
      <c r="C1668" s="2" t="str">
        <f>IFERROR(__xludf.DUMMYFUNCTION("""COMPUTED_VALUE"""),"direita🇧🇷🇧🇷🇧🇷🇧🇷. RESISTÊNCIA CÍVIL! NÃO PAGO IMPOSTOS! LADRÃO SEU LUGAR É NA PRISÃO!")</f>
        <v>direita🇧🇷🇧🇷🇧🇷🇧🇷. RESISTÊNCIA CÍVIL! NÃO PAGO IMPOSTOS! LADRÃO SEU LUGAR É NA PRISÃO!</v>
      </c>
      <c r="D1668" s="2">
        <f>IFERROR(__xludf.DUMMYFUNCTION("""COMPUTED_VALUE"""),1.0028027568273113E-4)</f>
        <v>0.0001002802757</v>
      </c>
      <c r="E1668" s="2" t="str">
        <f>IFERROR(__xludf.DUMMYFUNCTION("""COMPUTED_VALUE"""),"      8.962")</f>
        <v>      8.962</v>
      </c>
    </row>
    <row r="1669">
      <c r="A1669" s="2" t="str">
        <f>IFERROR(__xludf.DUMMYFUNCTION("""COMPUTED_VALUE"""),"Elizabeth Santos")</f>
        <v>Elizabeth Santos</v>
      </c>
      <c r="B1669" s="2" t="str">
        <f>IFERROR(__xludf.DUMMYFUNCTION("""COMPUTED_VALUE"""),"elizabe54726333")</f>
        <v>elizabe54726333</v>
      </c>
      <c r="C1669" s="2" t="str">
        <f>IFERROR(__xludf.DUMMYFUNCTION("""COMPUTED_VALUE"""),"A paz começa em nós🙏🏼")</f>
        <v>A paz começa em nós🙏🏼</v>
      </c>
      <c r="D1669" s="2">
        <f>IFERROR(__xludf.DUMMYFUNCTION("""COMPUTED_VALUE"""),1.0028027568273113E-4)</f>
        <v>0.0001002802757</v>
      </c>
      <c r="E1669" s="2" t="str">
        <f>IFERROR(__xludf.DUMMYFUNCTION("""COMPUTED_VALUE"""),"      4.374")</f>
        <v>      4.374</v>
      </c>
    </row>
    <row r="1670">
      <c r="A1670" s="2" t="str">
        <f>IFERROR(__xludf.DUMMYFUNCTION("""COMPUTED_VALUE"""),"Luiz Gustavo Brito, MD,MSc,PhD")</f>
        <v>Luiz Gustavo Brito, MD,MSc,PhD</v>
      </c>
      <c r="B1670" s="2" t="str">
        <f>IFERROR(__xludf.DUMMYFUNCTION("""COMPUTED_VALUE"""),"lgobrito")</f>
        <v>lgobrito</v>
      </c>
      <c r="C1670" s="2" t="str">
        <f>IFERROR(__xludf.DUMMYFUNCTION("""COMPUTED_VALUE"""),"Assoc  Prof , Unicamp. RT#Endors. Personal and Professional page here.")</f>
        <v>Assoc  Prof , Unicamp. RT#Endors. Personal and Professional page here.</v>
      </c>
      <c r="D1670" s="2">
        <f>IFERROR(__xludf.DUMMYFUNCTION("""COMPUTED_VALUE"""),1.0028027568273113E-4)</f>
        <v>0.0001002802757</v>
      </c>
      <c r="E1670" s="2" t="str">
        <f>IFERROR(__xludf.DUMMYFUNCTION("""COMPUTED_VALUE"""),"      1.596")</f>
        <v>      1.596</v>
      </c>
    </row>
    <row r="1671">
      <c r="A1671" s="2" t="str">
        <f>IFERROR(__xludf.DUMMYFUNCTION("""COMPUTED_VALUE"""),"jose hilton_Padim_Padre_Ciço🇧🇷🏦🍌🦀🏦")</f>
        <v>jose hilton_Padim_Padre_Ciço🇧🇷🏦🍌🦀🏦</v>
      </c>
      <c r="B1671" s="2" t="str">
        <f>IFERROR(__xludf.DUMMYFUNCTION("""COMPUTED_VALUE"""),"jotahsilva")</f>
        <v>jotahsilva</v>
      </c>
      <c r="C1671" s="2" t="str">
        <f>IFERROR(__xludf.DUMMYFUNCTION("""COMPUTED_VALUE"""),"Bancário aposentado e servidor público estadual. Administrador de empresas e bacharel em direito. 
Pós graduado em Finanças Empresariais.")</f>
        <v>Bancário aposentado e servidor público estadual. Administrador de empresas e bacharel em direito. 
Pós graduado em Finanças Empresariais.</v>
      </c>
      <c r="D1671" s="2">
        <f>IFERROR(__xludf.DUMMYFUNCTION("""COMPUTED_VALUE"""),1.0028027568273113E-4)</f>
        <v>0.0001002802757</v>
      </c>
      <c r="E1671" s="2" t="str">
        <f>IFERROR(__xludf.DUMMYFUNCTION("""COMPUTED_VALUE"""),"      7.803")</f>
        <v>      7.803</v>
      </c>
    </row>
    <row r="1672">
      <c r="A1672" s="2" t="str">
        <f>IFERROR(__xludf.DUMMYFUNCTION("""COMPUTED_VALUE"""),"ؘ")</f>
        <v>ؘ</v>
      </c>
      <c r="B1672" s="2" t="str">
        <f>IFERROR(__xludf.DUMMYFUNCTION("""COMPUTED_VALUE"""),"drewfamosinho")</f>
        <v>drewfamosinho</v>
      </c>
      <c r="C1672" s="2"/>
      <c r="D1672" s="2">
        <f>IFERROR(__xludf.DUMMYFUNCTION("""COMPUTED_VALUE"""),1.0028027568273113E-4)</f>
        <v>0.0001002802757</v>
      </c>
      <c r="E1672" s="2" t="str">
        <f>IFERROR(__xludf.DUMMYFUNCTION("""COMPUTED_VALUE"""),"     29.279")</f>
        <v>     29.279</v>
      </c>
    </row>
    <row r="1673">
      <c r="A1673" s="2" t="str">
        <f>IFERROR(__xludf.DUMMYFUNCTION("""COMPUTED_VALUE"""),"Manu Gupta 📚")</f>
        <v>Manu Gupta 📚</v>
      </c>
      <c r="B1673" s="2" t="str">
        <f>IFERROR(__xludf.DUMMYFUNCTION("""COMPUTED_VALUE"""),"mgupt108")</f>
        <v>mgupt108</v>
      </c>
      <c r="C1673" s="2" t="str">
        <f>IFERROR(__xludf.DUMMYFUNCTION("""COMPUTED_VALUE"""),"Excited to explore new challenges, Grateful for past recognitions, awards, and roles. Looking forward to new opportunities to contribute.")</f>
        <v>Excited to explore new challenges, Grateful for past recognitions, awards, and roles. Looking forward to new opportunities to contribute.</v>
      </c>
      <c r="D1673" s="2">
        <f>IFERROR(__xludf.DUMMYFUNCTION("""COMPUTED_VALUE"""),1.0028027568273113E-4)</f>
        <v>0.0001002802757</v>
      </c>
      <c r="E1673" s="2" t="str">
        <f>IFERROR(__xludf.DUMMYFUNCTION("""COMPUTED_VALUE"""),"      1.814")</f>
        <v>      1.814</v>
      </c>
    </row>
    <row r="1674">
      <c r="A1674" s="2" t="str">
        <f>IFERROR(__xludf.DUMMYFUNCTION("""COMPUTED_VALUE"""),"Flávio Henrique")</f>
        <v>Flávio Henrique</v>
      </c>
      <c r="B1674" s="2" t="str">
        <f>IFERROR(__xludf.DUMMYFUNCTION("""COMPUTED_VALUE"""),"brainbighead")</f>
        <v>brainbighead</v>
      </c>
      <c r="C1674" s="2" t="str">
        <f>IFERROR(__xludf.DUMMYFUNCTION("""COMPUTED_VALUE"""),"Católico, flamenguista, patriota, capitalista, defensor da meritocracia, enfim #Bolsonaro4ever!!!😁")</f>
        <v>Católico, flamenguista, patriota, capitalista, defensor da meritocracia, enfim #Bolsonaro4ever!!!😁</v>
      </c>
      <c r="D1674" s="2">
        <f>IFERROR(__xludf.DUMMYFUNCTION("""COMPUTED_VALUE"""),1.0028027568273113E-4)</f>
        <v>0.0001002802757</v>
      </c>
      <c r="E1674" s="2" t="str">
        <f>IFERROR(__xludf.DUMMYFUNCTION("""COMPUTED_VALUE"""),"      1.798")</f>
        <v>      1.798</v>
      </c>
    </row>
    <row r="1675">
      <c r="A1675" s="2" t="str">
        <f>IFERROR(__xludf.DUMMYFUNCTION("""COMPUTED_VALUE"""),"AndréPessôa2016")</f>
        <v>AndréPessôa2016</v>
      </c>
      <c r="B1675" s="2" t="str">
        <f>IFERROR(__xludf.DUMMYFUNCTION("""COMPUTED_VALUE"""),"andrepessoa2012")</f>
        <v>andrepessoa2012</v>
      </c>
      <c r="C1675" s="2" t="str">
        <f>IFERROR(__xludf.DUMMYFUNCTION("""COMPUTED_VALUE"""),"Amigo de todos, socialista convicto, amante da natureza, gosto de ler, poesias e de VOCÊ!!!!")</f>
        <v>Amigo de todos, socialista convicto, amante da natureza, gosto de ler, poesias e de VOCÊ!!!!</v>
      </c>
      <c r="D1675" s="2">
        <f>IFERROR(__xludf.DUMMYFUNCTION("""COMPUTED_VALUE"""),1.0028027568273113E-4)</f>
        <v>0.0001002802757</v>
      </c>
      <c r="E1675" s="2" t="str">
        <f>IFERROR(__xludf.DUMMYFUNCTION("""COMPUTED_VALUE"""),"      2.174")</f>
        <v>      2.174</v>
      </c>
    </row>
    <row r="1676">
      <c r="A1676" s="2" t="str">
        <f>IFERROR(__xludf.DUMMYFUNCTION("""COMPUTED_VALUE"""),"Manuel de S Lopes")</f>
        <v>Manuel de S Lopes</v>
      </c>
      <c r="B1676" s="2" t="str">
        <f>IFERROR(__xludf.DUMMYFUNCTION("""COMPUTED_VALUE"""),"manueldeslopes")</f>
        <v>manueldeslopes</v>
      </c>
      <c r="C1676" s="2"/>
      <c r="D1676" s="2">
        <f>IFERROR(__xludf.DUMMYFUNCTION("""COMPUTED_VALUE"""),1.0028027568273113E-4)</f>
        <v>0.0001002802757</v>
      </c>
      <c r="E1676" s="2" t="str">
        <f>IFERROR(__xludf.DUMMYFUNCTION("""COMPUTED_VALUE"""),"      3.254")</f>
        <v>      3.254</v>
      </c>
    </row>
    <row r="1677">
      <c r="A1677" s="2" t="str">
        <f>IFERROR(__xludf.DUMMYFUNCTION("""COMPUTED_VALUE"""),"Roberto")</f>
        <v>Roberto</v>
      </c>
      <c r="B1677" s="2" t="str">
        <f>IFERROR(__xludf.DUMMYFUNCTION("""COMPUTED_VALUE"""),"robertothomaz")</f>
        <v>robertothomaz</v>
      </c>
      <c r="C1677" s="2" t="str">
        <f>IFERROR(__xludf.DUMMYFUNCTION("""COMPUTED_VALUE"""),"Conservador !!!")</f>
        <v>Conservador !!!</v>
      </c>
      <c r="D1677" s="2">
        <f>IFERROR(__xludf.DUMMYFUNCTION("""COMPUTED_VALUE"""),1.0028027568273113E-4)</f>
        <v>0.0001002802757</v>
      </c>
      <c r="E1677" s="2" t="str">
        <f>IFERROR(__xludf.DUMMYFUNCTION("""COMPUTED_VALUE"""),"      3.069")</f>
        <v>      3.069</v>
      </c>
    </row>
    <row r="1678">
      <c r="A1678" s="2" t="str">
        <f>IFERROR(__xludf.DUMMYFUNCTION("""COMPUTED_VALUE"""),"Um Novo Brasil!")</f>
        <v>Um Novo Brasil!</v>
      </c>
      <c r="B1678" s="2" t="str">
        <f>IFERROR(__xludf.DUMMYFUNCTION("""COMPUTED_VALUE"""),"brandao_xanxere")</f>
        <v>brandao_xanxere</v>
      </c>
      <c r="C1678" s="2" t="str">
        <f>IFERROR(__xludf.DUMMYFUNCTION("""COMPUTED_VALUE"""),"Professor, psicólogo. Luto por um Estado forte, democrático e popular, comprometido com a vida de todas as criaturas. Quem mandou matar Marielle e Anderson?")</f>
        <v>Professor, psicólogo. Luto por um Estado forte, democrático e popular, comprometido com a vida de todas as criaturas. Quem mandou matar Marielle e Anderson?</v>
      </c>
      <c r="D1678" s="2">
        <f>IFERROR(__xludf.DUMMYFUNCTION("""COMPUTED_VALUE"""),1.0028027568273113E-4)</f>
        <v>0.0001002802757</v>
      </c>
      <c r="E1678" s="2" t="str">
        <f>IFERROR(__xludf.DUMMYFUNCTION("""COMPUTED_VALUE"""),"      8.626")</f>
        <v>      8.626</v>
      </c>
    </row>
    <row r="1679">
      <c r="A1679" s="2" t="str">
        <f>IFERROR(__xludf.DUMMYFUNCTION("""COMPUTED_VALUE"""),"rosefoltran")</f>
        <v>rosefoltran</v>
      </c>
      <c r="B1679" s="2" t="str">
        <f>IFERROR(__xludf.DUMMYFUNCTION("""COMPUTED_VALUE"""),"rosefoltran")</f>
        <v>rosefoltran</v>
      </c>
      <c r="C1679" s="2" t="str">
        <f>IFERROR(__xludf.DUMMYFUNCTION("""COMPUTED_VALUE"""),"Só a luta muda a vida")</f>
        <v>Só a luta muda a vida</v>
      </c>
      <c r="D1679" s="2">
        <f>IFERROR(__xludf.DUMMYFUNCTION("""COMPUTED_VALUE"""),1.0028027568273113E-4)</f>
        <v>0.0001002802757</v>
      </c>
      <c r="E1679" s="2" t="str">
        <f>IFERROR(__xludf.DUMMYFUNCTION("""COMPUTED_VALUE"""),"      1.472")</f>
        <v>      1.472</v>
      </c>
    </row>
    <row r="1680">
      <c r="A1680" s="2" t="str">
        <f>IFERROR(__xludf.DUMMYFUNCTION("""COMPUTED_VALUE"""),"Kelvin")</f>
        <v>Kelvin</v>
      </c>
      <c r="B1680" s="2" t="str">
        <f>IFERROR(__xludf.DUMMYFUNCTION("""COMPUTED_VALUE"""),"kelvinoprof")</f>
        <v>kelvinoprof</v>
      </c>
      <c r="C1680" s="2" t="str">
        <f>IFERROR(__xludf.DUMMYFUNCTION("""COMPUTED_VALUE"""),"Geminiano ♊;
Professor de português e inglês;
Licenciado em Letras - UNINASSAU
Amo RPG;
Noveleiro;")</f>
        <v>Geminiano ♊;
Professor de português e inglês;
Licenciado em Letras - UNINASSAU
Amo RPG;
Noveleiro;</v>
      </c>
      <c r="D1680" s="2">
        <f>IFERROR(__xludf.DUMMYFUNCTION("""COMPUTED_VALUE"""),1.0028027568273113E-4)</f>
        <v>0.0001002802757</v>
      </c>
      <c r="E1680" s="2" t="str">
        <f>IFERROR(__xludf.DUMMYFUNCTION("""COMPUTED_VALUE"""),"      1.492")</f>
        <v>      1.492</v>
      </c>
    </row>
    <row r="1681">
      <c r="A1681" s="2" t="str">
        <f>IFERROR(__xludf.DUMMYFUNCTION("""COMPUTED_VALUE"""),"Gabi🙅🏻‍♀️🙅🏻‍♀️💋❤")</f>
        <v>Gabi🙅🏻‍♀️🙅🏻‍♀️💋❤</v>
      </c>
      <c r="B1681" s="2" t="str">
        <f>IFERROR(__xludf.DUMMYFUNCTION("""COMPUTED_VALUE"""),"fla10005")</f>
        <v>fla10005</v>
      </c>
      <c r="C1681" s="2" t="str">
        <f>IFERROR(__xludf.DUMMYFUNCTION("""COMPUTED_VALUE"""),"Uma vez Flamengo
Sempre Flamengo
Flamengo sempre, eu hei de ser
É o meu maior prazer, vê-lo brilhar
Seja na terra, seja no mar....")</f>
        <v>Uma vez Flamengo
Sempre Flamengo
Flamengo sempre, eu hei de ser
É o meu maior prazer, vê-lo brilhar
Seja na terra, seja no mar....</v>
      </c>
      <c r="D1681" s="2">
        <f>IFERROR(__xludf.DUMMYFUNCTION("""COMPUTED_VALUE"""),1.0028027568273113E-4)</f>
        <v>0.0001002802757</v>
      </c>
      <c r="E1681" s="2" t="str">
        <f>IFERROR(__xludf.DUMMYFUNCTION("""COMPUTED_VALUE"""),"      4.302")</f>
        <v>      4.302</v>
      </c>
    </row>
    <row r="1682">
      <c r="A1682" s="2" t="str">
        <f>IFERROR(__xludf.DUMMYFUNCTION("""COMPUTED_VALUE"""),"Bruno Marchezini Fumagalli 🌹✊🏻")</f>
        <v>Bruno Marchezini Fumagalli 🌹✊🏻</v>
      </c>
      <c r="B1682" s="2" t="str">
        <f>IFERROR(__xludf.DUMMYFUNCTION("""COMPUTED_VALUE"""),"brunomarchezin2")</f>
        <v>brunomarchezin2</v>
      </c>
      <c r="C1682" s="2" t="str">
        <f>IFERROR(__xludf.DUMMYFUNCTION("""COMPUTED_VALUE"""),"Desbravando o Twitter por um Projeto Nacional de Desenvolvimento!! 🌹✊🏻
Economista e Mackenzista que nasceu no interior de SP e cresceu no Campo Limpo/SP ✊🏻")</f>
        <v>Desbravando o Twitter por um Projeto Nacional de Desenvolvimento!! 🌹✊🏻
Economista e Mackenzista que nasceu no interior de SP e cresceu no Campo Limpo/SP ✊🏻</v>
      </c>
      <c r="D1682" s="2">
        <f>IFERROR(__xludf.DUMMYFUNCTION("""COMPUTED_VALUE"""),1.0028027568273113E-4)</f>
        <v>0.0001002802757</v>
      </c>
      <c r="E1682" s="2" t="str">
        <f>IFERROR(__xludf.DUMMYFUNCTION("""COMPUTED_VALUE"""),"      1.979")</f>
        <v>      1.979</v>
      </c>
    </row>
    <row r="1683">
      <c r="A1683" s="2" t="str">
        <f>IFERROR(__xludf.DUMMYFUNCTION("""COMPUTED_VALUE"""),"Bruno César Selbach")</f>
        <v>Bruno César Selbach</v>
      </c>
      <c r="B1683" s="2" t="str">
        <f>IFERROR(__xludf.DUMMYFUNCTION("""COMPUTED_VALUE"""),"bbccssx")</f>
        <v>bbccssx</v>
      </c>
      <c r="C1683" s="2"/>
      <c r="D1683" s="2">
        <f>IFERROR(__xludf.DUMMYFUNCTION("""COMPUTED_VALUE"""),1.0028027568273113E-4)</f>
        <v>0.0001002802757</v>
      </c>
      <c r="E1683" s="2" t="str">
        <f>IFERROR(__xludf.DUMMYFUNCTION("""COMPUTED_VALUE"""),"      4.487")</f>
        <v>      4.487</v>
      </c>
    </row>
    <row r="1684">
      <c r="A1684" s="2" t="str">
        <f>IFERROR(__xludf.DUMMYFUNCTION("""COMPUTED_VALUE"""),"Persona")</f>
        <v>Persona</v>
      </c>
      <c r="B1684" s="2" t="str">
        <f>IFERROR(__xludf.DUMMYFUNCTION("""COMPUTED_VALUE"""),"personalescrito")</f>
        <v>personalescrito</v>
      </c>
      <c r="C1684" s="2" t="str">
        <f>IFERROR(__xludf.DUMMYFUNCTION("""COMPUTED_VALUE"""),"anti-capitalist, anti-fascist, #indigenous, #indígenas, climate, #humanrights, América Latina, #Latinoamerica, Amazonia, Brazil, #FreePalestine, BLM")</f>
        <v>anti-capitalist, anti-fascist, #indigenous, #indígenas, climate, #humanrights, América Latina, #Latinoamerica, Amazonia, Brazil, #FreePalestine, BLM</v>
      </c>
      <c r="D1684" s="2">
        <f>IFERROR(__xludf.DUMMYFUNCTION("""COMPUTED_VALUE"""),1.0028027568273113E-4)</f>
        <v>0.0001002802757</v>
      </c>
      <c r="E1684" s="2" t="str">
        <f>IFERROR(__xludf.DUMMYFUNCTION("""COMPUTED_VALUE"""),"     21.689")</f>
        <v>     21.689</v>
      </c>
    </row>
    <row r="1685">
      <c r="A1685" s="2" t="str">
        <f>IFERROR(__xludf.DUMMYFUNCTION("""COMPUTED_VALUE"""),"Débora Santos")</f>
        <v>Débora Santos</v>
      </c>
      <c r="B1685" s="2" t="str">
        <f>IFERROR(__xludf.DUMMYFUNCTION("""COMPUTED_VALUE"""),"deborabi")</f>
        <v>deborabi</v>
      </c>
      <c r="C1685" s="2" t="str">
        <f>IFERROR(__xludf.DUMMYFUNCTION("""COMPUTED_VALUE"""),"Vermelho é a cor mais quente! 
História da Arte,
História Moderna e Contemporânea")</f>
        <v>Vermelho é a cor mais quente! 
História da Arte,
História Moderna e Contemporânea</v>
      </c>
      <c r="D1685" s="2">
        <f>IFERROR(__xludf.DUMMYFUNCTION("""COMPUTED_VALUE"""),1.0028027568273113E-4)</f>
        <v>0.0001002802757</v>
      </c>
      <c r="E1685" s="2" t="str">
        <f>IFERROR(__xludf.DUMMYFUNCTION("""COMPUTED_VALUE"""),"      2.978")</f>
        <v>      2.978</v>
      </c>
    </row>
    <row r="1686">
      <c r="A1686" s="2" t="str">
        <f>IFERROR(__xludf.DUMMYFUNCTION("""COMPUTED_VALUE"""),"Josiê Pinheiro")</f>
        <v>Josiê Pinheiro</v>
      </c>
      <c r="B1686" s="2" t="str">
        <f>IFERROR(__xludf.DUMMYFUNCTION("""COMPUTED_VALUE"""),"josiepdj")</f>
        <v>josiepdj</v>
      </c>
      <c r="C1686" s="2" t="str">
        <f>IFERROR(__xludf.DUMMYFUNCTION("""COMPUTED_VALUE"""),"Graduado em Redes de Computadores pela faculdade CDL, amo todo tipo de animal, amo astronomia, amo mangás, amo músicas(rock). Democracia sempre.")</f>
        <v>Graduado em Redes de Computadores pela faculdade CDL, amo todo tipo de animal, amo astronomia, amo mangás, amo músicas(rock). Democracia sempre.</v>
      </c>
      <c r="D1686" s="2">
        <f>IFERROR(__xludf.DUMMYFUNCTION("""COMPUTED_VALUE"""),1.0028027568273113E-4)</f>
        <v>0.0001002802757</v>
      </c>
      <c r="E1686" s="2" t="str">
        <f>IFERROR(__xludf.DUMMYFUNCTION("""COMPUTED_VALUE"""),"      5.914")</f>
        <v>      5.914</v>
      </c>
    </row>
    <row r="1687">
      <c r="A1687" s="2" t="str">
        <f>IFERROR(__xludf.DUMMYFUNCTION("""COMPUTED_VALUE"""),"tht")</f>
        <v>tht</v>
      </c>
      <c r="B1687" s="2" t="str">
        <f>IFERROR(__xludf.DUMMYFUNCTION("""COMPUTED_VALUE"""),"faisobarbz")</f>
        <v>faisobarbz</v>
      </c>
      <c r="C1687" s="2"/>
      <c r="D1687" s="2">
        <f>IFERROR(__xludf.DUMMYFUNCTION("""COMPUTED_VALUE"""),1.0028027568273113E-4)</f>
        <v>0.0001002802757</v>
      </c>
      <c r="E1687" s="2" t="str">
        <f>IFERROR(__xludf.DUMMYFUNCTION("""COMPUTED_VALUE"""),"      1.412")</f>
        <v>      1.412</v>
      </c>
    </row>
    <row r="1688">
      <c r="A1688" s="2" t="str">
        <f>IFERROR(__xludf.DUMMYFUNCTION("""COMPUTED_VALUE"""),"alex ⚭ • viu am")</f>
        <v>alex ⚭ • viu am</v>
      </c>
      <c r="B1688" s="2" t="str">
        <f>IFERROR(__xludf.DUMMYFUNCTION("""COMPUTED_VALUE"""),"autistcmonkeys")</f>
        <v>autistcmonkeys</v>
      </c>
      <c r="C1688" s="2" t="str">
        <f>IFERROR(__xludf.DUMMYFUNCTION("""COMPUTED_VALUE"""),"their obsessions follow patterns, sat upon their stools, with their attitudes")</f>
        <v>their obsessions follow patterns, sat upon their stools, with their attitudes</v>
      </c>
      <c r="D1688" s="2">
        <f>IFERROR(__xludf.DUMMYFUNCTION("""COMPUTED_VALUE"""),1.0028027568273113E-4)</f>
        <v>0.0001002802757</v>
      </c>
      <c r="E1688" s="2" t="str">
        <f>IFERROR(__xludf.DUMMYFUNCTION("""COMPUTED_VALUE"""),"      2.589")</f>
        <v>      2.589</v>
      </c>
    </row>
    <row r="1689">
      <c r="A1689" s="2" t="str">
        <f>IFERROR(__xludf.DUMMYFUNCTION("""COMPUTED_VALUE"""),"Lia Leite Fizueli")</f>
        <v>Lia Leite Fizueli</v>
      </c>
      <c r="B1689" s="2" t="str">
        <f>IFERROR(__xludf.DUMMYFUNCTION("""COMPUTED_VALUE"""),"liafarias2011")</f>
        <v>liafarias2011</v>
      </c>
      <c r="C1689" s="2" t="str">
        <f>IFERROR(__xludf.DUMMYFUNCTION("""COMPUTED_VALUE"""),"Geógrafa, Doula, ativista pelo parto ativo e respeitoso
✌🏼🚩")</f>
        <v>Geógrafa, Doula, ativista pelo parto ativo e respeitoso
✌🏼🚩</v>
      </c>
      <c r="D1689" s="2">
        <f>IFERROR(__xludf.DUMMYFUNCTION("""COMPUTED_VALUE"""),1.0028027568273113E-4)</f>
        <v>0.0001002802757</v>
      </c>
      <c r="E1689" s="2" t="str">
        <f>IFERROR(__xludf.DUMMYFUNCTION("""COMPUTED_VALUE"""),"      2.464")</f>
        <v>      2.464</v>
      </c>
    </row>
    <row r="1690">
      <c r="A1690" s="2" t="str">
        <f>IFERROR(__xludf.DUMMYFUNCTION("""COMPUTED_VALUE"""),"Esmeralda Rubro🚩")</f>
        <v>Esmeralda Rubro🚩</v>
      </c>
      <c r="B1690" s="2" t="str">
        <f>IFERROR(__xludf.DUMMYFUNCTION("""COMPUTED_VALUE"""),"esmeralda_rubro")</f>
        <v>esmeralda_rubro</v>
      </c>
      <c r="C1690" s="2"/>
      <c r="D1690" s="2">
        <f>IFERROR(__xludf.DUMMYFUNCTION("""COMPUTED_VALUE"""),1.0028027568273113E-4)</f>
        <v>0.0001002802757</v>
      </c>
      <c r="E1690" s="2" t="str">
        <f>IFERROR(__xludf.DUMMYFUNCTION("""COMPUTED_VALUE"""),"      1.419")</f>
        <v>      1.419</v>
      </c>
    </row>
    <row r="1691">
      <c r="A1691" s="2" t="str">
        <f>IFERROR(__xludf.DUMMYFUNCTION("""COMPUTED_VALUE"""),"Fabio Accalai")</f>
        <v>Fabio Accalai</v>
      </c>
      <c r="B1691" s="2" t="str">
        <f>IFERROR(__xludf.DUMMYFUNCTION("""COMPUTED_VALUE"""),"faboz")</f>
        <v>faboz</v>
      </c>
      <c r="C1691" s="2" t="str">
        <f>IFERROR(__xludf.DUMMYFUNCTION("""COMPUTED_VALUE"""),"Informatico, fotografo, imprenditore,, papà di Nathan, AI &amp; blockchain evangelist.
Dirigente Sindacale CGIL FILCAMS 
#Progressisti #Sardegna")</f>
        <v>Informatico, fotografo, imprenditore,, papà di Nathan, AI &amp; blockchain evangelist.
Dirigente Sindacale CGIL FILCAMS 
#Progressisti #Sardegna</v>
      </c>
      <c r="D1691" s="2">
        <f>IFERROR(__xludf.DUMMYFUNCTION("""COMPUTED_VALUE"""),1.0028027568273113E-4)</f>
        <v>0.0001002802757</v>
      </c>
      <c r="E1691" s="2" t="str">
        <f>IFERROR(__xludf.DUMMYFUNCTION("""COMPUTED_VALUE"""),"      6.368")</f>
        <v>      6.368</v>
      </c>
    </row>
    <row r="1692">
      <c r="A1692" s="2" t="str">
        <f>IFERROR(__xludf.DUMMYFUNCTION("""COMPUTED_VALUE"""),"Palopes")</f>
        <v>Palopes</v>
      </c>
      <c r="B1692" s="2" t="str">
        <f>IFERROR(__xludf.DUMMYFUNCTION("""COMPUTED_VALUE"""),"paulolo91083863")</f>
        <v>paulolo91083863</v>
      </c>
      <c r="C1692" s="2"/>
      <c r="D1692" s="2">
        <f>IFERROR(__xludf.DUMMYFUNCTION("""COMPUTED_VALUE"""),1.0028027568273113E-4)</f>
        <v>0.0001002802757</v>
      </c>
      <c r="E1692" s="2" t="str">
        <f>IFERROR(__xludf.DUMMYFUNCTION("""COMPUTED_VALUE"""),"      4.802")</f>
        <v>      4.802</v>
      </c>
    </row>
    <row r="1693">
      <c r="A1693" s="2" t="str">
        <f>IFERROR(__xludf.DUMMYFUNCTION("""COMPUTED_VALUE"""),"Bel_Mag1️⃣3️⃣🦻👩🏼‍🦯PcD🚩🇧🇷")</f>
        <v>Bel_Mag1️⃣3️⃣🦻👩🏼‍🦯PcD🚩🇧🇷</v>
      </c>
      <c r="B1693" s="2" t="str">
        <f>IFERROR(__xludf.DUMMYFUNCTION("""COMPUTED_VALUE"""),"belamag1963")</f>
        <v>belamag1963</v>
      </c>
      <c r="C1693" s="2" t="str">
        <f>IFERROR(__xludf.DUMMYFUNCTION("""COMPUTED_VALUE"""),"ATENÇÃO:🚨 MoroMinions e BolsoNarentos, NÃO ME SIGAM, Block é certo! Vaza, Aqui é Militante Petista a 43 anos e filiada a 31 anos. 
Lula Presidente Sempre 🦑❤️")</f>
        <v>ATENÇÃO:🚨 MoroMinions e BolsoNarentos, NÃO ME SIGAM, Block é certo! Vaza, Aqui é Militante Petista a 43 anos e filiada a 31 anos. 
Lula Presidente Sempre 🦑❤️</v>
      </c>
      <c r="D1693" s="2">
        <f>IFERROR(__xludf.DUMMYFUNCTION("""COMPUTED_VALUE"""),1.0028027568273113E-4)</f>
        <v>0.0001002802757</v>
      </c>
      <c r="E1693" s="2" t="str">
        <f>IFERROR(__xludf.DUMMYFUNCTION("""COMPUTED_VALUE"""),"      2.510")</f>
        <v>      2.510</v>
      </c>
    </row>
    <row r="1694">
      <c r="A1694" s="2" t="str">
        <f>IFERROR(__xludf.DUMMYFUNCTION("""COMPUTED_VALUE"""),"Adriano Melgaço")</f>
        <v>Adriano Melgaço</v>
      </c>
      <c r="B1694" s="2" t="str">
        <f>IFERROR(__xludf.DUMMYFUNCTION("""COMPUTED_VALUE"""),"adrianomelgaco")</f>
        <v>adrianomelgaco</v>
      </c>
      <c r="C1694" s="2" t="str">
        <f>IFERROR(__xludf.DUMMYFUNCTION("""COMPUTED_VALUE"""),"Capixaba, Flamenguista, Coordenador de BI e Data Analytics, Scrum Master e apaixonado por Inovação e Tecnologia.")</f>
        <v>Capixaba, Flamenguista, Coordenador de BI e Data Analytics, Scrum Master e apaixonado por Inovação e Tecnologia.</v>
      </c>
      <c r="D1694" s="2">
        <f>IFERROR(__xludf.DUMMYFUNCTION("""COMPUTED_VALUE"""),1.0028027568273113E-4)</f>
        <v>0.0001002802757</v>
      </c>
      <c r="E1694" s="2" t="str">
        <f>IFERROR(__xludf.DUMMYFUNCTION("""COMPUTED_VALUE"""),"      1.047")</f>
        <v>      1.047</v>
      </c>
    </row>
    <row r="1695">
      <c r="A1695" s="2" t="str">
        <f>IFERROR(__xludf.DUMMYFUNCTION("""COMPUTED_VALUE"""),"Valdir Lazarini")</f>
        <v>Valdir Lazarini</v>
      </c>
      <c r="B1695" s="2" t="str">
        <f>IFERROR(__xludf.DUMMYFUNCTION("""COMPUTED_VALUE"""),"valdirlazarini")</f>
        <v>valdirlazarini</v>
      </c>
      <c r="C1695" s="2"/>
      <c r="D1695" s="2">
        <f>IFERROR(__xludf.DUMMYFUNCTION("""COMPUTED_VALUE"""),1.0028027568273113E-4)</f>
        <v>0.0001002802757</v>
      </c>
      <c r="E1695" s="2" t="str">
        <f>IFERROR(__xludf.DUMMYFUNCTION("""COMPUTED_VALUE"""),"      1.149")</f>
        <v>      1.149</v>
      </c>
    </row>
    <row r="1696">
      <c r="A1696" s="2" t="str">
        <f>IFERROR(__xludf.DUMMYFUNCTION("""COMPUTED_VALUE"""),"MaAlves")</f>
        <v>MaAlves</v>
      </c>
      <c r="B1696" s="2" t="str">
        <f>IFERROR(__xludf.DUMMYFUNCTION("""COMPUTED_VALUE"""),"dezinha95745711")</f>
        <v>dezinha95745711</v>
      </c>
      <c r="C1696" s="2" t="str">
        <f>IFERROR(__xludf.DUMMYFUNCTION("""COMPUTED_VALUE"""),"Não vivam preocupados com coisa alguma; em vez disso, orem a Deus pedindo aquilo de que precisam e agradecendo-lhe por tudo que ele já fez.  Filipenses 4:6")</f>
        <v>Não vivam preocupados com coisa alguma; em vez disso, orem a Deus pedindo aquilo de que precisam e agradecendo-lhe por tudo que ele já fez.  Filipenses 4:6</v>
      </c>
      <c r="D1696" s="2">
        <f>IFERROR(__xludf.DUMMYFUNCTION("""COMPUTED_VALUE"""),1.0028027568273113E-4)</f>
        <v>0.0001002802757</v>
      </c>
      <c r="E1696" s="2" t="str">
        <f>IFERROR(__xludf.DUMMYFUNCTION("""COMPUTED_VALUE"""),"      2.230")</f>
        <v>      2.230</v>
      </c>
    </row>
    <row r="1697">
      <c r="A1697" s="2" t="str">
        <f>IFERROR(__xludf.DUMMYFUNCTION("""COMPUTED_VALUE"""),"Jefferson")</f>
        <v>Jefferson</v>
      </c>
      <c r="B1697" s="2" t="str">
        <f>IFERROR(__xludf.DUMMYFUNCTION("""COMPUTED_VALUE"""),"jefgabos")</f>
        <v>jefgabos</v>
      </c>
      <c r="C1697" s="2" t="str">
        <f>IFERROR(__xludf.DUMMYFUNCTION("""COMPUTED_VALUE"""),"!!!")</f>
        <v>!!!</v>
      </c>
      <c r="D1697" s="2">
        <f>IFERROR(__xludf.DUMMYFUNCTION("""COMPUTED_VALUE"""),1.0028027568273113E-4)</f>
        <v>0.0001002802757</v>
      </c>
      <c r="E1697" s="2" t="str">
        <f>IFERROR(__xludf.DUMMYFUNCTION("""COMPUTED_VALUE"""),"      1.954")</f>
        <v>      1.954</v>
      </c>
    </row>
    <row r="1698">
      <c r="A1698" s="2" t="str">
        <f>IFERROR(__xludf.DUMMYFUNCTION("""COMPUTED_VALUE"""),"psicologa de araque")</f>
        <v>psicologa de araque</v>
      </c>
      <c r="B1698" s="2" t="str">
        <f>IFERROR(__xludf.DUMMYFUNCTION("""COMPUTED_VALUE"""),"giovannnabraga")</f>
        <v>giovannnabraga</v>
      </c>
      <c r="C1698" s="2" t="str">
        <f>IFERROR(__xludf.DUMMYFUNCTION("""COMPUTED_VALUE"""),"diário pessoal, não recomendo a leitura.")</f>
        <v>diário pessoal, não recomendo a leitura.</v>
      </c>
      <c r="D1698" s="2">
        <f>IFERROR(__xludf.DUMMYFUNCTION("""COMPUTED_VALUE"""),1.0028027568273113E-4)</f>
        <v>0.0001002802757</v>
      </c>
      <c r="E1698" s="2" t="str">
        <f>IFERROR(__xludf.DUMMYFUNCTION("""COMPUTED_VALUE"""),"      7.484")</f>
        <v>      7.484</v>
      </c>
    </row>
    <row r="1699">
      <c r="A1699" s="2" t="str">
        <f>IFERROR(__xludf.DUMMYFUNCTION("""COMPUTED_VALUE"""),"Tito")</f>
        <v>Tito</v>
      </c>
      <c r="B1699" s="2" t="str">
        <f>IFERROR(__xludf.DUMMYFUNCTION("""COMPUTED_VALUE"""),"astritxhaferri")</f>
        <v>astritxhaferri</v>
      </c>
      <c r="C1699" s="2"/>
      <c r="D1699" s="2">
        <f>IFERROR(__xludf.DUMMYFUNCTION("""COMPUTED_VALUE"""),1.0028027568273113E-4)</f>
        <v>0.0001002802757</v>
      </c>
      <c r="E1699" s="2" t="str">
        <f>IFERROR(__xludf.DUMMYFUNCTION("""COMPUTED_VALUE"""),"      2.406")</f>
        <v>      2.406</v>
      </c>
    </row>
    <row r="1700">
      <c r="A1700" s="2" t="str">
        <f>IFERROR(__xludf.DUMMYFUNCTION("""COMPUTED_VALUE"""),"Romano 🇧🇷")</f>
        <v>Romano 🇧🇷</v>
      </c>
      <c r="B1700" s="2" t="str">
        <f>IFERROR(__xludf.DUMMYFUNCTION("""COMPUTED_VALUE"""),"otaviolopes")</f>
        <v>otaviolopes</v>
      </c>
      <c r="C1700" s="2" t="str">
        <f>IFERROR(__xludf.DUMMYFUNCTION("""COMPUTED_VALUE"""),"👌The RIGHT side!!!👌🇧🇷")</f>
        <v>👌The RIGHT side!!!👌🇧🇷</v>
      </c>
      <c r="D1700" s="2">
        <f>IFERROR(__xludf.DUMMYFUNCTION("""COMPUTED_VALUE"""),1.0028027568273113E-4)</f>
        <v>0.0001002802757</v>
      </c>
      <c r="E1700" s="2" t="str">
        <f>IFERROR(__xludf.DUMMYFUNCTION("""COMPUTED_VALUE"""),"      1.918")</f>
        <v>      1.918</v>
      </c>
    </row>
    <row r="1701">
      <c r="A1701" s="2" t="str">
        <f>IFERROR(__xludf.DUMMYFUNCTION("""COMPUTED_VALUE"""),"TEREZINHA NOGUEIRA")</f>
        <v>TEREZINHA NOGUEIRA</v>
      </c>
      <c r="B1701" s="2" t="str">
        <f>IFERROR(__xludf.DUMMYFUNCTION("""COMPUTED_VALUE"""),"terezinhanogu16")</f>
        <v>terezinhanogu16</v>
      </c>
      <c r="C1701" s="2" t="str">
        <f>IFERROR(__xludf.DUMMYFUNCTION("""COMPUTED_VALUE"""),"Cidadã brasileira politizada. Sigo todas as redes de Ciro Gomes.
SOU CIRO GOMES 12. FILIADA AO PDT. #PrefiroCiro #ForaBolsonaro #PrefiroCiro")</f>
        <v>Cidadã brasileira politizada. Sigo todas as redes de Ciro Gomes.
SOU CIRO GOMES 12. FILIADA AO PDT. #PrefiroCiro #ForaBolsonaro #PrefiroCiro</v>
      </c>
      <c r="D1701" s="2">
        <f>IFERROR(__xludf.DUMMYFUNCTION("""COMPUTED_VALUE"""),1.0028027568273113E-4)</f>
        <v>0.0001002802757</v>
      </c>
      <c r="E1701" s="2" t="str">
        <f>IFERROR(__xludf.DUMMYFUNCTION("""COMPUTED_VALUE"""),"      1.538")</f>
        <v>      1.538</v>
      </c>
    </row>
    <row r="1702">
      <c r="A1702" s="2" t="str">
        <f>IFERROR(__xludf.DUMMYFUNCTION("""COMPUTED_VALUE"""),"Harrison Ravelle")</f>
        <v>Harrison Ravelle</v>
      </c>
      <c r="B1702" s="2" t="str">
        <f>IFERROR(__xludf.DUMMYFUNCTION("""COMPUTED_VALUE"""),"harrisonravelle")</f>
        <v>harrisonravelle</v>
      </c>
      <c r="C1702" s="2"/>
      <c r="D1702" s="2">
        <f>IFERROR(__xludf.DUMMYFUNCTION("""COMPUTED_VALUE"""),1.0028027568273113E-4)</f>
        <v>0.0001002802757</v>
      </c>
      <c r="E1702" s="2" t="str">
        <f>IFERROR(__xludf.DUMMYFUNCTION("""COMPUTED_VALUE"""),"      2.180")</f>
        <v>      2.180</v>
      </c>
    </row>
    <row r="1703">
      <c r="A1703" s="2" t="str">
        <f>IFERROR(__xludf.DUMMYFUNCTION("""COMPUTED_VALUE"""),"Mestre")</f>
        <v>Mestre</v>
      </c>
      <c r="B1703" s="2" t="str">
        <f>IFERROR(__xludf.DUMMYFUNCTION("""COMPUTED_VALUE"""),"missioneiro22")</f>
        <v>missioneiro22</v>
      </c>
      <c r="C1703" s="2" t="str">
        <f>IFERROR(__xludf.DUMMYFUNCTION("""COMPUTED_VALUE"""),"Porto Alegre")</f>
        <v>Porto Alegre</v>
      </c>
      <c r="D1703" s="2">
        <f>IFERROR(__xludf.DUMMYFUNCTION("""COMPUTED_VALUE"""),1.0028027568273113E-4)</f>
        <v>0.0001002802757</v>
      </c>
      <c r="E1703" s="2" t="str">
        <f>IFERROR(__xludf.DUMMYFUNCTION("""COMPUTED_VALUE"""),"      1.182")</f>
        <v>      1.182</v>
      </c>
    </row>
    <row r="1704">
      <c r="A1704" s="2" t="str">
        <f>IFERROR(__xludf.DUMMYFUNCTION("""COMPUTED_VALUE"""),"PedroLulaPovoFeliz🚩")</f>
        <v>PedroLulaPovoFeliz🚩</v>
      </c>
      <c r="B1704" s="2" t="str">
        <f>IFERROR(__xludf.DUMMYFUNCTION("""COMPUTED_VALUE"""),"pedrojo06512765")</f>
        <v>pedrojo06512765</v>
      </c>
      <c r="C1704" s="2" t="str">
        <f>IFERROR(__xludf.DUMMYFUNCTION("""COMPUTED_VALUE"""),"Esquerdista !!!
🚩
Microempreendedor
temos q t 1 plano B
Pai de casal
Odeio Injustiça 
Defensor da Democracia
Fé Esperança e Perseverança smp
Tamo junto 👍m hj")</f>
        <v>Esquerdista !!!
🚩
Microempreendedor
temos q t 1 plano B
Pai de casal
Odeio Injustiça 
Defensor da Democracia
Fé Esperança e Perseverança smp
Tamo junto 👍m hj</v>
      </c>
      <c r="D1704" s="2">
        <f>IFERROR(__xludf.DUMMYFUNCTION("""COMPUTED_VALUE"""),1.0028027568273113E-4)</f>
        <v>0.0001002802757</v>
      </c>
      <c r="E1704" s="2" t="str">
        <f>IFERROR(__xludf.DUMMYFUNCTION("""COMPUTED_VALUE"""),"     20.460")</f>
        <v>     20.460</v>
      </c>
    </row>
    <row r="1705">
      <c r="A1705" s="2" t="str">
        <f>IFERROR(__xludf.DUMMYFUNCTION("""COMPUTED_VALUE"""),"الذيب الازرق 💙 d")</f>
        <v>الذيب الازرق 💙 d</v>
      </c>
      <c r="B1705" s="2" t="str">
        <f>IFERROR(__xludf.DUMMYFUNCTION("""COMPUTED_VALUE"""),"ed41584312")</f>
        <v>ed41584312</v>
      </c>
      <c r="C1705" s="2" t="str">
        <f>IFERROR(__xludf.DUMMYFUNCTION("""COMPUTED_VALUE"""),"‏‏‏‏‏‏‏‏‏‏‏‏‏it is enough im hilali💙
🍷انقل من كل بحر قطرة
ومن كل زهرة لمسة
20 شخصية في1
تويتر تسلية وسواليف 🚫
اكتب ما أرغب هو رايي 
🔴انت رد رايك حسب تربيتك")</f>
        <v>‏‏‏‏‏‏‏‏‏‏‏‏‏it is enough im hilali💙
🍷انقل من كل بحر قطرة
ومن كل زهرة لمسة
20 شخصية في1
تويتر تسلية وسواليف 🚫
اكتب ما أرغب هو رايي 
🔴انت رد رايك حسب تربيتك</v>
      </c>
      <c r="D1705" s="2">
        <f>IFERROR(__xludf.DUMMYFUNCTION("""COMPUTED_VALUE"""),1.0028027568273113E-4)</f>
        <v>0.0001002802757</v>
      </c>
      <c r="E1705" s="2" t="str">
        <f>IFERROR(__xludf.DUMMYFUNCTION("""COMPUTED_VALUE"""),"      4.716")</f>
        <v>      4.716</v>
      </c>
    </row>
    <row r="1706">
      <c r="A1706" s="2" t="str">
        <f>IFERROR(__xludf.DUMMYFUNCTION("""COMPUTED_VALUE"""),"Eduardo Barbosa")</f>
        <v>Eduardo Barbosa</v>
      </c>
      <c r="B1706" s="2" t="str">
        <f>IFERROR(__xludf.DUMMYFUNCTION("""COMPUTED_VALUE"""),"eduardo63558262")</f>
        <v>eduardo63558262</v>
      </c>
      <c r="C1706" s="2" t="str">
        <f>IFERROR(__xludf.DUMMYFUNCTION("""COMPUTED_VALUE"""),"geógrafo")</f>
        <v>geógrafo</v>
      </c>
      <c r="D1706" s="2">
        <f>IFERROR(__xludf.DUMMYFUNCTION("""COMPUTED_VALUE"""),1.0028027568273113E-4)</f>
        <v>0.0001002802757</v>
      </c>
      <c r="E1706" s="2" t="str">
        <f>IFERROR(__xludf.DUMMYFUNCTION("""COMPUTED_VALUE"""),"      2.382")</f>
        <v>      2.382</v>
      </c>
    </row>
    <row r="1707">
      <c r="A1707" s="2" t="str">
        <f>IFERROR(__xludf.DUMMYFUNCTION("""COMPUTED_VALUE"""),"Leonidas")</f>
        <v>Leonidas</v>
      </c>
      <c r="B1707" s="2" t="str">
        <f>IFERROR(__xludf.DUMMYFUNCTION("""COMPUTED_VALUE"""),"leonidasrds")</f>
        <v>leonidasrds</v>
      </c>
      <c r="C1707" s="2"/>
      <c r="D1707" s="2">
        <f>IFERROR(__xludf.DUMMYFUNCTION("""COMPUTED_VALUE"""),1.0028027568273113E-4)</f>
        <v>0.0001002802757</v>
      </c>
      <c r="E1707" s="2" t="str">
        <f>IFERROR(__xludf.DUMMYFUNCTION("""COMPUTED_VALUE"""),"      1.216")</f>
        <v>      1.216</v>
      </c>
    </row>
    <row r="1708">
      <c r="A1708" s="2" t="str">
        <f>IFERROR(__xludf.DUMMYFUNCTION("""COMPUTED_VALUE"""),"𝑹𝒐𝒃𝒆𝒓𝒕𝒂 𝑭𝒂𝒛𝒊𝒐 🫶")</f>
        <v>𝑹𝒐𝒃𝒆𝒓𝒕𝒂 𝑭𝒂𝒛𝒊𝒐 🫶</v>
      </c>
      <c r="B1708" s="2" t="str">
        <f>IFERROR(__xludf.DUMMYFUNCTION("""COMPUTED_VALUE"""),"robertafazio7")</f>
        <v>robertafazio7</v>
      </c>
      <c r="C1708" s="2" t="str">
        <f>IFERROR(__xludf.DUMMYFUNCTION("""COMPUTED_VALUE"""),"La vita è questa.
Nulla è facile.
Niente è impossibile.🫶")</f>
        <v>La vita è questa.
Nulla è facile.
Niente è impossibile.🫶</v>
      </c>
      <c r="D1708" s="2">
        <f>IFERROR(__xludf.DUMMYFUNCTION("""COMPUTED_VALUE"""),1.0028027568273113E-4)</f>
        <v>0.0001002802757</v>
      </c>
      <c r="E1708" s="2" t="str">
        <f>IFERROR(__xludf.DUMMYFUNCTION("""COMPUTED_VALUE"""),"      1.074")</f>
        <v>      1.074</v>
      </c>
    </row>
    <row r="1709">
      <c r="A1709" s="2" t="str">
        <f>IFERROR(__xludf.DUMMYFUNCTION("""COMPUTED_VALUE"""),"Cleusabj")</f>
        <v>Cleusabj</v>
      </c>
      <c r="B1709" s="2" t="str">
        <f>IFERROR(__xludf.DUMMYFUNCTION("""COMPUTED_VALUE"""),"cleusabj")</f>
        <v>cleusabj</v>
      </c>
      <c r="C1709" s="2" t="str">
        <f>IFERROR(__xludf.DUMMYFUNCTION("""COMPUTED_VALUE"""),"Se vida extraterrestre procura seres inteligentes pq eles viriam no Brasil? 
1️⃣3️⃣💟💟")</f>
        <v>Se vida extraterrestre procura seres inteligentes pq eles viriam no Brasil? 
1️⃣3️⃣💟💟</v>
      </c>
      <c r="D1709" s="2">
        <f>IFERROR(__xludf.DUMMYFUNCTION("""COMPUTED_VALUE"""),1.0028027568273113E-4)</f>
        <v>0.0001002802757</v>
      </c>
      <c r="E1709" s="2" t="str">
        <f>IFERROR(__xludf.DUMMYFUNCTION("""COMPUTED_VALUE"""),"      4.402")</f>
        <v>      4.402</v>
      </c>
    </row>
    <row r="1710">
      <c r="A1710" s="2" t="str">
        <f>IFERROR(__xludf.DUMMYFUNCTION("""COMPUTED_VALUE"""),"eberOr@te⭐️")</f>
        <v>eberOr@te⭐️</v>
      </c>
      <c r="B1710" s="2" t="str">
        <f>IFERROR(__xludf.DUMMYFUNCTION("""COMPUTED_VALUE"""),"eberorate")</f>
        <v>eberorate</v>
      </c>
      <c r="C1710" s="2" t="str">
        <f>IFERROR(__xludf.DUMMYFUNCTION("""COMPUTED_VALUE"""),"Tantas vezes chorei. 
Quase desesperei. 
E jurei nunca mais seus carinhos.😍")</f>
        <v>Tantas vezes chorei. 
Quase desesperei. 
E jurei nunca mais seus carinhos.😍</v>
      </c>
      <c r="D1710" s="2">
        <f>IFERROR(__xludf.DUMMYFUNCTION("""COMPUTED_VALUE"""),1.0028027568273113E-4)</f>
        <v>0.0001002802757</v>
      </c>
      <c r="E1710" s="2" t="str">
        <f>IFERROR(__xludf.DUMMYFUNCTION("""COMPUTED_VALUE"""),"      3.343")</f>
        <v>      3.343</v>
      </c>
    </row>
    <row r="1711">
      <c r="A1711" s="2" t="str">
        <f>IFERROR(__xludf.DUMMYFUNCTION("""COMPUTED_VALUE"""),"Rafael")</f>
        <v>Rafael</v>
      </c>
      <c r="B1711" s="2" t="str">
        <f>IFERROR(__xludf.DUMMYFUNCTION("""COMPUTED_VALUE"""),"julgoleve")</f>
        <v>julgoleve</v>
      </c>
      <c r="C1711" s="2" t="str">
        <f>IFERROR(__xludf.DUMMYFUNCTION("""COMPUTED_VALUE"""),"ativista dos cartazes")</f>
        <v>ativista dos cartazes</v>
      </c>
      <c r="D1711" s="2">
        <f>IFERROR(__xludf.DUMMYFUNCTION("""COMPUTED_VALUE"""),1.0028027568273113E-4)</f>
        <v>0.0001002802757</v>
      </c>
      <c r="E1711" s="2" t="str">
        <f>IFERROR(__xludf.DUMMYFUNCTION("""COMPUTED_VALUE"""),"      4.862")</f>
        <v>      4.862</v>
      </c>
    </row>
    <row r="1712">
      <c r="A1712" s="2" t="str">
        <f>IFERROR(__xludf.DUMMYFUNCTION("""COMPUTED_VALUE"""),"paulinda afoita")</f>
        <v>paulinda afoita</v>
      </c>
      <c r="B1712" s="2" t="str">
        <f>IFERROR(__xludf.DUMMYFUNCTION("""COMPUTED_VALUE"""),"paulaposer")</f>
        <v>paulaposer</v>
      </c>
      <c r="C1712" s="2" t="str">
        <f>IFERROR(__xludf.DUMMYFUNCTION("""COMPUTED_VALUE"""),"o Obama me segue então eu devo valer alguma coisa (confere na minha newsletter!) ✨ ela/dela ✨ sim, você já me viu em algum lugar ✨ @_ArthurMourao 💍")</f>
        <v>o Obama me segue então eu devo valer alguma coisa (confere na minha newsletter!) ✨ ela/dela ✨ sim, você já me viu em algum lugar ✨ @_ArthurMourao 💍</v>
      </c>
      <c r="D1712" s="2">
        <f>IFERROR(__xludf.DUMMYFUNCTION("""COMPUTED_VALUE"""),1.0028027568273113E-4)</f>
        <v>0.0001002802757</v>
      </c>
      <c r="E1712" s="2" t="str">
        <f>IFERROR(__xludf.DUMMYFUNCTION("""COMPUTED_VALUE"""),"      1.428")</f>
        <v>      1.428</v>
      </c>
    </row>
    <row r="1713">
      <c r="A1713" s="2" t="str">
        <f>IFERROR(__xludf.DUMMYFUNCTION("""COMPUTED_VALUE"""),"RagnarLodbrok")</f>
        <v>RagnarLodbrok</v>
      </c>
      <c r="B1713" s="2" t="str">
        <f>IFERROR(__xludf.DUMMYFUNCTION("""COMPUTED_VALUE"""),"eltonscalcon")</f>
        <v>eltonscalcon</v>
      </c>
      <c r="C1713" s="2" t="str">
        <f>IFERROR(__xludf.DUMMYFUNCTION("""COMPUTED_VALUE"""),"Conservador, patriota e alguém que detesta o politicamente correto...")</f>
        <v>Conservador, patriota e alguém que detesta o politicamente correto...</v>
      </c>
      <c r="D1713" s="2">
        <f>IFERROR(__xludf.DUMMYFUNCTION("""COMPUTED_VALUE"""),1.0028027568273113E-4)</f>
        <v>0.0001002802757</v>
      </c>
      <c r="E1713" s="2" t="str">
        <f>IFERROR(__xludf.DUMMYFUNCTION("""COMPUTED_VALUE"""),"      1.438")</f>
        <v>      1.438</v>
      </c>
    </row>
    <row r="1714">
      <c r="A1714" s="2" t="str">
        <f>IFERROR(__xludf.DUMMYFUNCTION("""COMPUTED_VALUE"""),"Peck")</f>
        <v>Peck</v>
      </c>
      <c r="B1714" s="2" t="str">
        <f>IFERROR(__xludf.DUMMYFUNCTION("""COMPUTED_VALUE"""),"hidro_peck")</f>
        <v>hidro_peck</v>
      </c>
      <c r="C1714" s="2" t="str">
        <f>IFERROR(__xludf.DUMMYFUNCTION("""COMPUTED_VALUE"""),"Ambientalista de direita 🇧🇷🇧🇷.
Sigo todos que me seguem e aberto a consultas")</f>
        <v>Ambientalista de direita 🇧🇷🇧🇷.
Sigo todos que me seguem e aberto a consultas</v>
      </c>
      <c r="D1714" s="2">
        <f>IFERROR(__xludf.DUMMYFUNCTION("""COMPUTED_VALUE"""),1.0028027568273113E-4)</f>
        <v>0.0001002802757</v>
      </c>
      <c r="E1714" s="2" t="str">
        <f>IFERROR(__xludf.DUMMYFUNCTION("""COMPUTED_VALUE"""),"      4.848")</f>
        <v>      4.848</v>
      </c>
    </row>
    <row r="1715">
      <c r="A1715" s="2" t="str">
        <f>IFERROR(__xludf.DUMMYFUNCTION("""COMPUTED_VALUE"""),"MaLelê 🦑 🌵 🚩")</f>
        <v>MaLelê 🦑 🌵 🚩</v>
      </c>
      <c r="B1715" s="2" t="str">
        <f>IFERROR(__xludf.DUMMYFUNCTION("""COMPUTED_VALUE"""),"lelecoutz")</f>
        <v>lelecoutz</v>
      </c>
      <c r="C1715" s="2" t="str">
        <f>IFERROR(__xludf.DUMMYFUNCTION("""COMPUTED_VALUE"""),"Esquerdopata, Lulista, Dilmista #TeimaDilma #ResistenciaZeDirceu #LulaPresidente")</f>
        <v>Esquerdopata, Lulista, Dilmista #TeimaDilma #ResistenciaZeDirceu #LulaPresidente</v>
      </c>
      <c r="D1715" s="2">
        <f>IFERROR(__xludf.DUMMYFUNCTION("""COMPUTED_VALUE"""),1.0028027568273113E-4)</f>
        <v>0.0001002802757</v>
      </c>
      <c r="E1715" s="2" t="str">
        <f>IFERROR(__xludf.DUMMYFUNCTION("""COMPUTED_VALUE"""),"     33.288")</f>
        <v>     33.288</v>
      </c>
    </row>
    <row r="1716">
      <c r="A1716" s="2" t="str">
        <f>IFERROR(__xludf.DUMMYFUNCTION("""COMPUTED_VALUE"""),"Santosleandro Leandro")</f>
        <v>Santosleandro Leandro</v>
      </c>
      <c r="B1716" s="2" t="str">
        <f>IFERROR(__xludf.DUMMYFUNCTION("""COMPUTED_VALUE"""),"santosleandroww")</f>
        <v>santosleandroww</v>
      </c>
      <c r="C1716" s="2" t="str">
        <f>IFERROR(__xludf.DUMMYFUNCTION("""COMPUTED_VALUE"""),"Sou uma pessoa maravilhosa gosto de conversar, e sei que o bom da vida è ser verdadeiro !casado")</f>
        <v>Sou uma pessoa maravilhosa gosto de conversar, e sei que o bom da vida è ser verdadeiro !casado</v>
      </c>
      <c r="D1716" s="2">
        <f>IFERROR(__xludf.DUMMYFUNCTION("""COMPUTED_VALUE"""),1.0028027568273113E-4)</f>
        <v>0.0001002802757</v>
      </c>
      <c r="E1716" s="2" t="str">
        <f>IFERROR(__xludf.DUMMYFUNCTION("""COMPUTED_VALUE"""),"      1.157")</f>
        <v>      1.157</v>
      </c>
    </row>
    <row r="1717">
      <c r="A1717" s="2" t="str">
        <f>IFERROR(__xludf.DUMMYFUNCTION("""COMPUTED_VALUE"""),"triz know places⚢ 🗽")</f>
        <v>triz know places⚢ 🗽</v>
      </c>
      <c r="B1717" s="2" t="str">
        <f>IFERROR(__xludf.DUMMYFUNCTION("""COMPUTED_VALUE"""),"cowboyliketriz")</f>
        <v>cowboyliketriz</v>
      </c>
      <c r="C1717" s="2" t="str">
        <f>IFERROR(__xludf.DUMMYFUNCTION("""COMPUTED_VALUE"""),"𝘮𝘺 𝘸𝘰𝘳𝘥𝘴 𝘴𝘩𝘰𝘰𝘵 𝘵𝘰 𝘬𝘪𝘭𝘭 𝘸𝘩𝘦𝘯 𝘪𝘮 𝘮𝘢𝘥 𝘩𝘢𝘷𝘦 𝘢 𝘭𝘰𝘵 𝘰𝘧 𝘳𝘦𝘨𝘳𝘦𝘵𝘴 𝘢𝘣𝘵 𝘵𝘩𝘢𝘵")</f>
        <v>𝘮𝘺 𝘸𝘰𝘳𝘥𝘴 𝘴𝘩𝘰𝘰𝘵 𝘵𝘰 𝘬𝘪𝘭𝘭 𝘸𝘩𝘦𝘯 𝘪𝘮 𝘮𝘢𝘥 𝘩𝘢𝘷𝘦 𝘢 𝘭𝘰𝘵 𝘰𝘧 𝘳𝘦𝘨𝘳𝘦𝘵𝘴 𝘢𝘣𝘵 𝘵𝘩𝘢𝘵</v>
      </c>
      <c r="D1717" s="2">
        <f>IFERROR(__xludf.DUMMYFUNCTION("""COMPUTED_VALUE"""),1.0028027568273113E-4)</f>
        <v>0.0001002802757</v>
      </c>
      <c r="E1717" s="2" t="str">
        <f>IFERROR(__xludf.DUMMYFUNCTION("""COMPUTED_VALUE"""),"      2.606")</f>
        <v>      2.606</v>
      </c>
    </row>
    <row r="1718">
      <c r="A1718" s="2" t="str">
        <f>IFERROR(__xludf.DUMMYFUNCTION("""COMPUTED_VALUE"""),"Sonia Díaz")</f>
        <v>Sonia Díaz</v>
      </c>
      <c r="B1718" s="2" t="str">
        <f>IFERROR(__xludf.DUMMYFUNCTION("""COMPUTED_VALUE"""),"emereci")</f>
        <v>emereci</v>
      </c>
      <c r="C1718" s="2" t="str">
        <f>IFERROR(__xludf.DUMMYFUNCTION("""COMPUTED_VALUE"""),"I attack everything in life with a mix of extraordinary genius and naive incompetence, and it's often difficult to tell which is which (D. Adams)")</f>
        <v>I attack everything in life with a mix of extraordinary genius and naive incompetence, and it's often difficult to tell which is which (D. Adams)</v>
      </c>
      <c r="D1718" s="2">
        <f>IFERROR(__xludf.DUMMYFUNCTION("""COMPUTED_VALUE"""),1.0028027568273113E-4)</f>
        <v>0.0001002802757</v>
      </c>
      <c r="E1718" s="2" t="str">
        <f>IFERROR(__xludf.DUMMYFUNCTION("""COMPUTED_VALUE"""),"      1.505")</f>
        <v>      1.505</v>
      </c>
    </row>
    <row r="1719">
      <c r="A1719" s="2" t="str">
        <f>IFERROR(__xludf.DUMMYFUNCTION("""COMPUTED_VALUE"""),"Eliseu D Barbosa")</f>
        <v>Eliseu D Barbosa</v>
      </c>
      <c r="B1719" s="2" t="str">
        <f>IFERROR(__xludf.DUMMYFUNCTION("""COMPUTED_VALUE"""),"eliseudbarbosa2")</f>
        <v>eliseudbarbosa2</v>
      </c>
      <c r="C1719" s="2"/>
      <c r="D1719" s="2">
        <f>IFERROR(__xludf.DUMMYFUNCTION("""COMPUTED_VALUE"""),1.0028027568273113E-4)</f>
        <v>0.0001002802757</v>
      </c>
      <c r="E1719" s="2" t="str">
        <f>IFERROR(__xludf.DUMMYFUNCTION("""COMPUTED_VALUE"""),"      1.102")</f>
        <v>      1.102</v>
      </c>
    </row>
    <row r="1720">
      <c r="A1720" s="2" t="str">
        <f>IFERROR(__xludf.DUMMYFUNCTION("""COMPUTED_VALUE"""),"Quintino Cristovam")</f>
        <v>Quintino Cristovam</v>
      </c>
      <c r="B1720" s="2" t="str">
        <f>IFERROR(__xludf.DUMMYFUNCTION("""COMPUTED_VALUE"""),"cristovamm")</f>
        <v>cristovamm</v>
      </c>
      <c r="C1720" s="2" t="str">
        <f>IFERROR(__xludf.DUMMYFUNCTION("""COMPUTED_VALUE"""),"SDV")</f>
        <v>SDV</v>
      </c>
      <c r="D1720" s="2">
        <f>IFERROR(__xludf.DUMMYFUNCTION("""COMPUTED_VALUE"""),1.0028027568273113E-4)</f>
        <v>0.0001002802757</v>
      </c>
      <c r="E1720" s="2" t="str">
        <f>IFERROR(__xludf.DUMMYFUNCTION("""COMPUTED_VALUE"""),"      6.963")</f>
        <v>      6.963</v>
      </c>
    </row>
    <row r="1721">
      <c r="A1721" s="2" t="str">
        <f>IFERROR(__xludf.DUMMYFUNCTION("""COMPUTED_VALUE"""),"Andrea Ferraz")</f>
        <v>Andrea Ferraz</v>
      </c>
      <c r="B1721" s="2" t="str">
        <f>IFERROR(__xludf.DUMMYFUNCTION("""COMPUTED_VALUE"""),"onlydea_f")</f>
        <v>onlydea_f</v>
      </c>
      <c r="C1721" s="2"/>
      <c r="D1721" s="2">
        <f>IFERROR(__xludf.DUMMYFUNCTION("""COMPUTED_VALUE"""),1.0028027568273113E-4)</f>
        <v>0.0001002802757</v>
      </c>
      <c r="E1721" s="2" t="str">
        <f>IFERROR(__xludf.DUMMYFUNCTION("""COMPUTED_VALUE"""),"      4.296")</f>
        <v>      4.296</v>
      </c>
    </row>
    <row r="1722">
      <c r="A1722" s="2" t="str">
        <f>IFERROR(__xludf.DUMMYFUNCTION("""COMPUTED_VALUE"""),"Miranda, Matheus #RIPMIURA #RIPBILLRUSSELL #MYGOAT")</f>
        <v>Miranda, Matheus #RIPMIURA #RIPBILLRUSSELL #MYGOAT</v>
      </c>
      <c r="B1722" s="2" t="str">
        <f>IFERROR(__xludf.DUMMYFUNCTION("""COMPUTED_VALUE"""),"matheng_crf")</f>
        <v>matheng_crf</v>
      </c>
      <c r="C1722" s="2" t="str">
        <f>IFERROR(__xludf.DUMMYFUNCTION("""COMPUTED_VALUE"""),"Engenheiro Civil, Engenheiro Elétrico, flamenguista, amante de café, entusiasta de futebol e analista nas horas vagas.
RT não é endossar.")</f>
        <v>Engenheiro Civil, Engenheiro Elétrico, flamenguista, amante de café, entusiasta de futebol e analista nas horas vagas.
RT não é endossar.</v>
      </c>
      <c r="D1722" s="2">
        <f>IFERROR(__xludf.DUMMYFUNCTION("""COMPUTED_VALUE"""),1.0028027568273113E-4)</f>
        <v>0.0001002802757</v>
      </c>
      <c r="E1722" s="2" t="str">
        <f>IFERROR(__xludf.DUMMYFUNCTION("""COMPUTED_VALUE"""),"      4.411")</f>
        <v>      4.411</v>
      </c>
    </row>
    <row r="1723">
      <c r="A1723" s="2" t="str">
        <f>IFERROR(__xludf.DUMMYFUNCTION("""COMPUTED_VALUE"""),"mateux com x")</f>
        <v>mateux com x</v>
      </c>
      <c r="B1723" s="2" t="str">
        <f>IFERROR(__xludf.DUMMYFUNCTION("""COMPUTED_VALUE"""),"mateuxmoura")</f>
        <v>mateuxmoura</v>
      </c>
      <c r="C1723" s="2" t="str">
        <f>IFERROR(__xludf.DUMMYFUNCTION("""COMPUTED_VALUE"""),"sou muitas coisas mas ao mesmo tempo eu não sou nada!")</f>
        <v>sou muitas coisas mas ao mesmo tempo eu não sou nada!</v>
      </c>
      <c r="D1723" s="2">
        <f>IFERROR(__xludf.DUMMYFUNCTION("""COMPUTED_VALUE"""),1.0028027568273113E-4)</f>
        <v>0.0001002802757</v>
      </c>
      <c r="E1723" s="2" t="str">
        <f>IFERROR(__xludf.DUMMYFUNCTION("""COMPUTED_VALUE"""),"      1.967")</f>
        <v>      1.967</v>
      </c>
    </row>
    <row r="1724">
      <c r="A1724" s="2" t="str">
        <f>IFERROR(__xludf.DUMMYFUNCTION("""COMPUTED_VALUE"""),"Malu 🌘 🦑🚩")</f>
        <v>Malu 🌘 🦑🚩</v>
      </c>
      <c r="B1724" s="2" t="str">
        <f>IFERROR(__xludf.DUMMYFUNCTION("""COMPUTED_VALUE"""),"malutreta")</f>
        <v>malutreta</v>
      </c>
      <c r="C1724" s="2"/>
      <c r="D1724" s="2">
        <f>IFERROR(__xludf.DUMMYFUNCTION("""COMPUTED_VALUE"""),1.0028027568273113E-4)</f>
        <v>0.0001002802757</v>
      </c>
      <c r="E1724" s="2" t="str">
        <f>IFERROR(__xludf.DUMMYFUNCTION("""COMPUTED_VALUE"""),"      1.855")</f>
        <v>      1.855</v>
      </c>
    </row>
    <row r="1725">
      <c r="A1725" s="2" t="str">
        <f>IFERROR(__xludf.DUMMYFUNCTION("""COMPUTED_VALUE"""),"💙Vika808🍀")</f>
        <v>💙Vika808🍀</v>
      </c>
      <c r="B1725" s="2" t="str">
        <f>IFERROR(__xludf.DUMMYFUNCTION("""COMPUTED_VALUE"""),"vika8081")</f>
        <v>vika8081</v>
      </c>
      <c r="C1725" s="2" t="str">
        <f>IFERROR(__xludf.DUMMYFUNCTION("""COMPUTED_VALUE"""),"Simplesmente mulher, às vezes santa, noutras não.
Repleta de guerra e paz")</f>
        <v>Simplesmente mulher, às vezes santa, noutras não.
Repleta de guerra e paz</v>
      </c>
      <c r="D1725" s="2">
        <f>IFERROR(__xludf.DUMMYFUNCTION("""COMPUTED_VALUE"""),1.0028027568273113E-4)</f>
        <v>0.0001002802757</v>
      </c>
      <c r="E1725" s="2" t="str">
        <f>IFERROR(__xludf.DUMMYFUNCTION("""COMPUTED_VALUE"""),"      4.890")</f>
        <v>      4.890</v>
      </c>
    </row>
    <row r="1726">
      <c r="A1726" s="2" t="str">
        <f>IFERROR(__xludf.DUMMYFUNCTION("""COMPUTED_VALUE"""),"Anahuac")</f>
        <v>Anahuac</v>
      </c>
      <c r="B1726" s="2" t="str">
        <f>IFERROR(__xludf.DUMMYFUNCTION("""COMPUTED_VALUE"""),"anahuacpg")</f>
        <v>anahuacpg</v>
      </c>
      <c r="C1726" s="2" t="str">
        <f>IFERROR(__xludf.DUMMYFUNCTION("""COMPUTED_VALUE"""),"Se não conseguimos defender nossa causa, então devemos mudar os defensores, não a causa")</f>
        <v>Se não conseguimos defender nossa causa, então devemos mudar os defensores, não a causa</v>
      </c>
      <c r="D1726" s="2">
        <f>IFERROR(__xludf.DUMMYFUNCTION("""COMPUTED_VALUE"""),1.0028027568273113E-4)</f>
        <v>0.0001002802757</v>
      </c>
      <c r="E1726" s="2" t="str">
        <f>IFERROR(__xludf.DUMMYFUNCTION("""COMPUTED_VALUE"""),"      1.696")</f>
        <v>      1.696</v>
      </c>
    </row>
    <row r="1727">
      <c r="A1727" s="2" t="str">
        <f>IFERROR(__xludf.DUMMYFUNCTION("""COMPUTED_VALUE"""),"Ellen Karoline🌵🌵🌵💓💓")</f>
        <v>Ellen Karoline🌵🌵🌵💓💓</v>
      </c>
      <c r="B1727" s="2" t="str">
        <f>IFERROR(__xludf.DUMMYFUNCTION("""COMPUTED_VALUE"""),"ellenkaroline1")</f>
        <v>ellenkaroline1</v>
      </c>
      <c r="C1727" s="2"/>
      <c r="D1727" s="2">
        <f>IFERROR(__xludf.DUMMYFUNCTION("""COMPUTED_VALUE"""),1.0028027568273113E-4)</f>
        <v>0.0001002802757</v>
      </c>
      <c r="E1727" s="2" t="str">
        <f>IFERROR(__xludf.DUMMYFUNCTION("""COMPUTED_VALUE"""),"      1.364")</f>
        <v>      1.364</v>
      </c>
    </row>
    <row r="1728">
      <c r="A1728" s="2" t="str">
        <f>IFERROR(__xludf.DUMMYFUNCTION("""COMPUTED_VALUE"""),"Lidia Chaib")</f>
        <v>Lidia Chaib</v>
      </c>
      <c r="B1728" s="2" t="str">
        <f>IFERROR(__xludf.DUMMYFUNCTION("""COMPUTED_VALUE"""),"lidiachaib")</f>
        <v>lidiachaib</v>
      </c>
      <c r="C1728" s="2" t="str">
        <f>IFERROR(__xludf.DUMMYFUNCTION("""COMPUTED_VALUE"""),"Escreveu os livros “Ogum, o rei de muitas faces”, “As melhores histórias de todos os tempos” e “Um dia na vida de um curumim”; Antirracista!")</f>
        <v>Escreveu os livros “Ogum, o rei de muitas faces”, “As melhores histórias de todos os tempos” e “Um dia na vida de um curumim”; Antirracista!</v>
      </c>
      <c r="D1728" s="2">
        <f>IFERROR(__xludf.DUMMYFUNCTION("""COMPUTED_VALUE"""),1.0028027568273113E-4)</f>
        <v>0.0001002802757</v>
      </c>
      <c r="E1728" s="2" t="str">
        <f>IFERROR(__xludf.DUMMYFUNCTION("""COMPUTED_VALUE"""),"      1.411")</f>
        <v>      1.411</v>
      </c>
    </row>
    <row r="1729">
      <c r="A1729" s="2" t="str">
        <f>IFERROR(__xludf.DUMMYFUNCTION("""COMPUTED_VALUE"""),"Anistia Nunca Mais. PFF2 Sempre.- SUSBH")</f>
        <v>Anistia Nunca Mais. PFF2 Sempre.- SUSBH</v>
      </c>
      <c r="B1729" s="2" t="str">
        <f>IFERROR(__xludf.DUMMYFUNCTION("""COMPUTED_VALUE"""),"lucianefss")</f>
        <v>lucianefss</v>
      </c>
      <c r="C1729" s="2" t="str">
        <f>IFERROR(__xludf.DUMMYFUNCTION("""COMPUTED_VALUE"""),"Professora,Bióloga,funcionária da PBH,mãe da Beatriz,atleticana, de esquerda. Sempre com @AntifaGalo, @resistalvinegra e @grupagalo.")</f>
        <v>Professora,Bióloga,funcionária da PBH,mãe da Beatriz,atleticana, de esquerda. Sempre com @AntifaGalo, @resistalvinegra e @grupagalo.</v>
      </c>
      <c r="D1729" s="2">
        <f>IFERROR(__xludf.DUMMYFUNCTION("""COMPUTED_VALUE"""),1.0028027568273113E-4)</f>
        <v>0.0001002802757</v>
      </c>
      <c r="E1729" s="2" t="str">
        <f>IFERROR(__xludf.DUMMYFUNCTION("""COMPUTED_VALUE"""),"      1.767")</f>
        <v>      1.767</v>
      </c>
    </row>
    <row r="1730">
      <c r="A1730" s="2" t="str">
        <f>IFERROR(__xludf.DUMMYFUNCTION("""COMPUTED_VALUE"""),"Elda Elizama Pinto 2⃣2⃣")</f>
        <v>Elda Elizama Pinto 2⃣2⃣</v>
      </c>
      <c r="B1730" s="2" t="str">
        <f>IFERROR(__xludf.DUMMYFUNCTION("""COMPUTED_VALUE"""),"eldapianista")</f>
        <v>eldapianista</v>
      </c>
      <c r="C1730" s="2" t="str">
        <f>IFERROR(__xludf.DUMMYFUNCTION("""COMPUTED_VALUE"""),"Direita
Badoo: /01123241785
Face: /eldapianista
Gab: /EldaElizama
Hi5: /eldapianista
Minds: /eldaelizamapinto/
Parler: /Eldapianista
Patriabook: /EldaPianista")</f>
        <v>Direita
Badoo: /01123241785
Face: /eldapianista
Gab: /EldaElizama
Hi5: /eldapianista
Minds: /eldaelizamapinto/
Parler: /Eldapianista
Patriabook: /EldaPianista</v>
      </c>
      <c r="D1730" s="2">
        <f>IFERROR(__xludf.DUMMYFUNCTION("""COMPUTED_VALUE"""),1.0028027568273113E-4)</f>
        <v>0.0001002802757</v>
      </c>
      <c r="E1730" s="2" t="str">
        <f>IFERROR(__xludf.DUMMYFUNCTION("""COMPUTED_VALUE"""),"      3.548")</f>
        <v>      3.548</v>
      </c>
    </row>
    <row r="1731">
      <c r="A1731" s="2" t="str">
        <f>IFERROR(__xludf.DUMMYFUNCTION("""COMPUTED_VALUE"""),"gege")</f>
        <v>gege</v>
      </c>
      <c r="B1731" s="2" t="str">
        <f>IFERROR(__xludf.DUMMYFUNCTION("""COMPUTED_VALUE"""),"mcolwcci")</f>
        <v>mcolwcci</v>
      </c>
      <c r="C1731" s="2" t="str">
        <f>IFERROR(__xludf.DUMMYFUNCTION("""COMPUTED_VALUE"""),"she-her ꗃ fan acc | rbd - sp, n4 &amp; n6 + the eras - sp, n2")</f>
        <v>she-her ꗃ fan acc | rbd - sp, n4 &amp; n6 + the eras - sp, n2</v>
      </c>
      <c r="D1731" s="2">
        <f>IFERROR(__xludf.DUMMYFUNCTION("""COMPUTED_VALUE"""),1.0028027568273113E-4)</f>
        <v>0.0001002802757</v>
      </c>
      <c r="E1731" s="2" t="str">
        <f>IFERROR(__xludf.DUMMYFUNCTION("""COMPUTED_VALUE"""),"      2.144")</f>
        <v>      2.144</v>
      </c>
    </row>
    <row r="1732">
      <c r="A1732" s="2" t="str">
        <f>IFERROR(__xludf.DUMMYFUNCTION("""COMPUTED_VALUE"""),"🇦🇹🇦🇹Tia️goRetwInterˢᶜᶦ🇦🇹🇦🇹")</f>
        <v>🇦🇹🇦🇹Tia️goRetwInterˢᶜᶦ🇦🇹🇦🇹</v>
      </c>
      <c r="B1732" s="2" t="str">
        <f>IFERROR(__xludf.DUMMYFUNCTION("""COMPUTED_VALUE"""),"tiagoretwinter")</f>
        <v>tiagoretwinter</v>
      </c>
      <c r="C1732" s="2" t="str">
        <f>IFERROR(__xludf.DUMMYFUNCTION("""COMPUTED_VALUE"""),"Perfil especializado em retweet sobre o maior do Sul.
#Internacional 
#GuriasColoradas")</f>
        <v>Perfil especializado em retweet sobre o maior do Sul.
#Internacional 
#GuriasColoradas</v>
      </c>
      <c r="D1732" s="2">
        <f>IFERROR(__xludf.DUMMYFUNCTION("""COMPUTED_VALUE"""),1.0028027568273113E-4)</f>
        <v>0.0001002802757</v>
      </c>
      <c r="E1732" s="2" t="str">
        <f>IFERROR(__xludf.DUMMYFUNCTION("""COMPUTED_VALUE"""),"      1.893")</f>
        <v>      1.893</v>
      </c>
    </row>
    <row r="1733">
      <c r="A1733" s="2" t="str">
        <f>IFERROR(__xludf.DUMMYFUNCTION("""COMPUTED_VALUE"""),"HUDSON MARQUES")</f>
        <v>HUDSON MARQUES</v>
      </c>
      <c r="B1733" s="2" t="str">
        <f>IFERROR(__xludf.DUMMYFUNCTION("""COMPUTED_VALUE"""),"bneydavid")</f>
        <v>bneydavid</v>
      </c>
      <c r="C1733" s="2" t="str">
        <f>IFERROR(__xludf.DUMMYFUNCTION("""COMPUTED_VALUE"""),"JORGE E MESSIE MEUS AMORES PARA SEMPRE. Sou casado e Petista.
@ConexaoPetista")</f>
        <v>JORGE E MESSIE MEUS AMORES PARA SEMPRE. Sou casado e Petista.
@ConexaoPetista</v>
      </c>
      <c r="D1733" s="2">
        <f>IFERROR(__xludf.DUMMYFUNCTION("""COMPUTED_VALUE"""),1.0028027568273113E-4)</f>
        <v>0.0001002802757</v>
      </c>
      <c r="E1733" s="2" t="str">
        <f>IFERROR(__xludf.DUMMYFUNCTION("""COMPUTED_VALUE"""),"      2.827")</f>
        <v>      2.827</v>
      </c>
    </row>
    <row r="1734">
      <c r="A1734" s="2" t="str">
        <f>IFERROR(__xludf.DUMMYFUNCTION("""COMPUTED_VALUE"""),"Deixa 🐦🦜🍀")</f>
        <v>Deixa 🐦🦜🍀</v>
      </c>
      <c r="B1734" s="2" t="str">
        <f>IFERROR(__xludf.DUMMYFUNCTION("""COMPUTED_VALUE"""),"benfica__38")</f>
        <v>benfica__38</v>
      </c>
      <c r="C1734" s="2" t="str">
        <f>IFERROR(__xludf.DUMMYFUNCTION("""COMPUTED_VALUE"""),"NÃO QUERO FICAR PERTO DE VOCÊ ( só para os bolsominions)")</f>
        <v>NÃO QUERO FICAR PERTO DE VOCÊ ( só para os bolsominions)</v>
      </c>
      <c r="D1734" s="2">
        <f>IFERROR(__xludf.DUMMYFUNCTION("""COMPUTED_VALUE"""),1.0028027568273113E-4)</f>
        <v>0.0001002802757</v>
      </c>
      <c r="E1734" s="2" t="str">
        <f>IFERROR(__xludf.DUMMYFUNCTION("""COMPUTED_VALUE"""),"      1.402")</f>
        <v>      1.402</v>
      </c>
    </row>
    <row r="1735">
      <c r="A1735" s="2" t="str">
        <f>IFERROR(__xludf.DUMMYFUNCTION("""COMPUTED_VALUE"""),"Slavey Avenasti")</f>
        <v>Slavey Avenasti</v>
      </c>
      <c r="B1735" s="2" t="str">
        <f>IFERROR(__xludf.DUMMYFUNCTION("""COMPUTED_VALUE"""),"francaverdade")</f>
        <v>francaverdade</v>
      </c>
      <c r="C1735" s="2" t="str">
        <f>IFERROR(__xludf.DUMMYFUNCTION("""COMPUTED_VALUE"""),"Com o tempo, uma imprensa cínica, mercenária, demagógica e corrupta formará um público tão vil como ela mesma. Joseph Pulitzer Retuite não significa endosso!")</f>
        <v>Com o tempo, uma imprensa cínica, mercenária, demagógica e corrupta formará um público tão vil como ela mesma. Joseph Pulitzer Retuite não significa endosso!</v>
      </c>
      <c r="D1735" s="2">
        <f>IFERROR(__xludf.DUMMYFUNCTION("""COMPUTED_VALUE"""),1.0028027568273113E-4)</f>
        <v>0.0001002802757</v>
      </c>
      <c r="E1735" s="2" t="str">
        <f>IFERROR(__xludf.DUMMYFUNCTION("""COMPUTED_VALUE"""),"      2.491")</f>
        <v>      2.491</v>
      </c>
    </row>
    <row r="1736">
      <c r="A1736" s="2" t="str">
        <f>IFERROR(__xludf.DUMMYFUNCTION("""COMPUTED_VALUE"""),"Pierre")</f>
        <v>Pierre</v>
      </c>
      <c r="B1736" s="2" t="str">
        <f>IFERROR(__xludf.DUMMYFUNCTION("""COMPUTED_VALUE"""),"plrg1970")</f>
        <v>plrg1970</v>
      </c>
      <c r="C1736" s="2"/>
      <c r="D1736" s="2">
        <f>IFERROR(__xludf.DUMMYFUNCTION("""COMPUTED_VALUE"""),1.0028027568273113E-4)</f>
        <v>0.0001002802757</v>
      </c>
      <c r="E1736" s="2" t="str">
        <f>IFERROR(__xludf.DUMMYFUNCTION("""COMPUTED_VALUE"""),"      2.797")</f>
        <v>      2.797</v>
      </c>
    </row>
    <row r="1737">
      <c r="A1737" s="2" t="str">
        <f>IFERROR(__xludf.DUMMYFUNCTION("""COMPUTED_VALUE"""),"Jluizc")</f>
        <v>Jluizc</v>
      </c>
      <c r="B1737" s="2" t="str">
        <f>IFERROR(__xludf.DUMMYFUNCTION("""COMPUTED_VALUE"""),"jluizc1")</f>
        <v>jluizc1</v>
      </c>
      <c r="C1737" s="2" t="str">
        <f>IFERROR(__xludf.DUMMYFUNCTION("""COMPUTED_VALUE"""),"Não existe direita, existe Bolsonaro.")</f>
        <v>Não existe direita, existe Bolsonaro.</v>
      </c>
      <c r="D1737" s="2">
        <f>IFERROR(__xludf.DUMMYFUNCTION("""COMPUTED_VALUE"""),1.0028027568273113E-4)</f>
        <v>0.0001002802757</v>
      </c>
      <c r="E1737" s="2" t="str">
        <f>IFERROR(__xludf.DUMMYFUNCTION("""COMPUTED_VALUE"""),"      1.802")</f>
        <v>      1.802</v>
      </c>
    </row>
    <row r="1738">
      <c r="A1738" s="2" t="str">
        <f>IFERROR(__xludf.DUMMYFUNCTION("""COMPUTED_VALUE"""),"𝒪𝓊𝓇 𝒫𝑒𝑜𝓅𝓁𝑒")</f>
        <v>𝒪𝓊𝓇 𝒫𝑒𝑜𝓅𝓁𝑒</v>
      </c>
      <c r="B1738" s="2" t="str">
        <f>IFERROR(__xludf.DUMMYFUNCTION("""COMPUTED_VALUE"""),"_mandalorian_z")</f>
        <v>_mandalorian_z</v>
      </c>
      <c r="C1738" s="2" t="str">
        <f>IFERROR(__xludf.DUMMYFUNCTION("""COMPUTED_VALUE"""),"Política.")</f>
        <v>Política.</v>
      </c>
      <c r="D1738" s="2">
        <f>IFERROR(__xludf.DUMMYFUNCTION("""COMPUTED_VALUE"""),1.0028027568273113E-4)</f>
        <v>0.0001002802757</v>
      </c>
      <c r="E1738" s="2" t="str">
        <f>IFERROR(__xludf.DUMMYFUNCTION("""COMPUTED_VALUE"""),"      1.619")</f>
        <v>      1.619</v>
      </c>
    </row>
    <row r="1739">
      <c r="A1739" s="2" t="str">
        <f>IFERROR(__xludf.DUMMYFUNCTION("""COMPUTED_VALUE"""),"@luluzinhapreciosa")</f>
        <v>@luluzinhapreciosa</v>
      </c>
      <c r="B1739" s="2" t="str">
        <f>IFERROR(__xludf.DUMMYFUNCTION("""COMPUTED_VALUE"""),"luluzinhapreci1")</f>
        <v>luluzinhapreci1</v>
      </c>
      <c r="C1739" s="2"/>
      <c r="D1739" s="2">
        <f>IFERROR(__xludf.DUMMYFUNCTION("""COMPUTED_VALUE"""),1.0028027568273113E-4)</f>
        <v>0.0001002802757</v>
      </c>
      <c r="E1739" s="2" t="str">
        <f>IFERROR(__xludf.DUMMYFUNCTION("""COMPUTED_VALUE"""),"      1.260")</f>
        <v>      1.260</v>
      </c>
    </row>
    <row r="1740">
      <c r="A1740" s="2" t="str">
        <f>IFERROR(__xludf.DUMMYFUNCTION("""COMPUTED_VALUE"""),"Autêntica 13 Encarnação Lula Melgar ⭐ 🚩🏳️‍🌈✊🏾")</f>
        <v>Autêntica 13 Encarnação Lula Melgar ⭐ 🚩🏳️‍🌈✊🏾</v>
      </c>
      <c r="B1740" s="2" t="str">
        <f>IFERROR(__xludf.DUMMYFUNCTION("""COMPUTED_VALUE"""),"isabo13melgar")</f>
        <v>isabo13melgar</v>
      </c>
      <c r="C1740" s="2" t="str">
        <f>IFERROR(__xludf.DUMMYFUNCTION("""COMPUTED_VALUE"""),"CONTA NOVA. Marco TemporalNão.Mãe, professora aposentada, petista, lulista, antifascista, antirracista e de esquerda. DEMOCRACIA. SUS🏳️‍🌈🏳️‍⚧️🏹🌵🌳🦉📚💉")</f>
        <v>CONTA NOVA. Marco TemporalNão.Mãe, professora aposentada, petista, lulista, antifascista, antirracista e de esquerda. DEMOCRACIA. SUS🏳️‍🌈🏳️‍⚧️🏹🌵🌳🦉📚💉</v>
      </c>
      <c r="D1740" s="2">
        <f>IFERROR(__xludf.DUMMYFUNCTION("""COMPUTED_VALUE"""),1.0028027568273113E-4)</f>
        <v>0.0001002802757</v>
      </c>
      <c r="E1740" s="2" t="str">
        <f>IFERROR(__xludf.DUMMYFUNCTION("""COMPUTED_VALUE"""),"      2.574")</f>
        <v>      2.574</v>
      </c>
    </row>
    <row r="1741">
      <c r="A1741" s="2" t="str">
        <f>IFERROR(__xludf.DUMMYFUNCTION("""COMPUTED_VALUE"""),"):) 📖: semantic error and girls like girls")</f>
        <v>):) 📖: semantic error and girls like girls</v>
      </c>
      <c r="B1741" s="2" t="str">
        <f>IFERROR(__xludf.DUMMYFUNCTION("""COMPUTED_VALUE"""),"itsaynotme")</f>
        <v>itsaynotme</v>
      </c>
      <c r="C1741" s="2" t="str">
        <f>IFERROR(__xludf.DUMMYFUNCTION("""COMPUTED_VALUE"""),"nb,ace,lesbian🏳️‍🌈 ⚢ ◇ ELE/ELA ◇
🐇 OFFGUN, SANTAEARTH, BKPP,MILKLOVE, FREENBECKY, FIRSTKHAO, ENGLOT🐇 ❤️🧸 BL AND GL 🧸❤️")</f>
        <v>nb,ace,lesbian🏳️‍🌈 ⚢ ◇ ELE/ELA ◇
🐇 OFFGUN, SANTAEARTH, BKPP,MILKLOVE, FREENBECKY, FIRSTKHAO, ENGLOT🐇 ❤️🧸 BL AND GL 🧸❤️</v>
      </c>
      <c r="D1741" s="2">
        <f>IFERROR(__xludf.DUMMYFUNCTION("""COMPUTED_VALUE"""),1.0028027568273113E-4)</f>
        <v>0.0001002802757</v>
      </c>
      <c r="E1741" s="2" t="str">
        <f>IFERROR(__xludf.DUMMYFUNCTION("""COMPUTED_VALUE"""),"      1.703")</f>
        <v>      1.703</v>
      </c>
    </row>
    <row r="1742">
      <c r="A1742" s="2" t="str">
        <f>IFERROR(__xludf.DUMMYFUNCTION("""COMPUTED_VALUE"""),"Daddy Cwell")</f>
        <v>Daddy Cwell</v>
      </c>
      <c r="B1742" s="2" t="str">
        <f>IFERROR(__xludf.DUMMYFUNCTION("""COMPUTED_VALUE"""),"daddy_cwell2019")</f>
        <v>daddy_cwell2019</v>
      </c>
      <c r="C1742" s="2" t="str">
        <f>IFERROR(__xludf.DUMMYFUNCTION("""COMPUTED_VALUE"""),"🇳🇬Freedom of Humanity, Right by Individual. A Stain To One Is a Stain To All. 20/10/2020 Is a Dark Day In Our National History. We'll Never Forget🇳🇬")</f>
        <v>🇳🇬Freedom of Humanity, Right by Individual. A Stain To One Is a Stain To All. 20/10/2020 Is a Dark Day In Our National History. We'll Never Forget🇳🇬</v>
      </c>
      <c r="D1742" s="2">
        <f>IFERROR(__xludf.DUMMYFUNCTION("""COMPUTED_VALUE"""),1.0028027568273113E-4)</f>
        <v>0.0001002802757</v>
      </c>
      <c r="E1742" s="2" t="str">
        <f>IFERROR(__xludf.DUMMYFUNCTION("""COMPUTED_VALUE"""),"      1.316")</f>
        <v>      1.316</v>
      </c>
    </row>
    <row r="1743">
      <c r="A1743" s="2" t="str">
        <f>IFERROR(__xludf.DUMMYFUNCTION("""COMPUTED_VALUE"""),"Celso Silva")</f>
        <v>Celso Silva</v>
      </c>
      <c r="B1743" s="2" t="str">
        <f>IFERROR(__xludf.DUMMYFUNCTION("""COMPUTED_VALUE"""),"celsoapsil")</f>
        <v>celsoapsil</v>
      </c>
      <c r="C1743" s="2" t="str">
        <f>IFERROR(__xludf.DUMMYFUNCTION("""COMPUTED_VALUE"""),"esquerda sempre 🚩
Quero indústrias tecnológicas no Brasil.")</f>
        <v>esquerda sempre 🚩
Quero indústrias tecnológicas no Brasil.</v>
      </c>
      <c r="D1743" s="2">
        <f>IFERROR(__xludf.DUMMYFUNCTION("""COMPUTED_VALUE"""),1.0028027568273113E-4)</f>
        <v>0.0001002802757</v>
      </c>
      <c r="E1743" s="2" t="str">
        <f>IFERROR(__xludf.DUMMYFUNCTION("""COMPUTED_VALUE"""),"      4.520")</f>
        <v>      4.520</v>
      </c>
    </row>
    <row r="1744">
      <c r="A1744" s="2" t="str">
        <f>IFERROR(__xludf.DUMMYFUNCTION("""COMPUTED_VALUE"""),"A luta continua!")</f>
        <v>A luta continua!</v>
      </c>
      <c r="B1744" s="2" t="str">
        <f>IFERROR(__xludf.DUMMYFUNCTION("""COMPUTED_VALUE"""),"hfariasilva1969")</f>
        <v>hfariasilva1969</v>
      </c>
      <c r="C1744" s="2" t="str">
        <f>IFERROR(__xludf.DUMMYFUNCTION("""COMPUTED_VALUE"""),"PT de ponta a ponta. Sempre na luta! Nenhum direito a menos!")</f>
        <v>PT de ponta a ponta. Sempre na luta! Nenhum direito a menos!</v>
      </c>
      <c r="D1744" s="2">
        <f>IFERROR(__xludf.DUMMYFUNCTION("""COMPUTED_VALUE"""),1.0028027568273113E-4)</f>
        <v>0.0001002802757</v>
      </c>
      <c r="E1744" s="2" t="str">
        <f>IFERROR(__xludf.DUMMYFUNCTION("""COMPUTED_VALUE"""),"      2.790")</f>
        <v>      2.790</v>
      </c>
    </row>
    <row r="1745">
      <c r="A1745" s="2" t="str">
        <f>IFERROR(__xludf.DUMMYFUNCTION("""COMPUTED_VALUE"""),"helshman")</f>
        <v>helshman</v>
      </c>
      <c r="B1745" s="2" t="str">
        <f>IFERROR(__xludf.DUMMYFUNCTION("""COMPUTED_VALUE"""),"helshmanlacerda")</f>
        <v>helshmanlacerda</v>
      </c>
      <c r="C1745" s="2" t="str">
        <f>IFERROR(__xludf.DUMMYFUNCTION("""COMPUTED_VALUE"""),"Representante Comercial /  Historia e  Filosofia estão na minha vida !")</f>
        <v>Representante Comercial /  Historia e  Filosofia estão na minha vida !</v>
      </c>
      <c r="D1745" s="2">
        <f>IFERROR(__xludf.DUMMYFUNCTION("""COMPUTED_VALUE"""),1.0028027568273113E-4)</f>
        <v>0.0001002802757</v>
      </c>
      <c r="E1745" s="2" t="str">
        <f>IFERROR(__xludf.DUMMYFUNCTION("""COMPUTED_VALUE"""),"      1.401")</f>
        <v>      1.401</v>
      </c>
    </row>
    <row r="1746">
      <c r="A1746" s="2" t="str">
        <f>IFERROR(__xludf.DUMMYFUNCTION("""COMPUTED_VALUE"""),"☀️Sunny on the street")</f>
        <v>☀️Sunny on the street</v>
      </c>
      <c r="B1746" s="2" t="str">
        <f>IFERROR(__xludf.DUMMYFUNCTION("""COMPUTED_VALUE"""),"sopejiminie")</f>
        <v>sopejiminie</v>
      </c>
      <c r="C1746" s="2" t="str">
        <f>IFERROR(__xludf.DUMMYFUNCTION("""COMPUTED_VALUE"""),"fan account • bts army • s/her • ficwritter • sopemin utted • minors dni • 92' ♠️")</f>
        <v>fan account • bts army • s/her • ficwritter • sopemin utted • minors dni • 92' ♠️</v>
      </c>
      <c r="D1746" s="2">
        <f>IFERROR(__xludf.DUMMYFUNCTION("""COMPUTED_VALUE"""),1.0028027568273113E-4)</f>
        <v>0.0001002802757</v>
      </c>
      <c r="E1746" s="2" t="str">
        <f>IFERROR(__xludf.DUMMYFUNCTION("""COMPUTED_VALUE"""),"      1.677")</f>
        <v>      1.677</v>
      </c>
    </row>
    <row r="1747">
      <c r="A1747" s="2" t="str">
        <f>IFERROR(__xludf.DUMMYFUNCTION("""COMPUTED_VALUE"""),"Sol")</f>
        <v>Sol</v>
      </c>
      <c r="B1747" s="2" t="str">
        <f>IFERROR(__xludf.DUMMYFUNCTION("""COMPUTED_VALUE"""),"solange13288679")</f>
        <v>solange13288679</v>
      </c>
      <c r="C1747" s="2" t="str">
        <f>IFERROR(__xludf.DUMMYFUNCTION("""COMPUTED_VALUE"""),"MUITAS VEZES VOCÊ NEM PERCEBE, MAS A SUA LUZ, ILUMINA O CAMINHO DE MUITA GENTE! SEJAMOS LUZ PARA TRAZER NOSSO BRASIL DE VOLTA!         LULA LÁ! 💪")</f>
        <v>MUITAS VEZES VOCÊ NEM PERCEBE, MAS A SUA LUZ, ILUMINA O CAMINHO DE MUITA GENTE! SEJAMOS LUZ PARA TRAZER NOSSO BRASIL DE VOLTA!         LULA LÁ! 💪</v>
      </c>
      <c r="D1747" s="2">
        <f>IFERROR(__xludf.DUMMYFUNCTION("""COMPUTED_VALUE"""),1.0028027568273113E-4)</f>
        <v>0.0001002802757</v>
      </c>
      <c r="E1747" s="2" t="str">
        <f>IFERROR(__xludf.DUMMYFUNCTION("""COMPUTED_VALUE"""),"      5.383")</f>
        <v>      5.383</v>
      </c>
    </row>
    <row r="1748">
      <c r="A1748" s="2" t="str">
        <f>IFERROR(__xludf.DUMMYFUNCTION("""COMPUTED_VALUE"""),"Gilson Santos")</f>
        <v>Gilson Santos</v>
      </c>
      <c r="B1748" s="2" t="str">
        <f>IFERROR(__xludf.DUMMYFUNCTION("""COMPUTED_VALUE"""),"gilsons21698261")</f>
        <v>gilsons21698261</v>
      </c>
      <c r="C1748" s="2" t="str">
        <f>IFERROR(__xludf.DUMMYFUNCTION("""COMPUTED_VALUE"""),"Política Notícias Negócios e finanças Entretenimento Filmes Meteorologia Notícias da indústria")</f>
        <v>Política Notícias Negócios e finanças Entretenimento Filmes Meteorologia Notícias da indústria</v>
      </c>
      <c r="D1748" s="2">
        <f>IFERROR(__xludf.DUMMYFUNCTION("""COMPUTED_VALUE"""),1.0028027568273113E-4)</f>
        <v>0.0001002802757</v>
      </c>
      <c r="E1748" s="2" t="str">
        <f>IFERROR(__xludf.DUMMYFUNCTION("""COMPUTED_VALUE"""),"      1.398")</f>
        <v>      1.398</v>
      </c>
    </row>
    <row r="1749">
      <c r="A1749" s="2" t="str">
        <f>IFERROR(__xludf.DUMMYFUNCTION("""COMPUTED_VALUE"""),"alice 🪩 saw AM !!")</f>
        <v>alice 🪩 saw AM !!</v>
      </c>
      <c r="B1749" s="2" t="str">
        <f>IFERROR(__xludf.DUMMYFUNCTION("""COMPUTED_VALUE"""),"dr3cl16")</f>
        <v>dr3cl16</v>
      </c>
      <c r="C1749" s="2" t="str">
        <f>IFERROR(__xludf.DUMMYFUNCTION("""COMPUTED_VALUE"""),"charles leclerc’s real gf 💌 | @5SOS")</f>
        <v>charles leclerc’s real gf 💌 | @5SOS</v>
      </c>
      <c r="D1749" s="2">
        <f>IFERROR(__xludf.DUMMYFUNCTION("""COMPUTED_VALUE"""),1.0028027568273113E-4)</f>
        <v>0.0001002802757</v>
      </c>
      <c r="E1749" s="2" t="str">
        <f>IFERROR(__xludf.DUMMYFUNCTION("""COMPUTED_VALUE"""),"      1.386")</f>
        <v>      1.386</v>
      </c>
    </row>
    <row r="1750">
      <c r="A1750" s="2" t="str">
        <f>IFERROR(__xludf.DUMMYFUNCTION("""COMPUTED_VALUE"""),"Jady Bragança")</f>
        <v>Jady Bragança</v>
      </c>
      <c r="B1750" s="2" t="str">
        <f>IFERROR(__xludf.DUMMYFUNCTION("""COMPUTED_VALUE"""),"jady_braganca")</f>
        <v>jady_braganca</v>
      </c>
      <c r="C1750" s="2" t="str">
        <f>IFERROR(__xludf.DUMMYFUNCTION("""COMPUTED_VALUE"""),"Nossa democracia começou a morrer quando, na tribuna da Câmara, um deputado federal homenageou Ustra e não saiu de lá algemado. 🚩🚩🚩")</f>
        <v>Nossa democracia começou a morrer quando, na tribuna da Câmara, um deputado federal homenageou Ustra e não saiu de lá algemado. 🚩🚩🚩</v>
      </c>
      <c r="D1750" s="2">
        <f>IFERROR(__xludf.DUMMYFUNCTION("""COMPUTED_VALUE"""),1.0028027568273113E-4)</f>
        <v>0.0001002802757</v>
      </c>
      <c r="E1750" s="2" t="str">
        <f>IFERROR(__xludf.DUMMYFUNCTION("""COMPUTED_VALUE"""),"      1.445")</f>
        <v>      1.445</v>
      </c>
    </row>
    <row r="1751">
      <c r="A1751" s="2" t="str">
        <f>IFERROR(__xludf.DUMMYFUNCTION("""COMPUTED_VALUE"""),"Politiza MT")</f>
        <v>Politiza MT</v>
      </c>
      <c r="B1751" s="2" t="str">
        <f>IFERROR(__xludf.DUMMYFUNCTION("""COMPUTED_VALUE"""),"politizamt")</f>
        <v>politizamt</v>
      </c>
      <c r="C1751" s="2" t="str">
        <f>IFERROR(__xludf.DUMMYFUNCTION("""COMPUTED_VALUE"""),"Alfabetização Política")</f>
        <v>Alfabetização Política</v>
      </c>
      <c r="D1751" s="2">
        <f>IFERROR(__xludf.DUMMYFUNCTION("""COMPUTED_VALUE"""),1.0028027568273113E-4)</f>
        <v>0.0001002802757</v>
      </c>
      <c r="E1751" s="2" t="str">
        <f>IFERROR(__xludf.DUMMYFUNCTION("""COMPUTED_VALUE"""),"      6.305")</f>
        <v>      6.305</v>
      </c>
    </row>
    <row r="1752">
      <c r="A1752" s="2" t="str">
        <f>IFERROR(__xludf.DUMMYFUNCTION("""COMPUTED_VALUE"""),"Rosária")</f>
        <v>Rosária</v>
      </c>
      <c r="B1752" s="2" t="str">
        <f>IFERROR(__xludf.DUMMYFUNCTION("""COMPUTED_VALUE"""),"mariarosariagf")</f>
        <v>mariarosariagf</v>
      </c>
      <c r="C1752" s="2" t="str">
        <f>IFERROR(__xludf.DUMMYFUNCTION("""COMPUTED_VALUE"""),"Carioca, divorciada, conservadora.🇧🇷🇧🇷🇧🇷
Atravessando momentos difíceis, conheci o melhor de mim e o pior de algumas pessoas...🎭")</f>
        <v>Carioca, divorciada, conservadora.🇧🇷🇧🇷🇧🇷
Atravessando momentos difíceis, conheci o melhor de mim e o pior de algumas pessoas...🎭</v>
      </c>
      <c r="D1752" s="2">
        <f>IFERROR(__xludf.DUMMYFUNCTION("""COMPUTED_VALUE"""),1.0028027568273113E-4)</f>
        <v>0.0001002802757</v>
      </c>
      <c r="E1752" s="2" t="str">
        <f>IFERROR(__xludf.DUMMYFUNCTION("""COMPUTED_VALUE"""),"      2.110")</f>
        <v>      2.110</v>
      </c>
    </row>
    <row r="1753">
      <c r="A1753" s="2" t="str">
        <f>IFERROR(__xludf.DUMMYFUNCTION("""COMPUTED_VALUE"""),"luluonti")</f>
        <v>luluonti</v>
      </c>
      <c r="B1753" s="2" t="str">
        <f>IFERROR(__xludf.DUMMYFUNCTION("""COMPUTED_VALUE"""),"luluonti")</f>
        <v>luluonti</v>
      </c>
      <c r="C1753" s="2" t="str">
        <f>IFERROR(__xludf.DUMMYFUNCTION("""COMPUTED_VALUE"""),"Ecologista y solidaria. #PeaceAndLove   #FreePalestine 
#BlackLivesMatter  #Justice     Educ. y Psic.  Autora de ""Mujeres en Rebeldía"" 
https://t.co/wT21GJdrUC")</f>
        <v>Ecologista y solidaria. #PeaceAndLove   #FreePalestine 
#BlackLivesMatter  #Justice     Educ. y Psic.  Autora de "Mujeres en Rebeldía" 
https://t.co/wT21GJdrUC</v>
      </c>
      <c r="D1753" s="2">
        <f>IFERROR(__xludf.DUMMYFUNCTION("""COMPUTED_VALUE"""),1.0028027568273113E-4)</f>
        <v>0.0001002802757</v>
      </c>
      <c r="E1753" s="2" t="str">
        <f>IFERROR(__xludf.DUMMYFUNCTION("""COMPUTED_VALUE"""),"      1.138")</f>
        <v>      1.138</v>
      </c>
    </row>
    <row r="1754">
      <c r="A1754" s="2" t="str">
        <f>IFERROR(__xludf.DUMMYFUNCTION("""COMPUTED_VALUE"""),"Mario - O POVO É O PODER.")</f>
        <v>Mario - O POVO É O PODER.</v>
      </c>
      <c r="B1754" s="2" t="str">
        <f>IFERROR(__xludf.DUMMYFUNCTION("""COMPUTED_VALUE"""),"mariomarcio25")</f>
        <v>mariomarcio25</v>
      </c>
      <c r="C1754" s="2" t="str">
        <f>IFERROR(__xludf.DUMMYFUNCTION("""COMPUTED_VALUE"""),"A ciência é um modo de conhecer fundamentado em um método, o método científico. O método é o modo de funcionamento das ciências, é fundamentado na observação.")</f>
        <v>A ciência é um modo de conhecer fundamentado em um método, o método científico. O método é o modo de funcionamento das ciências, é fundamentado na observação.</v>
      </c>
      <c r="D1754" s="2">
        <f>IFERROR(__xludf.DUMMYFUNCTION("""COMPUTED_VALUE"""),1.0028027568273113E-4)</f>
        <v>0.0001002802757</v>
      </c>
      <c r="E1754" s="2" t="str">
        <f>IFERROR(__xludf.DUMMYFUNCTION("""COMPUTED_VALUE"""),"      5.012")</f>
        <v>      5.012</v>
      </c>
    </row>
    <row r="1755">
      <c r="A1755" s="2" t="str">
        <f>IFERROR(__xludf.DUMMYFUNCTION("""COMPUTED_VALUE"""),"indiara🌈🚩🇧🇷")</f>
        <v>indiara🌈🚩🇧🇷</v>
      </c>
      <c r="B1755" s="2" t="str">
        <f>IFERROR(__xludf.DUMMYFUNCTION("""COMPUTED_VALUE"""),"indi_eu_avisei")</f>
        <v>indi_eu_avisei</v>
      </c>
      <c r="C1755" s="2" t="str">
        <f>IFERROR(__xludf.DUMMYFUNCTION("""COMPUTED_VALUE"""),"Flamenguista,Esquerdista 💘#Casada💕👭💍🥰#Resistência")</f>
        <v>Flamenguista,Esquerdista 💘#Casada💕👭💍🥰#Resistência</v>
      </c>
      <c r="D1755" s="2">
        <f>IFERROR(__xludf.DUMMYFUNCTION("""COMPUTED_VALUE"""),1.0028027568273113E-4)</f>
        <v>0.0001002802757</v>
      </c>
      <c r="E1755" s="2" t="str">
        <f>IFERROR(__xludf.DUMMYFUNCTION("""COMPUTED_VALUE"""),"      4.090")</f>
        <v>      4.090</v>
      </c>
    </row>
    <row r="1756">
      <c r="A1756" s="2" t="str">
        <f>IFERROR(__xludf.DUMMYFUNCTION("""COMPUTED_VALUE"""),"jose marques dos santos")</f>
        <v>jose marques dos santos</v>
      </c>
      <c r="B1756" s="2" t="str">
        <f>IFERROR(__xludf.DUMMYFUNCTION("""COMPUTED_VALUE"""),"josemssantos")</f>
        <v>josemssantos</v>
      </c>
      <c r="C1756" s="2" t="str">
        <f>IFERROR(__xludf.DUMMYFUNCTION("""COMPUTED_VALUE"""),"""Que tempos são estes, em que temos de defender o óbvio?"", Bertolt Brecht")</f>
        <v>"Que tempos são estes, em que temos de defender o óbvio?", Bertolt Brecht</v>
      </c>
      <c r="D1756" s="2">
        <f>IFERROR(__xludf.DUMMYFUNCTION("""COMPUTED_VALUE"""),1.0028027568273113E-4)</f>
        <v>0.0001002802757</v>
      </c>
      <c r="E1756" s="2" t="str">
        <f>IFERROR(__xludf.DUMMYFUNCTION("""COMPUTED_VALUE"""),"      3.992")</f>
        <v>      3.992</v>
      </c>
    </row>
    <row r="1757">
      <c r="A1757" s="2" t="str">
        <f>IFERROR(__xludf.DUMMYFUNCTION("""COMPUTED_VALUE"""),"Flamarri")</f>
        <v>Flamarri</v>
      </c>
      <c r="B1757" s="2" t="str">
        <f>IFERROR(__xludf.DUMMYFUNCTION("""COMPUTED_VALUE"""),"flamarri")</f>
        <v>flamarri</v>
      </c>
      <c r="C1757" s="2" t="str">
        <f>IFERROR(__xludf.DUMMYFUNCTION("""COMPUTED_VALUE"""),"Pai, cientista, arquiteto e músico.
Uma sociedade mais controlada não tem coragem de se expressar.")</f>
        <v>Pai, cientista, arquiteto e músico.
Uma sociedade mais controlada não tem coragem de se expressar.</v>
      </c>
      <c r="D1757" s="2">
        <f>IFERROR(__xludf.DUMMYFUNCTION("""COMPUTED_VALUE"""),1.0028027568273113E-4)</f>
        <v>0.0001002802757</v>
      </c>
      <c r="E1757" s="2" t="str">
        <f>IFERROR(__xludf.DUMMYFUNCTION("""COMPUTED_VALUE"""),"      1.037")</f>
        <v>      1.037</v>
      </c>
    </row>
    <row r="1758">
      <c r="A1758" s="2" t="str">
        <f>IFERROR(__xludf.DUMMYFUNCTION("""COMPUTED_VALUE"""),"José G Teodoro")</f>
        <v>José G Teodoro</v>
      </c>
      <c r="B1758" s="2" t="str">
        <f>IFERROR(__xludf.DUMMYFUNCTION("""COMPUTED_VALUE"""),"josephgteodoro")</f>
        <v>josephgteodoro</v>
      </c>
      <c r="C1758" s="2" t="str">
        <f>IFERROR(__xludf.DUMMYFUNCTION("""COMPUTED_VALUE"""),"Finalmente o Brasil vai ficar zen!")</f>
        <v>Finalmente o Brasil vai ficar zen!</v>
      </c>
      <c r="D1758" s="2">
        <f>IFERROR(__xludf.DUMMYFUNCTION("""COMPUTED_VALUE"""),1.0028027568273113E-4)</f>
        <v>0.0001002802757</v>
      </c>
      <c r="E1758" s="2" t="str">
        <f>IFERROR(__xludf.DUMMYFUNCTION("""COMPUTED_VALUE"""),"      1.213")</f>
        <v>      1.213</v>
      </c>
    </row>
    <row r="1759">
      <c r="A1759" s="2" t="str">
        <f>IFERROR(__xludf.DUMMYFUNCTION("""COMPUTED_VALUE"""),"Beatriz")</f>
        <v>Beatriz</v>
      </c>
      <c r="B1759" s="2" t="str">
        <f>IFERROR(__xludf.DUMMYFUNCTION("""COMPUTED_VALUE"""),"beatrizbialind2")</f>
        <v>beatrizbialind2</v>
      </c>
      <c r="C1759" s="2"/>
      <c r="D1759" s="2">
        <f>IFERROR(__xludf.DUMMYFUNCTION("""COMPUTED_VALUE"""),1.0028027568273113E-4)</f>
        <v>0.0001002802757</v>
      </c>
      <c r="E1759" s="2" t="str">
        <f>IFERROR(__xludf.DUMMYFUNCTION("""COMPUTED_VALUE"""),"      2.578")</f>
        <v>      2.578</v>
      </c>
    </row>
    <row r="1760">
      <c r="A1760" s="2" t="str">
        <f>IFERROR(__xludf.DUMMYFUNCTION("""COMPUTED_VALUE"""),"ليفي")</f>
        <v>ليفي</v>
      </c>
      <c r="B1760" s="2" t="str">
        <f>IFERROR(__xludf.DUMMYFUNCTION("""COMPUTED_VALUE"""),"levi_de_souza")</f>
        <v>levi_de_souza</v>
      </c>
      <c r="C1760" s="2"/>
      <c r="D1760" s="2">
        <f>IFERROR(__xludf.DUMMYFUNCTION("""COMPUTED_VALUE"""),1.0028027568273113E-4)</f>
        <v>0.0001002802757</v>
      </c>
      <c r="E1760" s="2" t="str">
        <f>IFERROR(__xludf.DUMMYFUNCTION("""COMPUTED_VALUE"""),"      1.003")</f>
        <v>      1.003</v>
      </c>
    </row>
    <row r="1761">
      <c r="A1761" s="2" t="str">
        <f>IFERROR(__xludf.DUMMYFUNCTION("""COMPUTED_VALUE"""),"vera l ricardo facci")</f>
        <v>vera l ricardo facci</v>
      </c>
      <c r="B1761" s="2" t="str">
        <f>IFERROR(__xludf.DUMMYFUNCTION("""COMPUTED_VALUE"""),"facci__")</f>
        <v>facci__</v>
      </c>
      <c r="C1761" s="2" t="str">
        <f>IFERROR(__xludf.DUMMYFUNCTION("""COMPUTED_VALUE"""),"psicóloga bancária matemática  patriota🇧🇷🇧🇷🇧🇷🇧🇷🇧🇷🇧🇷")</f>
        <v>psicóloga bancária matemática  patriota🇧🇷🇧🇷🇧🇷🇧🇷🇧🇷🇧🇷</v>
      </c>
      <c r="D1761" s="2">
        <f>IFERROR(__xludf.DUMMYFUNCTION("""COMPUTED_VALUE"""),1.0028027568273113E-4)</f>
        <v>0.0001002802757</v>
      </c>
      <c r="E1761" s="2" t="str">
        <f>IFERROR(__xludf.DUMMYFUNCTION("""COMPUTED_VALUE"""),"      4.779")</f>
        <v>      4.779</v>
      </c>
    </row>
    <row r="1762">
      <c r="A1762" s="2" t="str">
        <f>IFERROR(__xludf.DUMMYFUNCTION("""COMPUTED_VALUE"""),"Fazueli da Silva Santos")</f>
        <v>Fazueli da Silva Santos</v>
      </c>
      <c r="B1762" s="2" t="str">
        <f>IFERROR(__xludf.DUMMYFUNCTION("""COMPUTED_VALUE"""),"ze_povao_")</f>
        <v>ze_povao_</v>
      </c>
      <c r="C1762" s="2" t="str">
        <f>IFERROR(__xludf.DUMMYFUNCTION("""COMPUTED_VALUE"""),"Na luta")</f>
        <v>Na luta</v>
      </c>
      <c r="D1762" s="2">
        <f>IFERROR(__xludf.DUMMYFUNCTION("""COMPUTED_VALUE"""),1.0028027568273113E-4)</f>
        <v>0.0001002802757</v>
      </c>
      <c r="E1762" s="2" t="str">
        <f>IFERROR(__xludf.DUMMYFUNCTION("""COMPUTED_VALUE"""),"      1.329")</f>
        <v>      1.329</v>
      </c>
    </row>
    <row r="1763">
      <c r="A1763" s="2" t="str">
        <f>IFERROR(__xludf.DUMMYFUNCTION("""COMPUTED_VALUE"""),"Santaroni ᶜʳᶠ")</f>
        <v>Santaroni ᶜʳᶠ</v>
      </c>
      <c r="B1763" s="2" t="str">
        <f>IFERROR(__xludf.DUMMYFUNCTION("""COMPUTED_VALUE"""),"santaroni7")</f>
        <v>santaroni7</v>
      </c>
      <c r="C1763" s="2" t="str">
        <f>IFERROR(__xludf.DUMMYFUNCTION("""COMPUTED_VALUE"""),"@Flamengo")</f>
        <v>@Flamengo</v>
      </c>
      <c r="D1763" s="2">
        <f>IFERROR(__xludf.DUMMYFUNCTION("""COMPUTED_VALUE"""),1.0028027568273113E-4)</f>
        <v>0.0001002802757</v>
      </c>
      <c r="E1763" s="2" t="str">
        <f>IFERROR(__xludf.DUMMYFUNCTION("""COMPUTED_VALUE"""),"      5.473")</f>
        <v>      5.473</v>
      </c>
    </row>
    <row r="1764">
      <c r="A1764" s="2" t="str">
        <f>IFERROR(__xludf.DUMMYFUNCTION("""COMPUTED_VALUE"""),"Denis🇧🇷🇦🇲🌹")</f>
        <v>Denis🇧🇷🇦🇲🌹</v>
      </c>
      <c r="B1764" s="2" t="str">
        <f>IFERROR(__xludf.DUMMYFUNCTION("""COMPUTED_VALUE"""),"denis_humanos")</f>
        <v>denis_humanos</v>
      </c>
      <c r="C1764" s="2" t="str">
        <f>IFERROR(__xludf.DUMMYFUNCTION("""COMPUTED_VALUE"""),"artes visuais, política, cotidiano, direitos humanos")</f>
        <v>artes visuais, política, cotidiano, direitos humanos</v>
      </c>
      <c r="D1764" s="2">
        <f>IFERROR(__xludf.DUMMYFUNCTION("""COMPUTED_VALUE"""),1.0028027568273113E-4)</f>
        <v>0.0001002802757</v>
      </c>
      <c r="E1764" s="2" t="str">
        <f>IFERROR(__xludf.DUMMYFUNCTION("""COMPUTED_VALUE"""),"      1.591")</f>
        <v>      1.591</v>
      </c>
    </row>
    <row r="1765">
      <c r="A1765" s="2" t="str">
        <f>IFERROR(__xludf.DUMMYFUNCTION("""COMPUTED_VALUE"""),"Christian Michel Spadoto")</f>
        <v>Christian Michel Spadoto</v>
      </c>
      <c r="B1765" s="2" t="str">
        <f>IFERROR(__xludf.DUMMYFUNCTION("""COMPUTED_VALUE"""),"chris_spadoto")</f>
        <v>chris_spadoto</v>
      </c>
      <c r="C1765" s="2" t="str">
        <f>IFERROR(__xludf.DUMMYFUNCTION("""COMPUTED_VALUE"""),"LIBERDADE!!! 🇧🇷 🇺🇸🇮🇱🗡️🛡️🥛
#SayNoToBillGates
#NoNewNormal
@Palmeiras
@Spadoto4conta")</f>
        <v>LIBERDADE!!! 🇧🇷 🇺🇸🇮🇱🗡️🛡️🥛
#SayNoToBillGates
#NoNewNormal
@Palmeiras
@Spadoto4conta</v>
      </c>
      <c r="D1765" s="2">
        <f>IFERROR(__xludf.DUMMYFUNCTION("""COMPUTED_VALUE"""),1.0028027568273113E-4)</f>
        <v>0.0001002802757</v>
      </c>
      <c r="E1765" s="2" t="str">
        <f>IFERROR(__xludf.DUMMYFUNCTION("""COMPUTED_VALUE"""),"      1.936")</f>
        <v>      1.936</v>
      </c>
    </row>
    <row r="1766">
      <c r="A1766" s="2" t="str">
        <f>IFERROR(__xludf.DUMMYFUNCTION("""COMPUTED_VALUE"""),"I Am the katycat")</f>
        <v>I Am the katycat</v>
      </c>
      <c r="B1766" s="2" t="str">
        <f>IFERROR(__xludf.DUMMYFUNCTION("""COMPUTED_VALUE"""),"rick_sant_1998")</f>
        <v>rick_sant_1998</v>
      </c>
      <c r="C1766" s="2" t="str">
        <f>IFERROR(__xludf.DUMMYFUNCTION("""COMPUTED_VALUE"""),"Como dizia a contemporânea Katy Perry:
                  - Então eu respiro fundo e salvo como rascunho.")</f>
        <v>Como dizia a contemporânea Katy Perry:
                  - Então eu respiro fundo e salvo como rascunho.</v>
      </c>
      <c r="D1766" s="2">
        <f>IFERROR(__xludf.DUMMYFUNCTION("""COMPUTED_VALUE"""),1.0028027568273113E-4)</f>
        <v>0.0001002802757</v>
      </c>
      <c r="E1766" s="2" t="str">
        <f>IFERROR(__xludf.DUMMYFUNCTION("""COMPUTED_VALUE"""),"      1.073")</f>
        <v>      1.073</v>
      </c>
    </row>
    <row r="1767">
      <c r="A1767" s="2" t="str">
        <f>IFERROR(__xludf.DUMMYFUNCTION("""COMPUTED_VALUE"""),"𝗞𝝠𝗟𝗜𝗭")</f>
        <v>𝗞𝝠𝗟𝗜𝗭</v>
      </c>
      <c r="B1767" s="2" t="str">
        <f>IFERROR(__xludf.DUMMYFUNCTION("""COMPUTED_VALUE"""),"kalizof")</f>
        <v>kalizof</v>
      </c>
      <c r="C1767" s="2" t="str">
        <f>IFERROR(__xludf.DUMMYFUNCTION("""COMPUTED_VALUE"""),"anitta, anitta, so grad to meet ya @anitta @jaoromania @amarinasena")</f>
        <v>anitta, anitta, so grad to meet ya @anitta @jaoromania @amarinasena</v>
      </c>
      <c r="D1767" s="2">
        <f>IFERROR(__xludf.DUMMYFUNCTION("""COMPUTED_VALUE"""),1.0028027568273113E-4)</f>
        <v>0.0001002802757</v>
      </c>
      <c r="E1767" s="2" t="str">
        <f>IFERROR(__xludf.DUMMYFUNCTION("""COMPUTED_VALUE"""),"      1.719")</f>
        <v>      1.719</v>
      </c>
    </row>
    <row r="1768">
      <c r="A1768" s="2" t="str">
        <f>IFERROR(__xludf.DUMMYFUNCTION("""COMPUTED_VALUE"""),"Afonso")</f>
        <v>Afonso</v>
      </c>
      <c r="B1768" s="2" t="str">
        <f>IFERROR(__xludf.DUMMYFUNCTION("""COMPUTED_VALUE"""),"afonsocar_")</f>
        <v>afonsocar_</v>
      </c>
      <c r="C1768" s="2" t="str">
        <f>IFERROR(__xludf.DUMMYFUNCTION("""COMPUTED_VALUE"""),"🇵🇹🇨🇭. Classical Liberal. Travel enthusiast. Free Spirit. Opinions are my own. Follows / likes / RT’s ≠ endorsements.")</f>
        <v>🇵🇹🇨🇭. Classical Liberal. Travel enthusiast. Free Spirit. Opinions are my own. Follows / likes / RT’s ≠ endorsements.</v>
      </c>
      <c r="D1768" s="2">
        <f>IFERROR(__xludf.DUMMYFUNCTION("""COMPUTED_VALUE"""),1.0028027568273113E-4)</f>
        <v>0.0001002802757</v>
      </c>
      <c r="E1768" s="2" t="str">
        <f>IFERROR(__xludf.DUMMYFUNCTION("""COMPUTED_VALUE"""),"      2.237")</f>
        <v>      2.237</v>
      </c>
    </row>
    <row r="1769">
      <c r="A1769" s="2" t="str">
        <f>IFERROR(__xludf.DUMMYFUNCTION("""COMPUTED_VALUE"""),"cm - @cmaximino@c.im")</f>
        <v>cm - @cmaximino@c.im</v>
      </c>
      <c r="B1769" s="2" t="str">
        <f>IFERROR(__xludf.DUMMYFUNCTION("""COMPUTED_VALUE"""),"caio_maximino")</f>
        <v>caio_maximino</v>
      </c>
      <c r="C1769" s="2" t="str">
        <f>IFERROR(__xludf.DUMMYFUNCTION("""COMPUTED_VALUE"""),"O século 30 vencerá.! 
Ressucita-me para que ninguém mais tenha que sacrificar-se por uma casa, um buraco. 
Ressucita-me para que o Pai seja ao menos o Universo")</f>
        <v>O século 30 vencerá.! 
Ressucita-me para que ninguém mais tenha que sacrificar-se por uma casa, um buraco. 
Ressucita-me para que o Pai seja ao menos o Universo</v>
      </c>
      <c r="D1769" s="2">
        <f>IFERROR(__xludf.DUMMYFUNCTION("""COMPUTED_VALUE"""),1.0028027568273113E-4)</f>
        <v>0.0001002802757</v>
      </c>
      <c r="E1769" s="2" t="str">
        <f>IFERROR(__xludf.DUMMYFUNCTION("""COMPUTED_VALUE"""),"      1.541")</f>
        <v>      1.541</v>
      </c>
    </row>
    <row r="1770">
      <c r="A1770" s="2" t="str">
        <f>IFERROR(__xludf.DUMMYFUNCTION("""COMPUTED_VALUE"""),"CHANCELERSP")</f>
        <v>CHANCELERSP</v>
      </c>
      <c r="B1770" s="2" t="str">
        <f>IFERROR(__xludf.DUMMYFUNCTION("""COMPUTED_VALUE"""),"chancelersp")</f>
        <v>chancelersp</v>
      </c>
      <c r="C1770" s="2" t="str">
        <f>IFERROR(__xludf.DUMMYFUNCTION("""COMPUTED_VALUE"""),"Professional Headcoach F/A,Diretor de eSports Academy (?), Talent Development/Aquisition e Scouting Lead. SEP. ENG-ESP-PT. CEO ACR")</f>
        <v>Professional Headcoach F/A,Diretor de eSports Academy (?), Talent Development/Aquisition e Scouting Lead. SEP. ENG-ESP-PT. CEO ACR</v>
      </c>
      <c r="D1770" s="2">
        <f>IFERROR(__xludf.DUMMYFUNCTION("""COMPUTED_VALUE"""),1.0028027568273113E-4)</f>
        <v>0.0001002802757</v>
      </c>
      <c r="E1770" s="2" t="str">
        <f>IFERROR(__xludf.DUMMYFUNCTION("""COMPUTED_VALUE"""),"      1.235")</f>
        <v>      1.235</v>
      </c>
    </row>
    <row r="1771">
      <c r="A1771" s="2" t="str">
        <f>IFERROR(__xludf.DUMMYFUNCTION("""COMPUTED_VALUE"""),"Millennial Bastard👨🏾‍🦲")</f>
        <v>Millennial Bastard👨🏾‍🦲</v>
      </c>
      <c r="B1771" s="2" t="str">
        <f>IFERROR(__xludf.DUMMYFUNCTION("""COMPUTED_VALUE"""),"94_bastard")</f>
        <v>94_bastard</v>
      </c>
      <c r="C1771" s="2" t="str">
        <f>IFERROR(__xludf.DUMMYFUNCTION("""COMPUTED_VALUE"""),"He/Him - Art - Politics- the gay version of Masculinity, criminologist - and overall future machiavellian supervillain 🫅🏿🇦🇴🇳🇦🇬🇧🇵🇹")</f>
        <v>He/Him - Art - Politics- the gay version of Masculinity, criminologist - and overall future machiavellian supervillain 🫅🏿🇦🇴🇳🇦🇬🇧🇵🇹</v>
      </c>
      <c r="D1771" s="2">
        <f>IFERROR(__xludf.DUMMYFUNCTION("""COMPUTED_VALUE"""),1.0028027568273113E-4)</f>
        <v>0.0001002802757</v>
      </c>
      <c r="E1771" s="2" t="str">
        <f>IFERROR(__xludf.DUMMYFUNCTION("""COMPUTED_VALUE"""),"      1.008")</f>
        <v>      1.008</v>
      </c>
    </row>
    <row r="1772">
      <c r="A1772" s="2" t="str">
        <f>IFERROR(__xludf.DUMMYFUNCTION("""COMPUTED_VALUE"""),"Emilystellaemi2")</f>
        <v>Emilystellaemi2</v>
      </c>
      <c r="B1772" s="2" t="str">
        <f>IFERROR(__xludf.DUMMYFUNCTION("""COMPUTED_VALUE"""),"emilystellaemi2")</f>
        <v>emilystellaemi2</v>
      </c>
      <c r="C1772" s="2" t="str">
        <f>IFERROR(__xludf.DUMMYFUNCTION("""COMPUTED_VALUE"""),"RIDERE È UNA COSA SERIA😂
NIENTE POLITICA")</f>
        <v>RIDERE È UNA COSA SERIA😂
NIENTE POLITICA</v>
      </c>
      <c r="D1772" s="2">
        <f>IFERROR(__xludf.DUMMYFUNCTION("""COMPUTED_VALUE"""),1.0028027568273113E-4)</f>
        <v>0.0001002802757</v>
      </c>
      <c r="E1772" s="2" t="str">
        <f>IFERROR(__xludf.DUMMYFUNCTION("""COMPUTED_VALUE"""),"     13.877")</f>
        <v>     13.877</v>
      </c>
    </row>
    <row r="1773">
      <c r="A1773" s="2" t="str">
        <f>IFERROR(__xludf.DUMMYFUNCTION("""COMPUTED_VALUE"""),"🌻Gisa 💚💛")</f>
        <v>🌻Gisa 💚💛</v>
      </c>
      <c r="B1773" s="2" t="str">
        <f>IFERROR(__xludf.DUMMYFUNCTION("""COMPUTED_VALUE"""),"coresdajustica")</f>
        <v>coresdajustica</v>
      </c>
      <c r="C1773" s="2" t="str">
        <f>IFERROR(__xludf.DUMMYFUNCTION("""COMPUTED_VALUE"""),"João 16:33
Eu lhes disse essas coisas para que em mim vocês tenham paz. Neste mundo vocês terão aflições; contudo, tenham ânimo! Eu venci o mundo.")</f>
        <v>João 16:33
Eu lhes disse essas coisas para que em mim vocês tenham paz. Neste mundo vocês terão aflições; contudo, tenham ânimo! Eu venci o mundo.</v>
      </c>
      <c r="D1773" s="2">
        <f>IFERROR(__xludf.DUMMYFUNCTION("""COMPUTED_VALUE"""),1.0028027568273113E-4)</f>
        <v>0.0001002802757</v>
      </c>
      <c r="E1773" s="2" t="str">
        <f>IFERROR(__xludf.DUMMYFUNCTION("""COMPUTED_VALUE"""),"      2.976")</f>
        <v>      2.976</v>
      </c>
    </row>
    <row r="1774">
      <c r="A1774" s="2" t="str">
        <f>IFERROR(__xludf.DUMMYFUNCTION("""COMPUTED_VALUE"""),"BRASIL ACIMA DE TUDO DEUS ACIMA DE TODOS")</f>
        <v>BRASIL ACIMA DE TUDO DEUS ACIMA DE TODOS</v>
      </c>
      <c r="B1774" s="2" t="str">
        <f>IFERROR(__xludf.DUMMYFUNCTION("""COMPUTED_VALUE"""),"mariasocorrobr4")</f>
        <v>mariasocorrobr4</v>
      </c>
      <c r="C1774" s="2"/>
      <c r="D1774" s="2">
        <f>IFERROR(__xludf.DUMMYFUNCTION("""COMPUTED_VALUE"""),1.0028027568273113E-4)</f>
        <v>0.0001002802757</v>
      </c>
      <c r="E1774" s="2" t="str">
        <f>IFERROR(__xludf.DUMMYFUNCTION("""COMPUTED_VALUE"""),"      2.491")</f>
        <v>      2.491</v>
      </c>
    </row>
    <row r="1775">
      <c r="A1775" s="2" t="str">
        <f>IFERROR(__xludf.DUMMYFUNCTION("""COMPUTED_VALUE"""),"Dayse")</f>
        <v>Dayse</v>
      </c>
      <c r="B1775" s="2" t="str">
        <f>IFERROR(__xludf.DUMMYFUNCTION("""COMPUTED_VALUE"""),"dayserp1")</f>
        <v>dayserp1</v>
      </c>
      <c r="C1775" s="2"/>
      <c r="D1775" s="2">
        <f>IFERROR(__xludf.DUMMYFUNCTION("""COMPUTED_VALUE"""),1.0028027568273113E-4)</f>
        <v>0.0001002802757</v>
      </c>
      <c r="E1775" s="2" t="str">
        <f>IFERROR(__xludf.DUMMYFUNCTION("""COMPUTED_VALUE"""),"      1.145")</f>
        <v>      1.145</v>
      </c>
    </row>
    <row r="1776">
      <c r="A1776" s="2" t="str">
        <f>IFERROR(__xludf.DUMMYFUNCTION("""COMPUTED_VALUE"""),"Moacyr e Sandra")</f>
        <v>Moacyr e Sandra</v>
      </c>
      <c r="B1776" s="2" t="str">
        <f>IFERROR(__xludf.DUMMYFUNCTION("""COMPUTED_VALUE"""),"moacyresandra")</f>
        <v>moacyresandra</v>
      </c>
      <c r="C1776" s="2" t="str">
        <f>IFERROR(__xludf.DUMMYFUNCTION("""COMPUTED_VALUE"""),"Duo Moacyr e Sandra, afinados com a  música. Cantores de música caipira e demais estilos. Comprometidos com a qualidade e sonoridade musicais.")</f>
        <v>Duo Moacyr e Sandra, afinados com a  música. Cantores de música caipira e demais estilos. Comprometidos com a qualidade e sonoridade musicais.</v>
      </c>
      <c r="D1776" s="2">
        <f>IFERROR(__xludf.DUMMYFUNCTION("""COMPUTED_VALUE"""),1.0028027568273113E-4)</f>
        <v>0.0001002802757</v>
      </c>
      <c r="E1776" s="2" t="str">
        <f>IFERROR(__xludf.DUMMYFUNCTION("""COMPUTED_VALUE"""),"      1.141")</f>
        <v>      1.141</v>
      </c>
    </row>
    <row r="1777">
      <c r="A1777" s="2" t="str">
        <f>IFERROR(__xludf.DUMMYFUNCTION("""COMPUTED_VALUE"""),"Coringa 🇧🇷")</f>
        <v>Coringa 🇧🇷</v>
      </c>
      <c r="B1777" s="2" t="str">
        <f>IFERROR(__xludf.DUMMYFUNCTION("""COMPUTED_VALUE"""),"ottikalf")</f>
        <v>ottikalf</v>
      </c>
      <c r="C1777" s="2" t="str">
        <f>IFERROR(__xludf.DUMMYFUNCTION("""COMPUTED_VALUE"""),"Defendendo o legado do Presidente Bolsonaro e apoiando o Partido Liberal")</f>
        <v>Defendendo o legado do Presidente Bolsonaro e apoiando o Partido Liberal</v>
      </c>
      <c r="D1777" s="2">
        <f>IFERROR(__xludf.DUMMYFUNCTION("""COMPUTED_VALUE"""),1.0028027568273113E-4)</f>
        <v>0.0001002802757</v>
      </c>
      <c r="E1777" s="2" t="str">
        <f>IFERROR(__xludf.DUMMYFUNCTION("""COMPUTED_VALUE"""),"      2.502")</f>
        <v>      2.502</v>
      </c>
    </row>
    <row r="1778">
      <c r="A1778" s="2" t="str">
        <f>IFERROR(__xludf.DUMMYFUNCTION("""COMPUTED_VALUE"""),"Carol petista anti-ong🇺🇲")</f>
        <v>Carol petista anti-ong🇺🇲</v>
      </c>
      <c r="B1778" s="2" t="str">
        <f>IFERROR(__xludf.DUMMYFUNCTION("""COMPUTED_VALUE"""),"caroline9479")</f>
        <v>caroline9479</v>
      </c>
      <c r="C1778" s="2" t="str">
        <f>IFERROR(__xludf.DUMMYFUNCTION("""COMPUTED_VALUE"""),"Bacharel de Direito,casada e Petista 
Meu Twitter, minhas regras! 😘Perfil ferozmente Lulista e Petista.")</f>
        <v>Bacharel de Direito,casada e Petista 
Meu Twitter, minhas regras! 😘Perfil ferozmente Lulista e Petista.</v>
      </c>
      <c r="D1778" s="2">
        <f>IFERROR(__xludf.DUMMYFUNCTION("""COMPUTED_VALUE"""),1.0028027568273113E-4)</f>
        <v>0.0001002802757</v>
      </c>
      <c r="E1778" s="2" t="str">
        <f>IFERROR(__xludf.DUMMYFUNCTION("""COMPUTED_VALUE"""),"      2.590")</f>
        <v>      2.590</v>
      </c>
    </row>
    <row r="1779">
      <c r="A1779" s="2" t="str">
        <f>IFERROR(__xludf.DUMMYFUNCTION("""COMPUTED_VALUE"""),"Lou")</f>
        <v>Lou</v>
      </c>
      <c r="B1779" s="2" t="str">
        <f>IFERROR(__xludf.DUMMYFUNCTION("""COMPUTED_VALUE"""),"loufloripa")</f>
        <v>loufloripa</v>
      </c>
      <c r="C1779" s="2"/>
      <c r="D1779" s="2">
        <f>IFERROR(__xludf.DUMMYFUNCTION("""COMPUTED_VALUE"""),1.0028027568273113E-4)</f>
        <v>0.0001002802757</v>
      </c>
      <c r="E1779" s="2" t="str">
        <f>IFERROR(__xludf.DUMMYFUNCTION("""COMPUTED_VALUE"""),"      2.359")</f>
        <v>      2.359</v>
      </c>
    </row>
    <row r="1780">
      <c r="A1780" s="2" t="str">
        <f>IFERROR(__xludf.DUMMYFUNCTION("""COMPUTED_VALUE"""),"Thiago 13🇧🇷🇨🇺🇨🇳🇻🇳🇵🇸🇧🇫🇱🇦🇰🇵🇦🇴")</f>
        <v>Thiago 13🇧🇷🇨🇺🇨🇳🇻🇳🇵🇸🇧🇫🇱🇦🇰🇵🇦🇴</v>
      </c>
      <c r="B1780" s="2" t="str">
        <f>IFERROR(__xludf.DUMMYFUNCTION("""COMPUTED_VALUE"""),"thiagofsr83")</f>
        <v>thiagofsr83</v>
      </c>
      <c r="C1780" s="2" t="str">
        <f>IFERROR(__xludf.DUMMYFUNCTION("""COMPUTED_VALUE"""),"sou poeta, amor,/
se não me queres, te quero/
como uma palavra")</f>
        <v>sou poeta, amor,/
se não me queres, te quero/
como uma palavra</v>
      </c>
      <c r="D1780" s="2">
        <f>IFERROR(__xludf.DUMMYFUNCTION("""COMPUTED_VALUE"""),1.0028027568273113E-4)</f>
        <v>0.0001002802757</v>
      </c>
      <c r="E1780" s="2" t="str">
        <f>IFERROR(__xludf.DUMMYFUNCTION("""COMPUTED_VALUE"""),"      1.483")</f>
        <v>      1.483</v>
      </c>
    </row>
    <row r="1781">
      <c r="A1781" s="2" t="str">
        <f>IFERROR(__xludf.DUMMYFUNCTION("""COMPUTED_VALUE"""),"Lula O Melhor Presidente 🇧🇷🇵🇸🇻🇪🇨🇺🇷🇺🇨🇳")</f>
        <v>Lula O Melhor Presidente 🇧🇷🇵🇸🇻🇪🇨🇺🇷🇺🇨🇳</v>
      </c>
      <c r="B1781" s="2" t="str">
        <f>IFERROR(__xludf.DUMMYFUNCTION("""COMPUTED_VALUE"""),"gustavoucranian")</f>
        <v>gustavoucranian</v>
      </c>
      <c r="C1781" s="2" t="str">
        <f>IFERROR(__xludf.DUMMYFUNCTION("""COMPUTED_VALUE"""),"#LulaPresidente
Brasil com Lula, governo da vida e da esperança. #BolsonaroTeEnganouBabaca
#EsquerdistasSeguemEsquerdistas
#ASaídaSempreSeráPelaEsquerda
🇧🇷")</f>
        <v>#LulaPresidente
Brasil com Lula, governo da vida e da esperança. #BolsonaroTeEnganouBabaca
#EsquerdistasSeguemEsquerdistas
#ASaídaSempreSeráPelaEsquerda
🇧🇷</v>
      </c>
      <c r="D1781" s="2">
        <f>IFERROR(__xludf.DUMMYFUNCTION("""COMPUTED_VALUE"""),1.0028027568273113E-4)</f>
        <v>0.0001002802757</v>
      </c>
      <c r="E1781" s="2" t="str">
        <f>IFERROR(__xludf.DUMMYFUNCTION("""COMPUTED_VALUE"""),"      6.726")</f>
        <v>      6.726</v>
      </c>
    </row>
    <row r="1782">
      <c r="A1782" s="2" t="str">
        <f>IFERROR(__xludf.DUMMYFUNCTION("""COMPUTED_VALUE"""),"CEO de MEI")</f>
        <v>CEO de MEI</v>
      </c>
      <c r="B1782" s="2" t="str">
        <f>IFERROR(__xludf.DUMMYFUNCTION("""COMPUTED_VALUE"""),"dalpiazlc")</f>
        <v>dalpiazlc</v>
      </c>
      <c r="C1782" s="2" t="str">
        <f>IFERROR(__xludf.DUMMYFUNCTION("""COMPUTED_VALUE"""),"Viciado em café.                      
Economista e CEO de MEI.
https://t.co/3vHIXOAEgb")</f>
        <v>Viciado em café.                      
Economista e CEO de MEI.
https://t.co/3vHIXOAEgb</v>
      </c>
      <c r="D1782" s="2">
        <f>IFERROR(__xludf.DUMMYFUNCTION("""COMPUTED_VALUE"""),1.0028027568273113E-4)</f>
        <v>0.0001002802757</v>
      </c>
      <c r="E1782" s="2" t="str">
        <f>IFERROR(__xludf.DUMMYFUNCTION("""COMPUTED_VALUE"""),"      6.034")</f>
        <v>      6.034</v>
      </c>
    </row>
    <row r="1783">
      <c r="A1783" s="2" t="str">
        <f>IFERROR(__xludf.DUMMYFUNCTION("""COMPUTED_VALUE"""),"LULAFLA!🤩🦑1️⃣3️⃣⭐⭐⭐🚩🇧🇷♥️🖤")</f>
        <v>LULAFLA!🤩🦑1️⃣3️⃣⭐⭐⭐🚩🇧🇷♥️🖤</v>
      </c>
      <c r="B1783" s="2" t="str">
        <f>IFERROR(__xludf.DUMMYFUNCTION("""COMPUTED_VALUE"""),"carlo15557023")</f>
        <v>carlo15557023</v>
      </c>
      <c r="C1783" s="2" t="str">
        <f>IFERROR(__xludf.DUMMYFUNCTION("""COMPUTED_VALUE"""),"🕊️♥️🍀⚖️🫱🏻‍🫲🏾🙏🏽🌎")</f>
        <v>🕊️♥️🍀⚖️🫱🏻‍🫲🏾🙏🏽🌎</v>
      </c>
      <c r="D1783" s="2">
        <f>IFERROR(__xludf.DUMMYFUNCTION("""COMPUTED_VALUE"""),1.0028027568273113E-4)</f>
        <v>0.0001002802757</v>
      </c>
      <c r="E1783" s="2" t="str">
        <f>IFERROR(__xludf.DUMMYFUNCTION("""COMPUTED_VALUE"""),"      3.252")</f>
        <v>      3.252</v>
      </c>
    </row>
    <row r="1784">
      <c r="A1784" s="2" t="str">
        <f>IFERROR(__xludf.DUMMYFUNCTION("""COMPUTED_VALUE"""),"Beth Palermo")</f>
        <v>Beth Palermo</v>
      </c>
      <c r="B1784" s="2" t="str">
        <f>IFERROR(__xludf.DUMMYFUNCTION("""COMPUTED_VALUE"""),"hebepalermo")</f>
        <v>hebepalermo</v>
      </c>
      <c r="C1784" s="2" t="str">
        <f>IFERROR(__xludf.DUMMYFUNCTION("""COMPUTED_VALUE"""),"Cristã, Casada.
Amo o Brasil! 🇧🇷")</f>
        <v>Cristã, Casada.
Amo o Brasil! 🇧🇷</v>
      </c>
      <c r="D1784" s="2">
        <f>IFERROR(__xludf.DUMMYFUNCTION("""COMPUTED_VALUE"""),1.0028027568273113E-4)</f>
        <v>0.0001002802757</v>
      </c>
      <c r="E1784" s="2" t="str">
        <f>IFERROR(__xludf.DUMMYFUNCTION("""COMPUTED_VALUE"""),"      2.703")</f>
        <v>      2.703</v>
      </c>
    </row>
    <row r="1785">
      <c r="A1785" s="2" t="str">
        <f>IFERROR(__xludf.DUMMYFUNCTION("""COMPUTED_VALUE"""),"bia")</f>
        <v>bia</v>
      </c>
      <c r="B1785" s="2" t="str">
        <f>IFERROR(__xludf.DUMMYFUNCTION("""COMPUTED_VALUE"""),"heatrbreak")</f>
        <v>heatrbreak</v>
      </c>
      <c r="C1785" s="2" t="str">
        <f>IFERROR(__xludf.DUMMYFUNCTION("""COMPUTED_VALUE"""),"Visca el Barça")</f>
        <v>Visca el Barça</v>
      </c>
      <c r="D1785" s="2">
        <f>IFERROR(__xludf.DUMMYFUNCTION("""COMPUTED_VALUE"""),1.0028027568273113E-4)</f>
        <v>0.0001002802757</v>
      </c>
      <c r="E1785" s="2" t="str">
        <f>IFERROR(__xludf.DUMMYFUNCTION("""COMPUTED_VALUE"""),"      2.278")</f>
        <v>      2.278</v>
      </c>
    </row>
    <row r="1786">
      <c r="A1786" s="2" t="str">
        <f>IFERROR(__xludf.DUMMYFUNCTION("""COMPUTED_VALUE"""),"🚩Lula Brasil🇧🇷")</f>
        <v>🚩Lula Brasil🇧🇷</v>
      </c>
      <c r="B1786" s="2" t="str">
        <f>IFERROR(__xludf.DUMMYFUNCTION("""COMPUTED_VALUE"""),"rosalulabrasil")</f>
        <v>rosalulabrasil</v>
      </c>
      <c r="C1786" s="2"/>
      <c r="D1786" s="2">
        <f>IFERROR(__xludf.DUMMYFUNCTION("""COMPUTED_VALUE"""),1.0028027568273113E-4)</f>
        <v>0.0001002802757</v>
      </c>
      <c r="E1786" s="2" t="str">
        <f>IFERROR(__xludf.DUMMYFUNCTION("""COMPUTED_VALUE"""),"      1.381")</f>
        <v>      1.381</v>
      </c>
    </row>
    <row r="1787">
      <c r="A1787" s="2" t="str">
        <f>IFERROR(__xludf.DUMMYFUNCTION("""COMPUTED_VALUE"""),"☥ CALMA ◐")</f>
        <v>☥ CALMA ◐</v>
      </c>
      <c r="B1787" s="2" t="str">
        <f>IFERROR(__xludf.DUMMYFUNCTION("""COMPUTED_VALUE"""),"leve_tando")</f>
        <v>leve_tando</v>
      </c>
      <c r="C1787" s="2" t="str">
        <f>IFERROR(__xludf.DUMMYFUNCTION("""COMPUTED_VALUE"""),"📡 Universe 🌎 News🎨ART 🐄 Vegan 🎞 Cinema 🕺Dance 🌳 Nature 📜 History ♫ Music  🚢 Travel ☀ Hope 🚩")</f>
        <v>📡 Universe 🌎 News🎨ART 🐄 Vegan 🎞 Cinema 🕺Dance 🌳 Nature 📜 History ♫ Music  🚢 Travel ☀ Hope 🚩</v>
      </c>
      <c r="D1787" s="2">
        <f>IFERROR(__xludf.DUMMYFUNCTION("""COMPUTED_VALUE"""),1.0028027568273113E-4)</f>
        <v>0.0001002802757</v>
      </c>
      <c r="E1787" s="2" t="str">
        <f>IFERROR(__xludf.DUMMYFUNCTION("""COMPUTED_VALUE"""),"      5.308")</f>
        <v>      5.308</v>
      </c>
    </row>
    <row r="1788">
      <c r="A1788" s="2" t="str">
        <f>IFERROR(__xludf.DUMMYFUNCTION("""COMPUTED_VALUE"""),"Somos mais de 40 milhões!")</f>
        <v>Somos mais de 40 milhões!</v>
      </c>
      <c r="B1788" s="2" t="str">
        <f>IFERROR(__xludf.DUMMYFUNCTION("""COMPUTED_VALUE"""),"msoiv")</f>
        <v>msoiv</v>
      </c>
      <c r="C1788" s="2" t="str">
        <f>IFERROR(__xludf.DUMMYFUNCTION("""COMPUTED_VALUE"""),"⚫️🔴 https://t.co/63DU04Xjtc")</f>
        <v>⚫️🔴 https://t.co/63DU04Xjtc</v>
      </c>
      <c r="D1788" s="2">
        <f>IFERROR(__xludf.DUMMYFUNCTION("""COMPUTED_VALUE"""),1.0028027568273113E-4)</f>
        <v>0.0001002802757</v>
      </c>
      <c r="E1788" s="2" t="str">
        <f>IFERROR(__xludf.DUMMYFUNCTION("""COMPUTED_VALUE"""),"      1.792")</f>
        <v>      1.792</v>
      </c>
    </row>
    <row r="1789">
      <c r="A1789" s="2" t="str">
        <f>IFERROR(__xludf.DUMMYFUNCTION("""COMPUTED_VALUE"""),"@tekamachado /Instagram: @alkimiaesteticagyn")</f>
        <v>@tekamachado /Instagram: @alkimiaesteticagyn</v>
      </c>
      <c r="B1789" s="2" t="str">
        <f>IFERROR(__xludf.DUMMYFUNCTION("""COMPUTED_VALUE"""),"machado_teka")</f>
        <v>machado_teka</v>
      </c>
      <c r="C1789" s="2" t="str">
        <f>IFERROR(__xludf.DUMMYFUNCTION("""COMPUTED_VALUE"""),"Lulista, Dilmista, Haddadista Sempre❤️❤...Indignada com essa sociedade hipócrita e falso moralista!! Ranço de Bolsoninions.")</f>
        <v>Lulista, Dilmista, Haddadista Sempre❤️❤...Indignada com essa sociedade hipócrita e falso moralista!! Ranço de Bolsoninions.</v>
      </c>
      <c r="D1789" s="2">
        <f>IFERROR(__xludf.DUMMYFUNCTION("""COMPUTED_VALUE"""),1.0028027568273113E-4)</f>
        <v>0.0001002802757</v>
      </c>
      <c r="E1789" s="2" t="str">
        <f>IFERROR(__xludf.DUMMYFUNCTION("""COMPUTED_VALUE"""),"      5.507")</f>
        <v>      5.507</v>
      </c>
    </row>
    <row r="1790">
      <c r="A1790" s="2" t="str">
        <f>IFERROR(__xludf.DUMMYFUNCTION("""COMPUTED_VALUE"""),"quem me conhece sabe")</f>
        <v>quem me conhece sabe</v>
      </c>
      <c r="B1790" s="2" t="str">
        <f>IFERROR(__xludf.DUMMYFUNCTION("""COMPUTED_VALUE"""),"entretantotiago")</f>
        <v>entretantotiago</v>
      </c>
      <c r="C1790" s="2"/>
      <c r="D1790" s="2">
        <f>IFERROR(__xludf.DUMMYFUNCTION("""COMPUTED_VALUE"""),1.0028027568273113E-4)</f>
        <v>0.0001002802757</v>
      </c>
      <c r="E1790" s="2" t="str">
        <f>IFERROR(__xludf.DUMMYFUNCTION("""COMPUTED_VALUE"""),"      1.165")</f>
        <v>      1.165</v>
      </c>
    </row>
    <row r="1791">
      <c r="A1791" s="2" t="str">
        <f>IFERROR(__xludf.DUMMYFUNCTION("""COMPUTED_VALUE"""),"exótica presidente da caixa")</f>
        <v>exótica presidente da caixa</v>
      </c>
      <c r="B1791" s="2" t="str">
        <f>IFERROR(__xludf.DUMMYFUNCTION("""COMPUTED_VALUE"""),"elenaseger")</f>
        <v>elenaseger</v>
      </c>
      <c r="C1791" s="2" t="str">
        <f>IFERROR(__xludf.DUMMYFUNCTION("""COMPUTED_VALUE"""),"Esquerda sempre!")</f>
        <v>Esquerda sempre!</v>
      </c>
      <c r="D1791" s="2">
        <f>IFERROR(__xludf.DUMMYFUNCTION("""COMPUTED_VALUE"""),1.0028027568273113E-4)</f>
        <v>0.0001002802757</v>
      </c>
      <c r="E1791" s="2" t="str">
        <f>IFERROR(__xludf.DUMMYFUNCTION("""COMPUTED_VALUE"""),"      1.434")</f>
        <v>      1.434</v>
      </c>
    </row>
    <row r="1792">
      <c r="A1792" s="2" t="str">
        <f>IFERROR(__xludf.DUMMYFUNCTION("""COMPUTED_VALUE"""),"Praiano/luiz CENSURADO")</f>
        <v>Praiano/luiz CENSURADO</v>
      </c>
      <c r="B1792" s="2" t="str">
        <f>IFERROR(__xludf.DUMMYFUNCTION("""COMPUTED_VALUE"""),"praianoluizh")</f>
        <v>praianoluizh</v>
      </c>
      <c r="C1792" s="2" t="str">
        <f>IFERROR(__xludf.DUMMYFUNCTION("""COMPUTED_VALUE"""),"4° CONTA, CADÊ A GALERA PRA AJUDAR??")</f>
        <v>4° CONTA, CADÊ A GALERA PRA AJUDAR??</v>
      </c>
      <c r="D1792" s="2">
        <f>IFERROR(__xludf.DUMMYFUNCTION("""COMPUTED_VALUE"""),1.0028027568273113E-4)</f>
        <v>0.0001002802757</v>
      </c>
      <c r="E1792" s="2" t="str">
        <f>IFERROR(__xludf.DUMMYFUNCTION("""COMPUTED_VALUE"""),"      1.153")</f>
        <v>      1.153</v>
      </c>
    </row>
    <row r="1793">
      <c r="A1793" s="2" t="str">
        <f>IFERROR(__xludf.DUMMYFUNCTION("""COMPUTED_VALUE"""),"PEDRO")</f>
        <v>PEDRO</v>
      </c>
      <c r="B1793" s="2" t="str">
        <f>IFERROR(__xludf.DUMMYFUNCTION("""COMPUTED_VALUE"""),"henrifonsecan")</f>
        <v>henrifonsecan</v>
      </c>
      <c r="C1793" s="2" t="str">
        <f>IFERROR(__xludf.DUMMYFUNCTION("""COMPUTED_VALUE"""),"fã da Anitta")</f>
        <v>fã da Anitta</v>
      </c>
      <c r="D1793" s="2">
        <f>IFERROR(__xludf.DUMMYFUNCTION("""COMPUTED_VALUE"""),1.0028027568273113E-4)</f>
        <v>0.0001002802757</v>
      </c>
      <c r="E1793" s="2" t="str">
        <f>IFERROR(__xludf.DUMMYFUNCTION("""COMPUTED_VALUE"""),"      1.201")</f>
        <v>      1.201</v>
      </c>
    </row>
    <row r="1794">
      <c r="A1794" s="2" t="str">
        <f>IFERROR(__xludf.DUMMYFUNCTION("""COMPUTED_VALUE"""),"Roberto Bastos")</f>
        <v>Roberto Bastos</v>
      </c>
      <c r="B1794" s="2" t="str">
        <f>IFERROR(__xludf.DUMMYFUNCTION("""COMPUTED_VALUE"""),"roberto20122879")</f>
        <v>roberto20122879</v>
      </c>
      <c r="C1794" s="2" t="str">
        <f>IFERROR(__xludf.DUMMYFUNCTION("""COMPUTED_VALUE"""),"Brasil sil sil")</f>
        <v>Brasil sil sil</v>
      </c>
      <c r="D1794" s="2">
        <f>IFERROR(__xludf.DUMMYFUNCTION("""COMPUTED_VALUE"""),1.0028027568273113E-4)</f>
        <v>0.0001002802757</v>
      </c>
      <c r="E1794" s="2" t="str">
        <f>IFERROR(__xludf.DUMMYFUNCTION("""COMPUTED_VALUE"""),"      2.345")</f>
        <v>      2.345</v>
      </c>
    </row>
    <row r="1795">
      <c r="A1795" s="2" t="str">
        <f>IFERROR(__xludf.DUMMYFUNCTION("""COMPUTED_VALUE"""),"ruiva 1️⃣3️⃣")</f>
        <v>ruiva 1️⃣3️⃣</v>
      </c>
      <c r="B1795" s="2" t="str">
        <f>IFERROR(__xludf.DUMMYFUNCTION("""COMPUTED_VALUE"""),"ruiva08")</f>
        <v>ruiva08</v>
      </c>
      <c r="C1795" s="2" t="str">
        <f>IFERROR(__xludf.DUMMYFUNCTION("""COMPUTED_VALUE"""),"❤")</f>
        <v>❤</v>
      </c>
      <c r="D1795" s="2">
        <f>IFERROR(__xludf.DUMMYFUNCTION("""COMPUTED_VALUE"""),1.0028027568273113E-4)</f>
        <v>0.0001002802757</v>
      </c>
      <c r="E1795" s="2" t="str">
        <f>IFERROR(__xludf.DUMMYFUNCTION("""COMPUTED_VALUE"""),"      4.346")</f>
        <v>      4.346</v>
      </c>
    </row>
    <row r="1796">
      <c r="A1796" s="2" t="str">
        <f>IFERROR(__xludf.DUMMYFUNCTION("""COMPUTED_VALUE"""),"Bet")</f>
        <v>Bet</v>
      </c>
      <c r="B1796" s="2" t="str">
        <f>IFERROR(__xludf.DUMMYFUNCTION("""COMPUTED_VALUE"""),"bet50835451")</f>
        <v>bet50835451</v>
      </c>
      <c r="C1796" s="2" t="str">
        <f>IFERROR(__xludf.DUMMYFUNCTION("""COMPUTED_VALUE"""),"Apoio Bolsonaro e questiono as vax🇧🇷🇧🇷🇧🇷🇧🇷🇧🇷🇧🇷🇧🇷🇧🇷🇧🇷")</f>
        <v>Apoio Bolsonaro e questiono as vax🇧🇷🇧🇷🇧🇷🇧🇷🇧🇷🇧🇷🇧🇷🇧🇷🇧🇷</v>
      </c>
      <c r="D1796" s="2">
        <f>IFERROR(__xludf.DUMMYFUNCTION("""COMPUTED_VALUE"""),1.0028027568273113E-4)</f>
        <v>0.0001002802757</v>
      </c>
      <c r="E1796" s="2" t="str">
        <f>IFERROR(__xludf.DUMMYFUNCTION("""COMPUTED_VALUE"""),"      4.816")</f>
        <v>      4.816</v>
      </c>
    </row>
    <row r="1797">
      <c r="A1797" s="2" t="str">
        <f>IFERROR(__xludf.DUMMYFUNCTION("""COMPUTED_VALUE"""),"🇧🇷 ғʟᴀᴠɪɴʜᴀ 🫡")</f>
        <v>🇧🇷 ғʟᴀᴠɪɴʜᴀ 🫡</v>
      </c>
      <c r="B1797" s="2" t="str">
        <f>IFERROR(__xludf.DUMMYFUNCTION("""COMPUTED_VALUE"""),"a_flavinha_a")</f>
        <v>a_flavinha_a</v>
      </c>
      <c r="C1797" s="2" t="str">
        <f>IFERROR(__xludf.DUMMYFUNCTION("""COMPUTED_VALUE"""),"Desistir não é opção. É se conformar com a morte.
Sou um docinho, só quando quero.🍬🍭🍧🍰
NÃO ME MARQUEM EM LISTAS, POR FAVOR! 🙏")</f>
        <v>Desistir não é opção. É se conformar com a morte.
Sou um docinho, só quando quero.🍬🍭🍧🍰
NÃO ME MARQUEM EM LISTAS, POR FAVOR! 🙏</v>
      </c>
      <c r="D1797" s="2">
        <f>IFERROR(__xludf.DUMMYFUNCTION("""COMPUTED_VALUE"""),1.0028027568273113E-4)</f>
        <v>0.0001002802757</v>
      </c>
      <c r="E1797" s="2" t="str">
        <f>IFERROR(__xludf.DUMMYFUNCTION("""COMPUTED_VALUE"""),"     32.942")</f>
        <v>     32.942</v>
      </c>
    </row>
    <row r="1798">
      <c r="A1798" s="2" t="str">
        <f>IFERROR(__xludf.DUMMYFUNCTION("""COMPUTED_VALUE"""),"ernesto isturiz")</f>
        <v>ernesto isturiz</v>
      </c>
      <c r="B1798" s="2" t="str">
        <f>IFERROR(__xludf.DUMMYFUNCTION("""COMPUTED_VALUE"""),"ivolkman")</f>
        <v>ivolkman</v>
      </c>
      <c r="C1798" s="2" t="str">
        <f>IFERROR(__xludf.DUMMYFUNCTION("""COMPUTED_VALUE"""),"Sólo Dios es bueno. (Lucas 18, 19)
http://t.co/gMQcrqQtH4")</f>
        <v>Sólo Dios es bueno. (Lucas 18, 19)
http://t.co/gMQcrqQtH4</v>
      </c>
      <c r="D1798" s="2">
        <f>IFERROR(__xludf.DUMMYFUNCTION("""COMPUTED_VALUE"""),1.0028027568273113E-4)</f>
        <v>0.0001002802757</v>
      </c>
      <c r="E1798" s="2" t="str">
        <f>IFERROR(__xludf.DUMMYFUNCTION("""COMPUTED_VALUE"""),"      1.778")</f>
        <v>      1.778</v>
      </c>
    </row>
    <row r="1799">
      <c r="A1799" s="2" t="str">
        <f>IFERROR(__xludf.DUMMYFUNCTION("""COMPUTED_VALUE"""),"Lorran Marcial")</f>
        <v>Lorran Marcial</v>
      </c>
      <c r="B1799" s="2" t="str">
        <f>IFERROR(__xludf.DUMMYFUNCTION("""COMPUTED_VALUE"""),"lorranmarcial")</f>
        <v>lorranmarcial</v>
      </c>
      <c r="C1799" s="2" t="str">
        <f>IFERROR(__xludf.DUMMYFUNCTION("""COMPUTED_VALUE"""),"Petrópolis. 
Sagitariano.
Freelancer, estudante de Design Gráfico e Design UX 
Dou opiniões sobre reality shows e assuntos sérios.")</f>
        <v>Petrópolis. 
Sagitariano.
Freelancer, estudante de Design Gráfico e Design UX 
Dou opiniões sobre reality shows e assuntos sérios.</v>
      </c>
      <c r="D1799" s="2">
        <f>IFERROR(__xludf.DUMMYFUNCTION("""COMPUTED_VALUE"""),1.0028027568273113E-4)</f>
        <v>0.0001002802757</v>
      </c>
      <c r="E1799" s="2" t="str">
        <f>IFERROR(__xludf.DUMMYFUNCTION("""COMPUTED_VALUE"""),"      1.526")</f>
        <v>      1.526</v>
      </c>
    </row>
    <row r="1800">
      <c r="A1800" s="2" t="str">
        <f>IFERROR(__xludf.DUMMYFUNCTION("""COMPUTED_VALUE"""),"Thiago Fajardo")</f>
        <v>Thiago Fajardo</v>
      </c>
      <c r="B1800" s="2" t="str">
        <f>IFERROR(__xludf.DUMMYFUNCTION("""COMPUTED_VALUE"""),"thiagofajardo2")</f>
        <v>thiagofajardo2</v>
      </c>
      <c r="C1800" s="2"/>
      <c r="D1800" s="2">
        <f>IFERROR(__xludf.DUMMYFUNCTION("""COMPUTED_VALUE"""),1.0028027568273113E-4)</f>
        <v>0.0001002802757</v>
      </c>
      <c r="E1800" s="2" t="str">
        <f>IFERROR(__xludf.DUMMYFUNCTION("""COMPUTED_VALUE"""),"      2.405")</f>
        <v>      2.405</v>
      </c>
    </row>
    <row r="1801">
      <c r="A1801" s="2" t="str">
        <f>IFERROR(__xludf.DUMMYFUNCTION("""COMPUTED_VALUE"""),"Fantasminha Camarada")</f>
        <v>Fantasminha Camarada</v>
      </c>
      <c r="B1801" s="2" t="str">
        <f>IFERROR(__xludf.DUMMYFUNCTION("""COMPUTED_VALUE"""),"ghost_zsskayr")</f>
        <v>ghost_zsskayr</v>
      </c>
      <c r="C1801" s="2" t="str">
        <f>IFERROR(__xludf.DUMMYFUNCTION("""COMPUTED_VALUE"""),"🤝🏼 Boas-vindas! | 17y 🇧🇷 | Rock na Véia e outros tipos de música | Apenas que... busquem conhecimento. - ET Bilu")</f>
        <v>🤝🏼 Boas-vindas! | 17y 🇧🇷 | Rock na Véia e outros tipos de música | Apenas que... busquem conhecimento. - ET Bilu</v>
      </c>
      <c r="D1801" s="2">
        <f>IFERROR(__xludf.DUMMYFUNCTION("""COMPUTED_VALUE"""),1.0028027568273113E-4)</f>
        <v>0.0001002802757</v>
      </c>
      <c r="E1801" s="2" t="str">
        <f>IFERROR(__xludf.DUMMYFUNCTION("""COMPUTED_VALUE"""),"      1.062")</f>
        <v>      1.062</v>
      </c>
    </row>
    <row r="1802">
      <c r="A1802" s="2" t="str">
        <f>IFERROR(__xludf.DUMMYFUNCTION("""COMPUTED_VALUE"""),"EDUARDO PAIVA")</f>
        <v>EDUARDO PAIVA</v>
      </c>
      <c r="B1802" s="2" t="str">
        <f>IFERROR(__xludf.DUMMYFUNCTION("""COMPUTED_VALUE"""),"eduardosophos")</f>
        <v>eduardosophos</v>
      </c>
      <c r="C1802" s="2" t="str">
        <f>IFERROR(__xludf.DUMMYFUNCTION("""COMPUTED_VALUE"""),"Só a luta muda a vida!")</f>
        <v>Só a luta muda a vida!</v>
      </c>
      <c r="D1802" s="2">
        <f>IFERROR(__xludf.DUMMYFUNCTION("""COMPUTED_VALUE"""),1.0028027568273113E-4)</f>
        <v>0.0001002802757</v>
      </c>
      <c r="E1802" s="2" t="str">
        <f>IFERROR(__xludf.DUMMYFUNCTION("""COMPUTED_VALUE"""),"      3.245")</f>
        <v>      3.245</v>
      </c>
    </row>
    <row r="1803">
      <c r="A1803" s="2" t="str">
        <f>IFERROR(__xludf.DUMMYFUNCTION("""COMPUTED_VALUE"""),"Tha✞a | LAYOVER")</f>
        <v>Tha✞a | LAYOVER</v>
      </c>
      <c r="B1803" s="2" t="str">
        <f>IFERROR(__xludf.DUMMYFUNCTION("""COMPUTED_VALUE"""),"prayturbada")</f>
        <v>prayturbada</v>
      </c>
      <c r="C1803" s="2" t="str">
        <f>IFERROR(__xludf.DUMMYFUNCTION("""COMPUTED_VALUE"""),"Justin Bieber &amp; BTS = 🏠💕 | Fan Account")</f>
        <v>Justin Bieber &amp; BTS = 🏠💕 | Fan Account</v>
      </c>
      <c r="D1803" s="2">
        <f>IFERROR(__xludf.DUMMYFUNCTION("""COMPUTED_VALUE"""),1.0028027568273113E-4)</f>
        <v>0.0001002802757</v>
      </c>
      <c r="E1803" s="2" t="str">
        <f>IFERROR(__xludf.DUMMYFUNCTION("""COMPUTED_VALUE"""),"      3.035")</f>
        <v>      3.035</v>
      </c>
    </row>
    <row r="1804">
      <c r="A1804" s="2" t="str">
        <f>IFERROR(__xludf.DUMMYFUNCTION("""COMPUTED_VALUE"""),"Fernando Rodrigues🇧🇷🇻🇳🚩")</f>
        <v>Fernando Rodrigues🇧🇷🇻🇳🚩</v>
      </c>
      <c r="B1804" s="2" t="str">
        <f>IFERROR(__xludf.DUMMYFUNCTION("""COMPUTED_VALUE"""),"fernandors75")</f>
        <v>fernandors75</v>
      </c>
      <c r="C1804" s="2" t="str">
        <f>IFERROR(__xludf.DUMMYFUNCTION("""COMPUTED_VALUE"""),"ECeTista🇧🇷Flamenguista🇦🇴PTista🇻🇳
#Lula Presidente")</f>
        <v>ECeTista🇧🇷Flamenguista🇦🇴PTista🇻🇳
#Lula Presidente</v>
      </c>
      <c r="D1804" s="2">
        <f>IFERROR(__xludf.DUMMYFUNCTION("""COMPUTED_VALUE"""),1.0028027568273113E-4)</f>
        <v>0.0001002802757</v>
      </c>
      <c r="E1804" s="2" t="str">
        <f>IFERROR(__xludf.DUMMYFUNCTION("""COMPUTED_VALUE"""),"      3.204")</f>
        <v>      3.204</v>
      </c>
    </row>
    <row r="1805">
      <c r="A1805" s="2" t="str">
        <f>IFERROR(__xludf.DUMMYFUNCTION("""COMPUTED_VALUE"""),"Walney Alves")</f>
        <v>Walney Alves</v>
      </c>
      <c r="B1805" s="2" t="str">
        <f>IFERROR(__xludf.DUMMYFUNCTION("""COMPUTED_VALUE"""),"walneyalves3")</f>
        <v>walneyalves3</v>
      </c>
      <c r="C1805" s="2" t="str">
        <f>IFERROR(__xludf.DUMMYFUNCTION("""COMPUTED_VALUE"""),"Deus no Comando... Tudo Dará Certo!!! BOLSONARO2022 🙏🙏🙏🇧🇷🇧🇷🇧🇷")</f>
        <v>Deus no Comando... Tudo Dará Certo!!! BOLSONARO2022 🙏🙏🙏🇧🇷🇧🇷🇧🇷</v>
      </c>
      <c r="D1805" s="2">
        <f>IFERROR(__xludf.DUMMYFUNCTION("""COMPUTED_VALUE"""),1.0028027568273113E-4)</f>
        <v>0.0001002802757</v>
      </c>
      <c r="E1805" s="2" t="str">
        <f>IFERROR(__xludf.DUMMYFUNCTION("""COMPUTED_VALUE"""),"      3.104")</f>
        <v>      3.104</v>
      </c>
    </row>
    <row r="1806">
      <c r="A1806" s="2" t="str">
        <f>IFERROR(__xludf.DUMMYFUNCTION("""COMPUTED_VALUE"""),"🇧🇷Zelia Fabro22🇧🇷")</f>
        <v>🇧🇷Zelia Fabro22🇧🇷</v>
      </c>
      <c r="B1806" s="2" t="str">
        <f>IFERROR(__xludf.DUMMYFUNCTION("""COMPUTED_VALUE"""),"zfabrogmailcom")</f>
        <v>zfabrogmailcom</v>
      </c>
      <c r="C1806" s="2" t="str">
        <f>IFERROR(__xludf.DUMMYFUNCTION("""COMPUTED_VALUE"""),"Brasil Acima de tudo;
Deus Acima de todos.
Se algumas pessoas se afastarem de você, não fique triste, isso é resposta da oração:Livrai-me de todo mal. Amém!")</f>
        <v>Brasil Acima de tudo;
Deus Acima de todos.
Se algumas pessoas se afastarem de você, não fique triste, isso é resposta da oração:Livrai-me de todo mal. Amém!</v>
      </c>
      <c r="D1806" s="2">
        <f>IFERROR(__xludf.DUMMYFUNCTION("""COMPUTED_VALUE"""),1.0028027568273113E-4)</f>
        <v>0.0001002802757</v>
      </c>
      <c r="E1806" s="2" t="str">
        <f>IFERROR(__xludf.DUMMYFUNCTION("""COMPUTED_VALUE"""),"     53.084")</f>
        <v>     53.084</v>
      </c>
    </row>
    <row r="1807">
      <c r="A1807" s="2" t="str">
        <f>IFERROR(__xludf.DUMMYFUNCTION("""COMPUTED_VALUE"""),"🇧🇷Denise🇧🇷")</f>
        <v>🇧🇷Denise🇧🇷</v>
      </c>
      <c r="B1807" s="2" t="str">
        <f>IFERROR(__xludf.DUMMYFUNCTION("""COMPUTED_VALUE"""),"___denise___eu_")</f>
        <v>___denise___eu_</v>
      </c>
      <c r="C1807" s="2" t="str">
        <f>IFERROR(__xludf.DUMMYFUNCTION("""COMPUTED_VALUE"""),"Após 15/06/21 passei a seguir todos de volta. DIREITA liberal. Pela liberdade de expressão. Censura não !! #LulaLadrão - LEIA meu tuite FIXADO ⚠️⚠️")</f>
        <v>Após 15/06/21 passei a seguir todos de volta. DIREITA liberal. Pela liberdade de expressão. Censura não !! #LulaLadrão - LEIA meu tuite FIXADO ⚠️⚠️</v>
      </c>
      <c r="D1807" s="2">
        <f>IFERROR(__xludf.DUMMYFUNCTION("""COMPUTED_VALUE"""),1.0028027568273113E-4)</f>
        <v>0.0001002802757</v>
      </c>
      <c r="E1807" s="2" t="str">
        <f>IFERROR(__xludf.DUMMYFUNCTION("""COMPUTED_VALUE"""),"     11.893")</f>
        <v>     11.893</v>
      </c>
    </row>
    <row r="1808">
      <c r="A1808" s="2" t="str">
        <f>IFERROR(__xludf.DUMMYFUNCTION("""COMPUTED_VALUE"""),"Lhucyenn 🇧🇷🇧🇷")</f>
        <v>Lhucyenn 🇧🇷🇧🇷</v>
      </c>
      <c r="B1808" s="2" t="str">
        <f>IFERROR(__xludf.DUMMYFUNCTION("""COMPUTED_VALUE"""),"luciene2222")</f>
        <v>luciene2222</v>
      </c>
      <c r="C1808" s="2" t="str">
        <f>IFERROR(__xludf.DUMMYFUNCTION("""COMPUTED_VALUE"""),"💚💛Católica, conservadora 🇧🇷🇧🇷")</f>
        <v>💚💛Católica, conservadora 🇧🇷🇧🇷</v>
      </c>
      <c r="D1808" s="2">
        <f>IFERROR(__xludf.DUMMYFUNCTION("""COMPUTED_VALUE"""),1.0028027568273113E-4)</f>
        <v>0.0001002802757</v>
      </c>
      <c r="E1808" s="2" t="str">
        <f>IFERROR(__xludf.DUMMYFUNCTION("""COMPUTED_VALUE"""),"      8.711")</f>
        <v>      8.711</v>
      </c>
    </row>
    <row r="1809">
      <c r="A1809" s="2" t="str">
        <f>IFERROR(__xludf.DUMMYFUNCTION("""COMPUTED_VALUE"""),"Sandra")</f>
        <v>Sandra</v>
      </c>
      <c r="B1809" s="2" t="str">
        <f>IFERROR(__xludf.DUMMYFUNCTION("""COMPUTED_VALUE"""),"sandra20921836")</f>
        <v>sandra20921836</v>
      </c>
      <c r="C1809" s="2"/>
      <c r="D1809" s="2">
        <f>IFERROR(__xludf.DUMMYFUNCTION("""COMPUTED_VALUE"""),1.0028027568273113E-4)</f>
        <v>0.0001002802757</v>
      </c>
      <c r="E1809" s="2" t="str">
        <f>IFERROR(__xludf.DUMMYFUNCTION("""COMPUTED_VALUE"""),"      3.719")</f>
        <v>      3.719</v>
      </c>
    </row>
    <row r="1810">
      <c r="A1810" s="2" t="str">
        <f>IFERROR(__xludf.DUMMYFUNCTION("""COMPUTED_VALUE"""),"momsou")</f>
        <v>momsou</v>
      </c>
      <c r="B1810" s="2" t="str">
        <f>IFERROR(__xludf.DUMMYFUNCTION("""COMPUTED_VALUE"""),"monicamoreira52")</f>
        <v>monicamoreira52</v>
      </c>
      <c r="C1810" s="2" t="str">
        <f>IFERROR(__xludf.DUMMYFUNCTION("""COMPUTED_VALUE"""),"Trabalhada na quimioterapia. Em remissão. VIVA O SUS!!!!🙌🏽🙌🏽🙌🏽🙌🏽 De Fortaleza, Ceará, com orgulho ♒️♌️♓️🎶🎼🎵🎶🎼🎵🎶🎼🎶🎵🎼🎵🎶🎵🎼🎵🎶🎵🎼🎶🎶🎼🎵")</f>
        <v>Trabalhada na quimioterapia. Em remissão. VIVA O SUS!!!!🙌🏽🙌🏽🙌🏽🙌🏽 De Fortaleza, Ceará, com orgulho ♒️♌️♓️🎶🎼🎵🎶🎼🎵🎶🎼🎶🎵🎼🎵🎶🎵🎼🎵🎶🎵🎼🎶🎶🎼🎵</v>
      </c>
      <c r="D1810" s="2">
        <f>IFERROR(__xludf.DUMMYFUNCTION("""COMPUTED_VALUE"""),1.0028027568273113E-4)</f>
        <v>0.0001002802757</v>
      </c>
      <c r="E1810" s="2" t="str">
        <f>IFERROR(__xludf.DUMMYFUNCTION("""COMPUTED_VALUE"""),"      3.299")</f>
        <v>      3.299</v>
      </c>
    </row>
    <row r="1811">
      <c r="A1811" s="2" t="str">
        <f>IFERROR(__xludf.DUMMYFUNCTION("""COMPUTED_VALUE"""),"Dario Castellano Alfonso")</f>
        <v>Dario Castellano Alfonso</v>
      </c>
      <c r="B1811" s="2" t="str">
        <f>IFERROR(__xludf.DUMMYFUNCTION("""COMPUTED_VALUE"""),"dariohabana")</f>
        <v>dariohabana</v>
      </c>
      <c r="C1811" s="2" t="str">
        <f>IFERROR(__xludf.DUMMYFUNCTION("""COMPUTED_VALUE"""),"Cubano 100%. Amante de la verdad y la justeza. Somos continuidad.")</f>
        <v>Cubano 100%. Amante de la verdad y la justeza. Somos continuidad.</v>
      </c>
      <c r="D1811" s="2">
        <f>IFERROR(__xludf.DUMMYFUNCTION("""COMPUTED_VALUE"""),1.0028027568273113E-4)</f>
        <v>0.0001002802757</v>
      </c>
      <c r="E1811" s="2" t="str">
        <f>IFERROR(__xludf.DUMMYFUNCTION("""COMPUTED_VALUE"""),"      4.162")</f>
        <v>      4.162</v>
      </c>
    </row>
    <row r="1812">
      <c r="A1812" s="2" t="str">
        <f>IFERROR(__xludf.DUMMYFUNCTION("""COMPUTED_VALUE"""),"Claudinei na luta companheiros🚩🚩🚩🚩🚩")</f>
        <v>Claudinei na luta companheiros🚩🚩🚩🚩🚩</v>
      </c>
      <c r="B1812" s="2" t="str">
        <f>IFERROR(__xludf.DUMMYFUNCTION("""COMPUTED_VALUE"""),"claudineirferr1")</f>
        <v>claudineirferr1</v>
      </c>
      <c r="C1812" s="2" t="str">
        <f>IFERROR(__xludf.DUMMYFUNCTION("""COMPUTED_VALUE"""),"Formado em Logística")</f>
        <v>Formado em Logística</v>
      </c>
      <c r="D1812" s="2">
        <f>IFERROR(__xludf.DUMMYFUNCTION("""COMPUTED_VALUE"""),1.0028027568273113E-4)</f>
        <v>0.0001002802757</v>
      </c>
      <c r="E1812" s="2" t="str">
        <f>IFERROR(__xludf.DUMMYFUNCTION("""COMPUTED_VALUE"""),"      3.242")</f>
        <v>      3.242</v>
      </c>
    </row>
    <row r="1813">
      <c r="A1813" s="2" t="str">
        <f>IFERROR(__xludf.DUMMYFUNCTION("""COMPUTED_VALUE"""),"Eliete Melorini")</f>
        <v>Eliete Melorini</v>
      </c>
      <c r="B1813" s="2" t="str">
        <f>IFERROR(__xludf.DUMMYFUNCTION("""COMPUTED_VALUE"""),"emelorini")</f>
        <v>emelorini</v>
      </c>
      <c r="C1813" s="2"/>
      <c r="D1813" s="2">
        <f>IFERROR(__xludf.DUMMYFUNCTION("""COMPUTED_VALUE"""),1.0028027568273113E-4)</f>
        <v>0.0001002802757</v>
      </c>
      <c r="E1813" s="2" t="str">
        <f>IFERROR(__xludf.DUMMYFUNCTION("""COMPUTED_VALUE"""),"      1.559")</f>
        <v>      1.559</v>
      </c>
    </row>
    <row r="1814">
      <c r="A1814" s="2" t="str">
        <f>IFERROR(__xludf.DUMMYFUNCTION("""COMPUTED_VALUE"""),"@ColetivoSalaPT.")</f>
        <v>@ColetivoSalaPT.</v>
      </c>
      <c r="B1814" s="2" t="str">
        <f>IFERROR(__xludf.DUMMYFUNCTION("""COMPUTED_VALUE"""),"coletivosalapt")</f>
        <v>coletivosalapt</v>
      </c>
      <c r="C1814" s="2" t="str">
        <f>IFERROR(__xludf.DUMMYFUNCTION("""COMPUTED_VALUE"""),"@ColetivoSalaPT. Socióloga/educadora/Cientista Social. SOS ELETROBRAS STF #Garantir43daUniao")</f>
        <v>@ColetivoSalaPT. Socióloga/educadora/Cientista Social. SOS ELETROBRAS STF #Garantir43daUniao</v>
      </c>
      <c r="D1814" s="2">
        <f>IFERROR(__xludf.DUMMYFUNCTION("""COMPUTED_VALUE"""),1.0028027568273113E-4)</f>
        <v>0.0001002802757</v>
      </c>
      <c r="E1814" s="2" t="str">
        <f>IFERROR(__xludf.DUMMYFUNCTION("""COMPUTED_VALUE"""),"     24.672")</f>
        <v>     24.672</v>
      </c>
    </row>
    <row r="1815">
      <c r="A1815" s="2" t="str">
        <f>IFERROR(__xludf.DUMMYFUNCTION("""COMPUTED_VALUE"""),"Reinaldo 🇧🇷 🚩¹³")</f>
        <v>Reinaldo 🇧🇷 🚩¹³</v>
      </c>
      <c r="B1815" s="2" t="str">
        <f>IFERROR(__xludf.DUMMYFUNCTION("""COMPUTED_VALUE"""),"reyjbr2004")</f>
        <v>reyjbr2004</v>
      </c>
      <c r="C1815" s="2" t="str">
        <f>IFERROR(__xludf.DUMMYFUNCTION("""COMPUTED_VALUE"""),"💚   Eu decidi viver, e não agradar.")</f>
        <v>💚   Eu decidi viver, e não agradar.</v>
      </c>
      <c r="D1815" s="2">
        <f>IFERROR(__xludf.DUMMYFUNCTION("""COMPUTED_VALUE"""),1.0028027568273113E-4)</f>
        <v>0.0001002802757</v>
      </c>
      <c r="E1815" s="2" t="str">
        <f>IFERROR(__xludf.DUMMYFUNCTION("""COMPUTED_VALUE"""),"      3.260")</f>
        <v>      3.260</v>
      </c>
    </row>
    <row r="1816">
      <c r="A1816" s="2" t="str">
        <f>IFERROR(__xludf.DUMMYFUNCTION("""COMPUTED_VALUE"""),"Alberto Trindade🚩🇧🇷🚩")</f>
        <v>Alberto Trindade🚩🇧🇷🚩</v>
      </c>
      <c r="B1816" s="2" t="str">
        <f>IFERROR(__xludf.DUMMYFUNCTION("""COMPUTED_VALUE"""),"albertotrind1")</f>
        <v>albertotrind1</v>
      </c>
      <c r="C1816" s="2" t="str">
        <f>IFERROR(__xludf.DUMMYFUNCTION("""COMPUTED_VALUE"""),"Paisano!
#ForaBolsonaroGenocida
#VivaoSUS
#LULA2022!")</f>
        <v>Paisano!
#ForaBolsonaroGenocida
#VivaoSUS
#LULA2022!</v>
      </c>
      <c r="D1816" s="2">
        <f>IFERROR(__xludf.DUMMYFUNCTION("""COMPUTED_VALUE"""),1.0028027568273113E-4)</f>
        <v>0.0001002802757</v>
      </c>
      <c r="E1816" s="2" t="str">
        <f>IFERROR(__xludf.DUMMYFUNCTION("""COMPUTED_VALUE"""),"      2.773")</f>
        <v>      2.773</v>
      </c>
    </row>
    <row r="1817">
      <c r="A1817" s="2" t="str">
        <f>IFERROR(__xludf.DUMMYFUNCTION("""COMPUTED_VALUE"""),"Vera Lucia Brilhante do vale")</f>
        <v>Vera Lucia Brilhante do vale</v>
      </c>
      <c r="B1817" s="2" t="str">
        <f>IFERROR(__xludf.DUMMYFUNCTION("""COMPUTED_VALUE"""),"verabrilhante1")</f>
        <v>verabrilhante1</v>
      </c>
      <c r="C1817" s="2" t="str">
        <f>IFERROR(__xludf.DUMMYFUNCTION("""COMPUTED_VALUE"""),"-Tudo é possivel! ""5197148
 Cadastre-se como CLIENTE PREMIUM e compre os produ
 #EsquerdaSegueEsquerda")</f>
        <v>-Tudo é possivel! "5197148
 Cadastre-se como CLIENTE PREMIUM e compre os produ
 #EsquerdaSegueEsquerda</v>
      </c>
      <c r="D1817" s="2">
        <f>IFERROR(__xludf.DUMMYFUNCTION("""COMPUTED_VALUE"""),1.0028027568273113E-4)</f>
        <v>0.0001002802757</v>
      </c>
      <c r="E1817" s="2" t="str">
        <f>IFERROR(__xludf.DUMMYFUNCTION("""COMPUTED_VALUE"""),"      3.949")</f>
        <v>      3.949</v>
      </c>
    </row>
    <row r="1818">
      <c r="A1818" s="2" t="str">
        <f>IFERROR(__xludf.DUMMYFUNCTION("""COMPUTED_VALUE"""),"Krlao 🚩 💯 Lula")</f>
        <v>Krlao 🚩 💯 Lula</v>
      </c>
      <c r="B1818" s="2" t="str">
        <f>IFERROR(__xludf.DUMMYFUNCTION("""COMPUTED_VALUE"""),"k13pt")</f>
        <v>k13pt</v>
      </c>
      <c r="C1818" s="2" t="str">
        <f>IFERROR(__xludf.DUMMYFUNCTION("""COMPUTED_VALUE"""),"FILIADO AO PT
“O QUE ME PREOCUPA NÃO É O GRITO DOS MAUS, MAS O SILÊNCIO DOS BONS”")</f>
        <v>FILIADO AO PT
“O QUE ME PREOCUPA NÃO É O GRITO DOS MAUS, MAS O SILÊNCIO DOS BONS”</v>
      </c>
      <c r="D1818" s="2">
        <f>IFERROR(__xludf.DUMMYFUNCTION("""COMPUTED_VALUE"""),1.0028027568273113E-4)</f>
        <v>0.0001002802757</v>
      </c>
      <c r="E1818" s="2" t="str">
        <f>IFERROR(__xludf.DUMMYFUNCTION("""COMPUTED_VALUE"""),"     67.102")</f>
        <v>     67.102</v>
      </c>
    </row>
    <row r="1819">
      <c r="A1819" s="2" t="str">
        <f>IFERROR(__xludf.DUMMYFUNCTION("""COMPUTED_VALUE"""),"fernando ferreira")</f>
        <v>fernando ferreira</v>
      </c>
      <c r="B1819" s="2" t="str">
        <f>IFERROR(__xludf.DUMMYFUNCTION("""COMPUTED_VALUE"""),"onfaitavec")</f>
        <v>onfaitavec</v>
      </c>
      <c r="C1819" s="2" t="str">
        <f>IFERROR(__xludf.DUMMYFUNCTION("""COMPUTED_VALUE"""),"Economist")</f>
        <v>Economist</v>
      </c>
      <c r="D1819" s="2">
        <f>IFERROR(__xludf.DUMMYFUNCTION("""COMPUTED_VALUE"""),1.0028027568273113E-4)</f>
        <v>0.0001002802757</v>
      </c>
      <c r="E1819" s="2" t="str">
        <f>IFERROR(__xludf.DUMMYFUNCTION("""COMPUTED_VALUE"""),"      1.604")</f>
        <v>      1.604</v>
      </c>
    </row>
    <row r="1820">
      <c r="A1820" s="2" t="str">
        <f>IFERROR(__xludf.DUMMYFUNCTION("""COMPUTED_VALUE"""),"Talitinha ☾")</f>
        <v>Talitinha ☾</v>
      </c>
      <c r="B1820" s="2" t="str">
        <f>IFERROR(__xludf.DUMMYFUNCTION("""COMPUTED_VALUE"""),"talitoschi")</f>
        <v>talitoschi</v>
      </c>
      <c r="C1820" s="2" t="str">
        <f>IFERROR(__xludf.DUMMYFUNCTION("""COMPUTED_VALUE"""),"pedagoga UFJF | mestranda em educação UFOP | pesquisadora marxista de políticas públicas educacionais.")</f>
        <v>pedagoga UFJF | mestranda em educação UFOP | pesquisadora marxista de políticas públicas educacionais.</v>
      </c>
      <c r="D1820" s="2">
        <f>IFERROR(__xludf.DUMMYFUNCTION("""COMPUTED_VALUE"""),1.0028027568273113E-4)</f>
        <v>0.0001002802757</v>
      </c>
      <c r="E1820" s="2" t="str">
        <f>IFERROR(__xludf.DUMMYFUNCTION("""COMPUTED_VALUE"""),"      3.128")</f>
        <v>      3.128</v>
      </c>
    </row>
    <row r="1821">
      <c r="A1821" s="2" t="str">
        <f>IFERROR(__xludf.DUMMYFUNCTION("""COMPUTED_VALUE"""),"Miriam Tavares")</f>
        <v>Miriam Tavares</v>
      </c>
      <c r="B1821" s="2" t="str">
        <f>IFERROR(__xludf.DUMMYFUNCTION("""COMPUTED_VALUE"""),"miriamtavares14")</f>
        <v>miriamtavares14</v>
      </c>
      <c r="C1821" s="2" t="str">
        <f>IFERROR(__xludf.DUMMYFUNCTION("""COMPUTED_VALUE"""),"#LulaPresidente13 Advogada, amante de política, música e vinhos.")</f>
        <v>#LulaPresidente13 Advogada, amante de política, música e vinhos.</v>
      </c>
      <c r="D1821" s="2">
        <f>IFERROR(__xludf.DUMMYFUNCTION("""COMPUTED_VALUE"""),1.0028027568273113E-4)</f>
        <v>0.0001002802757</v>
      </c>
      <c r="E1821" s="2" t="str">
        <f>IFERROR(__xludf.DUMMYFUNCTION("""COMPUTED_VALUE"""),"      2.338")</f>
        <v>      2.338</v>
      </c>
    </row>
    <row r="1822">
      <c r="A1822" s="2" t="str">
        <f>IFERROR(__xludf.DUMMYFUNCTION("""COMPUTED_VALUE"""),"Floriano Sá Neto")</f>
        <v>Floriano Sá Neto</v>
      </c>
      <c r="B1822" s="2" t="str">
        <f>IFERROR(__xludf.DUMMYFUNCTION("""COMPUTED_VALUE"""),"fmsaneto")</f>
        <v>fmsaneto</v>
      </c>
      <c r="C1822" s="2" t="str">
        <f>IFERROR(__xludf.DUMMYFUNCTION("""COMPUTED_VALUE"""),"Servidor Público Federal, sindicalista e membro do IJF. Leitor compulsivo e meu lazer predileto é fazer trilha de moto. Amo viajar e conhecer novos lugares.")</f>
        <v>Servidor Público Federal, sindicalista e membro do IJF. Leitor compulsivo e meu lazer predileto é fazer trilha de moto. Amo viajar e conhecer novos lugares.</v>
      </c>
      <c r="D1822" s="2">
        <f>IFERROR(__xludf.DUMMYFUNCTION("""COMPUTED_VALUE"""),1.0028027568273113E-4)</f>
        <v>0.0001002802757</v>
      </c>
      <c r="E1822" s="2" t="str">
        <f>IFERROR(__xludf.DUMMYFUNCTION("""COMPUTED_VALUE"""),"      1.604")</f>
        <v>      1.604</v>
      </c>
    </row>
    <row r="1823">
      <c r="A1823" s="2" t="str">
        <f>IFERROR(__xludf.DUMMYFUNCTION("""COMPUTED_VALUE"""),"Segadas Vianna")</f>
        <v>Segadas Vianna</v>
      </c>
      <c r="B1823" s="2" t="str">
        <f>IFERROR(__xludf.DUMMYFUNCTION("""COMPUTED_VALUE"""),"segadas_vianna")</f>
        <v>segadas_vianna</v>
      </c>
      <c r="C1823" s="2" t="str">
        <f>IFERROR(__xludf.DUMMYFUNCTION("""COMPUTED_VALUE"""),"Jornalista (DRT 26647RJ)  BLOG DO SEGADAS-Geopolítica mundial
 Consultor da Frente Sandinista na Nicarágua em 1984, consultor de estratégia política e eleitoral")</f>
        <v>Jornalista (DRT 26647RJ)  BLOG DO SEGADAS-Geopolítica mundial
 Consultor da Frente Sandinista na Nicarágua em 1984, consultor de estratégia política e eleitoral</v>
      </c>
      <c r="D1823" s="2">
        <f>IFERROR(__xludf.DUMMYFUNCTION("""COMPUTED_VALUE"""),1.0028027568273113E-4)</f>
        <v>0.0001002802757</v>
      </c>
      <c r="E1823" s="2" t="str">
        <f>IFERROR(__xludf.DUMMYFUNCTION("""COMPUTED_VALUE"""),"      2.776")</f>
        <v>      2.776</v>
      </c>
    </row>
    <row r="1824">
      <c r="A1824" s="2" t="str">
        <f>IFERROR(__xludf.DUMMYFUNCTION("""COMPUTED_VALUE"""),"Oliveira Cavalcante")</f>
        <v>Oliveira Cavalcante</v>
      </c>
      <c r="B1824" s="2" t="str">
        <f>IFERROR(__xludf.DUMMYFUNCTION("""COMPUTED_VALUE"""),"oliveiracavalc8")</f>
        <v>oliveiracavalc8</v>
      </c>
      <c r="C1824" s="2" t="str">
        <f>IFERROR(__xludf.DUMMYFUNCTION("""COMPUTED_VALUE"""),"** QUEM SABE OUVIR, TIRA LIÇÕES ATÉ DO SILÊNCIO.")</f>
        <v>** QUEM SABE OUVIR, TIRA LIÇÕES ATÉ DO SILÊNCIO.</v>
      </c>
      <c r="D1824" s="2">
        <f>IFERROR(__xludf.DUMMYFUNCTION("""COMPUTED_VALUE"""),1.0028027568273113E-4)</f>
        <v>0.0001002802757</v>
      </c>
      <c r="E1824" s="2" t="str">
        <f>IFERROR(__xludf.DUMMYFUNCTION("""COMPUTED_VALUE"""),"      5.309")</f>
        <v>      5.309</v>
      </c>
    </row>
    <row r="1825">
      <c r="A1825" s="2" t="str">
        <f>IFERROR(__xludf.DUMMYFUNCTION("""COMPUTED_VALUE"""),"Olinda Saul 🇧🇷")</f>
        <v>Olinda Saul 🇧🇷</v>
      </c>
      <c r="B1825" s="2" t="str">
        <f>IFERROR(__xludf.DUMMYFUNCTION("""COMPUTED_VALUE"""),"saulolinda")</f>
        <v>saulolinda</v>
      </c>
      <c r="C1825" s="2" t="str">
        <f>IFERROR(__xludf.DUMMYFUNCTION("""COMPUTED_VALUE"""),"•Fundadora do Ballet Olinda Saul (Projeto de inclusão social com 700 alunos) •Maestra em Ballet Clássico GRADUAÇÃO em HAVANA, CUBA. Filiada ao @PCdoB_oficial")</f>
        <v>•Fundadora do Ballet Olinda Saul (Projeto de inclusão social com 700 alunos) •Maestra em Ballet Clássico GRADUAÇÃO em HAVANA, CUBA. Filiada ao @PCdoB_oficial</v>
      </c>
      <c r="D1825" s="2">
        <f>IFERROR(__xludf.DUMMYFUNCTION("""COMPUTED_VALUE"""),1.0028027568273113E-4)</f>
        <v>0.0001002802757</v>
      </c>
      <c r="E1825" s="2" t="str">
        <f>IFERROR(__xludf.DUMMYFUNCTION("""COMPUTED_VALUE"""),"      1.777")</f>
        <v>      1.777</v>
      </c>
    </row>
    <row r="1826">
      <c r="A1826" s="2" t="str">
        <f>IFERROR(__xludf.DUMMYFUNCTION("""COMPUTED_VALUE"""),"Marlon Jimenez")</f>
        <v>Marlon Jimenez</v>
      </c>
      <c r="B1826" s="2" t="str">
        <f>IFERROR(__xludf.DUMMYFUNCTION("""COMPUTED_VALUE"""),"marlonj86115541")</f>
        <v>marlonj86115541</v>
      </c>
      <c r="C1826" s="2" t="str">
        <f>IFERROR(__xludf.DUMMYFUNCTION("""COMPUTED_VALUE"""),"Patriota, martiano, fidelista, defensor de las causas justas. 🇨🇺💪💓✌️😁")</f>
        <v>Patriota, martiano, fidelista, defensor de las causas justas. 🇨🇺💪💓✌️😁</v>
      </c>
      <c r="D1826" s="2">
        <f>IFERROR(__xludf.DUMMYFUNCTION("""COMPUTED_VALUE"""),1.0028027568273113E-4)</f>
        <v>0.0001002802757</v>
      </c>
      <c r="E1826" s="2" t="str">
        <f>IFERROR(__xludf.DUMMYFUNCTION("""COMPUTED_VALUE"""),"      1.155")</f>
        <v>      1.155</v>
      </c>
    </row>
    <row r="1827">
      <c r="A1827" s="2" t="str">
        <f>IFERROR(__xludf.DUMMYFUNCTION("""COMPUTED_VALUE"""),"Patrícia Helena Azevedo Lima")</f>
        <v>Patrícia Helena Azevedo Lima</v>
      </c>
      <c r="B1827" s="2" t="str">
        <f>IFERROR(__xludf.DUMMYFUNCTION("""COMPUTED_VALUE"""),"patriciahelenaq")</f>
        <v>patriciahelenaq</v>
      </c>
      <c r="C1827" s="2" t="str">
        <f>IFERROR(__xludf.DUMMYFUNCTION("""COMPUTED_VALUE"""),"Advogada trabalhista, professora, doutoranda pela Tor Vergata de Roma, em Cotutela com à USP, mestre pela USP. Integrante do Núcleo de pesquisa TADT - FDUSP.")</f>
        <v>Advogada trabalhista, professora, doutoranda pela Tor Vergata de Roma, em Cotutela com à USP, mestre pela USP. Integrante do Núcleo de pesquisa TADT - FDUSP.</v>
      </c>
      <c r="D1827" s="2">
        <f>IFERROR(__xludf.DUMMYFUNCTION("""COMPUTED_VALUE"""),1.0028027568273113E-4)</f>
        <v>0.0001002802757</v>
      </c>
      <c r="E1827" s="2" t="str">
        <f>IFERROR(__xludf.DUMMYFUNCTION("""COMPUTED_VALUE"""),"     17.189")</f>
        <v>     17.189</v>
      </c>
    </row>
    <row r="1828">
      <c r="A1828" s="2" t="str">
        <f>IFERROR(__xludf.DUMMYFUNCTION("""COMPUTED_VALUE"""),"Érica Martins 🐱🌴🌻🚩🇧🇷")</f>
        <v>Érica Martins 🐱🌴🌻🚩🇧🇷</v>
      </c>
      <c r="B1828" s="2" t="str">
        <f>IFERROR(__xludf.DUMMYFUNCTION("""COMPUTED_VALUE"""),"erikinhamagic")</f>
        <v>erikinhamagic</v>
      </c>
      <c r="C1828" s="2" t="str">
        <f>IFERROR(__xludf.DUMMYFUNCTION("""COMPUTED_VALUE"""),"Cientista Social e Advogada. Professora de História e Geografia. Filha apaixonada de Gaia 🙏❤")</f>
        <v>Cientista Social e Advogada. Professora de História e Geografia. Filha apaixonada de Gaia 🙏❤</v>
      </c>
      <c r="D1828" s="2">
        <f>IFERROR(__xludf.DUMMYFUNCTION("""COMPUTED_VALUE"""),1.0028027568273113E-4)</f>
        <v>0.0001002802757</v>
      </c>
      <c r="E1828" s="2" t="str">
        <f>IFERROR(__xludf.DUMMYFUNCTION("""COMPUTED_VALUE"""),"      8.463")</f>
        <v>      8.463</v>
      </c>
    </row>
    <row r="1829">
      <c r="A1829" s="2" t="str">
        <f>IFERROR(__xludf.DUMMYFUNCTION("""COMPUTED_VALUE"""),"Ednildo")</f>
        <v>Ednildo</v>
      </c>
      <c r="B1829" s="2" t="str">
        <f>IFERROR(__xludf.DUMMYFUNCTION("""COMPUTED_VALUE"""),"praia50")</f>
        <v>praia50</v>
      </c>
      <c r="C1829" s="2" t="str">
        <f>IFERROR(__xludf.DUMMYFUNCTION("""COMPUTED_VALUE"""),"Deus, pátria,  família e liberdade 🗽")</f>
        <v>Deus, pátria,  família e liberdade 🗽</v>
      </c>
      <c r="D1829" s="2">
        <f>IFERROR(__xludf.DUMMYFUNCTION("""COMPUTED_VALUE"""),1.0028027568273113E-4)</f>
        <v>0.0001002802757</v>
      </c>
      <c r="E1829" s="2" t="str">
        <f>IFERROR(__xludf.DUMMYFUNCTION("""COMPUTED_VALUE"""),"      1.144")</f>
        <v>      1.144</v>
      </c>
    </row>
    <row r="1830">
      <c r="A1830" s="2" t="str">
        <f>IFERROR(__xludf.DUMMYFUNCTION("""COMPUTED_VALUE"""),"Fontes 🚩🇧🇷")</f>
        <v>Fontes 🚩🇧🇷</v>
      </c>
      <c r="B1830" s="2" t="str">
        <f>IFERROR(__xludf.DUMMYFUNCTION("""COMPUTED_VALUE"""),"fontes_as")</f>
        <v>fontes_as</v>
      </c>
      <c r="C1830" s="2" t="str">
        <f>IFERROR(__xludf.DUMMYFUNCTION("""COMPUTED_VALUE"""),"Sou pelos mais fracos.")</f>
        <v>Sou pelos mais fracos.</v>
      </c>
      <c r="D1830" s="2">
        <f>IFERROR(__xludf.DUMMYFUNCTION("""COMPUTED_VALUE"""),1.0028027568273113E-4)</f>
        <v>0.0001002802757</v>
      </c>
      <c r="E1830" s="2" t="str">
        <f>IFERROR(__xludf.DUMMYFUNCTION("""COMPUTED_VALUE"""),"      1.957")</f>
        <v>      1.957</v>
      </c>
    </row>
    <row r="1831">
      <c r="A1831" s="2" t="str">
        <f>IFERROR(__xludf.DUMMYFUNCTION("""COMPUTED_VALUE"""),"cintia 🐉")</f>
        <v>cintia 🐉</v>
      </c>
      <c r="B1831" s="2" t="str">
        <f>IFERROR(__xludf.DUMMYFUNCTION("""COMPUTED_VALUE"""),"julhoevoc")</f>
        <v>julhoevoc</v>
      </c>
      <c r="C1831" s="2" t="str">
        <f>IFERROR(__xludf.DUMMYFUNCTION("""COMPUTED_VALUE"""),"pirata, track 10 🏴‍☠️ taylor’s versions")</f>
        <v>pirata, track 10 🏴‍☠️ taylor’s versions</v>
      </c>
      <c r="D1831" s="2">
        <f>IFERROR(__xludf.DUMMYFUNCTION("""COMPUTED_VALUE"""),1.0028027568273113E-4)</f>
        <v>0.0001002802757</v>
      </c>
      <c r="E1831" s="2" t="str">
        <f>IFERROR(__xludf.DUMMYFUNCTION("""COMPUTED_VALUE"""),"      1.022")</f>
        <v>      1.022</v>
      </c>
    </row>
    <row r="1832">
      <c r="A1832" s="2" t="str">
        <f>IFERROR(__xludf.DUMMYFUNCTION("""COMPUTED_VALUE"""),"Marilourdes Trindade")</f>
        <v>Marilourdes Trindade</v>
      </c>
      <c r="B1832" s="2" t="str">
        <f>IFERROR(__xludf.DUMMYFUNCTION("""COMPUTED_VALUE"""),"malutrin2018")</f>
        <v>malutrin2018</v>
      </c>
      <c r="C1832" s="2"/>
      <c r="D1832" s="2">
        <f>IFERROR(__xludf.DUMMYFUNCTION("""COMPUTED_VALUE"""),1.0028027568273113E-4)</f>
        <v>0.0001002802757</v>
      </c>
      <c r="E1832" s="2" t="str">
        <f>IFERROR(__xludf.DUMMYFUNCTION("""COMPUTED_VALUE"""),"      1.154")</f>
        <v>      1.154</v>
      </c>
    </row>
    <row r="1833">
      <c r="A1833" s="2" t="str">
        <f>IFERROR(__xludf.DUMMYFUNCTION("""COMPUTED_VALUE"""),"Joana")</f>
        <v>Joana</v>
      </c>
      <c r="B1833" s="2" t="str">
        <f>IFERROR(__xludf.DUMMYFUNCTION("""COMPUTED_VALUE"""),"jkl2008")</f>
        <v>jkl2008</v>
      </c>
      <c r="C1833" s="2" t="str">
        <f>IFERROR(__xludf.DUMMYFUNCTION("""COMPUTED_VALUE"""),"Nada")</f>
        <v>Nada</v>
      </c>
      <c r="D1833" s="2">
        <f>IFERROR(__xludf.DUMMYFUNCTION("""COMPUTED_VALUE"""),1.0028027568273113E-4)</f>
        <v>0.0001002802757</v>
      </c>
      <c r="E1833" s="2" t="str">
        <f>IFERROR(__xludf.DUMMYFUNCTION("""COMPUTED_VALUE"""),"      2.696")</f>
        <v>      2.696</v>
      </c>
    </row>
    <row r="1834">
      <c r="A1834" s="2" t="str">
        <f>IFERROR(__xludf.DUMMYFUNCTION("""COMPUTED_VALUE"""),"Elizabeth Pessoa🇧🇷")</f>
        <v>Elizabeth Pessoa🇧🇷</v>
      </c>
      <c r="B1834" s="2" t="str">
        <f>IFERROR(__xludf.DUMMYFUNCTION("""COMPUTED_VALUE"""),"evp22pessoa")</f>
        <v>evp22pessoa</v>
      </c>
      <c r="C1834" s="2" t="str">
        <f>IFERROR(__xludf.DUMMYFUNCTION("""COMPUTED_VALUE"""),"Armamentista e conservadora. Fora PT . Fora PDT . Fora Psol . Fora Mdb.")</f>
        <v>Armamentista e conservadora. Fora PT . Fora PDT . Fora Psol . Fora Mdb.</v>
      </c>
      <c r="D1834" s="2">
        <f>IFERROR(__xludf.DUMMYFUNCTION("""COMPUTED_VALUE"""),1.0028027568273113E-4)</f>
        <v>0.0001002802757</v>
      </c>
      <c r="E1834" s="2" t="str">
        <f>IFERROR(__xludf.DUMMYFUNCTION("""COMPUTED_VALUE"""),"      3.425")</f>
        <v>      3.425</v>
      </c>
    </row>
    <row r="1835">
      <c r="A1835" s="2" t="str">
        <f>IFERROR(__xludf.DUMMYFUNCTION("""COMPUTED_VALUE"""),"Marilene Cruz de Sant Ana 🇧🇷🇧🇷🇧🇷🇧🇷🇧🇷🇧🇷")</f>
        <v>Marilene Cruz de Sant Ana 🇧🇷🇧🇷🇧🇷🇧🇷🇧🇷🇧🇷</v>
      </c>
      <c r="B1835" s="2" t="str">
        <f>IFERROR(__xludf.DUMMYFUNCTION("""COMPUTED_VALUE"""),"marilenecruzde2")</f>
        <v>marilenecruzde2</v>
      </c>
      <c r="C1835" s="2" t="str">
        <f>IFERROR(__xludf.DUMMYFUNCTION("""COMPUTED_VALUE"""),"As pessoas são livres desde o nascimento 
o que as aprisiona são suas escolhas")</f>
        <v>As pessoas são livres desde o nascimento 
o que as aprisiona são suas escolhas</v>
      </c>
      <c r="D1835" s="2">
        <f>IFERROR(__xludf.DUMMYFUNCTION("""COMPUTED_VALUE"""),1.0028027568273113E-4)</f>
        <v>0.0001002802757</v>
      </c>
      <c r="E1835" s="2" t="str">
        <f>IFERROR(__xludf.DUMMYFUNCTION("""COMPUTED_VALUE"""),"      6.953")</f>
        <v>      6.953</v>
      </c>
    </row>
    <row r="1836">
      <c r="A1836" s="2" t="str">
        <f>IFERROR(__xludf.DUMMYFUNCTION("""COMPUTED_VALUE"""),"Olavo Senna")</f>
        <v>Olavo Senna</v>
      </c>
      <c r="B1836" s="2" t="str">
        <f>IFERROR(__xludf.DUMMYFUNCTION("""COMPUTED_VALUE"""),"sennaolavo")</f>
        <v>sennaolavo</v>
      </c>
      <c r="C1836" s="2" t="str">
        <f>IFERROR(__xludf.DUMMYFUNCTION("""COMPUTED_VALUE"""),"Surfando pelo mundo")</f>
        <v>Surfando pelo mundo</v>
      </c>
      <c r="D1836" s="2">
        <f>IFERROR(__xludf.DUMMYFUNCTION("""COMPUTED_VALUE"""),1.0028027568273113E-4)</f>
        <v>0.0001002802757</v>
      </c>
      <c r="E1836" s="2" t="str">
        <f>IFERROR(__xludf.DUMMYFUNCTION("""COMPUTED_VALUE"""),"      1.534")</f>
        <v>      1.534</v>
      </c>
    </row>
    <row r="1837">
      <c r="A1837" s="2" t="str">
        <f>IFERROR(__xludf.DUMMYFUNCTION("""COMPUTED_VALUE"""),"Elementary Stan | THE ERAS TOUR 17/11")</f>
        <v>Elementary Stan | THE ERAS TOUR 17/11</v>
      </c>
      <c r="B1837" s="2" t="str">
        <f>IFERROR(__xludf.DUMMYFUNCTION("""COMPUTED_VALUE"""),"lehtardivo")</f>
        <v>lehtardivo</v>
      </c>
      <c r="C1837" s="2" t="str">
        <f>IFERROR(__xludf.DUMMYFUNCTION("""COMPUTED_VALUE"""),"pequenos surtos diários sobre elementary, taylor swift, filmes, séries e pessoas insuportáveis")</f>
        <v>pequenos surtos diários sobre elementary, taylor swift, filmes, séries e pessoas insuportáveis</v>
      </c>
      <c r="D1837" s="2">
        <f>IFERROR(__xludf.DUMMYFUNCTION("""COMPUTED_VALUE"""),1.0028027568273113E-4)</f>
        <v>0.0001002802757</v>
      </c>
      <c r="E1837" s="2" t="str">
        <f>IFERROR(__xludf.DUMMYFUNCTION("""COMPUTED_VALUE"""),"      1.774")</f>
        <v>      1.774</v>
      </c>
    </row>
    <row r="1838">
      <c r="A1838" s="2" t="str">
        <f>IFERROR(__xludf.DUMMYFUNCTION("""COMPUTED_VALUE"""),"Makevinho")</f>
        <v>Makevinho</v>
      </c>
      <c r="B1838" s="2" t="str">
        <f>IFERROR(__xludf.DUMMYFUNCTION("""COMPUTED_VALUE"""),"makevinho")</f>
        <v>makevinho</v>
      </c>
      <c r="C1838" s="2" t="str">
        <f>IFERROR(__xludf.DUMMYFUNCTION("""COMPUTED_VALUE"""),"Tenho uma loja de Pokémon TCG. Cards avulsos, produtos selados, sleeves, acessórios e muito mais!
Acesse - https://t.co/0WNSBIRZFC")</f>
        <v>Tenho uma loja de Pokémon TCG. Cards avulsos, produtos selados, sleeves, acessórios e muito mais!
Acesse - https://t.co/0WNSBIRZFC</v>
      </c>
      <c r="D1838" s="2">
        <f>IFERROR(__xludf.DUMMYFUNCTION("""COMPUTED_VALUE"""),1.0028027568273113E-4)</f>
        <v>0.0001002802757</v>
      </c>
      <c r="E1838" s="2" t="str">
        <f>IFERROR(__xludf.DUMMYFUNCTION("""COMPUTED_VALUE"""),"      8.026")</f>
        <v>      8.026</v>
      </c>
    </row>
    <row r="1839">
      <c r="A1839" s="2" t="str">
        <f>IFERROR(__xludf.DUMMYFUNCTION("""COMPUTED_VALUE"""),"Marcelo")</f>
        <v>Marcelo</v>
      </c>
      <c r="B1839" s="2" t="str">
        <f>IFERROR(__xludf.DUMMYFUNCTION("""COMPUTED_VALUE"""),"marcelo39874062")</f>
        <v>marcelo39874062</v>
      </c>
      <c r="C1839" s="2" t="str">
        <f>IFERROR(__xludf.DUMMYFUNCTION("""COMPUTED_VALUE"""),"Cristão, conservador de direita e anti-PT
🇧🇷🇧🇷🇧🇷🇧🇷🇧🇷")</f>
        <v>Cristão, conservador de direita e anti-PT
🇧🇷🇧🇷🇧🇷🇧🇷🇧🇷</v>
      </c>
      <c r="D1839" s="2">
        <f>IFERROR(__xludf.DUMMYFUNCTION("""COMPUTED_VALUE"""),1.0028027568273113E-4)</f>
        <v>0.0001002802757</v>
      </c>
      <c r="E1839" s="2" t="str">
        <f>IFERROR(__xludf.DUMMYFUNCTION("""COMPUTED_VALUE"""),"      4.785")</f>
        <v>      4.785</v>
      </c>
    </row>
    <row r="1840">
      <c r="A1840" s="2" t="str">
        <f>IFERROR(__xludf.DUMMYFUNCTION("""COMPUTED_VALUE"""),"EVANDRO PRADO")</f>
        <v>EVANDRO PRADO</v>
      </c>
      <c r="B1840" s="2" t="str">
        <f>IFERROR(__xludf.DUMMYFUNCTION("""COMPUTED_VALUE"""),"evandrojosedas6")</f>
        <v>evandrojosedas6</v>
      </c>
      <c r="C1840" s="2" t="str">
        <f>IFERROR(__xludf.DUMMYFUNCTION("""COMPUTED_VALUE"""),"Florianópolis/SC. Patriota; Amante da família e amor ao Brasil. 💛💚💙💛💚💙💛💚💙💛💚💙💛💚💙💛💚💙💛💚💙💛💚💙")</f>
        <v>Florianópolis/SC. Patriota; Amante da família e amor ao Brasil. 💛💚💙💛💚💙💛💚💙💛💚💙💛💚💙💛💚💙💛💚💙💛💚💙</v>
      </c>
      <c r="D1840" s="2">
        <f>IFERROR(__xludf.DUMMYFUNCTION("""COMPUTED_VALUE"""),1.0028027568273113E-4)</f>
        <v>0.0001002802757</v>
      </c>
      <c r="E1840" s="2" t="str">
        <f>IFERROR(__xludf.DUMMYFUNCTION("""COMPUTED_VALUE"""),"      1.349")</f>
        <v>      1.349</v>
      </c>
    </row>
    <row r="1841">
      <c r="A1841" s="2" t="str">
        <f>IFERROR(__xludf.DUMMYFUNCTION("""COMPUTED_VALUE"""),"Vani")</f>
        <v>Vani</v>
      </c>
      <c r="B1841" s="2" t="str">
        <f>IFERROR(__xludf.DUMMYFUNCTION("""COMPUTED_VALUE"""),"vanice_a")</f>
        <v>vanice_a</v>
      </c>
      <c r="C1841" s="2" t="str">
        <f>IFERROR(__xludf.DUMMYFUNCTION("""COMPUTED_VALUE"""),"Conservadora, Bolsonarista e Patriota!
        NOSSA BANDEIRA JAMAIS SERÁ VERMELHA")</f>
        <v>Conservadora, Bolsonarista e Patriota!
        NOSSA BANDEIRA JAMAIS SERÁ VERMELHA</v>
      </c>
      <c r="D1841" s="2">
        <f>IFERROR(__xludf.DUMMYFUNCTION("""COMPUTED_VALUE"""),1.0028027568273113E-4)</f>
        <v>0.0001002802757</v>
      </c>
      <c r="E1841" s="2" t="str">
        <f>IFERROR(__xludf.DUMMYFUNCTION("""COMPUTED_VALUE"""),"     17.269")</f>
        <v>     17.269</v>
      </c>
    </row>
    <row r="1842">
      <c r="A1842" s="2" t="str">
        <f>IFERROR(__xludf.DUMMYFUNCTION("""COMPUTED_VALUE"""),"Socorro")</f>
        <v>Socorro</v>
      </c>
      <c r="B1842" s="2" t="str">
        <f>IFERROR(__xludf.DUMMYFUNCTION("""COMPUTED_VALUE"""),"socorrofpb")</f>
        <v>socorrofpb</v>
      </c>
      <c r="C1842" s="2" t="str">
        <f>IFERROR(__xludf.DUMMYFUNCTION("""COMPUTED_VALUE"""),"#ANTIFASCISTA 
#SEMANISTIA
#BOLSONARONACADEIA               🏳️‍🌈🇨🇺🇲🇽🇵🇸🇻🇪")</f>
        <v>#ANTIFASCISTA 
#SEMANISTIA
#BOLSONARONACADEIA               🏳️‍🌈🇨🇺🇲🇽🇵🇸🇻🇪</v>
      </c>
      <c r="D1842" s="2">
        <f>IFERROR(__xludf.DUMMYFUNCTION("""COMPUTED_VALUE"""),1.0028027568273113E-4)</f>
        <v>0.0001002802757</v>
      </c>
      <c r="E1842" s="2" t="str">
        <f>IFERROR(__xludf.DUMMYFUNCTION("""COMPUTED_VALUE"""),"      4.359")</f>
        <v>      4.359</v>
      </c>
    </row>
    <row r="1843">
      <c r="A1843" s="2" t="str">
        <f>IFERROR(__xludf.DUMMYFUNCTION("""COMPUTED_VALUE"""),"Fernanda Gomes")</f>
        <v>Fernanda Gomes</v>
      </c>
      <c r="B1843" s="2" t="str">
        <f>IFERROR(__xludf.DUMMYFUNCTION("""COMPUTED_VALUE"""),"nandagofernanda")</f>
        <v>nandagofernanda</v>
      </c>
      <c r="C1843" s="2"/>
      <c r="D1843" s="2">
        <f>IFERROR(__xludf.DUMMYFUNCTION("""COMPUTED_VALUE"""),1.0028027568273113E-4)</f>
        <v>0.0001002802757</v>
      </c>
      <c r="E1843" s="2" t="str">
        <f>IFERROR(__xludf.DUMMYFUNCTION("""COMPUTED_VALUE"""),"      3.478")</f>
        <v>      3.478</v>
      </c>
    </row>
    <row r="1844">
      <c r="A1844" s="2" t="str">
        <f>IFERROR(__xludf.DUMMYFUNCTION("""COMPUTED_VALUE"""),"Anna Costa")</f>
        <v>Anna Costa</v>
      </c>
      <c r="B1844" s="2" t="str">
        <f>IFERROR(__xludf.DUMMYFUNCTION("""COMPUTED_VALUE"""),"annahcosta27")</f>
        <v>annahcosta27</v>
      </c>
      <c r="C1844" s="2"/>
      <c r="D1844" s="2">
        <f>IFERROR(__xludf.DUMMYFUNCTION("""COMPUTED_VALUE"""),1.0028027568273113E-4)</f>
        <v>0.0001002802757</v>
      </c>
      <c r="E1844" s="2" t="str">
        <f>IFERROR(__xludf.DUMMYFUNCTION("""COMPUTED_VALUE"""),"      2.121")</f>
        <v>      2.121</v>
      </c>
    </row>
    <row r="1845">
      <c r="A1845" s="2" t="str">
        <f>IFERROR(__xludf.DUMMYFUNCTION("""COMPUTED_VALUE"""),"Borges Paulo🇧🇷brasil🇧🇷")</f>
        <v>Borges Paulo🇧🇷brasil🇧🇷</v>
      </c>
      <c r="B1845" s="2" t="str">
        <f>IFERROR(__xludf.DUMMYFUNCTION("""COMPUTED_VALUE"""),"bpaulobrasil22")</f>
        <v>bpaulobrasil22</v>
      </c>
      <c r="C1845" s="2" t="str">
        <f>IFERROR(__xludf.DUMMYFUNCTION("""COMPUTED_VALUE"""),"🇧🇷100% BRASIL🇧🇷!
CONSERVADOR DE DIREITA! ÓDIO PELA ESQUERDA COMUNISTA. TOLERÂNCIA ZERO COM MARGINAIS🇧🇷")</f>
        <v>🇧🇷100% BRASIL🇧🇷!
CONSERVADOR DE DIREITA! ÓDIO PELA ESQUERDA COMUNISTA. TOLERÂNCIA ZERO COM MARGINAIS🇧🇷</v>
      </c>
      <c r="D1845" s="2">
        <f>IFERROR(__xludf.DUMMYFUNCTION("""COMPUTED_VALUE"""),1.0028027568273113E-4)</f>
        <v>0.0001002802757</v>
      </c>
      <c r="E1845" s="2" t="str">
        <f>IFERROR(__xludf.DUMMYFUNCTION("""COMPUTED_VALUE"""),"      1.108")</f>
        <v>      1.108</v>
      </c>
    </row>
    <row r="1846">
      <c r="A1846" s="2" t="str">
        <f>IFERROR(__xludf.DUMMYFUNCTION("""COMPUTED_VALUE"""),"JOE 95 info")</f>
        <v>JOE 95 info</v>
      </c>
      <c r="B1846" s="2" t="str">
        <f>IFERROR(__xludf.DUMMYFUNCTION("""COMPUTED_VALUE"""),"dom972joe")</f>
        <v>dom972joe</v>
      </c>
      <c r="C1846" s="2" t="str">
        <f>IFERROR(__xludf.DUMMYFUNCTION("""COMPUTED_VALUE"""),"c")</f>
        <v>c</v>
      </c>
      <c r="D1846" s="2">
        <f>IFERROR(__xludf.DUMMYFUNCTION("""COMPUTED_VALUE"""),1.0028027568273113E-4)</f>
        <v>0.0001002802757</v>
      </c>
      <c r="E1846" s="2" t="str">
        <f>IFERROR(__xludf.DUMMYFUNCTION("""COMPUTED_VALUE"""),"      2.142")</f>
        <v>      2.142</v>
      </c>
    </row>
    <row r="1847">
      <c r="A1847" s="2" t="str">
        <f>IFERROR(__xludf.DUMMYFUNCTION("""COMPUTED_VALUE"""),"Ney Cruz")</f>
        <v>Ney Cruz</v>
      </c>
      <c r="B1847" s="2" t="str">
        <f>IFERROR(__xludf.DUMMYFUNCTION("""COMPUTED_VALUE"""),"albuquerqueno")</f>
        <v>albuquerqueno</v>
      </c>
      <c r="C1847" s="2" t="str">
        <f>IFERROR(__xludf.DUMMYFUNCTION("""COMPUTED_VALUE"""),"Assistente de Produção, Bacharel em Teologia e  Flamenguista de Militância Esquerdista. @LulaOficial")</f>
        <v>Assistente de Produção, Bacharel em Teologia e  Flamenguista de Militância Esquerdista. @LulaOficial</v>
      </c>
      <c r="D1847" s="2">
        <f>IFERROR(__xludf.DUMMYFUNCTION("""COMPUTED_VALUE"""),1.0028027568273113E-4)</f>
        <v>0.0001002802757</v>
      </c>
      <c r="E1847" s="2" t="str">
        <f>IFERROR(__xludf.DUMMYFUNCTION("""COMPUTED_VALUE"""),"     30.040")</f>
        <v>     30.040</v>
      </c>
    </row>
    <row r="1848">
      <c r="A1848" s="2" t="str">
        <f>IFERROR(__xludf.DUMMYFUNCTION("""COMPUTED_VALUE"""),"🫧BELL GOMES 🫧")</f>
        <v>🫧BELL GOMES 🫧</v>
      </c>
      <c r="B1848" s="2" t="str">
        <f>IFERROR(__xludf.DUMMYFUNCTION("""COMPUTED_VALUE"""),"isabeliagomes")</f>
        <v>isabeliagomes</v>
      </c>
      <c r="C1848" s="2" t="str">
        <f>IFERROR(__xludf.DUMMYFUNCTION("""COMPUTED_VALUE"""),"💔Saudade é o amor que fica de quem não pôde ficar💔")</f>
        <v>💔Saudade é o amor que fica de quem não pôde ficar💔</v>
      </c>
      <c r="D1848" s="2">
        <f>IFERROR(__xludf.DUMMYFUNCTION("""COMPUTED_VALUE"""),1.0028027568273113E-4)</f>
        <v>0.0001002802757</v>
      </c>
      <c r="E1848" s="2" t="str">
        <f>IFERROR(__xludf.DUMMYFUNCTION("""COMPUTED_VALUE"""),"      2.778")</f>
        <v>      2.778</v>
      </c>
    </row>
    <row r="1849">
      <c r="A1849" s="2" t="str">
        <f>IFERROR(__xludf.DUMMYFUNCTION("""COMPUTED_VALUE"""),"Nancy Cardoso")</f>
        <v>Nancy Cardoso</v>
      </c>
      <c r="B1849" s="2" t="str">
        <f>IFERROR(__xludf.DUMMYFUNCTION("""COMPUTED_VALUE"""),"nancyca57293784")</f>
        <v>nancyca57293784</v>
      </c>
      <c r="C1849" s="2" t="str">
        <f>IFERROR(__xludf.DUMMYFUNCTION("""COMPUTED_VALUE"""),"Brasil acima de tudo e Deus acima de todos.")</f>
        <v>Brasil acima de tudo e Deus acima de todos.</v>
      </c>
      <c r="D1849" s="2">
        <f>IFERROR(__xludf.DUMMYFUNCTION("""COMPUTED_VALUE"""),1.0028027568273113E-4)</f>
        <v>0.0001002802757</v>
      </c>
      <c r="E1849" s="2" t="str">
        <f>IFERROR(__xludf.DUMMYFUNCTION("""COMPUTED_VALUE"""),"      1.460")</f>
        <v>      1.460</v>
      </c>
    </row>
    <row r="1850">
      <c r="A1850" s="2" t="str">
        <f>IFERROR(__xludf.DUMMYFUNCTION("""COMPUTED_VALUE"""),"Micaio Medeiros 🇦🇹")</f>
        <v>Micaio Medeiros 🇦🇹</v>
      </c>
      <c r="B1850" s="2" t="str">
        <f>IFERROR(__xludf.DUMMYFUNCTION("""COMPUTED_VALUE"""),"micaio09")</f>
        <v>micaio09</v>
      </c>
      <c r="C1850" s="2" t="str">
        <f>IFERROR(__xludf.DUMMYFUNCTION("""COMPUTED_VALUE"""),"@SCInternacional 🇦🇹 | Insta: @Micaio09  📸")</f>
        <v>@SCInternacional 🇦🇹 | Insta: @Micaio09  📸</v>
      </c>
      <c r="D1850" s="2">
        <f>IFERROR(__xludf.DUMMYFUNCTION("""COMPUTED_VALUE"""),1.0028027568273113E-4)</f>
        <v>0.0001002802757</v>
      </c>
      <c r="E1850" s="2" t="str">
        <f>IFERROR(__xludf.DUMMYFUNCTION("""COMPUTED_VALUE"""),"      2.695")</f>
        <v>      2.695</v>
      </c>
    </row>
    <row r="1851">
      <c r="A1851" s="2" t="str">
        <f>IFERROR(__xludf.DUMMYFUNCTION("""COMPUTED_VALUE"""),"Guilherme Cunha")</f>
        <v>Guilherme Cunha</v>
      </c>
      <c r="B1851" s="2" t="str">
        <f>IFERROR(__xludf.DUMMYFUNCTION("""COMPUTED_VALUE"""),"guilhermetom")</f>
        <v>guilhermetom</v>
      </c>
      <c r="C1851" s="2" t="str">
        <f>IFERROR(__xludf.DUMMYFUNCTION("""COMPUTED_VALUE"""),"Escritor amador, sonhador profissional...")</f>
        <v>Escritor amador, sonhador profissional...</v>
      </c>
      <c r="D1851" s="2">
        <f>IFERROR(__xludf.DUMMYFUNCTION("""COMPUTED_VALUE"""),1.0028027568273113E-4)</f>
        <v>0.0001002802757</v>
      </c>
      <c r="E1851" s="2" t="str">
        <f>IFERROR(__xludf.DUMMYFUNCTION("""COMPUTED_VALUE"""),"      1.048")</f>
        <v>      1.048</v>
      </c>
    </row>
    <row r="1852">
      <c r="A1852" s="2" t="str">
        <f>IFERROR(__xludf.DUMMYFUNCTION("""COMPUTED_VALUE"""),"ericat bitch •")</f>
        <v>ericat bitch •</v>
      </c>
      <c r="B1852" s="2" t="str">
        <f>IFERROR(__xludf.DUMMYFUNCTION("""COMPUTED_VALUE"""),"cute_pennywise")</f>
        <v>cute_pennywise</v>
      </c>
      <c r="C1852" s="2" t="str">
        <f>IFERROR(__xludf.DUMMYFUNCTION("""COMPUTED_VALUE"""),"official profile of terzo's girlfriend")</f>
        <v>official profile of terzo's girlfriend</v>
      </c>
      <c r="D1852" s="2">
        <f>IFERROR(__xludf.DUMMYFUNCTION("""COMPUTED_VALUE"""),1.0028027568273113E-4)</f>
        <v>0.0001002802757</v>
      </c>
      <c r="E1852" s="2" t="str">
        <f>IFERROR(__xludf.DUMMYFUNCTION("""COMPUTED_VALUE"""),"      1.279")</f>
        <v>      1.279</v>
      </c>
    </row>
    <row r="1853">
      <c r="A1853" s="2" t="str">
        <f>IFERROR(__xludf.DUMMYFUNCTION("""COMPUTED_VALUE"""),"ClaudioAthaydeBeringhs 🇧🇷")</f>
        <v>ClaudioAthaydeBeringhs 🇧🇷</v>
      </c>
      <c r="B1853" s="2" t="str">
        <f>IFERROR(__xludf.DUMMYFUNCTION("""COMPUTED_VALUE"""),"claudioberinghs")</f>
        <v>claudioberinghs</v>
      </c>
      <c r="C1853" s="2" t="str">
        <f>IFERROR(__xludf.DUMMYFUNCTION("""COMPUTED_VALUE"""),"🔰Santiago de Compostela 2004
🔰Via de Lá Plata 2021
🇧🇷 @Cberinghs
Ex Distribuidor Antarctica que viu o $$ do Jorge Paulo Leman comprar o governo FHC")</f>
        <v>🔰Santiago de Compostela 2004
🔰Via de Lá Plata 2021
🇧🇷 @Cberinghs
Ex Distribuidor Antarctica que viu o $$ do Jorge Paulo Leman comprar o governo FHC</v>
      </c>
      <c r="D1853" s="2">
        <f>IFERROR(__xludf.DUMMYFUNCTION("""COMPUTED_VALUE"""),1.0028027568273113E-4)</f>
        <v>0.0001002802757</v>
      </c>
      <c r="E1853" s="2" t="str">
        <f>IFERROR(__xludf.DUMMYFUNCTION("""COMPUTED_VALUE"""),"     18.073")</f>
        <v>     18.073</v>
      </c>
    </row>
    <row r="1854">
      <c r="A1854" s="2" t="str">
        <f>IFERROR(__xludf.DUMMYFUNCTION("""COMPUTED_VALUE"""),"Alessandre Reis de Freitas")</f>
        <v>Alessandre Reis de Freitas</v>
      </c>
      <c r="B1854" s="2" t="str">
        <f>IFERROR(__xludf.DUMMYFUNCTION("""COMPUTED_VALUE"""),"alessandrereis2")</f>
        <v>alessandrereis2</v>
      </c>
      <c r="C1854" s="2" t="str">
        <f>IFERROR(__xludf.DUMMYFUNCTION("""COMPUTED_VALUE"""),"Um advogado maluco, estudando Farmácia(?), que adora leitura, viagens e COMIDA (rsrsrsrs), GAY... De ESQUERDA, por favor educação, sigo todos, assim #SDV")</f>
        <v>Um advogado maluco, estudando Farmácia(?), que adora leitura, viagens e COMIDA (rsrsrsrs), GAY... De ESQUERDA, por favor educação, sigo todos, assim #SDV</v>
      </c>
      <c r="D1854" s="2">
        <f>IFERROR(__xludf.DUMMYFUNCTION("""COMPUTED_VALUE"""),1.0028027568273113E-4)</f>
        <v>0.0001002802757</v>
      </c>
      <c r="E1854" s="2" t="str">
        <f>IFERROR(__xludf.DUMMYFUNCTION("""COMPUTED_VALUE"""),"      3.307")</f>
        <v>      3.307</v>
      </c>
    </row>
    <row r="1855">
      <c r="A1855" s="2" t="str">
        <f>IFERROR(__xludf.DUMMYFUNCTION("""COMPUTED_VALUE"""),"Plínio 🚩🚩🚩")</f>
        <v>Plínio 🚩🚩🚩</v>
      </c>
      <c r="B1855" s="2" t="str">
        <f>IFERROR(__xludf.DUMMYFUNCTION("""COMPUTED_VALUE"""),"plniop1")</f>
        <v>plniop1</v>
      </c>
      <c r="C1855" s="2"/>
      <c r="D1855" s="2">
        <f>IFERROR(__xludf.DUMMYFUNCTION("""COMPUTED_VALUE"""),1.0028027568273113E-4)</f>
        <v>0.0001002802757</v>
      </c>
      <c r="E1855" s="2" t="str">
        <f>IFERROR(__xludf.DUMMYFUNCTION("""COMPUTED_VALUE"""),"      2.787")</f>
        <v>      2.787</v>
      </c>
    </row>
    <row r="1856">
      <c r="A1856" s="2" t="str">
        <f>IFERROR(__xludf.DUMMYFUNCTION("""COMPUTED_VALUE"""),"Cadu Barzotto")</f>
        <v>Cadu Barzotto</v>
      </c>
      <c r="B1856" s="2" t="str">
        <f>IFERROR(__xludf.DUMMYFUNCTION("""COMPUTED_VALUE"""),"cadubarzotto")</f>
        <v>cadubarzotto</v>
      </c>
      <c r="C1856" s="2" t="str">
        <f>IFERROR(__xludf.DUMMYFUNCTION("""COMPUTED_VALUE"""),"Historiador, Professor de História e Mestre em Educação. 27 anos, geminiano e - de repente - inventou de fazer uns vídeos pra internet.")</f>
        <v>Historiador, Professor de História e Mestre em Educação. 27 anos, geminiano e - de repente - inventou de fazer uns vídeos pra internet.</v>
      </c>
      <c r="D1856" s="2">
        <f>IFERROR(__xludf.DUMMYFUNCTION("""COMPUTED_VALUE"""),1.0028027568273113E-4)</f>
        <v>0.0001002802757</v>
      </c>
      <c r="E1856" s="2" t="str">
        <f>IFERROR(__xludf.DUMMYFUNCTION("""COMPUTED_VALUE"""),"      1.141")</f>
        <v>      1.141</v>
      </c>
    </row>
    <row r="1857">
      <c r="A1857" s="2" t="str">
        <f>IFERROR(__xludf.DUMMYFUNCTION("""COMPUTED_VALUE"""),"Nunca foi sorte sempre foi Lula")</f>
        <v>Nunca foi sorte sempre foi Lula</v>
      </c>
      <c r="B1857" s="2" t="str">
        <f>IFERROR(__xludf.DUMMYFUNCTION("""COMPUTED_VALUE"""),"carlatoscan")</f>
        <v>carlatoscan</v>
      </c>
      <c r="C1857" s="2" t="str">
        <f>IFERROR(__xludf.DUMMYFUNCTION("""COMPUTED_VALUE"""),"A cadela do fascismo esta sempre no cio
Bertold Brecht")</f>
        <v>A cadela do fascismo esta sempre no cio
Bertold Brecht</v>
      </c>
      <c r="D1857" s="2">
        <f>IFERROR(__xludf.DUMMYFUNCTION("""COMPUTED_VALUE"""),1.0028027568273113E-4)</f>
        <v>0.0001002802757</v>
      </c>
      <c r="E1857" s="2" t="str">
        <f>IFERROR(__xludf.DUMMYFUNCTION("""COMPUTED_VALUE"""),"     11.741")</f>
        <v>     11.741</v>
      </c>
    </row>
    <row r="1858">
      <c r="A1858" s="2" t="str">
        <f>IFERROR(__xludf.DUMMYFUNCTION("""COMPUTED_VALUE"""),"✦")</f>
        <v>✦</v>
      </c>
      <c r="B1858" s="2" t="str">
        <f>IFERROR(__xludf.DUMMYFUNCTION("""COMPUTED_VALUE"""),"luc4zrp")</f>
        <v>luc4zrp</v>
      </c>
      <c r="C1858" s="2" t="str">
        <f>IFERROR(__xludf.DUMMYFUNCTION("""COMPUTED_VALUE"""),"Talvez não faça muito sentido agora, mas uma hora você entende: A verdade te liberta. Siga o 🐇 Salmo121: 7-8 | Mat 7-7 🗝️📖🤯✨")</f>
        <v>Talvez não faça muito sentido agora, mas uma hora você entende: A verdade te liberta. Siga o 🐇 Salmo121: 7-8 | Mat 7-7 🗝️📖🤯✨</v>
      </c>
      <c r="D1858" s="2">
        <f>IFERROR(__xludf.DUMMYFUNCTION("""COMPUTED_VALUE"""),1.0028027568273113E-4)</f>
        <v>0.0001002802757</v>
      </c>
      <c r="E1858" s="2" t="str">
        <f>IFERROR(__xludf.DUMMYFUNCTION("""COMPUTED_VALUE"""),"     21.267")</f>
        <v>     21.267</v>
      </c>
    </row>
    <row r="1859">
      <c r="A1859" s="2" t="str">
        <f>IFERROR(__xludf.DUMMYFUNCTION("""COMPUTED_VALUE"""),"Suely Iraha")</f>
        <v>Suely Iraha</v>
      </c>
      <c r="B1859" s="2" t="str">
        <f>IFERROR(__xludf.DUMMYFUNCTION("""COMPUTED_VALUE"""),"irahasuely")</f>
        <v>irahasuely</v>
      </c>
      <c r="C1859" s="2" t="str">
        <f>IFERROR(__xludf.DUMMYFUNCTION("""COMPUTED_VALUE"""),"LULISTA")</f>
        <v>LULISTA</v>
      </c>
      <c r="D1859" s="2">
        <f>IFERROR(__xludf.DUMMYFUNCTION("""COMPUTED_VALUE"""),1.0028027568273113E-4)</f>
        <v>0.0001002802757</v>
      </c>
      <c r="E1859" s="2" t="str">
        <f>IFERROR(__xludf.DUMMYFUNCTION("""COMPUTED_VALUE"""),"      2.222")</f>
        <v>      2.222</v>
      </c>
    </row>
    <row r="1860">
      <c r="A1860" s="2" t="str">
        <f>IFERROR(__xludf.DUMMYFUNCTION("""COMPUTED_VALUE"""),"mayan")</f>
        <v>mayan</v>
      </c>
      <c r="B1860" s="2" t="str">
        <f>IFERROR(__xludf.DUMMYFUNCTION("""COMPUTED_VALUE"""),"mayanzitto")</f>
        <v>mayanzitto</v>
      </c>
      <c r="C1860" s="2" t="str">
        <f>IFERROR(__xludf.DUMMYFUNCTION("""COMPUTED_VALUE"""),"just mayan")</f>
        <v>just mayan</v>
      </c>
      <c r="D1860" s="2">
        <f>IFERROR(__xludf.DUMMYFUNCTION("""COMPUTED_VALUE"""),1.0028027568273113E-4)</f>
        <v>0.0001002802757</v>
      </c>
      <c r="E1860" s="2" t="str">
        <f>IFERROR(__xludf.DUMMYFUNCTION("""COMPUTED_VALUE"""),"      1.787")</f>
        <v>      1.787</v>
      </c>
    </row>
    <row r="1861">
      <c r="A1861" s="2" t="str">
        <f>IFERROR(__xludf.DUMMYFUNCTION("""COMPUTED_VALUE"""),"JohnXingu@🇧🇷🇧🇷🇧🇷")</f>
        <v>JohnXingu@🇧🇷🇧🇷🇧🇷</v>
      </c>
      <c r="B1861" s="2" t="str">
        <f>IFERROR(__xludf.DUMMYFUNCTION("""COMPUTED_VALUE"""),"johnxinguhotma1")</f>
        <v>johnxinguhotma1</v>
      </c>
      <c r="C1861" s="2" t="str">
        <f>IFERROR(__xludf.DUMMYFUNCTION("""COMPUTED_VALUE"""),"Liberdade!!!! 🇧🇷🇧🇷🇧🇷🇧🇷")</f>
        <v>Liberdade!!!! 🇧🇷🇧🇷🇧🇷🇧🇷</v>
      </c>
      <c r="D1861" s="2">
        <f>IFERROR(__xludf.DUMMYFUNCTION("""COMPUTED_VALUE"""),1.0028027568273113E-4)</f>
        <v>0.0001002802757</v>
      </c>
      <c r="E1861" s="2" t="str">
        <f>IFERROR(__xludf.DUMMYFUNCTION("""COMPUTED_VALUE"""),"      1.238")</f>
        <v>      1.238</v>
      </c>
    </row>
    <row r="1862">
      <c r="A1862" s="2" t="str">
        <f>IFERROR(__xludf.DUMMYFUNCTION("""COMPUTED_VALUE"""),"victor")</f>
        <v>victor</v>
      </c>
      <c r="B1862" s="2" t="str">
        <f>IFERROR(__xludf.DUMMYFUNCTION("""COMPUTED_VALUE"""),"loserwoke")</f>
        <v>loserwoke</v>
      </c>
      <c r="C1862" s="2" t="str">
        <f>IFERROR(__xludf.DUMMYFUNCTION("""COMPUTED_VALUE"""),"because even salt can look like sugar")</f>
        <v>because even salt can look like sugar</v>
      </c>
      <c r="D1862" s="2">
        <f>IFERROR(__xludf.DUMMYFUNCTION("""COMPUTED_VALUE"""),1.0028027568273113E-4)</f>
        <v>0.0001002802757</v>
      </c>
      <c r="E1862" s="2" t="str">
        <f>IFERROR(__xludf.DUMMYFUNCTION("""COMPUTED_VALUE"""),"      2.298")</f>
        <v>      2.298</v>
      </c>
    </row>
    <row r="1863">
      <c r="A1863" s="2" t="str">
        <f>IFERROR(__xludf.DUMMYFUNCTION("""COMPUTED_VALUE"""),"ℙ𝕌ℝO 𝔾𝔸𝕃𝔼𝕋O ✠")</f>
        <v>ℙ𝕌ℝO 𝔾𝔸𝕃𝔼𝕋O ✠</v>
      </c>
      <c r="B1863" s="2" t="str">
        <f>IFERROR(__xludf.DUMMYFUNCTION("""COMPUTED_VALUE"""),"perronito_robys")</f>
        <v>perronito_robys</v>
      </c>
      <c r="C1863" s="2" t="str">
        <f>IFERROR(__xludf.DUMMYFUNCTION("""COMPUTED_VALUE"""),"A vida me ensinou a nunca desistir. Nem ganhar, nem perder, mas procurar evoluir.💪🏼")</f>
        <v>A vida me ensinou a nunca desistir. Nem ganhar, nem perder, mas procurar evoluir.💪🏼</v>
      </c>
      <c r="D1863" s="2">
        <f>IFERROR(__xludf.DUMMYFUNCTION("""COMPUTED_VALUE"""),1.0028027568273113E-4)</f>
        <v>0.0001002802757</v>
      </c>
      <c r="E1863" s="2" t="str">
        <f>IFERROR(__xludf.DUMMYFUNCTION("""COMPUTED_VALUE"""),"      2.205")</f>
        <v>      2.205</v>
      </c>
    </row>
    <row r="1864">
      <c r="A1864" s="2" t="str">
        <f>IFERROR(__xludf.DUMMYFUNCTION("""COMPUTED_VALUE"""),"Eduardo Silva")</f>
        <v>Eduardo Silva</v>
      </c>
      <c r="B1864" s="2" t="str">
        <f>IFERROR(__xludf.DUMMYFUNCTION("""COMPUTED_VALUE"""),"carlose49518882")</f>
        <v>carlose49518882</v>
      </c>
      <c r="C1864" s="2" t="str">
        <f>IFERROR(__xludf.DUMMYFUNCTION("""COMPUTED_VALUE"""),"Socialista,esquerdopata,ateísta,gayzista,antifacista,filiado ao PT-SC,Dilmista,Lulista❤ torcedor  do @FortalezaEC 🦁e ao lado das mulheres contra o machismo.")</f>
        <v>Socialista,esquerdopata,ateísta,gayzista,antifacista,filiado ao PT-SC,Dilmista,Lulista❤ torcedor  do @FortalezaEC 🦁e ao lado das mulheres contra o machismo.</v>
      </c>
      <c r="D1864" s="2">
        <f>IFERROR(__xludf.DUMMYFUNCTION("""COMPUTED_VALUE"""),1.0028027568273113E-4)</f>
        <v>0.0001002802757</v>
      </c>
      <c r="E1864" s="2" t="str">
        <f>IFERROR(__xludf.DUMMYFUNCTION("""COMPUTED_VALUE"""),"      3.244")</f>
        <v>      3.244</v>
      </c>
    </row>
    <row r="1865">
      <c r="A1865" s="2" t="str">
        <f>IFERROR(__xludf.DUMMYFUNCTION("""COMPUTED_VALUE"""),"Mirani")</f>
        <v>Mirani</v>
      </c>
      <c r="B1865" s="2" t="str">
        <f>IFERROR(__xludf.DUMMYFUNCTION("""COMPUTED_VALUE"""),"miranineves")</f>
        <v>miranineves</v>
      </c>
      <c r="C1865" s="2" t="str">
        <f>IFERROR(__xludf.DUMMYFUNCTION("""COMPUTED_VALUE"""),"Filhos, herança do senhor!")</f>
        <v>Filhos, herança do senhor!</v>
      </c>
      <c r="D1865" s="2">
        <f>IFERROR(__xludf.DUMMYFUNCTION("""COMPUTED_VALUE"""),1.0028027568273113E-4)</f>
        <v>0.0001002802757</v>
      </c>
      <c r="E1865" s="2" t="str">
        <f>IFERROR(__xludf.DUMMYFUNCTION("""COMPUTED_VALUE"""),"      6.405")</f>
        <v>      6.405</v>
      </c>
    </row>
    <row r="1866">
      <c r="A1866" s="2" t="str">
        <f>IFERROR(__xludf.DUMMYFUNCTION("""COMPUTED_VALUE"""),"Marcos Geraldo Nunes MD Tecnologia")</f>
        <v>Marcos Geraldo Nunes MD Tecnologia</v>
      </c>
      <c r="B1866" s="2" t="str">
        <f>IFERROR(__xludf.DUMMYFUNCTION("""COMPUTED_VALUE"""),"mdtecnologia")</f>
        <v>mdtecnologia</v>
      </c>
      <c r="C1866" s="2" t="str">
        <f>IFERROR(__xludf.DUMMYFUNCTION("""COMPUTED_VALUE"""),"Bisavó Cap. da Guarda Imperial, Avô lutou em 1932, Pai na FEB Itália 1945, Pai de 5, Deus,Pátria,Família.     Meu Pix é: mdtecnologia@live.com")</f>
        <v>Bisavó Cap. da Guarda Imperial, Avô lutou em 1932, Pai na FEB Itália 1945, Pai de 5, Deus,Pátria,Família.     Meu Pix é: mdtecnologia@live.com</v>
      </c>
      <c r="D1866" s="2">
        <f>IFERROR(__xludf.DUMMYFUNCTION("""COMPUTED_VALUE"""),1.0028027568273113E-4)</f>
        <v>0.0001002802757</v>
      </c>
      <c r="E1866" s="2" t="str">
        <f>IFERROR(__xludf.DUMMYFUNCTION("""COMPUTED_VALUE"""),"      3.498")</f>
        <v>      3.498</v>
      </c>
    </row>
    <row r="1867">
      <c r="A1867" s="2" t="str">
        <f>IFERROR(__xludf.DUMMYFUNCTION("""COMPUTED_VALUE"""),"ma")</f>
        <v>ma</v>
      </c>
      <c r="B1867" s="2" t="str">
        <f>IFERROR(__xludf.DUMMYFUNCTION("""COMPUTED_VALUE"""),"marinharc")</f>
        <v>marinharc</v>
      </c>
      <c r="C1867" s="2" t="str">
        <f>IFERROR(__xludf.DUMMYFUNCTION("""COMPUTED_VALUE"""),"uma garota apaixonada por livros 📚 Nordestina 🌵. meus favoritos 🥣🥷 🦏Corinthians 🖤 Fan Account")</f>
        <v>uma garota apaixonada por livros 📚 Nordestina 🌵. meus favoritos 🥣🥷 🦏Corinthians 🖤 Fan Account</v>
      </c>
      <c r="D1867" s="2">
        <f>IFERROR(__xludf.DUMMYFUNCTION("""COMPUTED_VALUE"""),1.0028027568273113E-4)</f>
        <v>0.0001002802757</v>
      </c>
      <c r="E1867" s="2" t="str">
        <f>IFERROR(__xludf.DUMMYFUNCTION("""COMPUTED_VALUE"""),"      3.674")</f>
        <v>      3.674</v>
      </c>
    </row>
    <row r="1868">
      <c r="A1868" s="2" t="str">
        <f>IFERROR(__xludf.DUMMYFUNCTION("""COMPUTED_VALUE"""),"Maximo")</f>
        <v>Maximo</v>
      </c>
      <c r="B1868" s="2" t="str">
        <f>IFERROR(__xludf.DUMMYFUNCTION("""COMPUTED_VALUE"""),"maximo20078832")</f>
        <v>maximo20078832</v>
      </c>
      <c r="C1868" s="2" t="str">
        <f>IFERROR(__xludf.DUMMYFUNCTION("""COMPUTED_VALUE"""),"Minha persistencia
'Seja persistente, mesmo que você seja frágil, se continuar fazendo algo continuamente, causará impacto.'")</f>
        <v>Minha persistencia
'Seja persistente, mesmo que você seja frágil, se continuar fazendo algo continuamente, causará impacto.'</v>
      </c>
      <c r="D1868" s="2">
        <f>IFERROR(__xludf.DUMMYFUNCTION("""COMPUTED_VALUE"""),1.0028027568273113E-4)</f>
        <v>0.0001002802757</v>
      </c>
      <c r="E1868" s="2" t="str">
        <f>IFERROR(__xludf.DUMMYFUNCTION("""COMPUTED_VALUE"""),"      1.255")</f>
        <v>      1.255</v>
      </c>
    </row>
    <row r="1869">
      <c r="A1869" s="2" t="str">
        <f>IFERROR(__xludf.DUMMYFUNCTION("""COMPUTED_VALUE"""),"JCS🚩 💉🐊13")</f>
        <v>JCS🚩 💉🐊13</v>
      </c>
      <c r="B1869" s="2" t="str">
        <f>IFERROR(__xludf.DUMMYFUNCTION("""COMPUTED_VALUE"""),"jotauele1")</f>
        <v>jotauele1</v>
      </c>
      <c r="C1869" s="2" t="str">
        <f>IFERROR(__xludf.DUMMYFUNCTION("""COMPUTED_VALUE"""),"Pop/Rock Música Futebol Europeu Minha Família Meu Neto")</f>
        <v>Pop/Rock Música Futebol Europeu Minha Família Meu Neto</v>
      </c>
      <c r="D1869" s="2">
        <f>IFERROR(__xludf.DUMMYFUNCTION("""COMPUTED_VALUE"""),1.0028027568273113E-4)</f>
        <v>0.0001002802757</v>
      </c>
      <c r="E1869" s="2" t="str">
        <f>IFERROR(__xludf.DUMMYFUNCTION("""COMPUTED_VALUE"""),"      2.953")</f>
        <v>      2.953</v>
      </c>
    </row>
    <row r="1870">
      <c r="A1870" s="2" t="str">
        <f>IFERROR(__xludf.DUMMYFUNCTION("""COMPUTED_VALUE"""),"LULA Sandra Miria HADDAD")</f>
        <v>LULA Sandra Miria HADDAD</v>
      </c>
      <c r="B1870" s="2" t="str">
        <f>IFERROR(__xludf.DUMMYFUNCTION("""COMPUTED_VALUE"""),"sandra_miria")</f>
        <v>sandra_miria</v>
      </c>
      <c r="C1870" s="2" t="str">
        <f>IFERROR(__xludf.DUMMYFUNCTION("""COMPUTED_VALUE"""),"Brasileira, feliz, otimista, persistente , petista, GALOO.Nas horas vagas adoro fritar coxinhas. #LulaLivreJá 🌟1⃣3⃣
Perfil alternativo @SandraMiria2 siga lá 👍")</f>
        <v>Brasileira, feliz, otimista, persistente , petista, GALOO.Nas horas vagas adoro fritar coxinhas. #LulaLivreJá 🌟1⃣3⃣
Perfil alternativo @SandraMiria2 siga lá 👍</v>
      </c>
      <c r="D1870" s="2">
        <f>IFERROR(__xludf.DUMMYFUNCTION("""COMPUTED_VALUE"""),1.0028027568273113E-4)</f>
        <v>0.0001002802757</v>
      </c>
      <c r="E1870" s="2" t="str">
        <f>IFERROR(__xludf.DUMMYFUNCTION("""COMPUTED_VALUE"""),"     11.806")</f>
        <v>     11.806</v>
      </c>
    </row>
    <row r="1871">
      <c r="A1871" s="2" t="str">
        <f>IFERROR(__xludf.DUMMYFUNCTION("""COMPUTED_VALUE"""),"Samael Dias 🇧🇷")</f>
        <v>Samael Dias 🇧🇷</v>
      </c>
      <c r="B1871" s="2" t="str">
        <f>IFERROR(__xludf.DUMMYFUNCTION("""COMPUTED_VALUE"""),"diassamael")</f>
        <v>diassamael</v>
      </c>
      <c r="C1871" s="2" t="str">
        <f>IFERROR(__xludf.DUMMYFUNCTION("""COMPUTED_VALUE"""),"preguiça d+ pra escrever uma bio")</f>
        <v>preguiça d+ pra escrever uma bio</v>
      </c>
      <c r="D1871" s="2">
        <f>IFERROR(__xludf.DUMMYFUNCTION("""COMPUTED_VALUE"""),1.0028027568273113E-4)</f>
        <v>0.0001002802757</v>
      </c>
      <c r="E1871" s="2" t="str">
        <f>IFERROR(__xludf.DUMMYFUNCTION("""COMPUTED_VALUE"""),"      2.371")</f>
        <v>      2.371</v>
      </c>
    </row>
    <row r="1872">
      <c r="A1872" s="2" t="str">
        <f>IFERROR(__xludf.DUMMYFUNCTION("""COMPUTED_VALUE"""),"Thales Souza Reis 🧣")</f>
        <v>Thales Souza Reis 🧣</v>
      </c>
      <c r="B1872" s="2" t="str">
        <f>IFERROR(__xludf.DUMMYFUNCTION("""COMPUTED_VALUE"""),"thsouzareis")</f>
        <v>thsouzareis</v>
      </c>
      <c r="C1872" s="2" t="str">
        <f>IFERROR(__xludf.DUMMYFUNCTION("""COMPUTED_VALUE"""),"mestrando em comunicação com um toque de literatura • especialista em relações internacionais e diplomacia • apaixonado por América Latina, futebol e Inter.")</f>
        <v>mestrando em comunicação com um toque de literatura • especialista em relações internacionais e diplomacia • apaixonado por América Latina, futebol e Inter.</v>
      </c>
      <c r="D1872" s="2">
        <f>IFERROR(__xludf.DUMMYFUNCTION("""COMPUTED_VALUE"""),1.0028027568273113E-4)</f>
        <v>0.0001002802757</v>
      </c>
      <c r="E1872" s="2" t="str">
        <f>IFERROR(__xludf.DUMMYFUNCTION("""COMPUTED_VALUE"""),"     13.674")</f>
        <v>     13.674</v>
      </c>
    </row>
    <row r="1873">
      <c r="A1873" s="2" t="str">
        <f>IFERROR(__xludf.DUMMYFUNCTION("""COMPUTED_VALUE"""),"Filippo ""Facinoroso"" Corvi")</f>
        <v>Filippo "Facinoroso" Corvi</v>
      </c>
      <c r="B1873" s="2" t="str">
        <f>IFERROR(__xludf.DUMMYFUNCTION("""COMPUTED_VALUE"""),"filippocorvi")</f>
        <v>filippocorvi</v>
      </c>
      <c r="C1873" s="2" t="str">
        <f>IFERROR(__xludf.DUMMYFUNCTION("""COMPUTED_VALUE"""),"juventino e piacentino, qua per la Juve.")</f>
        <v>juventino e piacentino, qua per la Juve.</v>
      </c>
      <c r="D1873" s="2">
        <f>IFERROR(__xludf.DUMMYFUNCTION("""COMPUTED_VALUE"""),1.0028027568273113E-4)</f>
        <v>0.0001002802757</v>
      </c>
      <c r="E1873" s="2" t="str">
        <f>IFERROR(__xludf.DUMMYFUNCTION("""COMPUTED_VALUE"""),"      1.205")</f>
        <v>      1.205</v>
      </c>
    </row>
    <row r="1874">
      <c r="A1874" s="2" t="str">
        <f>IFERROR(__xludf.DUMMYFUNCTION("""COMPUTED_VALUE"""),"Paolo Crociato")</f>
        <v>Paolo Crociato</v>
      </c>
      <c r="B1874" s="2" t="str">
        <f>IFERROR(__xludf.DUMMYFUNCTION("""COMPUTED_VALUE"""),"paolocrociato")</f>
        <v>paolocrociato</v>
      </c>
      <c r="C1874" s="2" t="str">
        <f>IFERROR(__xludf.DUMMYFUNCTION("""COMPUTED_VALUE"""),"Fondatore di https://t.co/73MRoBUsAF - Obiettivo: ottenere l’indipendenza finanziaria e una rendita passiva crescente investendo in titoli a dividendo")</f>
        <v>Fondatore di https://t.co/73MRoBUsAF - Obiettivo: ottenere l’indipendenza finanziaria e una rendita passiva crescente investendo in titoli a dividendo</v>
      </c>
      <c r="D1874" s="2">
        <f>IFERROR(__xludf.DUMMYFUNCTION("""COMPUTED_VALUE"""),1.0028027568273113E-4)</f>
        <v>0.0001002802757</v>
      </c>
      <c r="E1874" s="2" t="str">
        <f>IFERROR(__xludf.DUMMYFUNCTION("""COMPUTED_VALUE"""),"     47.911")</f>
        <v>     47.911</v>
      </c>
    </row>
    <row r="1875">
      <c r="A1875" s="2" t="str">
        <f>IFERROR(__xludf.DUMMYFUNCTION("""COMPUTED_VALUE"""),"Joao Neto")</f>
        <v>Joao Neto</v>
      </c>
      <c r="B1875" s="2" t="str">
        <f>IFERROR(__xludf.DUMMYFUNCTION("""COMPUTED_VALUE"""),"antiidiota")</f>
        <v>antiidiota</v>
      </c>
      <c r="C1875" s="2" t="str">
        <f>IFERROR(__xludf.DUMMYFUNCTION("""COMPUTED_VALUE"""),"Sou o que eu gostaria de ser. Nem mais nem menos.")</f>
        <v>Sou o que eu gostaria de ser. Nem mais nem menos.</v>
      </c>
      <c r="D1875" s="2">
        <f>IFERROR(__xludf.DUMMYFUNCTION("""COMPUTED_VALUE"""),1.0028027568273113E-4)</f>
        <v>0.0001002802757</v>
      </c>
      <c r="E1875" s="2" t="str">
        <f>IFERROR(__xludf.DUMMYFUNCTION("""COMPUTED_VALUE"""),"      2.153")</f>
        <v>      2.153</v>
      </c>
    </row>
    <row r="1876">
      <c r="A1876" s="2" t="str">
        <f>IFERROR(__xludf.DUMMYFUNCTION("""COMPUTED_VALUE"""),"Gil")</f>
        <v>Gil</v>
      </c>
      <c r="B1876" s="2" t="str">
        <f>IFERROR(__xludf.DUMMYFUNCTION("""COMPUTED_VALUE"""),"maragil_mara")</f>
        <v>maragil_mara</v>
      </c>
      <c r="C1876" s="2" t="str">
        <f>IFERROR(__xludf.DUMMYFUNCTION("""COMPUTED_VALUE"""),"O fascismo sussurrou em nosso ouvido ""você não é forte o suficiente para resistir a tempestade” Hoje sussurramos no ouvido do fascismo “Nós somos a tempestade”")</f>
        <v>O fascismo sussurrou em nosso ouvido "você não é forte o suficiente para resistir a tempestade” Hoje sussurramos no ouvido do fascismo “Nós somos a tempestade”</v>
      </c>
      <c r="D1876" s="2">
        <f>IFERROR(__xludf.DUMMYFUNCTION("""COMPUTED_VALUE"""),1.0028027568273113E-4)</f>
        <v>0.0001002802757</v>
      </c>
      <c r="E1876" s="2" t="str">
        <f>IFERROR(__xludf.DUMMYFUNCTION("""COMPUTED_VALUE"""),"      4.132")</f>
        <v>      4.132</v>
      </c>
    </row>
    <row r="1877">
      <c r="A1877" s="2" t="str">
        <f>IFERROR(__xludf.DUMMYFUNCTION("""COMPUTED_VALUE"""),"Omar Kaminski")</f>
        <v>Omar Kaminski</v>
      </c>
      <c r="B1877" s="2" t="str">
        <f>IFERROR(__xludf.DUMMYFUNCTION("""COMPUTED_VALUE"""),"internetlegal")</f>
        <v>internetlegal</v>
      </c>
      <c r="C1877" s="2" t="str">
        <f>IFERROR(__xludf.DUMMYFUNCTION("""COMPUTED_VALUE"""),"Hacking the law since 1995")</f>
        <v>Hacking the law since 1995</v>
      </c>
      <c r="D1877" s="2">
        <f>IFERROR(__xludf.DUMMYFUNCTION("""COMPUTED_VALUE"""),1.0028027568273113E-4)</f>
        <v>0.0001002802757</v>
      </c>
      <c r="E1877" s="2" t="str">
        <f>IFERROR(__xludf.DUMMYFUNCTION("""COMPUTED_VALUE"""),"      4.585")</f>
        <v>      4.585</v>
      </c>
    </row>
    <row r="1878">
      <c r="A1878" s="2" t="str">
        <f>IFERROR(__xludf.DUMMYFUNCTION("""COMPUTED_VALUE"""),"Celula Rio")</f>
        <v>Celula Rio</v>
      </c>
      <c r="B1878" s="2" t="str">
        <f>IFERROR(__xludf.DUMMYFUNCTION("""COMPUTED_VALUE"""),"celula_rio")</f>
        <v>celula_rio</v>
      </c>
      <c r="C1878" s="2" t="str">
        <f>IFERROR(__xludf.DUMMYFUNCTION("""COMPUTED_VALUE"""),"🇧🇷🇧🇷🇧🇷🇧🇷🦆🦆")</f>
        <v>🇧🇷🇧🇷🇧🇷🇧🇷🦆🦆</v>
      </c>
      <c r="D1878" s="2">
        <f>IFERROR(__xludf.DUMMYFUNCTION("""COMPUTED_VALUE"""),1.0028027568273113E-4)</f>
        <v>0.0001002802757</v>
      </c>
      <c r="E1878" s="2" t="str">
        <f>IFERROR(__xludf.DUMMYFUNCTION("""COMPUTED_VALUE"""),"      1.617")</f>
        <v>      1.617</v>
      </c>
    </row>
    <row r="1879">
      <c r="A1879" s="2" t="str">
        <f>IFERROR(__xludf.DUMMYFUNCTION("""COMPUTED_VALUE"""),"PauloRJ 🔴⚫")</f>
        <v>PauloRJ 🔴⚫</v>
      </c>
      <c r="B1879" s="2" t="str">
        <f>IFERROR(__xludf.DUMMYFUNCTION("""COMPUTED_VALUE"""),"paulo64rj")</f>
        <v>paulo64rj</v>
      </c>
      <c r="C1879" s="2" t="str">
        <f>IFERROR(__xludf.DUMMYFUNCTION("""COMPUTED_VALUE"""),"Escritor |
Professor Universitário |
Cientista Político |
Filósofo |
Teólogo |")</f>
        <v>Escritor |
Professor Universitário |
Cientista Político |
Filósofo |
Teólogo |</v>
      </c>
      <c r="D1879" s="2">
        <f>IFERROR(__xludf.DUMMYFUNCTION("""COMPUTED_VALUE"""),1.0028027568273113E-4)</f>
        <v>0.0001002802757</v>
      </c>
      <c r="E1879" s="2" t="str">
        <f>IFERROR(__xludf.DUMMYFUNCTION("""COMPUTED_VALUE"""),"      2.624")</f>
        <v>      2.624</v>
      </c>
    </row>
    <row r="1880">
      <c r="A1880" s="2" t="str">
        <f>IFERROR(__xludf.DUMMYFUNCTION("""COMPUTED_VALUE"""),"Letícia Moraes🚩🚩🚩13")</f>
        <v>Letícia Moraes🚩🚩🚩13</v>
      </c>
      <c r="B1880" s="2" t="str">
        <f>IFERROR(__xludf.DUMMYFUNCTION("""COMPUTED_VALUE"""),"leticiam9949417")</f>
        <v>leticiam9949417</v>
      </c>
      <c r="C1880" s="2" t="str">
        <f>IFERROR(__xludf.DUMMYFUNCTION("""COMPUTED_VALUE"""),"mulher de fases, mas sempre pela esquerda e antifacista. Lula13🚩🚩🚩🇧🇷 CONFIO NO LULA13")</f>
        <v>mulher de fases, mas sempre pela esquerda e antifacista. Lula13🚩🚩🚩🇧🇷 CONFIO NO LULA13</v>
      </c>
      <c r="D1880" s="2">
        <f>IFERROR(__xludf.DUMMYFUNCTION("""COMPUTED_VALUE"""),1.0028027568273113E-4)</f>
        <v>0.0001002802757</v>
      </c>
      <c r="E1880" s="2" t="str">
        <f>IFERROR(__xludf.DUMMYFUNCTION("""COMPUTED_VALUE"""),"      3.312")</f>
        <v>      3.312</v>
      </c>
    </row>
    <row r="1881">
      <c r="A1881" s="2" t="str">
        <f>IFERROR(__xludf.DUMMYFUNCTION("""COMPUTED_VALUE"""),"Cabaneiro 💢 ◤✠◢")</f>
        <v>Cabaneiro 💢 ◤✠◢</v>
      </c>
      <c r="B1881" s="2" t="str">
        <f>IFERROR(__xludf.DUMMYFUNCTION("""COMPUTED_VALUE"""),"jerryfacha")</f>
        <v>jerryfacha</v>
      </c>
      <c r="C1881" s="2" t="str">
        <f>IFERROR(__xludf.DUMMYFUNCTION("""COMPUTED_VALUE"""),"Um vascaíno sortudo. E agora, de bem com a vida.")</f>
        <v>Um vascaíno sortudo. E agora, de bem com a vida.</v>
      </c>
      <c r="D1881" s="2">
        <f>IFERROR(__xludf.DUMMYFUNCTION("""COMPUTED_VALUE"""),1.0028027568273111E-4)</f>
        <v>0.0001002802757</v>
      </c>
      <c r="E1881" s="2" t="str">
        <f>IFERROR(__xludf.DUMMYFUNCTION("""COMPUTED_VALUE"""),"      1.536")</f>
        <v>      1.536</v>
      </c>
    </row>
    <row r="1882">
      <c r="A1882" s="2" t="str">
        <f>IFERROR(__xludf.DUMMYFUNCTION("""COMPUTED_VALUE"""),"Beto")</f>
        <v>Beto</v>
      </c>
      <c r="B1882" s="2" t="str">
        <f>IFERROR(__xludf.DUMMYFUNCTION("""COMPUTED_VALUE"""),"albertosalesadv")</f>
        <v>albertosalesadv</v>
      </c>
      <c r="C1882" s="2" t="str">
        <f>IFERROR(__xludf.DUMMYFUNCTION("""COMPUTED_VALUE"""),"Bacharel em Direito e História.")</f>
        <v>Bacharel em Direito e História.</v>
      </c>
      <c r="D1882" s="2">
        <f>IFERROR(__xludf.DUMMYFUNCTION("""COMPUTED_VALUE"""),1.0028027568273111E-4)</f>
        <v>0.0001002802757</v>
      </c>
      <c r="E1882" s="2" t="str">
        <f>IFERROR(__xludf.DUMMYFUNCTION("""COMPUTED_VALUE"""),"      2.011")</f>
        <v>      2.011</v>
      </c>
    </row>
    <row r="1883">
      <c r="A1883" s="2" t="str">
        <f>IFERROR(__xludf.DUMMYFUNCTION("""COMPUTED_VALUE"""),"Lopez 🚩")</f>
        <v>Lopez 🚩</v>
      </c>
      <c r="B1883" s="2" t="str">
        <f>IFERROR(__xludf.DUMMYFUNCTION("""COMPUTED_VALUE"""),"paradoxobrasil")</f>
        <v>paradoxobrasil</v>
      </c>
      <c r="C1883" s="2" t="str">
        <f>IFERROR(__xludf.DUMMYFUNCTION("""COMPUTED_VALUE"""),"Petista filiado, Lulista. Fascistas caiam fora!")</f>
        <v>Petista filiado, Lulista. Fascistas caiam fora!</v>
      </c>
      <c r="D1883" s="2">
        <f>IFERROR(__xludf.DUMMYFUNCTION("""COMPUTED_VALUE"""),1.0028027568273111E-4)</f>
        <v>0.0001002802757</v>
      </c>
      <c r="E1883" s="2" t="str">
        <f>IFERROR(__xludf.DUMMYFUNCTION("""COMPUTED_VALUE"""),"      1.255")</f>
        <v>      1.255</v>
      </c>
    </row>
    <row r="1884">
      <c r="A1884" s="2" t="str">
        <f>IFERROR(__xludf.DUMMYFUNCTION("""COMPUTED_VALUE"""),"2022 FELIZ DE NOVO")</f>
        <v>2022 FELIZ DE NOVO</v>
      </c>
      <c r="B1884" s="2" t="str">
        <f>IFERROR(__xludf.DUMMYFUNCTION("""COMPUTED_VALUE"""),"sccp_wesleyy")</f>
        <v>sccp_wesleyy</v>
      </c>
      <c r="C1884" s="2" t="str">
        <f>IFERROR(__xludf.DUMMYFUNCTION("""COMPUTED_VALUE"""),"Se você é contra justiça social e povos minoritários, tá no perfil errado irmão.")</f>
        <v>Se você é contra justiça social e povos minoritários, tá no perfil errado irmão.</v>
      </c>
      <c r="D1884" s="2">
        <f>IFERROR(__xludf.DUMMYFUNCTION("""COMPUTED_VALUE"""),1.0028027568273111E-4)</f>
        <v>0.0001002802757</v>
      </c>
      <c r="E1884" s="2" t="str">
        <f>IFERROR(__xludf.DUMMYFUNCTION("""COMPUTED_VALUE"""),"      1.935")</f>
        <v>      1.935</v>
      </c>
    </row>
    <row r="1885">
      <c r="A1885" s="2" t="str">
        <f>IFERROR(__xludf.DUMMYFUNCTION("""COMPUTED_VALUE"""),"Everaldo Pereira Mel")</f>
        <v>Everaldo Pereira Mel</v>
      </c>
      <c r="B1885" s="2" t="str">
        <f>IFERROR(__xludf.DUMMYFUNCTION("""COMPUTED_VALUE"""),"evraldomelo")</f>
        <v>evraldomelo</v>
      </c>
      <c r="C1885" s="2"/>
      <c r="D1885" s="2">
        <f>IFERROR(__xludf.DUMMYFUNCTION("""COMPUTED_VALUE"""),1.0028027568273111E-4)</f>
        <v>0.0001002802757</v>
      </c>
      <c r="E1885" s="2" t="str">
        <f>IFERROR(__xludf.DUMMYFUNCTION("""COMPUTED_VALUE"""),"      2.343")</f>
        <v>      2.343</v>
      </c>
    </row>
    <row r="1886">
      <c r="A1886" s="2" t="str">
        <f>IFERROR(__xludf.DUMMYFUNCTION("""COMPUTED_VALUE"""),"Thomas Müntzer")</f>
        <v>Thomas Müntzer</v>
      </c>
      <c r="B1886" s="2" t="str">
        <f>IFERROR(__xludf.DUMMYFUNCTION("""COMPUTED_VALUE"""),"muntzer_thomas")</f>
        <v>muntzer_thomas</v>
      </c>
      <c r="C1886" s="2" t="str">
        <f>IFERROR(__xludf.DUMMYFUNCTION("""COMPUTED_VALUE"""),"Omnia sunt communia.")</f>
        <v>Omnia sunt communia.</v>
      </c>
      <c r="D1886" s="2">
        <f>IFERROR(__xludf.DUMMYFUNCTION("""COMPUTED_VALUE"""),1.0028027568273111E-4)</f>
        <v>0.0001002802757</v>
      </c>
      <c r="E1886" s="2" t="str">
        <f>IFERROR(__xludf.DUMMYFUNCTION("""COMPUTED_VALUE"""),"      8.457")</f>
        <v>      8.457</v>
      </c>
    </row>
    <row r="1887">
      <c r="A1887" s="2" t="str">
        <f>IFERROR(__xludf.DUMMYFUNCTION("""COMPUTED_VALUE"""),"vih ᶠᵉᶜ")</f>
        <v>vih ᶠᵉᶜ</v>
      </c>
      <c r="B1887" s="2" t="str">
        <f>IFERROR(__xludf.DUMMYFUNCTION("""COMPUTED_VALUE"""),"beenyoux")</f>
        <v>beenyoux</v>
      </c>
      <c r="C1887" s="2" t="str">
        <f>IFERROR(__xludf.DUMMYFUNCTION("""COMPUTED_VALUE"""),"that's bizzle on his finest")</f>
        <v>that's bizzle on his finest</v>
      </c>
      <c r="D1887" s="2">
        <f>IFERROR(__xludf.DUMMYFUNCTION("""COMPUTED_VALUE"""),1.0028027568273111E-4)</f>
        <v>0.0001002802757</v>
      </c>
      <c r="E1887" s="2" t="str">
        <f>IFERROR(__xludf.DUMMYFUNCTION("""COMPUTED_VALUE"""),"      2.274")</f>
        <v>      2.274</v>
      </c>
    </row>
    <row r="1888">
      <c r="A1888" s="2" t="str">
        <f>IFERROR(__xludf.DUMMYFUNCTION("""COMPUTED_VALUE"""),"Isllander ")</f>
        <v>Isllander </v>
      </c>
      <c r="B1888" s="2" t="str">
        <f>IFERROR(__xludf.DUMMYFUNCTION("""COMPUTED_VALUE"""),"oisllander")</f>
        <v>oisllander</v>
      </c>
      <c r="C1888" s="2" t="str">
        <f>IFERROR(__xludf.DUMMYFUNCTION("""COMPUTED_VALUE"""),"Journalist and Filmmaker!
@isllander banida")</f>
        <v>Journalist and Filmmaker!
@isllander banida</v>
      </c>
      <c r="D1888" s="2">
        <f>IFERROR(__xludf.DUMMYFUNCTION("""COMPUTED_VALUE"""),1.0028027568273111E-4)</f>
        <v>0.0001002802757</v>
      </c>
      <c r="E1888" s="2" t="str">
        <f>IFERROR(__xludf.DUMMYFUNCTION("""COMPUTED_VALUE"""),"      1.102")</f>
        <v>      1.102</v>
      </c>
    </row>
    <row r="1889">
      <c r="A1889" s="2" t="str">
        <f>IFERROR(__xludf.DUMMYFUNCTION("""COMPUTED_VALUE"""),"🚩Claudio🚩")</f>
        <v>🚩Claudio🚩</v>
      </c>
      <c r="B1889" s="2" t="str">
        <f>IFERROR(__xludf.DUMMYFUNCTION("""COMPUTED_VALUE"""),"zebedeudascoves")</f>
        <v>zebedeudascoves</v>
      </c>
      <c r="C1889" s="2" t="str">
        <f>IFERROR(__xludf.DUMMYFUNCTION("""COMPUTED_VALUE"""),"O Brasil está voltando!")</f>
        <v>O Brasil está voltando!</v>
      </c>
      <c r="D1889" s="2">
        <f>IFERROR(__xludf.DUMMYFUNCTION("""COMPUTED_VALUE"""),1.0028027568273111E-4)</f>
        <v>0.0001002802757</v>
      </c>
      <c r="E1889" s="2" t="str">
        <f>IFERROR(__xludf.DUMMYFUNCTION("""COMPUTED_VALUE"""),"      3.781")</f>
        <v>      3.781</v>
      </c>
    </row>
    <row r="1890">
      <c r="A1890" s="2" t="str">
        <f>IFERROR(__xludf.DUMMYFUNCTION("""COMPUTED_VALUE"""),"Cristiane Vitória")</f>
        <v>Cristiane Vitória</v>
      </c>
      <c r="B1890" s="2" t="str">
        <f>IFERROR(__xludf.DUMMYFUNCTION("""COMPUTED_VALUE"""),"zadinacristiane")</f>
        <v>zadinacristiane</v>
      </c>
      <c r="C1890" s="2" t="str">
        <f>IFERROR(__xludf.DUMMYFUNCTION("""COMPUTED_VALUE"""),"Humanista")</f>
        <v>Humanista</v>
      </c>
      <c r="D1890" s="2">
        <f>IFERROR(__xludf.DUMMYFUNCTION("""COMPUTED_VALUE"""),1.0028027568273111E-4)</f>
        <v>0.0001002802757</v>
      </c>
      <c r="E1890" s="2" t="str">
        <f>IFERROR(__xludf.DUMMYFUNCTION("""COMPUTED_VALUE"""),"      3.543")</f>
        <v>      3.543</v>
      </c>
    </row>
    <row r="1891">
      <c r="A1891" s="2" t="str">
        <f>IFERROR(__xludf.DUMMYFUNCTION("""COMPUTED_VALUE"""),"anprimoderno.com.br🎖️")</f>
        <v>anprimoderno.com.br🎖️</v>
      </c>
      <c r="B1891" s="2" t="str">
        <f>IFERROR(__xludf.DUMMYFUNCTION("""COMPUTED_VALUE"""),"anprimoderno")</f>
        <v>anprimoderno</v>
      </c>
      <c r="C1891" s="2"/>
      <c r="D1891" s="2">
        <f>IFERROR(__xludf.DUMMYFUNCTION("""COMPUTED_VALUE"""),1.0028027568273111E-4)</f>
        <v>0.0001002802757</v>
      </c>
      <c r="E1891" s="2" t="str">
        <f>IFERROR(__xludf.DUMMYFUNCTION("""COMPUTED_VALUE"""),"      2.392")</f>
        <v>      2.392</v>
      </c>
    </row>
    <row r="1892">
      <c r="A1892" s="2" t="str">
        <f>IFERROR(__xludf.DUMMYFUNCTION("""COMPUTED_VALUE"""),"Fåbi 🦑🚩")</f>
        <v>Fåbi 🦑🚩</v>
      </c>
      <c r="B1892" s="2" t="str">
        <f>IFERROR(__xludf.DUMMYFUNCTION("""COMPUTED_VALUE"""),"fabpaz")</f>
        <v>fabpaz</v>
      </c>
      <c r="C1892" s="2" t="str">
        <f>IFERROR(__xludf.DUMMYFUNCTION("""COMPUTED_VALUE"""),"A FELICIDADE É SOCIALISTA!
Arquiteta, Pintora e Escultora ... entre outras cositas más...
#Lula13 ⭐")</f>
        <v>A FELICIDADE É SOCIALISTA!
Arquiteta, Pintora e Escultora ... entre outras cositas más...
#Lula13 ⭐</v>
      </c>
      <c r="D1892" s="2">
        <f>IFERROR(__xludf.DUMMYFUNCTION("""COMPUTED_VALUE"""),1.0028027568273111E-4)</f>
        <v>0.0001002802757</v>
      </c>
      <c r="E1892" s="2" t="str">
        <f>IFERROR(__xludf.DUMMYFUNCTION("""COMPUTED_VALUE"""),"      3.574")</f>
        <v>      3.574</v>
      </c>
    </row>
    <row r="1893">
      <c r="A1893" s="2" t="str">
        <f>IFERROR(__xludf.DUMMYFUNCTION("""COMPUTED_VALUE"""),"Maristela de Melo")</f>
        <v>Maristela de Melo</v>
      </c>
      <c r="B1893" s="2" t="str">
        <f>IFERROR(__xludf.DUMMYFUNCTION("""COMPUTED_VALUE"""),"maristelademelo")</f>
        <v>maristelademelo</v>
      </c>
      <c r="C1893" s="2" t="str">
        <f>IFERROR(__xludf.DUMMYFUNCTION("""COMPUTED_VALUE"""),"Em defesa do justo, do ético, da família, das crianças, dos direitos dos povos e suas culturas e saberes.")</f>
        <v>Em defesa do justo, do ético, da família, das crianças, dos direitos dos povos e suas culturas e saberes.</v>
      </c>
      <c r="D1893" s="2">
        <f>IFERROR(__xludf.DUMMYFUNCTION("""COMPUTED_VALUE"""),1.0028027568273111E-4)</f>
        <v>0.0001002802757</v>
      </c>
      <c r="E1893" s="2" t="str">
        <f>IFERROR(__xludf.DUMMYFUNCTION("""COMPUTED_VALUE"""),"     26.549")</f>
        <v>     26.549</v>
      </c>
    </row>
    <row r="1894">
      <c r="A1894" s="2" t="str">
        <f>IFERROR(__xludf.DUMMYFUNCTION("""COMPUTED_VALUE"""),"Rafael Dos Santos")</f>
        <v>Rafael Dos Santos</v>
      </c>
      <c r="B1894" s="2" t="str">
        <f>IFERROR(__xludf.DUMMYFUNCTION("""COMPUTED_VALUE"""),"rafaeld65095182")</f>
        <v>rafaeld65095182</v>
      </c>
      <c r="C1894" s="2" t="str">
        <f>IFERROR(__xludf.DUMMYFUNCTION("""COMPUTED_VALUE"""),"Em Segundo Algumas Vezes... Na Segunda Jamais ! Torcida Jovem R.Q.I ⚪⚫S.F.C⭐⭐")</f>
        <v>Em Segundo Algumas Vezes... Na Segunda Jamais ! Torcida Jovem R.Q.I ⚪⚫S.F.C⭐⭐</v>
      </c>
      <c r="D1894" s="2">
        <f>IFERROR(__xludf.DUMMYFUNCTION("""COMPUTED_VALUE"""),1.0028027568273111E-4)</f>
        <v>0.0001002802757</v>
      </c>
      <c r="E1894" s="2" t="str">
        <f>IFERROR(__xludf.DUMMYFUNCTION("""COMPUTED_VALUE"""),"      1.891")</f>
        <v>      1.891</v>
      </c>
    </row>
    <row r="1895">
      <c r="A1895" s="2" t="str">
        <f>IFERROR(__xludf.DUMMYFUNCTION("""COMPUTED_VALUE"""),"Breno Brito")</f>
        <v>Breno Brito</v>
      </c>
      <c r="B1895" s="2" t="str">
        <f>IFERROR(__xludf.DUMMYFUNCTION("""COMPUTED_VALUE"""),"brenorb")</f>
        <v>brenorb</v>
      </c>
      <c r="C1895" s="2" t="str">
        <f>IFERROR(__xludf.DUMMYFUNCTION("""COMPUTED_VALUE"""),"🗽 #libertarianism
💹 #finance
₿ 
🧠 #DataScience
💩 #shitposts
⚡ brenorb@zbd.gg")</f>
        <v>🗽 #libertarianism
💹 #finance
₿ 
🧠 #DataScience
💩 #shitposts
⚡ brenorb@zbd.gg</v>
      </c>
      <c r="D1895" s="2">
        <f>IFERROR(__xludf.DUMMYFUNCTION("""COMPUTED_VALUE"""),1.0028027568273111E-4)</f>
        <v>0.0001002802757</v>
      </c>
      <c r="E1895" s="2" t="str">
        <f>IFERROR(__xludf.DUMMYFUNCTION("""COMPUTED_VALUE"""),"      2.762")</f>
        <v>      2.762</v>
      </c>
    </row>
    <row r="1896">
      <c r="A1896" s="2" t="str">
        <f>IFERROR(__xludf.DUMMYFUNCTION("""COMPUTED_VALUE"""),"Investimentos Digitais (Edilson Lauro)")</f>
        <v>Investimentos Digitais (Edilson Lauro)</v>
      </c>
      <c r="B1896" s="2" t="str">
        <f>IFERROR(__xludf.DUMMYFUNCTION("""COMPUTED_VALUE"""),"invdigitais")</f>
        <v>invdigitais</v>
      </c>
      <c r="C1896" s="2" t="str">
        <f>IFERROR(__xludf.DUMMYFUNCTION("""COMPUTED_VALUE"""),"Perfil do Canal e Pessoal, falo de Bitcoin, Dicas e Tutoriais. Revenda Oficial das Principais Hardwallets https://t.co/T56Dpex3vA Not your Keys not Your Coins")</f>
        <v>Perfil do Canal e Pessoal, falo de Bitcoin, Dicas e Tutoriais. Revenda Oficial das Principais Hardwallets https://t.co/T56Dpex3vA Not your Keys not Your Coins</v>
      </c>
      <c r="D1896" s="2">
        <f>IFERROR(__xludf.DUMMYFUNCTION("""COMPUTED_VALUE"""),1.0028027568273111E-4)</f>
        <v>0.0001002802757</v>
      </c>
      <c r="E1896" s="2" t="str">
        <f>IFERROR(__xludf.DUMMYFUNCTION("""COMPUTED_VALUE"""),"     29.535")</f>
        <v>     29.535</v>
      </c>
    </row>
    <row r="1897">
      <c r="A1897" s="2" t="str">
        <f>IFERROR(__xludf.DUMMYFUNCTION("""COMPUTED_VALUE"""),"R.  Buzz")</f>
        <v>R.  Buzz</v>
      </c>
      <c r="B1897" s="2" t="str">
        <f>IFERROR(__xludf.DUMMYFUNCTION("""COMPUTED_VALUE"""),"buzz8051")</f>
        <v>buzz8051</v>
      </c>
      <c r="C1897" s="2" t="str">
        <f>IFERROR(__xludf.DUMMYFUNCTION("""COMPUTED_VALUE"""),"“Sou algarvio e a minha rua tem o mar ao fundo” (já não sei que o disse, mas era poeta)")</f>
        <v>“Sou algarvio e a minha rua tem o mar ao fundo” (já não sei que o disse, mas era poeta)</v>
      </c>
      <c r="D1897" s="2">
        <f>IFERROR(__xludf.DUMMYFUNCTION("""COMPUTED_VALUE"""),1.0028027568273111E-4)</f>
        <v>0.0001002802757</v>
      </c>
      <c r="E1897" s="2" t="str">
        <f>IFERROR(__xludf.DUMMYFUNCTION("""COMPUTED_VALUE"""),"      2.065")</f>
        <v>      2.065</v>
      </c>
    </row>
    <row r="1898">
      <c r="A1898" s="2" t="str">
        <f>IFERROR(__xludf.DUMMYFUNCTION("""COMPUTED_VALUE"""),"Rogério")</f>
        <v>Rogério</v>
      </c>
      <c r="B1898" s="2" t="str">
        <f>IFERROR(__xludf.DUMMYFUNCTION("""COMPUTED_VALUE"""),"rogeriocasado")</f>
        <v>rogeriocasado</v>
      </c>
      <c r="C1898" s="2" t="str">
        <f>IFERROR(__xludf.DUMMYFUNCTION("""COMPUTED_VALUE"""),"Já nasci Casado, a segunda vez foi desatenção !! 
Política, Coritiba e Panathinaikos
Μιλάω ελληνικά, γι' αυτό σας ακολουθώ!  Υποστηρίζω την Coritiba και τον ΠΑΟ")</f>
        <v>Já nasci Casado, a segunda vez foi desatenção !! 
Política, Coritiba e Panathinaikos
Μιλάω ελληνικά, γι' αυτό σας ακολουθώ!  Υποστηρίζω την Coritiba και τον ΠΑΟ</v>
      </c>
      <c r="D1898" s="2">
        <f>IFERROR(__xludf.DUMMYFUNCTION("""COMPUTED_VALUE"""),1.0028027568273111E-4)</f>
        <v>0.0001002802757</v>
      </c>
      <c r="E1898" s="2" t="str">
        <f>IFERROR(__xludf.DUMMYFUNCTION("""COMPUTED_VALUE"""),"      2.975")</f>
        <v>      2.975</v>
      </c>
    </row>
    <row r="1899">
      <c r="A1899" s="2" t="str">
        <f>IFERROR(__xludf.DUMMYFUNCTION("""COMPUTED_VALUE"""),"eliane")</f>
        <v>eliane</v>
      </c>
      <c r="B1899" s="2" t="str">
        <f>IFERROR(__xludf.DUMMYFUNCTION("""COMPUTED_VALUE"""),"elianealfano")</f>
        <v>elianealfano</v>
      </c>
      <c r="C1899" s="2"/>
      <c r="D1899" s="2">
        <f>IFERROR(__xludf.DUMMYFUNCTION("""COMPUTED_VALUE"""),1.0028027568273111E-4)</f>
        <v>0.0001002802757</v>
      </c>
      <c r="E1899" s="2" t="str">
        <f>IFERROR(__xludf.DUMMYFUNCTION("""COMPUTED_VALUE"""),"      4.886")</f>
        <v>      4.886</v>
      </c>
    </row>
    <row r="1900">
      <c r="A1900" s="2" t="str">
        <f>IFERROR(__xludf.DUMMYFUNCTION("""COMPUTED_VALUE"""),"🚩𝕲𝖗𝖆ç𝖆 𝕸𝖔𝖗𝖊𝖎𝖗𝖆 🍀")</f>
        <v>🚩𝕲𝖗𝖆ç𝖆 𝕸𝖔𝖗𝖊𝖎𝖗𝖆 🍀</v>
      </c>
      <c r="B1900" s="2" t="str">
        <f>IFERROR(__xludf.DUMMYFUNCTION("""COMPUTED_VALUE"""),"ceara59")</f>
        <v>ceara59</v>
      </c>
      <c r="C1900" s="2" t="str">
        <f>IFERROR(__xludf.DUMMYFUNCTION("""COMPUTED_VALUE"""),"Viúva, mãe, vó de 4 netos. Sincera e amiga. Gosto de política, de dançar e fazer amizades. Adoro viajar. Votei no Lula. Sou Petista, feliz, risonha. Amo a vida.")</f>
        <v>Viúva, mãe, vó de 4 netos. Sincera e amiga. Gosto de política, de dançar e fazer amizades. Adoro viajar. Votei no Lula. Sou Petista, feliz, risonha. Amo a vida.</v>
      </c>
      <c r="D1900" s="2">
        <f>IFERROR(__xludf.DUMMYFUNCTION("""COMPUTED_VALUE"""),1.0028027568273111E-4)</f>
        <v>0.0001002802757</v>
      </c>
      <c r="E1900" s="2" t="str">
        <f>IFERROR(__xludf.DUMMYFUNCTION("""COMPUTED_VALUE"""),"     11.042")</f>
        <v>     11.042</v>
      </c>
    </row>
    <row r="1901">
      <c r="A1901" s="2" t="str">
        <f>IFERROR(__xludf.DUMMYFUNCTION("""COMPUTED_VALUE"""),"Tadeu Alves")</f>
        <v>Tadeu Alves</v>
      </c>
      <c r="B1901" s="2" t="str">
        <f>IFERROR(__xludf.DUMMYFUNCTION("""COMPUTED_VALUE"""),"tadeu_alves")</f>
        <v>tadeu_alves</v>
      </c>
      <c r="C1901" s="2" t="str">
        <f>IFERROR(__xludf.DUMMYFUNCTION("""COMPUTED_VALUE"""),"Cidadao-comum")</f>
        <v>Cidadao-comum</v>
      </c>
      <c r="D1901" s="2">
        <f>IFERROR(__xludf.DUMMYFUNCTION("""COMPUTED_VALUE"""),1.0028027568273111E-4)</f>
        <v>0.0001002802757</v>
      </c>
      <c r="E1901" s="2" t="str">
        <f>IFERROR(__xludf.DUMMYFUNCTION("""COMPUTED_VALUE"""),"     20.447")</f>
        <v>     20.447</v>
      </c>
    </row>
    <row r="1902">
      <c r="A1902" s="2" t="str">
        <f>IFERROR(__xludf.DUMMYFUNCTION("""COMPUTED_VALUE"""),"Paulo ᴼᶜᵗᵃ")</f>
        <v>Paulo ᴼᶜᵗᵃ</v>
      </c>
      <c r="B1902" s="2" t="str">
        <f>IFERROR(__xludf.DUMMYFUNCTION("""COMPUTED_VALUE"""),"phl_fla_1895")</f>
        <v>phl_fla_1895</v>
      </c>
      <c r="C1902" s="2" t="str">
        <f>IFERROR(__xludf.DUMMYFUNCTION("""COMPUTED_VALUE"""),"Cultura inútil, quinta série e acima de tudo Rubro-Negro  ❤🖤🙅🏻‍♂️ #Flamengo
@Flamengo")</f>
        <v>Cultura inútil, quinta série e acima de tudo Rubro-Negro  ❤🖤🙅🏻‍♂️ #Flamengo
@Flamengo</v>
      </c>
      <c r="D1902" s="2">
        <f>IFERROR(__xludf.DUMMYFUNCTION("""COMPUTED_VALUE"""),1.0028027568273111E-4)</f>
        <v>0.0001002802757</v>
      </c>
      <c r="E1902" s="2" t="str">
        <f>IFERROR(__xludf.DUMMYFUNCTION("""COMPUTED_VALUE"""),"      6.201")</f>
        <v>      6.201</v>
      </c>
    </row>
    <row r="1903">
      <c r="A1903" s="2" t="str">
        <f>IFERROR(__xludf.DUMMYFUNCTION("""COMPUTED_VALUE"""),"Heraldo Moreira")</f>
        <v>Heraldo Moreira</v>
      </c>
      <c r="B1903" s="2" t="str">
        <f>IFERROR(__xludf.DUMMYFUNCTION("""COMPUTED_VALUE"""),"heraldomoreira")</f>
        <v>heraldomoreira</v>
      </c>
      <c r="C1903" s="2" t="str">
        <f>IFERROR(__xludf.DUMMYFUNCTION("""COMPUTED_VALUE"""),".
 Advogado por opção
 Comunicador por vocação
 Professor Universitário por paixão
.
 Acompanhe @HeraldoMoreira
 nas principais redes sociais
.")</f>
        <v>.
 Advogado por opção
 Comunicador por vocação
 Professor Universitário por paixão
.
 Acompanhe @HeraldoMoreira
 nas principais redes sociais
.</v>
      </c>
      <c r="D1903" s="2">
        <f>IFERROR(__xludf.DUMMYFUNCTION("""COMPUTED_VALUE"""),1.0028027568273111E-4)</f>
        <v>0.0001002802757</v>
      </c>
      <c r="E1903" s="2" t="str">
        <f>IFERROR(__xludf.DUMMYFUNCTION("""COMPUTED_VALUE"""),"      2.637")</f>
        <v>      2.637</v>
      </c>
    </row>
    <row r="1904">
      <c r="A1904" s="2" t="str">
        <f>IFERROR(__xludf.DUMMYFUNCTION("""COMPUTED_VALUE"""),"JA ARRIGHI")</f>
        <v>JA ARRIGHI</v>
      </c>
      <c r="B1904" s="2" t="str">
        <f>IFERROR(__xludf.DUMMYFUNCTION("""COMPUTED_VALUE"""),"arrighijanio")</f>
        <v>arrighijanio</v>
      </c>
      <c r="C1904" s="2" t="str">
        <f>IFERROR(__xludf.DUMMYFUNCTION("""COMPUTED_VALUE"""),"PATRIOTA")</f>
        <v>PATRIOTA</v>
      </c>
      <c r="D1904" s="2">
        <f>IFERROR(__xludf.DUMMYFUNCTION("""COMPUTED_VALUE"""),1.0028027568273111E-4)</f>
        <v>0.0001002802757</v>
      </c>
      <c r="E1904" s="2" t="str">
        <f>IFERROR(__xludf.DUMMYFUNCTION("""COMPUTED_VALUE"""),"      2.464")</f>
        <v>      2.464</v>
      </c>
    </row>
    <row r="1905">
      <c r="A1905" s="2" t="str">
        <f>IFERROR(__xludf.DUMMYFUNCTION("""COMPUTED_VALUE"""),"thegreatkali🦋")</f>
        <v>thegreatkali🦋</v>
      </c>
      <c r="B1905" s="2" t="str">
        <f>IFERROR(__xludf.DUMMYFUNCTION("""COMPUTED_VALUE"""),"juliixd2")</f>
        <v>juliixd2</v>
      </c>
      <c r="C1905" s="2" t="str">
        <f>IFERROR(__xludf.DUMMYFUNCTION("""COMPUTED_VALUE"""),"🎱 | #KALI: This butterfly, it isn't real")</f>
        <v>🎱 | #KALI: This butterfly, it isn't real</v>
      </c>
      <c r="D1905" s="2">
        <f>IFERROR(__xludf.DUMMYFUNCTION("""COMPUTED_VALUE"""),1.0028027568273111E-4)</f>
        <v>0.0001002802757</v>
      </c>
      <c r="E1905" s="2" t="str">
        <f>IFERROR(__xludf.DUMMYFUNCTION("""COMPUTED_VALUE"""),"      3.112")</f>
        <v>      3.112</v>
      </c>
    </row>
    <row r="1906">
      <c r="A1906" s="2" t="str">
        <f>IFERROR(__xludf.DUMMYFUNCTION("""COMPUTED_VALUE"""),"PRV")</f>
        <v>PRV</v>
      </c>
      <c r="B1906" s="2" t="str">
        <f>IFERROR(__xludf.DUMMYFUNCTION("""COMPUTED_VALUE"""),"valroprado1")</f>
        <v>valroprado1</v>
      </c>
      <c r="C1906" s="2"/>
      <c r="D1906" s="2">
        <f>IFERROR(__xludf.DUMMYFUNCTION("""COMPUTED_VALUE"""),1.0028027568273111E-4)</f>
        <v>0.0001002802757</v>
      </c>
      <c r="E1906" s="2" t="str">
        <f>IFERROR(__xludf.DUMMYFUNCTION("""COMPUTED_VALUE"""),"      2.011")</f>
        <v>      2.011</v>
      </c>
    </row>
    <row r="1907">
      <c r="A1907" s="2" t="str">
        <f>IFERROR(__xludf.DUMMYFUNCTION("""COMPUTED_VALUE"""),"KássiaBataglini")</f>
        <v>KássiaBataglini</v>
      </c>
      <c r="B1907" s="2" t="str">
        <f>IFERROR(__xludf.DUMMYFUNCTION("""COMPUTED_VALUE"""),"kbataglini")</f>
        <v>kbataglini</v>
      </c>
      <c r="C1907" s="2" t="str">
        <f>IFERROR(__xludf.DUMMYFUNCTION("""COMPUTED_VALUE"""),"Penso logo existo...kkkk")</f>
        <v>Penso logo existo...kkkk</v>
      </c>
      <c r="D1907" s="2">
        <f>IFERROR(__xludf.DUMMYFUNCTION("""COMPUTED_VALUE"""),1.0028027568273111E-4)</f>
        <v>0.0001002802757</v>
      </c>
      <c r="E1907" s="2" t="str">
        <f>IFERROR(__xludf.DUMMYFUNCTION("""COMPUTED_VALUE"""),"      4.133")</f>
        <v>      4.133</v>
      </c>
    </row>
    <row r="1908">
      <c r="A1908" s="2" t="str">
        <f>IFERROR(__xludf.DUMMYFUNCTION("""COMPUTED_VALUE"""),"André Santos🇾🇪♥️♡🖤🇾🇪")</f>
        <v>André Santos🇾🇪♥️♡🖤🇾🇪</v>
      </c>
      <c r="B1908" s="2" t="str">
        <f>IFERROR(__xludf.DUMMYFUNCTION("""COMPUTED_VALUE"""),"santossacerdote")</f>
        <v>santossacerdote</v>
      </c>
      <c r="C1908" s="2" t="str">
        <f>IFERROR(__xludf.DUMMYFUNCTION("""COMPUTED_VALUE"""),"amigo e gente boa!")</f>
        <v>amigo e gente boa!</v>
      </c>
      <c r="D1908" s="2">
        <f>IFERROR(__xludf.DUMMYFUNCTION("""COMPUTED_VALUE"""),1.0028027568273111E-4)</f>
        <v>0.0001002802757</v>
      </c>
      <c r="E1908" s="2" t="str">
        <f>IFERROR(__xludf.DUMMYFUNCTION("""COMPUTED_VALUE"""),"      1.938")</f>
        <v>      1.938</v>
      </c>
    </row>
    <row r="1909">
      <c r="A1909" s="2" t="str">
        <f>IFERROR(__xludf.DUMMYFUNCTION("""COMPUTED_VALUE"""),"BELMIRO CALDEIRA ⚪️⚫️")</f>
        <v>BELMIRO CALDEIRA ⚪️⚫️</v>
      </c>
      <c r="B1909" s="2" t="str">
        <f>IFERROR(__xludf.DUMMYFUNCTION("""COMPUTED_VALUE"""),"belmiro1912")</f>
        <v>belmiro1912</v>
      </c>
      <c r="C1909" s="2" t="str">
        <f>IFERROR(__xludf.DUMMYFUNCTION("""COMPUTED_VALUE"""),"DE UM PASSADO E UM PASSADO SÓ DE GLÓRIAS ⚪⚫")</f>
        <v>DE UM PASSADO E UM PASSADO SÓ DE GLÓRIAS ⚪⚫</v>
      </c>
      <c r="D1909" s="2">
        <f>IFERROR(__xludf.DUMMYFUNCTION("""COMPUTED_VALUE"""),1.0028027568273111E-4)</f>
        <v>0.0001002802757</v>
      </c>
      <c r="E1909" s="2" t="str">
        <f>IFERROR(__xludf.DUMMYFUNCTION("""COMPUTED_VALUE"""),"      3.849")</f>
        <v>      3.849</v>
      </c>
    </row>
  </sheetData>
  <hyperlinks>
    <hyperlink r:id="rId1" ref="C368"/>
    <hyperlink r:id="rId2" ref="A373"/>
    <hyperlink r:id="rId3" ref="C431"/>
    <hyperlink r:id="rId4" ref="C479"/>
    <hyperlink r:id="rId5" ref="A581"/>
    <hyperlink r:id="rId6" ref="C789"/>
    <hyperlink r:id="rId7" ref="C1181"/>
    <hyperlink r:id="rId8" ref="C1194"/>
    <hyperlink r:id="rId9" ref="A1582"/>
  </hyperlinks>
  <drawing r:id="rId10"/>
</worksheet>
</file>