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C:\Users\Mauricio\Dropbox\Projeto Mestrado\NodeXL\6- Co-Hashtags\"/>
    </mc:Choice>
  </mc:AlternateContent>
  <xr:revisionPtr revIDLastSave="0" documentId="13_ncr:11_{160BDA8B-15BC-4EA1-BB83-A16A36975A94}" xr6:coauthVersionLast="47" xr6:coauthVersionMax="47" xr10:uidLastSave="{00000000-0000-0000-0000-000000000000}"/>
  <bookViews>
    <workbookView xWindow="-120" yWindow="-120" windowWidth="24240" windowHeight="13020"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O3" i="3" l="1"/>
  <c r="F3" i="3"/>
  <c r="AV3"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B159" i="7" l="1"/>
  <c r="B158" i="7"/>
  <c r="B161" i="7"/>
  <c r="B160" i="7"/>
  <c r="P36" i="7"/>
  <c r="Q36" i="7" s="1"/>
  <c r="P2" i="7"/>
  <c r="B173" i="7"/>
  <c r="B172" i="7"/>
  <c r="B175" i="7"/>
  <c r="B174" i="7"/>
  <c r="R36" i="7"/>
  <c r="S36" i="7" s="1"/>
  <c r="R2" i="7"/>
  <c r="B145" i="7"/>
  <c r="B144" i="7"/>
  <c r="B147" i="7"/>
  <c r="B146" i="7"/>
  <c r="N36" i="7"/>
  <c r="O36" i="7" s="1"/>
  <c r="N2" i="7"/>
  <c r="B131" i="7"/>
  <c r="B130" i="7"/>
  <c r="B117" i="7"/>
  <c r="B116" i="7"/>
  <c r="B133" i="7"/>
  <c r="B132" i="7"/>
  <c r="L36" i="7"/>
  <c r="M36" i="7" s="1"/>
  <c r="L2" i="7"/>
  <c r="B103" i="7"/>
  <c r="B102" i="7"/>
  <c r="B89" i="7"/>
  <c r="B88" i="7"/>
  <c r="B119" i="7"/>
  <c r="B118" i="7"/>
  <c r="J36" i="7"/>
  <c r="K36" i="7" s="1"/>
  <c r="J2" i="7"/>
  <c r="B105" i="7"/>
  <c r="B104" i="7"/>
  <c r="H36" i="7"/>
  <c r="I36" i="7" s="1"/>
  <c r="H2" i="7"/>
  <c r="B91" i="7"/>
  <c r="B90" i="7"/>
  <c r="F36" i="7"/>
  <c r="G36" i="7" s="1"/>
  <c r="F2" i="7"/>
  <c r="B75" i="7"/>
  <c r="B74" i="7"/>
  <c r="B77" i="7"/>
  <c r="B76" i="7"/>
  <c r="T36"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8" i="7"/>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E34" i="7" l="1"/>
  <c r="E35" i="7"/>
  <c r="I34" i="7"/>
  <c r="I35" i="7"/>
  <c r="S34" i="7"/>
  <c r="S35" i="7"/>
  <c r="T35" i="7"/>
  <c r="N35" i="7"/>
  <c r="J35" i="7"/>
  <c r="F35" i="7"/>
  <c r="U35" i="7"/>
  <c r="O34" i="7" l="1"/>
  <c r="O35" i="7"/>
  <c r="G34" i="7"/>
  <c r="G35" i="7"/>
  <c r="K34" i="7"/>
  <c r="K35" i="7"/>
  <c r="U3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<sst xmlns="http://schemas.openxmlformats.org/spreadsheetml/2006/main" count="2971" uniqueCount="1106">
  <si>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</si>
  <si>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</si>
  <si>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</si>
  <si>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</si>
  <si>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</si>
  <si>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</si>
  <si>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</si>
  <si>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</si>
  <si>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</si>
  <si>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</si>
  <si>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</si>
  <si>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</si>
  <si>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</si>
  <si>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</si>
  <si>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</si>
  <si>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</si>
  <si>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</si>
  <si>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</si>
  <si>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</si>
  <si>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</si>
  <si>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</si>
  <si>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</si>
  <si>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</si>
  <si>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</si>
  <si>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</si>
  <si>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</si>
  <si>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</si>
  <si>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</si>
  <si>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</si>
  <si>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</si>
  <si>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</si>
  <si>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</si>
  <si>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</si>
  <si>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</si>
  <si>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</si>
  <si>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</si>
  <si>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</si>
  <si>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</si>
  <si>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</si>
  <si>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</si>
  <si>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</si>
  <si>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</si>
  <si>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</si>
  <si>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</si>
  <si>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</si>
  <si>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</si>
  <si>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</si>
  <si>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</si>
  <si>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</si>
  <si>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</si>
  <si>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</si>
  <si>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</si>
  <si>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</si>
  <si>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</si>
  <si>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</si>
  <si>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</si>
  <si>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</si>
  <si>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</si>
  <si>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</si>
  <si>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</si>
  <si>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</si>
  <si>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</si>
  <si>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</si>
  <si>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</si>
  <si>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</si>
  <si>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</si>
  <si>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</si>
  <si>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</si>
  <si>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</si>
  <si>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</si>
  <si>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</si>
  <si>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</si>
  <si>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</si>
  <si>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</si>
  <si>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</si>
  <si>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</si>
  <si>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</si>
  <si>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</si>
  <si>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</si>
  <si>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</si>
  <si>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</si>
  <si>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</si>
  <si>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</si>
  <si>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</si>
  <si>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</si>
  <si>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</si>
  <si>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</si>
  <si>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</si>
  <si>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</si>
  <si>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</si>
  <si>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</si>
  <si>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</si>
  <si>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</si>
  <si>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</si>
  <si>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</si>
  <si>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</si>
  <si>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</si>
  <si>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</si>
  <si>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</si>
  <si>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</si>
  <si>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</si>
  <si>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</si>
  <si>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</si>
  <si>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</si>
  <si>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</si>
  <si>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</si>
  <si>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</si>
  <si>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</si>
  <si>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</si>
  <si>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</si>
  <si>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</si>
  <si>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</si>
  <si>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</si>
  <si>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</si>
  <si>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</si>
  <si>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</si>
  <si>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</si>
  <si>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</si>
  <si>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</si>
  <si>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</si>
  <si>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</si>
  <si>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</si>
  <si>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</si>
  <si>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</si>
  <si>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</si>
  <si>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</si>
  <si>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</si>
  <si>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</si>
  <si>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</si>
  <si>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</si>
  <si>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</si>
  <si>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</si>
  <si>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</si>
  <si>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</si>
  <si>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</si>
  <si>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</si>
  <si>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</si>
  <si>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</si>
  <si>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</si>
  <si>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</si>
  <si>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</si>
  <si>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</si>
  <si>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</si>
  <si>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</si>
  <si>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</si>
  <si>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</si>
  <si>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</si>
  <si>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</si>
  <si>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</si>
  <si>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</si>
  <si>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</si>
  <si>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</si>
  <si>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</si>
  <si>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</si>
  <si>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</si>
  <si>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</si>
  <si>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</si>
  <si>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</si>
  <si>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</si>
  <si>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</si>
  <si>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</si>
  <si>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</si>
  <si>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</si>
  <si>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</si>
  <si>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</si>
  <si>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</si>
  <si>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</si>
  <si>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</si>
  <si>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</si>
  <si>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</si>
  <si>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</si>
  <si>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</si>
  <si>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</si>
  <si>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</si>
  <si>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</si>
  <si>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</si>
  <si>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</si>
  <si>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</si>
  <si>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</si>
  <si>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</si>
  <si>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Retweet Count</t>
  </si>
  <si>
    <t>Favorite Count</t>
  </si>
  <si>
    <t>Reply Count</t>
  </si>
  <si>
    <t>Quote Count</t>
  </si>
  <si>
    <t>Impression Count</t>
  </si>
  <si>
    <t>Hashtags in Tweet</t>
  </si>
  <si>
    <t>URLs in Tweet</t>
  </si>
  <si>
    <t>Domains in Tweet</t>
  </si>
  <si>
    <t>Mentions in Tweet</t>
  </si>
  <si>
    <t>Media in Tweet</t>
  </si>
  <si>
    <t>Media Type</t>
  </si>
  <si>
    <t>Source</t>
  </si>
  <si>
    <t>Language</t>
  </si>
  <si>
    <t>Twitter Page for Tweet</t>
  </si>
  <si>
    <t>Tweet Date (UTC)</t>
  </si>
  <si>
    <t>Date</t>
  </si>
  <si>
    <t>Time</t>
  </si>
  <si>
    <t>Possibly Sensitive</t>
  </si>
  <si>
    <t>Place Bounding Box</t>
  </si>
  <si>
    <t>Place Country</t>
  </si>
  <si>
    <t>Place Country Code</t>
  </si>
  <si>
    <t>Place Full Name</t>
  </si>
  <si>
    <t>Place ID</t>
  </si>
  <si>
    <t>Place Name</t>
  </si>
  <si>
    <t>Place Type</t>
  </si>
  <si>
    <t>Media Key</t>
  </si>
  <si>
    <t>Media Duration (ms)</t>
  </si>
  <si>
    <t>Media Height</t>
  </si>
  <si>
    <t>Media Width</t>
  </si>
  <si>
    <t>Media View Count</t>
  </si>
  <si>
    <t>Tweet Image File</t>
  </si>
  <si>
    <t>Imported ID</t>
  </si>
  <si>
    <t>Conversation ID</t>
  </si>
  <si>
    <t>In Reply To User ID</t>
  </si>
  <si>
    <t>In Reply To Tweet ID</t>
  </si>
  <si>
    <t>Quoted Status ID</t>
  </si>
  <si>
    <t>Retweet ID</t>
  </si>
  <si>
    <t>Unified Twitter ID</t>
  </si>
  <si>
    <t>Author ID</t>
  </si>
  <si>
    <t>Poll ID</t>
  </si>
  <si>
    <t>Poll Options</t>
  </si>
  <si>
    <t>Poll Duration</t>
  </si>
  <si>
    <t>Poll End Date</t>
  </si>
  <si>
    <t>Poll Voting Status</t>
  </si>
  <si>
    <t>economedicos</t>
  </si>
  <si>
    <t>Replies to</t>
  </si>
  <si>
    <t>Bom dia investidores! Com bolsas fechadas nos EUA pelo feriado do dia do trabalho, os mercados mundiais inciam a semana positivos com boas expectativas sobre a economia Chinesa e repercutindo empresa farmacêutica que ultrapassou a LVHM em valor de mercado
#Economedicos #Finanças</t>
  </si>
  <si>
    <t>Bom dia investidores! Os mercados amanhecem em sua maioria em alta, aguardando dados de inflação e resultados da Nvidia
#Economedicos #Finanças #Financas #FinancasPessoais #LiberdadeFinanceira #Economia
E hoje? Quem vence? Medo ou ganância?</t>
  </si>
  <si>
    <t>Bom dia investidores! Mercados amanhecem positivos em sua maioria à espera do payroll
#Economedicos #Finanças #Financas #FinancasPessoais #LiberdadeFinanceira #Economia
E hoje? Quem vence? Medo ou ganância?</t>
  </si>
  <si>
    <t>Bom dia investidores! Os mercados seguem em baixa em sua maioria ainda repercutindo o rebaixamento do rating dos EUA
#Economedicos #Finanças #Financas #FinancasPessoais #LiberdadeFinanceira #Economia
E hoje? Quem vence? Medo ou ganância?</t>
  </si>
  <si>
    <t>Bom dia investidores! Mercados em tons positivos hoje com a esperança de que os dados de inflação indiquem a possibilidade de redução nas taxas de juros pelos Bancos Centrais 
#Economedicos #Finanças #Financas #FinancasPessoais #LiberdadeFinanceira #Economia</t>
  </si>
  <si>
    <t>Bom dia investidores! Os mercados amanhecem com viés negativo após dados de inflação muito baixa na China
#Economedicos #Finanças #Financas #FinancasPessoais #LiberdadeFinanceira #Economia
E hoje? Quem vence? Medo ou ganância?</t>
  </si>
  <si>
    <t>Bom dia investidores! Com agenda esvaziada os mercados operam em tons mistos
#Economedicos #Finanças #Financas #FinancasPessoais #LiberdadeFinanceira #Economia
E hoje? Quem vence? Medo ou ganância?</t>
  </si>
  <si>
    <t>Bom dia investidores! Os mercados amanhecem sem uma direção única repercutindo a queda nas exportações da China 
#Economedicos #Finanças #Financas #FinancasPessoais #LiberdadeFinanceira #Economia
E hoje? Quem vence? Medo ou ganância?</t>
  </si>
  <si>
    <t>Bom dia investidores! Os mercados iniciam a semana cautelosos com as perspectivas econômicas mundiais enquanto aguardam dados dos EUA e Zona do Euro
#Economedicos #Finanças #Financas #FinancasPessoais #LiberdadeFinanceira #Economia
E hoje? Quem vence? Medo ou ganância?</t>
  </si>
  <si>
    <t>Bom dia investidores! Os mercados amanhecem sem direção única hoje, ponderando os riscos da nova ordem mundial e seus efeitos colaterais na economia
#Economedicos #Finanças #Financas #FinancasPessoais #LiberdadeFinanceira #Economia
E hoje? Quem vence? Medo ou ganância?</t>
  </si>
  <si>
    <t>Bom dia investidores! Os mercados amanhecem majoritariamente positivos, repercutindo dados positivos da economia Chinesa 
#Economedicos #Finanças #Financas #FinancasPessoais #LiberdadeFinanceira #Economia
E hoje? Quem vence? Medo ou ganância?</t>
  </si>
  <si>
    <t>Bom dia investidores! Os mercados iniciam a semana com viés positivo, aguardando resultados do setor financeiro Americano com a repercussão da crise do SVB
#Economedicos #Finanças #Financas #FinancasPessoais #LiberdadeFinanceira #Economia
E hoje? Quem vence? Medo ou ganância?</t>
  </si>
  <si>
    <t>Bom dia investidores! Mercados amanhecem positivos hoje analisando os efeitos dos dados econômicos e seus efeitos sobre a inflação. Destaque para o Bitcoin que está acima dos US$ 24 mil
#Economedicos #Finanças #Financas #FinancasPessoais #LiberdadeFinanceira #Economia</t>
  </si>
  <si>
    <t>Bom dia investidores! Os mercados estão majoritariamente negativos nesta manhã, repercutindo o CPI divulgado ontem que mantém as perspectivas de juros altos por mais tempo
#Economedicos #Finanças #Financas #FinancasPessoais #LiberdadeFinanceira #Economia
E hoje? Quem vence?</t>
  </si>
  <si>
    <t>Bom dia investidores! Os mercados estão levemente positivos hoje, aguardando dados de inflação nos EUA e repercutindo a entrevista de RCN 
#Economedicos #Finanças #Financas #FinancasPessoais #LiberdadeFinanceira #Economia
E hoje? Quem vence? Medo ou ganância?</t>
  </si>
  <si>
    <t>Bom dia investidores! Mercados amanhecem majoritariamente em baixa com resultados corporativos fracos trazendo de volta o temor de recessão 
#Economedicos #Finanças #Financas #FinancasPessoais #LiberdadeFinanceira #Economia
E hoje? Quem vence? Medo ou ganância?</t>
  </si>
  <si>
    <t>Bom dia investidores! Os mercados amanhecem negativos aguardando dados da inflação nos EUA em meio à alta do petróleo 
#Economedicos #Finanças #Financas #FinancasPessoais #LiberdadeFinanceira #Economia
E hoje? Quem vence? Medo ou ganância?</t>
  </si>
  <si>
    <t>Bom dia investidores! Os mercados amanhecem em baixa nessa volta do feriado nos EUA, repercutindo dados ruins do setor de serviços na China
#Economedicos #Finanças #Financas #FinancasPessoais #LiberdadeFinanceira #Economia
E hoje? Quem vence? Medo ou ganância?</t>
  </si>
  <si>
    <t>Bom dia investidores! Os mercados nos EUA e Europa iniciam a sexta-feira em alta à espera de Powell enquanto na Ásia fecharam em queda
#Economedicos #Finanças #Financas #FinancasPessoais #LiberdadeFinanceira #Economia
E hoje? Quem vence? Medo ou ganância?</t>
  </si>
  <si>
    <t>Bom dia investidores! Os futuros Americanos e Europeus operam em ligeira alta enquanto os mercados asiáticos fecharam em queda por preocupações com o mercado imobiliário Chinês 
#Economedicos #Finanças #Financas #FinancasPessoais #LiberdadeFinanceira #Economia</t>
  </si>
  <si>
    <t>Bom dia investidores! Os mercados estão em sua maioria em queda, preocupados com o rumo da inflação nos EUA e com a capacidade da economia Chinesa
#Economedicos #Finanças #Financas #FinancasPessoais #LiberdadeFinanceira #Economia
E hoje? Quem vence? Medo ou ganância?</t>
  </si>
  <si>
    <t>Bom dia investidores! Os mercados amanhecem em queda hoje preocupados com o crescimento mais lento da China
#Economedicos #Finanças #Financas #FinancasPessoais #LiberdadeFinanceira #Economia
E hoje? Quem vence? Medo ou ganância?</t>
  </si>
  <si>
    <t>Bom dia investidores! Os mercados amanhecem positivos na expectativa da temporada de balanços corporativos 
#Economedicos #Finanças #Financas #FinancasPessoais #LiberdadeFinanceira #Economia
E hoje? Quem vence? Medo ou ganância?</t>
  </si>
  <si>
    <t>Bom dia investidores! Os mercados amanhecem negativos após o discurso de Powell mostrar uma preocupação com a inflação e a recessão ainda, além de uma inversão na curva de juros nos EUA 
#Economedicos #Finanças #Financas #FinancasPessoais #LiberdadeFinanceira #Economia</t>
  </si>
  <si>
    <t>Bom dia investidores! Os mercados amanhecem voláteis aguardando o discurso de Powell e por aqui a decisão do Copom que deve manter a taxa de juros mas dar pistas sobre os próximos movimentos 
#Economedicos #Finanças #Financas #FinancasPessoais #LiberdadeFinanceira #Economia</t>
  </si>
  <si>
    <t>Bom dia investidores! Os mercados amanhecem positivos, com a expectativa de acordo nos EUA e com a perspectiva de incentivos na economia Chinesa
#Economedicos #Finanças #Financas #FinancasPessoais #LiberdadeFinanceira #Economia
E hoje? Quem vence? Medo ou ganância?</t>
  </si>
  <si>
    <t>Bom dia investidores! Os mercados estão sem uma direção única hoje, ainda de olho no teto de gastos dos EUA, em dados econômicos Europeus e no aumento do PIB  Japonês 
#Economedicos #Finanças #Financas #FinancasPessoais #LiberdadeFinanceira #Economia
E hoje? Quem vence?</t>
  </si>
  <si>
    <t>Bom dia investidores! Os mercados amanhecem majoritariamente negativos hoje, aguardando dados que indiquem recuperação ou recessão à frente  
#Economedicos #Finanças #Financas #FinancasPessoais #LiberdadeFinanceira #Economia
E hoje? Quem vence? Medo ou ganância?</t>
  </si>
  <si>
    <t>Bom dia investidores! Mercados iniciam a semana positivos mas ainda de olho nos indicadores com receio de uma recessão 
#Economedicos #Finanças #Financas #FinancasPessoais #LiberdadeFinanceira #Economia
E hoje? Quem vence? Medo ou ganância?</t>
  </si>
  <si>
    <t>Olá investidores! As bolsas mundiais estão em queda neste momento com preocupações com o sistema bancário e suas repercussões que agora atingem o Credit Suisse
#Economedicos #Finanças #Financas #FinancasPessoais #LiberdadeFinanceira #Economia
E hoje? Quem vence?</t>
  </si>
  <si>
    <t>Bom dia investidores! Os mercados amanhecem sem sentido único, analisando as repercussões da quebra de dois bancos nos EUA 
#Economedicos #Finanças #Financas #FinancasPessoais #LiberdadeFinanceira #Economia
E hoje? Quem vence? Medo ou ganância?</t>
  </si>
  <si>
    <t>Bom dia investidores! Os mercados amanhecem negativos com aversão ao risco, preocupados com o cenário econômico de juros altos impactando fortemente a economia 
#Economedicos #Finanças #Financas #FinancasPessoais #LiberdadeFinanceira #Economia
E hoje? Medo ou ganância?</t>
  </si>
  <si>
    <t>Bom dia investidores! Os mercados estão operando negativos nesta manhã, ainda repercutindo as perspectivas para os juros nos EUA
#Economedicos #Finanças #Financas #FinancasPessoais #LiberdadeFinanceira #Economia
E hoje? Quem vence? Medo ou ganância?</t>
  </si>
  <si>
    <t>Bom dia investidores! O feriado nos EUA retira liquidez dos mercados que amanhecem levemente positivos 
#Economedicos #Finanças #Financas #FinancasPessoais #LiberdadeFinanceira #Economia
E hoje? Quem vence? Medo ou ganância?</t>
  </si>
  <si>
    <t>Bom dia investidores! Os mercados iniciam essa sexta-feira 13 levemente positivos, aguardando divulgação do resultado dos grandes bancos nos EUA e otimistas quanto à China
#Economedicos #Finanças #Financas #FinancasPessoais #LiberdadeFinanceira #Economia
E hoje? Quem vence?</t>
  </si>
  <si>
    <t>Bom dia investidores! Os mercados amanhecem em compasso de espera com um otimismo cauteloso, aguardando números da inflação nos EUA. Por aqui, rombo de R$ 20 bi nas Americanas faz CEO renunciar
#Economedicos #Finanças #Financas #FinancasPessoais #LiberdadeFinanceira #Economia</t>
  </si>
  <si>
    <t>Bom dia investidores! Mercados futuros estão em alta hoje pela manhã, aguardando dados de inflação nos EUA na expectativa de que os juros possam parar de subir por lá
#Economedicos #Finanças #Financas #FinancasPessoais #LiberdadeFinanceira #Economia</t>
  </si>
  <si>
    <t>Bom dia investidores! As bolsas mantem o ritmo de aversão a risco nessa quinta-feira com o aumento dos juros das treasures
#Economedicos #Finanças #Financas #FinancasPessoais #LiberdadeFinanceira #Economia
E hoje? Quem vence? Medo ou ganância?</t>
  </si>
  <si>
    <t>Bom dia investidores! O mês se inicia com viés positivo com mercados aguardando o payroll. Por aqui, o aumento de gastos sem contrapartida preocupa
#Economedicos #Finanças #Financas #FinancasPessoais #LiberdadeFinanceira #Economia
E hoje? Quem vence? Medo ou ganância?</t>
  </si>
  <si>
    <t>Bom dia investidores! Os mercados iniciam a terça-feira em alta num movimento de rebote, enquanto aguardam mais dados econômicos 
#Economedicos #Finanças #Financas #FinancasPessoais #LiberdadeFinanceira #Economia
E hoje? Quem vence? Medo ou ganância?</t>
  </si>
  <si>
    <t>Bom dia investidores! Os mercados amanhecem em baixa hoje com dados ruins da balança comercial na China e aguardando pelos sinais que indiquem os próximos passos do FED
#Economedicos #Finanças #Financas #FinancasPessoais #LiberdadeFinanceira #Economia
E hoje? Quem vence?</t>
  </si>
  <si>
    <t>Bom dia investidores! Os mercados iniciam a semana sem direção única, acompanhando dados de inflação pelo mundo
#Economedicos #Finanças #Financas #FinancasPessoais #LiberdadeFinanceira #Economia
E hoje? Quem vence? Medo ou ganância?</t>
  </si>
  <si>
    <t>Bom dia investidores! Os mercados amanhecem positivos hoje com a perspectiva de que o ciclo de alta dos juros nos EUA pode estar perto do fim
#Economedicos #Finanças #Financas #FinancasPessoais #LiberdadeFinanceira #Economia
E hoje? Quem vence? Medo ou ganância?</t>
  </si>
  <si>
    <t>Bom dia investidores! Os mercados amanhecem positivos hoje aguardando dados da inflação nos EUA e ponderando os estímulos na China
#Economedicos #Finanças #Financas #FinancasPessoais #LiberdadeFinanceira #Economia
E hoje? Quem vence? Medo ou ganância?</t>
  </si>
  <si>
    <t>Bom dia investidores! Mercados amanhecem sem direção única, aguardando a decisão de juros do BCE e repercutindo a manutenção da taxa nos EUA 
#Economedicos #Finanças #Financas #FinancasPessoais #LiberdadeFinanceira #Economia
E hoje? Quem vence? Medo ou ganância?</t>
  </si>
  <si>
    <t>Bom dia investidores! Os mercados estão em compasso de espera, sem direção única, aguardando a divulgação da taxa de juros nos EUA 
#Economedicos #Finanças #Financas #FinancasPessoais #LiberdadeFinanceira #Economia
E hoje? Quem vence? Medo ou ganância?</t>
  </si>
  <si>
    <t>Bom dia investidores! A semana se inicia majoritariamente positiva com mercados aguardando dados de inflação e acompanhando os balanços corporativos  
#Economedicos #Finanças #Financas #FinancasPessoais #LiberdadeFinanceira #Economia
E hoje? Quem vence? Medo ou ganância?</t>
  </si>
  <si>
    <t>Bom dia investidores! Os mercados estão positivos com dados econômicos nos EUA  
#Economedicos #Finanças #Financas #FinancasPessoais #LiberdadeFinanceira #Economia
E hoje? Quem vence? Medo ou ganância?</t>
  </si>
  <si>
    <t>Bom dia investidores! Mercados em tons mistos hoje aguardando dados econômicos 
#Economedicos #Finanças #Financas #FinancasPessoais #LiberdadeFinanceira #Economia
E hoje? Quem vence? Medo ou ganância?</t>
  </si>
  <si>
    <t>Bom dia investidores! Todos os olhos direcionados para as decisões de juros nessa “Super quarta”
#Economedicos #Finanças #Financas #FinancasPessoais #LiberdadeFinanceira #Economia
E hoje? Quem vence? Medo ou ganância?</t>
  </si>
  <si>
    <t>Bom dia investidores! Os mercados estão majoritariamente em queda preocupados com a inflação que tem dado sinais de difícil controle e pode exigir maior alta de juros
#Economedicos #Finanças #Financas #FinancasPessoais #LiberdadeFinanceira #Economia</t>
  </si>
  <si>
    <t>Bom dia investidores! Os mercados iniciam o mês em alta, com bons dados econômicos vindos da China 
#Economedicos #Finanças #Financas #FinancasPessoais #LiberdadeFinanceira #Economia
E hoje? Quem vence? Medo ou ganância?</t>
  </si>
  <si>
    <t>Bom dia investidores! Os mercados abrem o último dia de fevereiro majoritariamente em baixa, preocupados com as taxas de juros 
#Economedicos #Finanças #Financas #FinancasPessoais #LiberdadeFinanceira #Economia
E hoje? Quem vence? Medo ou ganância?</t>
  </si>
  <si>
    <t>Bom dia investidores! Os mercados amanhecem majoritariamente positivos em uma recuperação parcial das fortes perdas da última semana  
#Economedicos #Finanças #Financas #FinancasPessoais #LiberdadeFinanceira #Economia
E hoje? Quem vence? Medo ou ganância?</t>
  </si>
  <si>
    <t>Bom dia investidores! Os mercados iniciam a semana com aversão a risco, de olho nos próximos discursos de membros do FED e acompanhando a crise imobiliária na China
#Economedicos #Finanças #Financas #FinancasPessoais #LiberdadeFinanceira #Economia
E hoje? Quem vence?</t>
  </si>
  <si>
    <t>Bom dia investidores! Neste feriado Brasileiro, os mercados mundiais amanhecem sem direção única repercutindo dados fracos da economia chinesa e a possibilidade de banimento do iPhone no setor público por lá faz ações da Apple cairem 2,6% antes da abertura 
#Economedicos #Fin</t>
  </si>
  <si>
    <t>Bom dia investidores! Os mercados amanhecem positivos hoje com resultados acima do esperado para Nvidia que impulsiona outros fabricantes de chip pelo mundo
#Economedicos #Finanças #Financas #FinancasPessoais #LiberdadeFinanceira #Economia
E hoje? Quem vence? Medo ou ganância?</t>
  </si>
  <si>
    <t>Bom dia investidores! Os mercados amanhecem positivos, aguardando dados de inflação e emprego nos EUA 
#Economedicos #Finanças #Financas #FinancasPessoais #LiberdadeFinanceira #Economia
E hoje? Quem vence? Medo ou ganância?</t>
  </si>
  <si>
    <t>Bom dia investidores! Os mercados amanhecem majoritariamente positivos hoje, em véspera de CPI que deve balizar os juros nos EUA
#Economedicos #Finanças #Financas #FinancasPessoais #LiberdadeFinanceira #Economia
E hoje? Quem vence? Medo ou ganância?</t>
  </si>
  <si>
    <t>Bom dia investidores! Os mercados amanhecem em sua maioria em alta, com bons dados de inflação na Europa e acompanhando os resultados corporativos
#Economedicos #Finanças #Financas #FinancasPessoais #LiberdadeFinanceira #Economia
E hoje? Quem vence? Medo ou ganância?</t>
  </si>
  <si>
    <t>Bom dia investidores! Mercados majoritariamente negativos hoje aguardando dados devendas no varejo e produção industrial nos EUA enquanto acompanham a temporada de balanços e repercutem notícias ruins do mercado Chinês 
#Economedicos #Finanças #Financas #FinancasPessoais</t>
  </si>
  <si>
    <t>Bom dia investidores! Os mercados amanhecem mistos na volta fo feriado nos EUA, aguardando dados econômicos e por aqui, de olho no Copom e na possível sinalização de queda da Selic no futuro 
#Economedicos #Finanças #Financas #FinancasPessoais #LiberdadeFinanceira #Economia</t>
  </si>
  <si>
    <t>Bom dia investidores! Com as bolsas Americanas fechadas por feriado, os mercados iniciam a semana em leve queda, aguardando dados econômicos 
#Economedicos #Finanças #Financas #FinancasPessoais #LiberdadeFinanceira #Economia
E hoje? Quem vence? Medo ou ganância?</t>
  </si>
  <si>
    <t>Bom dia investidores! As bolsas amanhecem em sua maioria positivas, recuperando-se das quedas de ontem mas ainda de olho na economia Americana e no risco de recessão
#Economedicos #Finanças #Financas #FinancasPessoais #LiberdadeFinanceira #Economia
E hoje? Quem vence?</t>
  </si>
  <si>
    <t>Bom dia investidores! Mercados futuros em alta hoje aguardando mais dados de inflação e acompanhando os balanços corporativos 
#Economedicos #Finanças #Financas #FinancasPessoais #LiberdadeFinanceira #Economia
E hoje? Quem vence? Medo ou ganância?</t>
  </si>
  <si>
    <t>Bom dia investidores! Mercados operam em compasso de espera, aguardando números da inflação nos EUA que devem nortear a política de juros do FED
#Economedicos #Finanças #Financas #FinancasPessoais #LiberdadeFinanceira #Economia
E hoje? Quem vence? Medo ou ganância?</t>
  </si>
  <si>
    <t>Bom dia investidores! Os mercados amanhecem em baixa hoje digerindo dados econômicos e seus efeitos sobre os juros
#Economedicos #Finanças #Financas #FinancasPessoais #LiberdadeFinanceira #Economia
E hoje? Quem vence? Medo ou ganância?</t>
  </si>
  <si>
    <t>Bom dia investidores! Mercados estão majoritariamente em alta, aguardando o segundo dia da sabatina de Powell, digerindo o seu posicionamento mais hawkish ontem 
#Economedicos #Finanças #Financas #FinancasPessoais #LiberdadeFinanceira #Economia
E hoje? Medo ou ganância?</t>
  </si>
  <si>
    <t>Bom dia investidores! Os mercados amanhecem positivos, aguardando a sabatina do presidente do FED no congresso dos EUA 
#Economedicos #Finanças #Financas #FinancasPessoais #LiberdadeFinanceira #Economia
E hoje? Quem vence? Medo ou ganância?</t>
  </si>
  <si>
    <t>Bom dia investidores! Os mercados iniciam a semana em tons mistos, aguardando o tom do discurso de Jerome Powell no congresso americano e digerindo a meta “baixa” de crescimento Chinês 
#Economedicos #Finanças #Financas #FinancasPessoais #LiberdadeFinanceira #Economia</t>
  </si>
  <si>
    <t>Bom dia investidores! Os mercados estão positivos nessa manhã, repercutindo dados econômicos positivos 
#Economedicos #Finanças #Financas #FinancasPessoais #LiberdadeFinanceira #Economia
E hoje? Quem vence? Medo ou ganância?</t>
  </si>
  <si>
    <t>Bom dia investidores! Os mercados amanhecem positivos com notícias de reabertura total na China. Por aqui seguem monitorando a repercussão dos protestos e do vandalismo em Brasília
#Economedicos #Finanças #Financas #FinancasPessoais #LiberdadeFinanceira #Economia</t>
  </si>
  <si>
    <t>Bom dia investidores! Os mercados operam próximo à estabilidade aguardando o payroll Americano que deve nortear a política de juros por lá  
#Economedicos #Finanças #Financas #FinancasPessoais #LiberdadeFinanceira #Economia
E hoje? Quem vence? Medo ou ganância?</t>
  </si>
  <si>
    <t>Bom dia investidores! Os mercados amanhecem sem direção única, aguardando a fala de membros do FED e repercutindo a alta nos mercados Asiáticos depois que o governo Chinês divulgou que terá foco no crescimento da economia 
#Economedicos #Finanças #Financas #FinancasPessoais</t>
  </si>
  <si>
    <t>Bom dia investidores! Os mercados amanhecem positivos hoje aguardando dados econômicos nos EUA e digerindo uma inflação abaixo do esperado na França e a previsão de novos estímulos do governo Chinês
#Economedicos #Finanças #Financas #FinancasPessoais #LiberdadeFinanceira</t>
  </si>
  <si>
    <t>Bom dia investidores! Os mercados futuros operam mistos aguardando dados de inflação nos EUA que devem nortear a política de juros por lá 
#Economedicos #Finanças #Financas #FinancasPessoais #LiberdadeFinanceira #Economia
E hoje? Quem vence? Medo ou ganância?</t>
  </si>
  <si>
    <t>Bom dia investidores! Sem indicadores relevantes na agenda, mercados amanhecem levemente positivos 
#Economedicos #Finanças #Financas #FinancasPessoais #LiberdadeFinanceira #Economia
E hoje? Quem vence? Medo ou ganância?</t>
  </si>
  <si>
    <t>Bom dia investidores! Os mercados operam mistos nessa manhã, repercutindo ainda a ata do FED e aguardando novos dados econômicos como os pedidos semanais de seguro-desemprego nos EUA 
#Economedicos #Finanças #Financas #FinancasPessoais #LiberdadeFinanceira #Economia</t>
  </si>
  <si>
    <t>Bom dia investidores! Os mercados amanhecem positivos com bons resultados de Meta e otimistas com o FED
#Economedicos #Finanças #Financas #FinancasPessoais #LiberdadeFinanceira #Economia
E hoje? Quem vence? Medo ou ganância?</t>
  </si>
  <si>
    <t>Bom dia investidores! Os mercados amanhecem nesta quarta-feira em baixa, com cautela antes da divulgação da decisão do FED sobre a taxa de juros nos EUA
#Economedicos #Finanças #Financas #FinancasPessoais #LiberdadeFinanceira #Economia
E hoje? Quem vence? Medo ou ganância?</t>
  </si>
  <si>
    <t>Bom dia investidores! Os mercados amanhecem sem sentido único, aguardando a fala de Powell e ponderando o aumento de restrições no comércio EUA x China em setores sensíveis como o de chips
#Economedicos #Finanças #Financas #FinancasPessoais #LiberdadeFinanceira #Economia</t>
  </si>
  <si>
    <t>Bom dia investidores! Os mercados amanhecem majoritariamente positivos, aguardando dados econômicos e pistas sobre o caminho dos Bancos Centrais
#Economedicos #Finanças #Financas #FinancasPessoais #LiberdadeFinanceira #Economia
E hoje? Quem vence? Medo ou ganância?</t>
  </si>
  <si>
    <t>Bom dia investidores! Bolsas iniciam a semana em um tom positivo pelo acordo sobre o teto da dívida nos EUA mas com os mercados fechados por lá por causa do feriado 
#Economedicos #Finanças #Financas #FinancasPessoais #LiberdadeFinanceira #Economia
#Ibovespa</t>
  </si>
  <si>
    <t>Bom dia investidores! Mercados amanhecem sem sentido único, ainda aguardando a definição do teto de gastos nos EUA e também novos indicadores econômicos 
#Economedicos #Finanças #Financas #FinancasPessoais #LiberdadeFinanceira #Economia
E hoje? Quem vence? Medo ou ganância?</t>
  </si>
  <si>
    <t>Bom dia investidores! Os mercados amanhecem positivos  hoje digerindo a alta do petróleo e aguardando dados econômicos. Na geopolítica, Putin ameaça retaliações pela adesão da Finlândia à OTAN 
#Economedicos #Finanças #Financas #FinancasPessoais #LiberdadeFinanceira #Economia</t>
  </si>
  <si>
    <t>Bom dia investidores! A semana repleta de PMIs se inicia com a notícia do corte na produção de petróleo que deve elevar o risco de mais inflação pelo mundo
#Economedicos #Finanças #Financas #FinancasPessoais #LiberdadeFinanceira #Economia
E hoje? Quem vence? Medo ou ganância?</t>
  </si>
  <si>
    <t>Bom dia investidores! Os mercados amanhecem positivos hoje, apostando em uma pausa na alta de juros após às turbulências recentes
#Economedicos #Finanças #Financas #FinancasPessoais #LiberdadeFinanceira #Economia
E hoje? Quem vence? Medo ou ganância?</t>
  </si>
  <si>
    <t>Bom dia investidores! Os mercados amanhecem positivos em sua maioria hoje, com alívio sobre a crise bancária e boas perspectivas sobre empresas tech na China
#Economedicos #Finanças #Financas #FinancasPessoais #LiberdadeFinanceira #Economia
E hoje? Quem vence? Medo ou ganância?</t>
  </si>
  <si>
    <t>Bom dia investidores! Os mercados amanhecem em queda hoje aguardando o Payroll e repercutindo alguns resultados corporativos fracos divulgados ontem após o fechamento 
#Economedicos #Finanças #Financas #FinancasPessoais #LiberdadeFinanceira #Economia
E hoje? Quem vence?</t>
  </si>
  <si>
    <t>Bom dia investidores! Os mercados amanhecem levemente positivos, digerindo o discurso de Powell ontem e aguardando o Banco Central Europeu. Por aqui o resultado do Santander veio abaixo do esperado e pode contaminar o mercado hoje
#Economedicos #Finanças #Financas</t>
  </si>
  <si>
    <t>Bom dia investidores! Os mercados amanhecem em baixa, na expectativa da super quarta, mais pelas entrelinhas do que pela manutenção da taxa que já é esperada nos EUA. Por aqui a eleição da mesa diretora no Senado está em foco
#Economedicos #Finanças #Financas #FinancasPessoais</t>
  </si>
  <si>
    <t>Bom dia investidores! A semana se inicia com mercados em baixa, tentando descobrir até quando os juros vão subir nos EUA e de que maneira a economia da Europa vai se comportar já que o PIB da Alemanha caiu mais que o esperado 
#Economedicos #Finanças #Financas #FinancasPessoais</t>
  </si>
  <si>
    <t>Bom dia investidores! Mercados na expectativa dessa “super quarta” com a decisão dos juros nos EUA e por aqui
#Economedicos #Finanças #Financas #FinancasPessoais #LiberdadeFinanceira #Economia
E hoje? Quem vence? Medo ou ganância?</t>
  </si>
  <si>
    <t>Bom dia investidores! Os mercados futuros operam mistos nessa manhã, aguardando dados econômicos que direcionem as expectativas, principalmente nos EUA e na China
#Economedicos #Finanças #Financas #FinancasPessoais #LiberdadeFinanceira #Economia
E hoje? Quem vence?</t>
  </si>
  <si>
    <t>Bom dia investidores! Os mercados amanhecem ainda com aversão a risco, acompanhando o desdobramento da crise imobiliária na China
#Economedicos #Finanças #Financas #FinancasPessoais #LiberdadeFinanceira #Economia
E hoje? Quem vence? Medo ou ganância?</t>
  </si>
  <si>
    <t>Bom dia investidores! Mercados iniciam a semana positivos, aguardando dados do emprego nos EUA e observando o efeito dos estímulos na economia da China
#Economedicos #Finanças #Financas #FinancasPessoais #LiberdadeFinanceira #Economia
E hoje? Quem vence? Medo ou ganância?</t>
  </si>
  <si>
    <t>Bom dia investidores! Os mercados amanhecem positivos em sua maioria nesta sexta-feira, com a expectativa de dados da inflação nos EUA e a notícia de que o Banco Central do Japão manteve a sua taxa de juros
#Economedicos #Finanças #Financas #FinancasPessoais #LiberdadeFinanceira</t>
  </si>
  <si>
    <t>Bom dia investidores! Os mercados operam sem direção única e com a expectativa de menor volume de negócios já que as bolsas Americanas estão fechadas por feriado 
#Economedicos #Finanças #Financas #FinancasPessoais #LiberdadeFinanceira #Economia
E hoje? Quem vence?</t>
  </si>
  <si>
    <t>Bom dia investidores! A semana se inicia com mercados majoritariamente positivos em dia de pregão mais curto nos EUA 
#Economedicos #Finanças #Financas #FinancasPessoais #LiberdadeFinanceira #Economia
E hoje? Quem vence? Medo ou ganância?</t>
  </si>
  <si>
    <t>Bom dia investidores! Os mercados iniciam a sexta-feira positivos, aliviados com o fim do impasse do teto de gastos nos EUA 
#Economedicos #Finanças #Financas #FinancasPessoais #LiberdadeFinanceira #Economia
E hoje? Quem vence? Medo ou ganância?</t>
  </si>
  <si>
    <t>Bom dia investidores! O mês se inicia com mercados majoritariamente positivos com a aprovação da suspensão do teto de gastos nos EUA - texto agora vai ao Senado 
#Economedicos #Finanças #Financas #FinancasPessoais #LiberdadeFinanceira #Economia</t>
  </si>
  <si>
    <t>Bom dia investidores! Os mercados amanhecem em compasso de espera, aguardando o resultado trimestral dos grandes bancos Americanos 
#Economedicos #Finanças #Financas #FinancasPessoais #LiberdadeFinanceira #Economia
E hoje? Quem vence? Medo ou ganância?</t>
  </si>
  <si>
    <t>Bom dia investidores! Os mercados amanhecem de bom humor, aguardando mais dados da inflação nos EUA e dos sinais que possam indicar os rumos da política de juros 
#Economedicos #Finanças #Financas #FinancasPessoais #LiberdadeFinanceira #Economia
E hoje? Quem vence?</t>
  </si>
  <si>
    <t>Bom dia investidores! Os mercados amanhecem animados nesta quarta-feira, aguardando dados de inflação nos EUA enquanto o bom humor também parece seguir por aqui 
#Economedicos #Finanças #Financas #FinancasPessoais #LiberdadeFinanceira #Economia
E hoje? Quem vence?</t>
  </si>
  <si>
    <t>Bom dia investidores! Os mercados amanhecem sem um sentido único, na expectativa dos dados de inflação nos EUA e de olho nas provocações mútuas entre eles e a China em relação a Taiwan
#Economedicos #Finanças #Financas #FinancasPessoais #LiberdadeFinanceira #Economia</t>
  </si>
  <si>
    <t>Bom dia investidores! Os mercados estão majoritariamente positivos hoje, aguardando dados econômicos nos EUA e acompanhando a temporada de balanços 
#Economedicos #Finanças #Financas #FinancasPessoais #LiberdadeFinanceira #Economia
E hoje? Quem vence? Medo ou ganância?</t>
  </si>
  <si>
    <t>Bom dia investidores! Mercados amanhecem mistos, repercutindo o discurso de Jerome Powell ontem que foi mais dovish e acalmou os ânimos. Por aqui, a reforma tributária entra em foco enquanto seguem as pressões políticas sobre o BC
#Economedicos #Finanças #Financas</t>
  </si>
  <si>
    <t>Bom dia investidores! Os mercados amanhecem levemente positivos, aguardando o discurso do presidente do FED hoje às 14h30 (horário de Brasília)
#Economedicos #Finanças #Financas #FinancasPessoais #LiberdadeFinanceira #Economia
E hoje? Quem vence? Medo ou ganância?</t>
  </si>
  <si>
    <t>Bom dia investidores! Os mercados amanhecem em sua maioria em baixa, após dados do emprego nos EUA surpreenderem e forçarem o FED a manter a austeridade na condução dos juros 
#Economedicos #Finanças #Financas #FinancasPessoais #LiberdadeFinanceira #Economia</t>
  </si>
  <si>
    <t>Bom dia investidores! Os mercados amanhecem positivos em sua maioria por bons dados vindo da China e já de olho no FED para a próxima semana
#Economedicos #Finanças #Financas #FinancasPessoais #LiberdadeFinanceira #Economia
E hoje? Quem vence? Medo ou ganância?</t>
  </si>
  <si>
    <t>Bom dia investidores! Os mercados amanhecem positivos no ocidente, aguardando a inflação nos EUA, enquanto dados da China pesam nos mercados Asiáticos 
#Economedicos #Finanças #Financas #FinancasPessoais #LiberdadeFinanceira #Economia
E hoje? Quem vence? Medo ou ganância?</t>
  </si>
  <si>
    <t>Bom dia investidores! Os mercados amanhecem positivos no ocidente sem muitos indicadores e negativos na Ásia 
#Economedicos #Finanças #Financas #FinancasPessoais #LiberdadeFinanceira #Economia
E hoje? Quem vence? Medo ou ganância?</t>
  </si>
  <si>
    <t>Bom dia investidores! Os mercados amanhecem em baixa, após a agência Fitch reduzir a classificação dos EUA. Por aqui, aguardamos a decisão do COPOM
#Economedicos #Finanças #Financas #FinancasPessoais #LiberdadeFinanceira #Economia
E hoje? Quem vence? Medo ou ganância?</t>
  </si>
  <si>
    <t>Bom dia investidores! Os mercados amanhecem em baixa, aguardando números dos balanços de grandes empresas 
#Economedicos #Finanças #Financas #FinancasPessoais #LiberdadeFinanceira #Economia
E hoje? Quem vence? Medo ou ganância?</t>
  </si>
  <si>
    <t>Bom dia investidores! Os mercados amanhecem em queda nessa sexta-feira, vivendo o paradoxo do “se está bom, está ruim!”
#Economedicos #Finanças #Financas #FinancasPessoais #LiberdadeFinanceira #Economia
E hoje? Quem vence? Medo ou ganância?</t>
  </si>
  <si>
    <t>Bom dia investidores! Os futuros estão em queda nesse momento na expectativa da Ata do FOMC e com pessimismo em relação à China
#Economedicos #Finanças #Financas #FinancasPessoais #LiberdadeFinanceira #Economia
E hoje? Quem vence? Medo ou ganância?</t>
  </si>
  <si>
    <t>Bom dia investidores! Os mercados iniciam a semana positivos aguardando decisões importantes nos bancos centrais pelo mundo 
#Economedicos #Finanças #Financas #FinancasPessoais #LiberdadeFinanceira #Economia
E hoje? Quem vence? Medo ou ganância?</t>
  </si>
  <si>
    <t>Bom dia investidores! As bolsas estão em leve queda hoje mas a expectativa por aqui é de alta
#Economedicos #Finanças #Financas #FinancasPessoais #LiberdadeFinanceira #Economia
E hoje? Quem vence? Medo ou ganância?</t>
  </si>
  <si>
    <t>Bom dia investidores! Os mercados amanhecem negativos hoje pela repercussão da crise bancária nos EUA enquanto aguardam a decisão dos juros na “super quarta”
#Economedicos #Finanças #Financas #FinancasPessoais #LiberdadeFinanceira #Economia
E hoje? Quem vence? Medo ou ganância?</t>
  </si>
  <si>
    <t>Bom dia investidores! Os mercados iniciam a sexta-feira cautelosos com a desaceleração da economia Americana mas na Ásia o sentimento foi positivo com a manutenção dos juros pelo BoJ
#Economedicos #Finanças #Financas #FinancasPessoais #LiberdadeFinanceira #Economia</t>
  </si>
  <si>
    <t>Bom dia investidores! Mercados amanhecem positivos aguardando o PIB nos EUA e a sequência de resultados corporativos 
#Economedicos #Finanças #Financas #FinancasPessoais #LiberdadeFinanceira #Economia
E hoje? Quem vence? Medo ou ganância?</t>
  </si>
  <si>
    <t>Bom dia investidores! Mercados sem uma direção única hoje, às vésperas de feriado na Àsia e analisando resultados trimestrais em NY e por aqui
#Economedicos #Finanças #Financas #FinancasPessoais #LiberdadeFinanceira #Economia
E hoje? Quem vence? Medo ou ganância?</t>
  </si>
  <si>
    <t>Bom dia investidores! Os mercados amanhecem em queda em sua maioria hoje aguardando dados econômicos e de olho nas questões geopolíticas internacionais 
#Economedicos #Finanças #Financas #FinancasPessoais #LiberdadeFinanceira #Economia
E hoje? Quem vence? Medo ou ganância?</t>
  </si>
  <si>
    <t>Bom dia investidores! Os mercados amanhecem em tons mistos, aguardando dados econômicos e notícias do G20. Por aqui, os frigoríficos são afetados por caso de doença da “vaca louca” em Marabá (PA)
#Economedicos #Finanças #Financas #FinancasPessoais #LiberdadeFinanceira #Economia</t>
  </si>
  <si>
    <t>Bom dia investidores! Os mercados amanhecem negativos hoje, preocupados com uma postura mais Hawkish do Federal Reserve em relação aos juros após fortes dados da economia Americana alimentando o dilema: “É bom mas é ruim”
#Economedicos #Finanças #Financas #FinancasPessoais</t>
  </si>
  <si>
    <t>Bom dia investidores! Bolsas amanhecem em queda nesta sexta-feira, com agenda esvaziada e retorno da preocupação com os juros altos no mundo
#Economedicos #Finanças #Financas #FinancasPessoais #LiberdadeFinanceira #Economia
E hoje? Quem vence? Medo ou ganância?</t>
  </si>
  <si>
    <t>Bom dia investidores! Mercados amanhecem positivos no retorno à normalidade hoje após o feriado em várias bolsas pelo mundo
#Economedicos #Finanças #Financas #FinancasPessoais #LiberdadeFinanceira #Economia
E hoje? Quem vence? Medo ou ganância?</t>
  </si>
  <si>
    <t>Bom dia investidores! A semana se inicia com mercados sem direção única, aguardando a super quarta com a decisão dos Bancos Centrais
#Economedicos #Finanças #Financas #FinancasPessoais #LiberdadeFinanceira #Economia
E hoje? Quem vence? Medo ou ganância?</t>
  </si>
  <si>
    <t>Bom dia investidores! Notícias de novos estímulos vindo da China animam os mercados mundiais
#Economedicos #Finanças #Financas #FinancasPessoais #LiberdadeFinanceira #Economia
E hoje? Quem vence? Medo ou ganância?</t>
  </si>
  <si>
    <t>Bom dia investidores! A segunda feira se inicia em compasso de espera com uma semana cheia de indicadores importantes
#Economedicos #Finanças #Financas #FinancasPessoais #LiberdadeFinanceira #Economia
E hoje? Quem vence? Medo ou ganância?</t>
  </si>
  <si>
    <t>Bom dia investidores! Mercados amanhecem positivos nesta sexta-feira, aguardando dados de inflação nos EUA
#Economedicos #Finanças #Financas #FinancasPessoais #LiberdadeFinanceira #Economia
E hoje? Quem vence? Medo ou ganância?</t>
  </si>
  <si>
    <t>Bom dia investidores! A quinta-feira amanhece timidamente positiva com mercados avaliando o tom firme dos bancos centrais pelo mundo enquanto aguardam mais dados econômicos 
#Economedicos #Finanças #Financas #FinancasPessoais #LiberdadeFinanceira #Economia</t>
  </si>
  <si>
    <t>Bom dia investidores! Mercados amanhecem em queda na expectativa da votação do teto de gastos nos EUA e repercutindo o PMI abaixo do esperado na China
#Economedicos #Finanças #Financas #FinancasPessoais #LiberdadeFinanceira #Economia
E hoje? Quem vence? Medo ou ganância?</t>
  </si>
  <si>
    <t>Bom dia investidores! Mercados amanhecem positivos hoje aguardando a votação que deve consolidar o acordo sobre o teto da dívida nos EUA 
#Economedicos #Finanças #Financas #FinancasPessoais #LiberdadeFinanceira #Economia
E hoje? Quem vence? Medo ou ganância?</t>
  </si>
  <si>
    <t>Bom dia investidores! Nesse último dia útil da semana, as bolsas amanhecem cautelosas, sem direção definida pelo risco de recessão nos EUA 
#Economedicos #Finanças #Financas #FinancasPessoais #LiberdadeFinanceira #Economia
E hoje? Quem vence? Medo ou ganância?</t>
  </si>
  <si>
    <t>Bom dia investidores! Os mercados amanhecem com viés negativo hoje, aguardando mais dados do emprego nos EUA 
#Economedicos #Finanças #Financas #FinancasPessoais #LiberdadeFinanceira #Economia
E hoje? Quem vence? Medo ou ganância?</t>
  </si>
  <si>
    <t>Bom dia investidores! Os mercados amanhecem mistis hoje oscilando entre a desconfiança no futuro e o alívio da crise bancária 
#Economedicos #Finanças #Financas #FinancasPessoais #LiberdadeFinanceira #Economia
E hoje? Quem vence? Medo ou ganância?</t>
  </si>
  <si>
    <t>Bom dia investidores! Os mercados amanhecem em queda novamente pela manutenção da preocupação com o sistema bancário e de olho nas tensões geopolíticas entre EUA e China
#Economedicos #Finanças #Financas #FinancasPessoais #LiberdadeFinanceira #Economia
E hoje? Quem vence?</t>
  </si>
  <si>
    <t>Bom dia investidores! As bolsas amanhecem em sua maioria em alta, digerindo uma decisão de juros sem surpresas pelo FED
#Economedicos #Finanças #Financas #FinancasPessoais #LiberdadeFinanceira #Economia
E hoje? Quem vence? Medo ou ganância?</t>
  </si>
  <si>
    <t>Bom dia investidores! Os mercados amanhecem em compasso de espera nessa “super” quarta aguardando as decisões de juros, de olho nos dados de inflação 
#Economedicos #Finanças #Financas #FinancasPessoais #LiberdadeFinanceira #Economia
E hoje? Quem vence? Medo ou ganância?</t>
  </si>
  <si>
    <t>Bom dia investidores! Os mercados estão sem uma direção única hoje, aguardando dados econômicos e digerindo resultados corporativos fracos para as gigantes Tech
#Economedicos #Finanças #Financas #FinancasPessoais #LiberdadeFinanceira #Economia
E hoje? Quem vence?</t>
  </si>
  <si>
    <t>Bom dia investidores! Os mercados amanhecem levemente otimistas, aguardando dados do PIB Americano 
#Economedicos #Finanças #Financas #FinancasPessoais #LiberdadeFinanceira #Economia
E hoje? Quem vence? Medo ou ganância?</t>
  </si>
  <si>
    <t>Bom dia investidores! Com poucos indicadores econômicos e a China ainda com bolsas fechadas pelo feriado, as atenções se voltam para a divulgação de balanços hoje nos EUA
#Economedicos #Finanças #Financas #FinancasPessoais #LiberdadeFinanceira #Economia</t>
  </si>
  <si>
    <t>Bom dia investidores! Os mercados amanhecem levemente negativos hoje aguardando dados do PMI da zona do euro  
#Economedicos #Finanças #Financas #FinancasPessoais #LiberdadeFinanceira #Economia
E hoje? Quem vence? Medo ou ganância?</t>
  </si>
  <si>
    <t>Bom dia investidores! Os mercados amanhecem sem direção única nesta sexta-feira, com mercados digerindo ainda a decisão do FED. Há também a preocupação de que o governo Americano pode ser paralisado por questões do orçamento militar
#Economedicos #Finanças #Financas</t>
  </si>
  <si>
    <t>Bom dia investidores! Os mercados amanhecem positivos iniciando uma semana repleta de indicadores de inflação 
#Economedicos #Finanças #Financas #FinancasPessoais #LiberdadeFinanceira #Economia
E hoje? Quem vence? Medo ou ganância?</t>
  </si>
  <si>
    <t>Bom dia investidores! Os mercados iniciam a semana positivos aguardando o PIB nos EUA e repercutindo estímulos na China 
#financas #economedicos #finanças #financaspessoais #liberdadefinanceira #economia
E hoje? Quem vence? O medo ou a ganância?</t>
  </si>
  <si>
    <t>Bom dia investidores! Os mercados futuros dos EUA iniciaram o dia em alta mas viraram na expectativa da ata do FED e de dados econômicos 
#Economedicos #Finanças #Financas #FinancasPessoais #LiberdadeFinanceira #Economia
E hoje? Quem vence? Medo ou ganância?</t>
  </si>
  <si>
    <t>Bom dia investidores! Os mercados amanhecem em baixa em sua maioria, por preocupações com desempenho abaixo do esperado na economia da China
#Economedicos #Finanças #Financas #FinancasPessoais #LiberdadeFinanceira #Economia
E hoje? Quem vence? Medo ou ganância?</t>
  </si>
  <si>
    <t>Bom dia investidores! Os mercados amanhecem majoritariamente positivos nessa sexta-feira sem grandes indicadores econômicos
#Economedicos #Finanças #Financas #FinancasPessoais #LiberdadeFinanceira #Economia
E hoje? Quem vence? Medo ou ganância?</t>
  </si>
  <si>
    <t>Bom dia investidores! Os mercados amanhecem em tons mistos hoje ponderando os resultados corporativos e as perspectivas futuras 
#Economedicos #Finanças #Financas #FinancasPessoais #LiberdadeFinanceira #Economia
E hoje? Quem vence? Medo ou ganância?</t>
  </si>
  <si>
    <t>Bom dia investidores! Os mercados iniciam a semana em queda por preocupações com a repercussão da rebelião na Rússia e com dados fracos da economia Chinesa 
#Economedicos #Finanças #Financas #FinancasPessoais #LiberdadeFinanceira #Economia
E hoje? Quem vence? Medo ou ganância?</t>
  </si>
  <si>
    <t>Bom dia investidores! Os mercados seguem apreensivos após o discurso severo de Powell frustrando expectativas 
#Economedicos #Finanças #Financas #FinancasPessoais #LiberdadeFinanceira #Economia
E hoje? Quem vence? Medo ou ganância?</t>
  </si>
  <si>
    <t>Bom dia investidores! Mercados seguem em tons mistos, aguardando o PIB nos EUA e ansiando uma definição quanto ao teto de gastos por lá 
#Economedicos #Finanças #Financas #FinancasPessoais #LiberdadeFinanceira #Economia
E hoje? Quem vence? Medo ou ganância?</t>
  </si>
  <si>
    <t>Bom dia investidores! Os mercados amanhecem em queda hoje, aguardando a ata do Comitê de Política Monetária dos EUA (FOMC) e impacientes com o impasse no teto de gastos por lá 
#Economedicos #Finanças #Financas #FinancasPessoais #LiberdadeFinanceira #Economia</t>
  </si>
  <si>
    <t>Bom dia investidores! Os mercados amanhecem mistos aguardando a definição do teto de gastos e a divulgação do PMI nos EUA 
#Economedicos #Finanças #Financas #FinancasPessoais #LiberdadeFinanceira #Economia
E hoje? Quem vence? Medo ou ganância?</t>
  </si>
  <si>
    <t>Bom dia investidores! Os mercados iniciam a semana andando de lado na expectativa das negociações sobre o teto de gastos nos EUA
#Economedicos #Finanças #Financas #FinancasPessoais #LiberdadeFinanceira #Economia
E hoje? Quem vence? Medo ou ganância?</t>
  </si>
  <si>
    <t>Bom dia investidores! Os mercados iniciam a semana em baixa, apreensivos com a crise de confiança nos bancos
#Economedicos #Finanças #Financas #FinancasPessoais #LiberdadeFinanceira #Economia
E hoje? Quem vence? Medo ou ganância?</t>
  </si>
  <si>
    <t>Bom dia investidores! Hoje os mercados amanhecem positivos com o alívio trazido pela notícia de que os bancos com problemas serão socorridos
#Economedicos #Finanças #Financas #FinancasPessoais #LiberdadeFinanceira #Economia
E hoje? Quem vence? Medo ou ganância?</t>
  </si>
  <si>
    <t>Bom dia investidores! Os mercados amanhecem sem uma direção única, ponderando que uma crise leve pode reduzir a curva de juros nas uma forte crise pode trazer recessão 
#Economedicos #Finanças #Financas #FinancasPessoais #LiberdadeFinanceira #Economia
E hoje? Quem vence?</t>
  </si>
  <si>
    <t>Bom dia investidores! Com a maior parte das bolsas da Ásia fechadas hoje, mercados Americanos e Europeus estão próximos à estabilidade 
#Economedicos #Finanças #Financas #FinancasPessoais #LiberdadeFinanceira #Economia
E hoje? Quem vence? Medo ou ganância?</t>
  </si>
  <si>
    <t>Bom dia investidores! Os mercados amanhecem positivos hoje no último dia do Forum Econômico Mundial e com perspectiva de reabertura total na China
#Economedicos #Finanças #Financas #FinancasPessoais #LiberdadeFinanceira #Economia
E hoje? Quem vence? Medo ou ganância?</t>
  </si>
  <si>
    <t>Bom dia investidores! Os mercados amanhecem em compasso de espera, aguardando dados econômicos nos EUA. Por aqui seguem as discussões sobre o salário mínimo e a lei das Estatais 
#Economedicos #Finanças #Financas #FinancasPessoais #LiberdadeFinanceira #Economia</t>
  </si>
  <si>
    <t>Bom dia investidores! Os mercados amanhecem apreensivos pela redução no crescimento do PIB Chinês 
#Economedicos #Finanças #Financas #FinancasPessoais #LiberdadeFinanceira #Economia
E hoje? Quem vence? Medo ou ganância?</t>
  </si>
  <si>
    <t>Bom dia investidores! Mercados em alta no ocidente e em queda na Ásia aguardando a “super quarta”
#Economedicos #Finanças #Financas #FinancasPessoais #LiberdadeFinanceira #Economia
E hoje? Quem vence? Medo ou ganância?</t>
  </si>
  <si>
    <t>economedicos finanças</t>
  </si>
  <si>
    <t>economedicos finanças financas financaspessoais liberdadefinanceira economia</t>
  </si>
  <si>
    <t>economedicos fin</t>
  </si>
  <si>
    <t>economedicos finanças financas financaspessoais</t>
  </si>
  <si>
    <t>economedicos finanças financas financaspessoais liberdadefinanceira</t>
  </si>
  <si>
    <t>economedicos finanças financas financaspessoais liberdadefinanceira economia ibovespa</t>
  </si>
  <si>
    <t>economedicos finanças financas</t>
  </si>
  <si>
    <t>financas economedicos finanças financaspessoais liberdadefinanceira economia</t>
  </si>
  <si>
    <t>Twitter for iPhone</t>
  </si>
  <si>
    <t>pt</t>
  </si>
  <si>
    <t>11:55:08</t>
  </si>
  <si>
    <t>09:29:36</t>
  </si>
  <si>
    <t>13:06:28</t>
  </si>
  <si>
    <t>10:44:14</t>
  </si>
  <si>
    <t>11:05:01</t>
  </si>
  <si>
    <t>11:18:16</t>
  </si>
  <si>
    <t>09:53:15</t>
  </si>
  <si>
    <t>11:16:45</t>
  </si>
  <si>
    <t>10:41:15</t>
  </si>
  <si>
    <t>11:02:51</t>
  </si>
  <si>
    <t>10:57:05</t>
  </si>
  <si>
    <t>11:03:55</t>
  </si>
  <si>
    <t>11:40:44</t>
  </si>
  <si>
    <t>10:38:34</t>
  </si>
  <si>
    <t>10:31:17</t>
  </si>
  <si>
    <t>10:21:52</t>
  </si>
  <si>
    <t>11:13:43</t>
  </si>
  <si>
    <t>10:18:27</t>
  </si>
  <si>
    <t>10:07:05</t>
  </si>
  <si>
    <t>11:10:01</t>
  </si>
  <si>
    <t>10:49:54</t>
  </si>
  <si>
    <t>12:56:11</t>
  </si>
  <si>
    <t>11:51:44</t>
  </si>
  <si>
    <t>09:55:02</t>
  </si>
  <si>
    <t>11:09:41</t>
  </si>
  <si>
    <t>12:00:56</t>
  </si>
  <si>
    <t>11:08:56</t>
  </si>
  <si>
    <t>10:50:13</t>
  </si>
  <si>
    <t>11:09:15</t>
  </si>
  <si>
    <t>15:11:54</t>
  </si>
  <si>
    <t>10:52:45</t>
  </si>
  <si>
    <t>10:42:18</t>
  </si>
  <si>
    <t>10:23:59</t>
  </si>
  <si>
    <t>13:28:32</t>
  </si>
  <si>
    <t>11:11:19</t>
  </si>
  <si>
    <t>10:13:36</t>
  </si>
  <si>
    <t>11:15:06</t>
  </si>
  <si>
    <t>12:57:08</t>
  </si>
  <si>
    <t>10:27:09</t>
  </si>
  <si>
    <t>10:46:45</t>
  </si>
  <si>
    <t>11:07:09</t>
  </si>
  <si>
    <t>11:52:42</t>
  </si>
  <si>
    <t>11:24:08</t>
  </si>
  <si>
    <t>10:09:26</t>
  </si>
  <si>
    <t>12:11:32</t>
  </si>
  <si>
    <t>10:46:57</t>
  </si>
  <si>
    <t>11:04:46</t>
  </si>
  <si>
    <t>14:20:05</t>
  </si>
  <si>
    <t>10:56:29</t>
  </si>
  <si>
    <t>11:27:44</t>
  </si>
  <si>
    <t>12:14:53</t>
  </si>
  <si>
    <t>10:45:23</t>
  </si>
  <si>
    <t>11:54:40</t>
  </si>
  <si>
    <t>11:18:04</t>
  </si>
  <si>
    <t>10:22:20</t>
  </si>
  <si>
    <t>10:55:27</t>
  </si>
  <si>
    <t>10:52:39</t>
  </si>
  <si>
    <t>10:38:41</t>
  </si>
  <si>
    <t>10:52:52</t>
  </si>
  <si>
    <t>10:59:58</t>
  </si>
  <si>
    <t>10:29:55</t>
  </si>
  <si>
    <t>10:53:24</t>
  </si>
  <si>
    <t>11:11:17</t>
  </si>
  <si>
    <t>10:26:03</t>
  </si>
  <si>
    <t>10:34:50</t>
  </si>
  <si>
    <t>11:06:42</t>
  </si>
  <si>
    <t>11:00:36</t>
  </si>
  <si>
    <t>11:04:12</t>
  </si>
  <si>
    <t>10:46:16</t>
  </si>
  <si>
    <t>11:09:24</t>
  </si>
  <si>
    <t>12:13:27</t>
  </si>
  <si>
    <t>10:23:46</t>
  </si>
  <si>
    <t>11:04:36</t>
  </si>
  <si>
    <t>10:38:55</t>
  </si>
  <si>
    <t>11:18:26</t>
  </si>
  <si>
    <t>10:52:11</t>
  </si>
  <si>
    <t>11:02:08</t>
  </si>
  <si>
    <t>12:21:45</t>
  </si>
  <si>
    <t>10:29:27</t>
  </si>
  <si>
    <t>10:38:42</t>
  </si>
  <si>
    <t>08:44:42</t>
  </si>
  <si>
    <t>10:29:46</t>
  </si>
  <si>
    <t>11:10:55</t>
  </si>
  <si>
    <t>10:56:20</t>
  </si>
  <si>
    <t>11:08:50</t>
  </si>
  <si>
    <t>12:09:03</t>
  </si>
  <si>
    <t>10:56:27</t>
  </si>
  <si>
    <t>11:14:45</t>
  </si>
  <si>
    <t>11:18:23</t>
  </si>
  <si>
    <t>11:25:40</t>
  </si>
  <si>
    <t>10:59:30</t>
  </si>
  <si>
    <t>10:51:14</t>
  </si>
  <si>
    <t>11:08:48</t>
  </si>
  <si>
    <t>13:17:21</t>
  </si>
  <si>
    <t>12:16:30</t>
  </si>
  <si>
    <t>10:49:38</t>
  </si>
  <si>
    <t>10:42:44</t>
  </si>
  <si>
    <t>12:10:47</t>
  </si>
  <si>
    <t>10:38:58</t>
  </si>
  <si>
    <t>10:37:53</t>
  </si>
  <si>
    <t>10:21:58</t>
  </si>
  <si>
    <t>10:56:04</t>
  </si>
  <si>
    <t>10:41:02</t>
  </si>
  <si>
    <t>10:37:52</t>
  </si>
  <si>
    <t>10:53:43</t>
  </si>
  <si>
    <t>10:34:27</t>
  </si>
  <si>
    <t>10:52:28</t>
  </si>
  <si>
    <t>10:46:13</t>
  </si>
  <si>
    <t>12:36:30</t>
  </si>
  <si>
    <t>11:48:23</t>
  </si>
  <si>
    <t>10:47:27</t>
  </si>
  <si>
    <t>11:33:27</t>
  </si>
  <si>
    <t>10:18:47</t>
  </si>
  <si>
    <t>10:50:51</t>
  </si>
  <si>
    <t>13:49:24</t>
  </si>
  <si>
    <t>11:11:07</t>
  </si>
  <si>
    <t>10:19:35</t>
  </si>
  <si>
    <t>11:36:29</t>
  </si>
  <si>
    <t>11:02:03</t>
  </si>
  <si>
    <t>11:24:24</t>
  </si>
  <si>
    <t>11:25:53</t>
  </si>
  <si>
    <t>11:54:48</t>
  </si>
  <si>
    <t>11:12:06</t>
  </si>
  <si>
    <t>12:28:10</t>
  </si>
  <si>
    <t>11:03:12</t>
  </si>
  <si>
    <t>11:03:11</t>
  </si>
  <si>
    <t>10:52:59</t>
  </si>
  <si>
    <t>11:20:46</t>
  </si>
  <si>
    <t>10:46:36</t>
  </si>
  <si>
    <t>10:48:39</t>
  </si>
  <si>
    <t>10:41:43</t>
  </si>
  <si>
    <t>10:31:29</t>
  </si>
  <si>
    <t>11:00:11</t>
  </si>
  <si>
    <t>11:08:00</t>
  </si>
  <si>
    <t>11:05:24</t>
  </si>
  <si>
    <t>10:17:57</t>
  </si>
  <si>
    <t>11:02:13</t>
  </si>
  <si>
    <t>11:03:16</t>
  </si>
  <si>
    <t>10:43:29</t>
  </si>
  <si>
    <t>10:20:18</t>
  </si>
  <si>
    <t>10:06:57</t>
  </si>
  <si>
    <t>11:34:59</t>
  </si>
  <si>
    <t>11:31:04</t>
  </si>
  <si>
    <t>11:14:20</t>
  </si>
  <si>
    <t>11:26:08</t>
  </si>
  <si>
    <t>10:43:58</t>
  </si>
  <si>
    <t>11:08:47</t>
  </si>
  <si>
    <t>11:16:29</t>
  </si>
  <si>
    <t>09:30:13</t>
  </si>
  <si>
    <t>11:25:25</t>
  </si>
  <si>
    <t>10:25:03</t>
  </si>
  <si>
    <t>10:46:09</t>
  </si>
  <si>
    <t>10:32:26</t>
  </si>
  <si>
    <t>10:44:58</t>
  </si>
  <si>
    <t>10:26:15</t>
  </si>
  <si>
    <t>10:20:27</t>
  </si>
  <si>
    <t>10:33:14</t>
  </si>
  <si>
    <t>10:51:16</t>
  </si>
  <si>
    <t>10:49:12</t>
  </si>
  <si>
    <t>10:55:43</t>
  </si>
  <si>
    <t>11:22:35</t>
  </si>
  <si>
    <t>10:53:25</t>
  </si>
  <si>
    <t>1698665998868475996</t>
  </si>
  <si>
    <t>1694280721584799760</t>
  </si>
  <si>
    <t>1687449926559576064</t>
  </si>
  <si>
    <t>1687051743165657088</t>
  </si>
  <si>
    <t>1678722053732552706</t>
  </si>
  <si>
    <t>1678362999566786561</t>
  </si>
  <si>
    <t>1666745194019192835</t>
  </si>
  <si>
    <t>1666403818693697539</t>
  </si>
  <si>
    <t>1650449818123223040</t>
  </si>
  <si>
    <t>1649005705796501504</t>
  </si>
  <si>
    <t>1648279477502324737</t>
  </si>
  <si>
    <t>1647918808655360001</t>
  </si>
  <si>
    <t>1626184803518144512</t>
  </si>
  <si>
    <t>1625806770802139137</t>
  </si>
  <si>
    <t>1625442547043540993</t>
  </si>
  <si>
    <t>1623990628135714816</t>
  </si>
  <si>
    <t>1701917067698450628</t>
  </si>
  <si>
    <t>1699004054465020379</t>
  </si>
  <si>
    <t>1695014926836740383</t>
  </si>
  <si>
    <t>1691044500137762816</t>
  </si>
  <si>
    <t>1689952272036311041</t>
  </si>
  <si>
    <t>1680924355922886661</t>
  </si>
  <si>
    <t>1679820975246811136</t>
  </si>
  <si>
    <t>1671819074588868615</t>
  </si>
  <si>
    <t>1671475470544543744</t>
  </si>
  <si>
    <t>1659167181542760451</t>
  </si>
  <si>
    <t>1658791707436105729</t>
  </si>
  <si>
    <t>1658424610327494656</t>
  </si>
  <si>
    <t>1658067009182089219</t>
  </si>
  <si>
    <t>1636022414277505027</t>
  </si>
  <si>
    <t>1635594811544592387</t>
  </si>
  <si>
    <t>1634142631407108097</t>
  </si>
  <si>
    <t>1633775631358996481</t>
  </si>
  <si>
    <t>1614977905263534080</t>
  </si>
  <si>
    <t>1613856211224461313</t>
  </si>
  <si>
    <t>1613479296827260929</t>
  </si>
  <si>
    <t>1613132389433200641</t>
  </si>
  <si>
    <t>1707378912634798214</t>
  </si>
  <si>
    <t>1697556693373046959</t>
  </si>
  <si>
    <t>1693937747713544694</t>
  </si>
  <si>
    <t>1688869450689269760</t>
  </si>
  <si>
    <t>1688518527391559680</t>
  </si>
  <si>
    <t>1679451641110511618</t>
  </si>
  <si>
    <t>1679070454605131776</t>
  </si>
  <si>
    <t>1669316707108659200</t>
  </si>
  <si>
    <t>1668933033783709698</t>
  </si>
  <si>
    <t>1655529166530387969</t>
  </si>
  <si>
    <t>1654491156556783619</t>
  </si>
  <si>
    <t>1654077532742856705</t>
  </si>
  <si>
    <t>1653723009046261763</t>
  </si>
  <si>
    <t>1631266827064991745</t>
  </si>
  <si>
    <t>1630881916516720641</t>
  </si>
  <si>
    <t>1630536961352933377</t>
  </si>
  <si>
    <t>1630165366293815296</t>
  </si>
  <si>
    <t>1706252790274617513</t>
  </si>
  <si>
    <t>1699738142591373543</t>
  </si>
  <si>
    <t>1694664006127013962</t>
  </si>
  <si>
    <t>1689587062993793025</t>
  </si>
  <si>
    <t>1689228245495918592</t>
  </si>
  <si>
    <t>1681619885779042306</t>
  </si>
  <si>
    <t>1681249935985967105</t>
  </si>
  <si>
    <t>1671108984349028353</t>
  </si>
  <si>
    <t>1670751098477457411</t>
  </si>
  <si>
    <t>1656968976088399872</t>
  </si>
  <si>
    <t>1656608800495812608</t>
  </si>
  <si>
    <t>1656254429606076417</t>
  </si>
  <si>
    <t>1655890508114194434</t>
  </si>
  <si>
    <t>1633423365435260931</t>
  </si>
  <si>
    <t>1633051652415537153</t>
  </si>
  <si>
    <t>1632694077475913728</t>
  </si>
  <si>
    <t>1631612732997763072</t>
  </si>
  <si>
    <t>1612422296400023552</t>
  </si>
  <si>
    <t>1611307531908923392</t>
  </si>
  <si>
    <t>1610955417022271488</t>
  </si>
  <si>
    <t>1610586568615464960</t>
  </si>
  <si>
    <t>1701555865596150198</t>
  </si>
  <si>
    <t>1696475828081590297</t>
  </si>
  <si>
    <t>1692129679220605127</t>
  </si>
  <si>
    <t>1684539572292550656</t>
  </si>
  <si>
    <t>1684148922602897409</t>
  </si>
  <si>
    <t>1674004389739077632</t>
  </si>
  <si>
    <t>1673613313438109696</t>
  </si>
  <si>
    <t>1663130505150119936</t>
  </si>
  <si>
    <t>1662053697549991939</t>
  </si>
  <si>
    <t>1643205856865951748</t>
  </si>
  <si>
    <t>1642846616586534917</t>
  </si>
  <si>
    <t>1641412220318806016</t>
  </si>
  <si>
    <t>1641031561180053504</t>
  </si>
  <si>
    <t>1621467219828916226</t>
  </si>
  <si>
    <t>1621105748729303041</t>
  </si>
  <si>
    <t>1620745194152005634</t>
  </si>
  <si>
    <t>1620008591536320512</t>
  </si>
  <si>
    <t>1704450204462678093</t>
  </si>
  <si>
    <t>1696837978239168748</t>
  </si>
  <si>
    <t>1692493744400994716</t>
  </si>
  <si>
    <t>1686003115386875906</t>
  </si>
  <si>
    <t>1684900636633059328</t>
  </si>
  <si>
    <t>1676181466982539265</t>
  </si>
  <si>
    <t>1675817344092733441</t>
  </si>
  <si>
    <t>1664605476397383682</t>
  </si>
  <si>
    <t>1664219985865068544</t>
  </si>
  <si>
    <t>1646825094801416193</t>
  </si>
  <si>
    <t>1646458698796023808</t>
  </si>
  <si>
    <t>1646104895148240898</t>
  </si>
  <si>
    <t>1645376336058277888</t>
  </si>
  <si>
    <t>1623632264679546885</t>
  </si>
  <si>
    <t>1623273867090317314</t>
  </si>
  <si>
    <t>1622906630844170240</t>
  </si>
  <si>
    <t>1622548777260273665</t>
  </si>
  <si>
    <t>1702634923398488118</t>
  </si>
  <si>
    <t>1697226858943729689</t>
  </si>
  <si>
    <t>1693590870367330647</t>
  </si>
  <si>
    <t>1686690164242882562</t>
  </si>
  <si>
    <t>1686339356066230273</t>
  </si>
  <si>
    <t>1677267905736585222</t>
  </si>
  <si>
    <t>1676536091266908161</t>
  </si>
  <si>
    <t>1668209241113460736</t>
  </si>
  <si>
    <t>1667167009270816769</t>
  </si>
  <si>
    <t>1653356439614701568</t>
  </si>
  <si>
    <t>1651893917657231360</t>
  </si>
  <si>
    <t>1651550884973748227</t>
  </si>
  <si>
    <t>1651179830266699776</t>
  </si>
  <si>
    <t>1629079796150939649</t>
  </si>
  <si>
    <t>1628717781808979973</t>
  </si>
  <si>
    <t>1628362667848089600</t>
  </si>
  <si>
    <t>1626539982700654592</t>
  </si>
  <si>
    <t>1610251671480815617</t>
  </si>
  <si>
    <t>1703726359619498435</t>
  </si>
  <si>
    <t>1683795022859079681</t>
  </si>
  <si>
    <t>1683430067534274560</t>
  </si>
  <si>
    <t>1674739753005056002</t>
  </si>
  <si>
    <t>1674368763267895297</t>
  </si>
  <si>
    <t>1663860032574726147</t>
  </si>
  <si>
    <t>1663495902076497923</t>
  </si>
  <si>
    <t>1643924382056677376</t>
  </si>
  <si>
    <t>1643569215582920710</t>
  </si>
  <si>
    <t>1640672078771761152</t>
  </si>
  <si>
    <t>1639221874184912896</t>
  </si>
  <si>
    <t>1638847544192126976</t>
  </si>
  <si>
    <t>1638496295022219264</t>
  </si>
  <si>
    <t>1618927616123338753</t>
  </si>
  <si>
    <t>1618560248717152259</t>
  </si>
  <si>
    <t>1618192028361461760</t>
  </si>
  <si>
    <t>1617826279402897410</t>
  </si>
  <si>
    <t>1705183907883221406</t>
  </si>
  <si>
    <t>1701196657059131475</t>
  </si>
  <si>
    <t>1696119014215368833</t>
  </si>
  <si>
    <t>1691773329403679102</t>
  </si>
  <si>
    <t>1691400332952182784</t>
  </si>
  <si>
    <t>1682346878807973890</t>
  </si>
  <si>
    <t>1681986431827300352</t>
  </si>
  <si>
    <t>1673262377498812417</t>
  </si>
  <si>
    <t>1672204207560990723</t>
  </si>
  <si>
    <t>1661679766875824130</t>
  </si>
  <si>
    <t>1661322687388459008</t>
  </si>
  <si>
    <t>1660956849737285639</t>
  </si>
  <si>
    <t>1660597615635963904</t>
  </si>
  <si>
    <t>1637762470579171328</t>
  </si>
  <si>
    <t>1637761008511877125</t>
  </si>
  <si>
    <t>1636677063221424128</t>
  </si>
  <si>
    <t>1636319213689229314</t>
  </si>
  <si>
    <t>1617479990869913601</t>
  </si>
  <si>
    <t>1616387360840712192</t>
  </si>
  <si>
    <t>1615664225153871873</t>
  </si>
  <si>
    <t>1615308600389369856</t>
  </si>
  <si>
    <t>1704086285428650221</t>
  </si>
  <si>
    <t>1698665988441473188</t>
  </si>
  <si>
    <t>1694280711522402685</t>
  </si>
  <si>
    <t>1687449915431985152</t>
  </si>
  <si>
    <t>1687051731509587968</t>
  </si>
  <si>
    <t>1678722043091533825</t>
  </si>
  <si>
    <t>1678362989659815936</t>
  </si>
  <si>
    <t>1666745182195261440</t>
  </si>
  <si>
    <t>1666403806748221440</t>
  </si>
  <si>
    <t>1650449806194614273</t>
  </si>
  <si>
    <t>1649005696363405322</t>
  </si>
  <si>
    <t>1648279469155663872</t>
  </si>
  <si>
    <t>1647918797443981312</t>
  </si>
  <si>
    <t>1626184794538139649</t>
  </si>
  <si>
    <t>1625806758420652033</t>
  </si>
  <si>
    <t>1625442534053797888</t>
  </si>
  <si>
    <t>1623990617100455937</t>
  </si>
  <si>
    <t>1701917039466623464</t>
  </si>
  <si>
    <t>1699004023343362066</t>
  </si>
  <si>
    <t>1695014918578180520</t>
  </si>
  <si>
    <t>1691044490851532801</t>
  </si>
  <si>
    <t>1689952259218583552</t>
  </si>
  <si>
    <t>1680924342849339392</t>
  </si>
  <si>
    <t>1679820966090747904</t>
  </si>
  <si>
    <t>1671819067471044608</t>
  </si>
  <si>
    <t>1671475458507001856</t>
  </si>
  <si>
    <t>1659167169890885635</t>
  </si>
  <si>
    <t>1658791693045452801</t>
  </si>
  <si>
    <t>1658424598185103363</t>
  </si>
  <si>
    <t>1658067000948654084</t>
  </si>
  <si>
    <t>1636022402743148546</t>
  </si>
  <si>
    <t>1635594798152253440</t>
  </si>
  <si>
    <t>1634142623131639815</t>
  </si>
  <si>
    <t>1633775622232178688</t>
  </si>
  <si>
    <t>1614977895801262080</t>
  </si>
  <si>
    <t>1613856200898277377</t>
  </si>
  <si>
    <t>1613479280419258372</t>
  </si>
  <si>
    <t>1613132379308326912</t>
  </si>
  <si>
    <t>1707378898009227294</t>
  </si>
  <si>
    <t>1697556682212008371</t>
  </si>
  <si>
    <t>1693937739593322870</t>
  </si>
  <si>
    <t>1688869440828432384</t>
  </si>
  <si>
    <t>1688518517643964416</t>
  </si>
  <si>
    <t>1679451628854714369</t>
  </si>
  <si>
    <t>1679070445293666305</t>
  </si>
  <si>
    <t>1669316694160863234</t>
  </si>
  <si>
    <t>1668933024401043457</t>
  </si>
  <si>
    <t>1655529155750928384</t>
  </si>
  <si>
    <t>1654491145051815942</t>
  </si>
  <si>
    <t>1654077524022886400</t>
  </si>
  <si>
    <t>1653722998409404417</t>
  </si>
  <si>
    <t>1631266817770438656</t>
  </si>
  <si>
    <t>1630881908358889476</t>
  </si>
  <si>
    <t>1630536948585488385</t>
  </si>
  <si>
    <t>1630165349936033794</t>
  </si>
  <si>
    <t>1706252778572587352</t>
  </si>
  <si>
    <t>1699738131786862891</t>
  </si>
  <si>
    <t>1694663993401459103</t>
  </si>
  <si>
    <t>1689587055519543296</t>
  </si>
  <si>
    <t>1689228233563152384</t>
  </si>
  <si>
    <t>1681619878229291010</t>
  </si>
  <si>
    <t>1681249919053578243</t>
  </si>
  <si>
    <t>1671108974979039232</t>
  </si>
  <si>
    <t>1670751089967128576</t>
  </si>
  <si>
    <t>1656968964679819264</t>
  </si>
  <si>
    <t>1656608789187928066</t>
  </si>
  <si>
    <t>1656254418650537985</t>
  </si>
  <si>
    <t>1655890495791398912</t>
  </si>
  <si>
    <t>1633423352533590017</t>
  </si>
  <si>
    <t>1633051643389280256</t>
  </si>
  <si>
    <t>1632694067959148544</t>
  </si>
  <si>
    <t>1631612721459281922</t>
  </si>
  <si>
    <t>1612422287067676673</t>
  </si>
  <si>
    <t>1611307512069853184</t>
  </si>
  <si>
    <t>1610955407740080130</t>
  </si>
  <si>
    <t>1610586553583112192</t>
  </si>
  <si>
    <t>1701555854162509843</t>
  </si>
  <si>
    <t>1696475819642687649</t>
  </si>
  <si>
    <t>1692129671419138170</t>
  </si>
  <si>
    <t>1684539563702640641</t>
  </si>
  <si>
    <t>1684148914126200832</t>
  </si>
  <si>
    <t>1674004378410156032</t>
  </si>
  <si>
    <t>1673613303673700352</t>
  </si>
  <si>
    <t>1663130496698654725</t>
  </si>
  <si>
    <t>1662053685554294784</t>
  </si>
  <si>
    <t>1643205845147176960</t>
  </si>
  <si>
    <t>1642846606016888835</t>
  </si>
  <si>
    <t>1641412207622733824</t>
  </si>
  <si>
    <t>1641031550178295809</t>
  </si>
  <si>
    <t>1621467205203361792</t>
  </si>
  <si>
    <t>1621105736477450242</t>
  </si>
  <si>
    <t>1620745181992718337</t>
  </si>
  <si>
    <t>1620008578680762368</t>
  </si>
  <si>
    <t>1704450193557438553</t>
  </si>
  <si>
    <t>1696837962925838524</t>
  </si>
  <si>
    <t>1692493734670131327</t>
  </si>
  <si>
    <t>1686003105530355712</t>
  </si>
  <si>
    <t>1684900627753615360</t>
  </si>
  <si>
    <t>1676181457968979968</t>
  </si>
  <si>
    <t>1675817334966026241</t>
  </si>
  <si>
    <t>1664605467866279948</t>
  </si>
  <si>
    <t>1664219976222294017</t>
  </si>
  <si>
    <t>1646825083183198208</t>
  </si>
  <si>
    <t>1646458689354625028</t>
  </si>
  <si>
    <t>1646104885589409792</t>
  </si>
  <si>
    <t>1645376325610250240</t>
  </si>
  <si>
    <t>1623632255288504320</t>
  </si>
  <si>
    <t>1623273858462633985</t>
  </si>
  <si>
    <t>1622906622212177920</t>
  </si>
  <si>
    <t>1622548767776940040</t>
  </si>
  <si>
    <t>1702634912711324101</t>
  </si>
  <si>
    <t>1697226848814436697</t>
  </si>
  <si>
    <t>1693590861186056439</t>
  </si>
  <si>
    <t>1686690154331664384</t>
  </si>
  <si>
    <t>1686339345718956032</t>
  </si>
  <si>
    <t>1677267893669490691</t>
  </si>
  <si>
    <t>1676536082534465537</t>
  </si>
  <si>
    <t>1668209159483846657</t>
  </si>
  <si>
    <t>1667166995920420868</t>
  </si>
  <si>
    <t>1653356415430561792</t>
  </si>
  <si>
    <t>1651893906550714371</t>
  </si>
  <si>
    <t>1651550873615515652</t>
  </si>
  <si>
    <t>1651179818073964548</t>
  </si>
  <si>
    <t>1629079780455768064</t>
  </si>
  <si>
    <t>1628717772820697089</t>
  </si>
  <si>
    <t>1628362655290343424</t>
  </si>
  <si>
    <t>1626539971023630338</t>
  </si>
  <si>
    <t>1610251655550746626</t>
  </si>
  <si>
    <t>1703726349997801618</t>
  </si>
  <si>
    <t>1683795012134350848</t>
  </si>
  <si>
    <t>1683430057522462720</t>
  </si>
  <si>
    <t>1674739740589936641</t>
  </si>
  <si>
    <t>1674368753650356225</t>
  </si>
  <si>
    <t>1663860023078920196</t>
  </si>
  <si>
    <t>1663495891116752897</t>
  </si>
  <si>
    <t>1643924371977695233</t>
  </si>
  <si>
    <t>1643569202437976066</t>
  </si>
  <si>
    <t>1640672067631603713</t>
  </si>
  <si>
    <t>1639221865607471105</t>
  </si>
  <si>
    <t>1638847534763331590</t>
  </si>
  <si>
    <t>1638496285962514434</t>
  </si>
  <si>
    <t>1618927599224508416</t>
  </si>
  <si>
    <t>1618560229293322241</t>
  </si>
  <si>
    <t>1618192007654178816</t>
  </si>
  <si>
    <t>1617826259970719747</t>
  </si>
  <si>
    <t>1705183905207243241</t>
  </si>
  <si>
    <t>1701196648674705711</t>
  </si>
  <si>
    <t>1696119004551618693</t>
  </si>
  <si>
    <t>1691773316485324866</t>
  </si>
  <si>
    <t>1691400324467007490</t>
  </si>
  <si>
    <t>1682346870184484865</t>
  </si>
  <si>
    <t>1681986422893420544</t>
  </si>
  <si>
    <t>1673262370020368384</t>
  </si>
  <si>
    <t>1672204194739019779</t>
  </si>
  <si>
    <t>1661679756893466624</t>
  </si>
  <si>
    <t>1661322675086655489</t>
  </si>
  <si>
    <t>1660956841134764032</t>
  </si>
  <si>
    <t>1660597607813480448</t>
  </si>
  <si>
    <t>1637762460659712001</t>
  </si>
  <si>
    <t>1637760997631959044</t>
  </si>
  <si>
    <t>1636677050843947013</t>
  </si>
  <si>
    <t>1636319201622147072</t>
  </si>
  <si>
    <t>1617479972091990018</t>
  </si>
  <si>
    <t>1616387346282446848</t>
  </si>
  <si>
    <t>1615664209723011074</t>
  </si>
  <si>
    <t>1615307615084363777</t>
  </si>
  <si>
    <t>1704086274989035861</t>
  </si>
  <si>
    <t>1283575954506383360</t>
  </si>
  <si>
    <t>1698665996976787701</t>
  </si>
  <si>
    <t>1694280718338109487</t>
  </si>
  <si>
    <t>1687449924256878592</t>
  </si>
  <si>
    <t>1687051740925861888</t>
  </si>
  <si>
    <t>1678722050494550016</t>
  </si>
  <si>
    <t>1678362997385752577</t>
  </si>
  <si>
    <t>1666745190734782464</t>
  </si>
  <si>
    <t>1666403815623409665</t>
  </si>
  <si>
    <t>1650449815979933696</t>
  </si>
  <si>
    <t>1649005702998814721</t>
  </si>
  <si>
    <t>1648279475153432579</t>
  </si>
  <si>
    <t>1647918805455077376</t>
  </si>
  <si>
    <t>1626184801374949376</t>
  </si>
  <si>
    <t>1625806767358607363</t>
  </si>
  <si>
    <t>1625442544162152448</t>
  </si>
  <si>
    <t>1623990625124188161</t>
  </si>
  <si>
    <t>1701917065370653160</t>
  </si>
  <si>
    <t>1699004032147186099</t>
  </si>
  <si>
    <t>1695014924726981010</t>
  </si>
  <si>
    <t>1691044497688268800</t>
  </si>
  <si>
    <t>1689952267774955520</t>
  </si>
  <si>
    <t>1680924352533987328</t>
  </si>
  <si>
    <t>1679820973279780864</t>
  </si>
  <si>
    <t>1671819072630079488</t>
  </si>
  <si>
    <t>1671475468141199360</t>
  </si>
  <si>
    <t>1659167178656972802</t>
  </si>
  <si>
    <t>1658791703162105859</t>
  </si>
  <si>
    <t>1658424606800093193</t>
  </si>
  <si>
    <t>1658067007080747008</t>
  </si>
  <si>
    <t>1636022411479986177</t>
  </si>
  <si>
    <t>1635594808348626945</t>
  </si>
  <si>
    <t>1634142629486112769</t>
  </si>
  <si>
    <t>1633775628674646016</t>
  </si>
  <si>
    <t>1614977902851854341</t>
  </si>
  <si>
    <t>1613856207651090435</t>
  </si>
  <si>
    <t>1613479288010948609</t>
  </si>
  <si>
    <t>1613132385729777665</t>
  </si>
  <si>
    <t>1707378910244012293</t>
  </si>
  <si>
    <t>1697556690307018959</t>
  </si>
  <si>
    <t>1693937745519948008</t>
  </si>
  <si>
    <t>1688869448587804672</t>
  </si>
  <si>
    <t>1688518524174471168</t>
  </si>
  <si>
    <t>1679451637478305795</t>
  </si>
  <si>
    <t>1679070452541534209</t>
  </si>
  <si>
    <t>1669316703178686464</t>
  </si>
  <si>
    <t>1668933031053209600</t>
  </si>
  <si>
    <t>1655529163053211648</t>
  </si>
  <si>
    <t>1654491153629167625</t>
  </si>
  <si>
    <t>1654077530607943680</t>
  </si>
  <si>
    <t>1653723006634434560</t>
  </si>
  <si>
    <t>1631266824464613377</t>
  </si>
  <si>
    <t>1630881914474094592</t>
  </si>
  <si>
    <t>1630536958584709120</t>
  </si>
  <si>
    <t>1630165359083806725</t>
  </si>
  <si>
    <t>1706252788118753487</t>
  </si>
  <si>
    <t>1699738140770988285</t>
  </si>
  <si>
    <t>1694664003681767512</t>
  </si>
  <si>
    <t>1689587061051817989</t>
  </si>
  <si>
    <t>1689228243226734592</t>
  </si>
  <si>
    <t>1681619883681824768</t>
  </si>
  <si>
    <t>1681249933767090176</t>
  </si>
  <si>
    <t>1671108981929005056</t>
  </si>
  <si>
    <t>1670751096048893955</t>
  </si>
  <si>
    <t>1656968973710229504</t>
  </si>
  <si>
    <t>1656608796796387329</t>
  </si>
  <si>
    <t>1656254425810231296</t>
  </si>
  <si>
    <t>1655890505262137344</t>
  </si>
  <si>
    <t>1633423362503344133</t>
  </si>
  <si>
    <t>1633051650226044929</t>
  </si>
  <si>
    <t>1632694074363768833</t>
  </si>
  <si>
    <t>1631612729596289025</t>
  </si>
  <si>
    <t>1612422293950550017</t>
  </si>
  <si>
    <t>1611307525651013634</t>
  </si>
  <si>
    <t>1610955414128168964</t>
  </si>
  <si>
    <t>1610586561606819840</t>
  </si>
  <si>
    <t>1701555863289266280</t>
  </si>
  <si>
    <t>1696475826030526892</t>
  </si>
  <si>
    <t>1692129676896993705</t>
  </si>
  <si>
    <t>1684539570199695360</t>
  </si>
  <si>
    <t>1684148920367083528</t>
  </si>
  <si>
    <t>1674004385427255296</t>
  </si>
  <si>
    <t>1673613311416336385</t>
  </si>
  <si>
    <t>1663130501777879043</t>
  </si>
  <si>
    <t>1662053695301861378</t>
  </si>
  <si>
    <t>1643205854542327809</t>
  </si>
  <si>
    <t>1642846614447333377</t>
  </si>
  <si>
    <t>1641412217982574592</t>
  </si>
  <si>
    <t>1641031557359050757</t>
  </si>
  <si>
    <t>1621467217589067776</t>
  </si>
  <si>
    <t>1621105746103652355</t>
  </si>
  <si>
    <t>1620745191383773184</t>
  </si>
  <si>
    <t>1620008588206014464</t>
  </si>
  <si>
    <t>1704450202420027888</t>
  </si>
  <si>
    <t>1696837975424819532</t>
  </si>
  <si>
    <t>1692493741448118453</t>
  </si>
  <si>
    <t>1686003113168084992</t>
  </si>
  <si>
    <t>1684900634506522624</t>
  </si>
  <si>
    <t>1676181465233539074</t>
  </si>
  <si>
    <t>1675817341928583168</t>
  </si>
  <si>
    <t>1664605474568675328</t>
  </si>
  <si>
    <t>1664219983834906625</t>
  </si>
  <si>
    <t>1646825092159086594</t>
  </si>
  <si>
    <t>1646458696879185921</t>
  </si>
  <si>
    <t>1646104891914428416</t>
  </si>
  <si>
    <t>1645376333457784834</t>
  </si>
  <si>
    <t>1623632260653019137</t>
  </si>
  <si>
    <t>1623273864661704704</t>
  </si>
  <si>
    <t>1622906628713459716</t>
  </si>
  <si>
    <t>1622548774127120386</t>
  </si>
  <si>
    <t>1702634921024446547</t>
  </si>
  <si>
    <t>1697226856733229087</t>
  </si>
  <si>
    <t>1693590868479836497</t>
  </si>
  <si>
    <t>1686690161927548928</t>
  </si>
  <si>
    <t>1686339353759387650</t>
  </si>
  <si>
    <t>1677267902892855296</t>
  </si>
  <si>
    <t>1676536089119432704</t>
  </si>
  <si>
    <t>1668209169520812033</t>
  </si>
  <si>
    <t>1667167005827383300</t>
  </si>
  <si>
    <t>1653356425110757377</t>
  </si>
  <si>
    <t>1651893915195260928</t>
  </si>
  <si>
    <t>1651550882616553472</t>
  </si>
  <si>
    <t>1651179825854390273</t>
  </si>
  <si>
    <t>1629079793332355073</t>
  </si>
  <si>
    <t>1628717779321749505</t>
  </si>
  <si>
    <t>1628362664639447040</t>
  </si>
  <si>
    <t>1626539978749534210</t>
  </si>
  <si>
    <t>1610251663977111554</t>
  </si>
  <si>
    <t>1703726357132214691</t>
  </si>
  <si>
    <t>1683795020686540802</t>
  </si>
  <si>
    <t>1683430064732471298</t>
  </si>
  <si>
    <t>1674739749607682050</t>
  </si>
  <si>
    <t>1674368760780562432</t>
  </si>
  <si>
    <t>1663860029580013573</t>
  </si>
  <si>
    <t>1663495899715186689</t>
  </si>
  <si>
    <t>1643924379355709443</t>
  </si>
  <si>
    <t>1643569212818878465</t>
  </si>
  <si>
    <t>1640672073646211072</t>
  </si>
  <si>
    <t>1639221872108740612</t>
  </si>
  <si>
    <t>1638847541981728768</t>
  </si>
  <si>
    <t>1638496292643958784</t>
  </si>
  <si>
    <t>1618927607386632195</t>
  </si>
  <si>
    <t>1618560238118113282</t>
  </si>
  <si>
    <t>1618192016114094081</t>
  </si>
  <si>
    <t>1617826266937454593</t>
  </si>
  <si>
    <t>1701196654337036657</t>
  </si>
  <si>
    <t>1696119012294262997</t>
  </si>
  <si>
    <t>1691773327038160922</t>
  </si>
  <si>
    <t>1691400330972405760</t>
  </si>
  <si>
    <t>1682346876530483202</t>
  </si>
  <si>
    <t>1681986429310607361</t>
  </si>
  <si>
    <t>1673262375632347136</t>
  </si>
  <si>
    <t>1672204204771889155</t>
  </si>
  <si>
    <t>1661679764598292482</t>
  </si>
  <si>
    <t>1661322684284690432</t>
  </si>
  <si>
    <t>1660956847476559875</t>
  </si>
  <si>
    <t>1660597613350060035</t>
  </si>
  <si>
    <t>1637762468440154117</t>
  </si>
  <si>
    <t>1637761005089349632</t>
  </si>
  <si>
    <t>1636677060012699648</t>
  </si>
  <si>
    <t>1636319210010705923</t>
  </si>
  <si>
    <t>1617479980052803586</t>
  </si>
  <si>
    <t>1616387358609313792</t>
  </si>
  <si>
    <t>1615664218023362560</t>
  </si>
  <si>
    <t>1615307622848004099</t>
  </si>
  <si>
    <t>1704086283318915390</t>
  </si>
  <si>
    <t/>
  </si>
  <si>
    <t>Name</t>
  </si>
  <si>
    <t>User ID</t>
  </si>
  <si>
    <t>Followers</t>
  </si>
  <si>
    <t>Followed</t>
  </si>
  <si>
    <t>Tweets</t>
  </si>
  <si>
    <t>Listed Count</t>
  </si>
  <si>
    <t>Favourites Count</t>
  </si>
  <si>
    <t>Media Count</t>
  </si>
  <si>
    <t>Verified</t>
  </si>
  <si>
    <t>Joined Twitter Date (UTC)</t>
  </si>
  <si>
    <t>Location</t>
  </si>
  <si>
    <t>Description</t>
  </si>
  <si>
    <t>URLs (Details)</t>
  </si>
  <si>
    <t>Expanded URLs (Details)</t>
  </si>
  <si>
    <t>Display URLs (Details)</t>
  </si>
  <si>
    <t>Description URLs (Details)</t>
  </si>
  <si>
    <t>Description Expanded URLs (Details)</t>
  </si>
  <si>
    <t>Description Display URLS (Details)</t>
  </si>
  <si>
    <t>Pinned Tweet ID</t>
  </si>
  <si>
    <t>URL</t>
  </si>
  <si>
    <t>Is Blue Verified</t>
  </si>
  <si>
    <t>You Are Followed By</t>
  </si>
  <si>
    <t>You Are Following</t>
  </si>
  <si>
    <t>Can DM</t>
  </si>
  <si>
    <t>Can Media Tag</t>
  </si>
  <si>
    <t>Default Profile</t>
  </si>
  <si>
    <t>Default Profile Image</t>
  </si>
  <si>
    <t>Has Custom Timelines</t>
  </si>
  <si>
    <t>Is Translator</t>
  </si>
  <si>
    <t>Profile Banner URL</t>
  </si>
  <si>
    <t>Profile Interstitial Type</t>
  </si>
  <si>
    <t>Translator Type</t>
  </si>
  <si>
    <t>Want Retweets</t>
  </si>
  <si>
    <t>Withheld</t>
  </si>
  <si>
    <t>Tweeted Search Term?</t>
  </si>
  <si>
    <t>Custom Menu Item Text</t>
  </si>
  <si>
    <t>Custom Menu Item Action</t>
  </si>
  <si>
    <t>Dois amigos, dois médicos, investindo em renda variável em busca da liberdade financeira!</t>
  </si>
  <si>
    <t>none</t>
  </si>
  <si>
    <t>Open Twitter Page for This Person</t>
  </si>
  <si>
    <t>Directed</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</si>
  <si>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name="NewWorkbookGraphDirectedness" serializeAs="String"&gt;_x000D_
        &lt;value&gt;Directed&lt;/value&gt;_x000D_
      &lt;/setting&gt;_x000D_
    &lt;/GeneralUserSettings4&gt;_x000D_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&lt;/userSettings&gt;_x000D_
&lt;/configuration&gt;</t>
  </si>
  <si>
    <t>economedicos
Bom dia investidores! Os mercados
amanhecem sem sentido único, analisando
as repercussões da quebra de dois
bancos nos EUA #Economedicos #Finanças
#Financas #FinancasPessoais #LiberdadeFinanceira
#Economia E hoje? Quem vence? Medo
ou ganância?</t>
  </si>
  <si>
    <t>GraphSource░TwitterSearch3▓GraphTerm░#economedicos▓ImportDescription░The graph represents a network of 1 Twitter user whose recent tweets contained "#economedicos", or who was replied to, mentioned, retweeted or quoted in those tweets, taken from a data set limited to a maximum of 4.000 tweets, tweeted between 01/01/2023 17:12:34 and 28/09/2023 17:12:34.  The network was obtained from Twitter on Thursday, 28 September 2023 at 19:12 UTC._x000D_
_x000D_
The tweets in the network were tweeted over the 268-day, 4-hour, 44-minute period from Tuesday, 03 January 2023 at 12:28 UTC to Thursday, 28 September 2023 at 17:12 UTC._x000D_
_x000D_
There is an edge for each "replies-to" relationship in a tweet, an edge for each "mentions" relationship in a tweet, an edge for each "retweet" relationship in a tweet, an edge for each "quote" relationship in a tweet, an edge for each "mention in retweet" relationship in a tweet, an edge for each "mention in reply-to" relationship in a tweet, an edge for each "mention in quote" relationship in a tweet, an edge for each "mention in quote reply-to" relationship in a tweet, and a self-loop edge for each tweet that is not from above.▓ImportSuggestedTitle░#economedicos Twitter NodeXL SNA Map and Report for quinta-feira, 28 setembro 2023 at 19:12 UTC▓ImportSuggestedFileNameNoExtension░2023-09-28 19-12-41 NodeXL Twitter Search #economedicos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</si>
</sst>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87">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0" fillId="0" borderId="0" xfId="0" quotePrefix="1" applyAlignment="1"/>
    <xf numFmtId="0" fontId="0" fillId="0" borderId="0" xfId="0" quotePrefix="1" applyFill="1" applyAlignment="1"/>
    <xf numFmtId="0" fontId="13" fillId="0" borderId="0" xfId="9" applyAlignment="1"/>
    <xf numFmtId="0" fontId="13" fillId="0" borderId="0" xfId="9" applyFill="1" applyAlignment="1"/>
    <xf numFmtId="14" fontId="0" fillId="0" borderId="0" xfId="0" applyNumberFormat="1" applyAlignment="1"/>
    <xf numFmtId="14" fontId="0" fillId="0" borderId="0" xfId="0" applyNumberFormat="1" applyFill="1" applyAlignment="1"/>
    <xf numFmtId="0" fontId="13" fillId="5" borderId="1" xfId="9" applyNumberFormat="1" applyFill="1" applyBorder="1" applyAlignment="1"/>
  </cellXfs>
  <cellStyles count="10">
    <cellStyle name="Hiperlink" xfId="9" builtinId="8"/>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84">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83"/>
      <tableStyleElement type="headerRow" dxfId="182"/>
    </tableStyle>
    <tableStyle name="NodeXL Table" pivot="0" count="1" xr9:uid="{00000000-0011-0000-FFFF-FFFF01000000}">
      <tableStyleElement type="headerRow" dxfId="18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2630-4B6E-B31E-5A33C17D0829}"/>
            </c:ext>
          </c:extLst>
        </c:ser>
        <c:dLbls>
          <c:showLegendKey val="0"/>
          <c:showVal val="0"/>
          <c:showCatName val="0"/>
          <c:showSerName val="0"/>
          <c:showPercent val="0"/>
          <c:showBubbleSize val="0"/>
        </c:dLbls>
        <c:gapWidth val="0"/>
        <c:axId val="1190537248"/>
        <c:axId val="1190542144"/>
      </c:barChart>
      <c:catAx>
        <c:axId val="11905372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90542144"/>
        <c:crosses val="autoZero"/>
        <c:auto val="1"/>
        <c:lblAlgn val="ctr"/>
        <c:lblOffset val="100"/>
        <c:noMultiLvlLbl val="0"/>
      </c:catAx>
      <c:valAx>
        <c:axId val="1190542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72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034A-49E5-953E-A57DB4924C31}"/>
            </c:ext>
          </c:extLst>
        </c:ser>
        <c:dLbls>
          <c:showLegendKey val="0"/>
          <c:showVal val="0"/>
          <c:showCatName val="0"/>
          <c:showSerName val="0"/>
          <c:showPercent val="0"/>
          <c:showBubbleSize val="0"/>
        </c:dLbls>
        <c:gapWidth val="0"/>
        <c:axId val="1190542688"/>
        <c:axId val="1190537792"/>
      </c:barChart>
      <c:catAx>
        <c:axId val="119054268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90537792"/>
        <c:crosses val="autoZero"/>
        <c:auto val="1"/>
        <c:lblAlgn val="ctr"/>
        <c:lblOffset val="100"/>
        <c:noMultiLvlLbl val="0"/>
      </c:catAx>
      <c:valAx>
        <c:axId val="11905377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26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42BE-4AD2-B81F-ACEDC34A51C0}"/>
            </c:ext>
          </c:extLst>
        </c:ser>
        <c:dLbls>
          <c:showLegendKey val="0"/>
          <c:showVal val="0"/>
          <c:showCatName val="0"/>
          <c:showSerName val="0"/>
          <c:showPercent val="0"/>
          <c:showBubbleSize val="0"/>
        </c:dLbls>
        <c:gapWidth val="0"/>
        <c:axId val="1190539424"/>
        <c:axId val="1190543232"/>
      </c:barChart>
      <c:catAx>
        <c:axId val="119053942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90543232"/>
        <c:crosses val="autoZero"/>
        <c:auto val="1"/>
        <c:lblAlgn val="ctr"/>
        <c:lblOffset val="100"/>
        <c:noMultiLvlLbl val="0"/>
      </c:catAx>
      <c:valAx>
        <c:axId val="11905432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1A72-489E-906D-3A16188A7336}"/>
            </c:ext>
          </c:extLst>
        </c:ser>
        <c:dLbls>
          <c:showLegendKey val="0"/>
          <c:showVal val="0"/>
          <c:showCatName val="0"/>
          <c:showSerName val="0"/>
          <c:showPercent val="0"/>
          <c:showBubbleSize val="0"/>
        </c:dLbls>
        <c:gapWidth val="0"/>
        <c:axId val="1190543776"/>
        <c:axId val="1190548128"/>
      </c:barChart>
      <c:catAx>
        <c:axId val="119054377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90548128"/>
        <c:crosses val="autoZero"/>
        <c:auto val="1"/>
        <c:lblAlgn val="ctr"/>
        <c:lblOffset val="100"/>
        <c:noMultiLvlLbl val="0"/>
      </c:catAx>
      <c:valAx>
        <c:axId val="1190548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37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Metrics'!$M$2:$M$41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D5FD-452E-9CCA-6566857348FE}"/>
            </c:ext>
          </c:extLst>
        </c:ser>
        <c:dLbls>
          <c:showLegendKey val="0"/>
          <c:showVal val="0"/>
          <c:showCatName val="0"/>
          <c:showSerName val="0"/>
          <c:showPercent val="0"/>
          <c:showBubbleSize val="0"/>
        </c:dLbls>
        <c:gapWidth val="0"/>
        <c:axId val="1190536704"/>
        <c:axId val="1190549760"/>
      </c:barChart>
      <c:catAx>
        <c:axId val="119053670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90549760"/>
        <c:crosses val="autoZero"/>
        <c:auto val="1"/>
        <c:lblAlgn val="ctr"/>
        <c:lblOffset val="100"/>
        <c:noMultiLvlLbl val="0"/>
      </c:catAx>
      <c:valAx>
        <c:axId val="11905497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6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9317-403A-AA19-000ACED8ABAD}"/>
            </c:ext>
          </c:extLst>
        </c:ser>
        <c:dLbls>
          <c:showLegendKey val="0"/>
          <c:showVal val="0"/>
          <c:showCatName val="0"/>
          <c:showSerName val="0"/>
          <c:showPercent val="0"/>
          <c:showBubbleSize val="0"/>
        </c:dLbls>
        <c:gapWidth val="0"/>
        <c:axId val="1190544320"/>
        <c:axId val="1190548672"/>
      </c:barChart>
      <c:catAx>
        <c:axId val="119054432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90548672"/>
        <c:crosses val="autoZero"/>
        <c:auto val="1"/>
        <c:lblAlgn val="ctr"/>
        <c:lblOffset val="100"/>
        <c:noMultiLvlLbl val="0"/>
      </c:catAx>
      <c:valAx>
        <c:axId val="1190548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4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616D-4DD1-A502-6D3AAC7C1043}"/>
            </c:ext>
          </c:extLst>
        </c:ser>
        <c:dLbls>
          <c:showLegendKey val="0"/>
          <c:showVal val="0"/>
          <c:showCatName val="0"/>
          <c:showSerName val="0"/>
          <c:showPercent val="0"/>
          <c:showBubbleSize val="0"/>
        </c:dLbls>
        <c:gapWidth val="0"/>
        <c:axId val="1190545408"/>
        <c:axId val="1190545952"/>
      </c:barChart>
      <c:catAx>
        <c:axId val="119054540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90545952"/>
        <c:crosses val="autoZero"/>
        <c:auto val="1"/>
        <c:lblAlgn val="ctr"/>
        <c:lblOffset val="100"/>
        <c:noMultiLvlLbl val="0"/>
      </c:catAx>
      <c:valAx>
        <c:axId val="1190545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5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EEB8-4346-9E96-0BD0F2FBBFC2}"/>
            </c:ext>
          </c:extLst>
        </c:ser>
        <c:dLbls>
          <c:showLegendKey val="0"/>
          <c:showVal val="0"/>
          <c:showCatName val="0"/>
          <c:showSerName val="0"/>
          <c:showPercent val="0"/>
          <c:showBubbleSize val="0"/>
        </c:dLbls>
        <c:gapWidth val="0"/>
        <c:axId val="1190546496"/>
        <c:axId val="1190547040"/>
      </c:barChart>
      <c:catAx>
        <c:axId val="119054649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90547040"/>
        <c:crosses val="autoZero"/>
        <c:auto val="1"/>
        <c:lblAlgn val="ctr"/>
        <c:lblOffset val="100"/>
        <c:noMultiLvlLbl val="0"/>
      </c:catAx>
      <c:valAx>
        <c:axId val="119054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1DF5-4401-A179-FA4DEFAE445B}"/>
            </c:ext>
          </c:extLst>
        </c:ser>
        <c:dLbls>
          <c:showLegendKey val="0"/>
          <c:showVal val="0"/>
          <c:showCatName val="0"/>
          <c:showSerName val="0"/>
          <c:showPercent val="0"/>
          <c:showBubbleSize val="0"/>
        </c:dLbls>
        <c:gapWidth val="0"/>
        <c:axId val="1190549216"/>
        <c:axId val="1190550304"/>
      </c:barChart>
      <c:catAx>
        <c:axId val="1190549216"/>
        <c:scaling>
          <c:orientation val="minMax"/>
        </c:scaling>
        <c:delete val="1"/>
        <c:axPos val="b"/>
        <c:numFmt formatCode="#,##0.00" sourceLinked="1"/>
        <c:majorTickMark val="out"/>
        <c:minorTickMark val="none"/>
        <c:tickLblPos val="none"/>
        <c:crossAx val="1190550304"/>
        <c:crosses val="autoZero"/>
        <c:auto val="1"/>
        <c:lblAlgn val="ctr"/>
        <c:lblOffset val="100"/>
        <c:noMultiLvlLbl val="0"/>
      </c:catAx>
      <c:valAx>
        <c:axId val="1190550304"/>
        <c:scaling>
          <c:orientation val="minMax"/>
        </c:scaling>
        <c:delete val="1"/>
        <c:axPos val="l"/>
        <c:numFmt formatCode="General" sourceLinked="1"/>
        <c:majorTickMark val="out"/>
        <c:minorTickMark val="none"/>
        <c:tickLblPos val="none"/>
        <c:crossAx val="119054921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65</xdr:row>
      <xdr:rowOff>38100</xdr:rowOff>
    </xdr:from>
    <xdr:to>
      <xdr:col>1</xdr:col>
      <xdr:colOff>918209</xdr:colOff>
      <xdr:row>72</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79</xdr:row>
      <xdr:rowOff>38100</xdr:rowOff>
    </xdr:from>
    <xdr:to>
      <xdr:col>1</xdr:col>
      <xdr:colOff>918209</xdr:colOff>
      <xdr:row>86</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93</xdr:row>
      <xdr:rowOff>28575</xdr:rowOff>
    </xdr:from>
    <xdr:to>
      <xdr:col>1</xdr:col>
      <xdr:colOff>918209</xdr:colOff>
      <xdr:row>100</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107</xdr:row>
      <xdr:rowOff>9525</xdr:rowOff>
    </xdr:from>
    <xdr:to>
      <xdr:col>1</xdr:col>
      <xdr:colOff>918210</xdr:colOff>
      <xdr:row>114</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121</xdr:row>
      <xdr:rowOff>19050</xdr:rowOff>
    </xdr:from>
    <xdr:to>
      <xdr:col>2</xdr:col>
      <xdr:colOff>0</xdr:colOff>
      <xdr:row>128</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135</xdr:row>
      <xdr:rowOff>19050</xdr:rowOff>
    </xdr:from>
    <xdr:to>
      <xdr:col>1</xdr:col>
      <xdr:colOff>918210</xdr:colOff>
      <xdr:row>142</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163</xdr:row>
      <xdr:rowOff>9525</xdr:rowOff>
    </xdr:from>
    <xdr:to>
      <xdr:col>1</xdr:col>
      <xdr:colOff>918210</xdr:colOff>
      <xdr:row>170</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149</xdr:row>
      <xdr:rowOff>0</xdr:rowOff>
    </xdr:from>
    <xdr:to>
      <xdr:col>1</xdr:col>
      <xdr:colOff>918210</xdr:colOff>
      <xdr:row>156</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BI168" totalsRowShown="0" headerRowDxfId="180" dataDxfId="119">
  <autoFilter ref="A2:BI168" xr:uid="{00000000-0009-0000-0100-000001000000}"/>
  <tableColumns count="61">
    <tableColumn id="1" xr3:uid="{00000000-0010-0000-0000-000001000000}" name="Vertex 1" dataDxfId="95" dataCellStyle="NodeXL Required"/>
    <tableColumn id="2" xr3:uid="{00000000-0010-0000-0000-000002000000}" name="Vertex 2" dataDxfId="93" dataCellStyle="NodeXL Required"/>
    <tableColumn id="3" xr3:uid="{00000000-0010-0000-0000-000003000000}" name="Color" dataDxfId="94" dataCellStyle="NodeXL Visual Property"/>
    <tableColumn id="4" xr3:uid="{00000000-0010-0000-0000-000004000000}" name="Width" dataDxfId="129" dataCellStyle="NodeXL Visual Property"/>
    <tableColumn id="11" xr3:uid="{00000000-0010-0000-0000-00000B000000}" name="Style" dataDxfId="128" dataCellStyle="NodeXL Visual Property"/>
    <tableColumn id="5" xr3:uid="{00000000-0010-0000-0000-000005000000}" name="Opacity" dataDxfId="127" dataCellStyle="NodeXL Visual Property"/>
    <tableColumn id="6" xr3:uid="{00000000-0010-0000-0000-000006000000}" name="Visibility" dataDxfId="126" dataCellStyle="NodeXL Visual Property"/>
    <tableColumn id="10" xr3:uid="{00000000-0010-0000-0000-00000A000000}" name="Label" dataDxfId="125" dataCellStyle="NodeXL Label"/>
    <tableColumn id="12" xr3:uid="{00000000-0010-0000-0000-00000C000000}" name="Label Text Color" dataDxfId="124" dataCellStyle="NodeXL Label"/>
    <tableColumn id="13" xr3:uid="{00000000-0010-0000-0000-00000D000000}" name="Label Font Size" dataDxfId="123" dataCellStyle="NodeXL Label"/>
    <tableColumn id="14" xr3:uid="{00000000-0010-0000-0000-00000E000000}" name="Reciprocated?" dataDxfId="122" dataCellStyle="NodeXL Graph Metric"/>
    <tableColumn id="7" xr3:uid="{00000000-0010-0000-0000-000007000000}" name="ID" dataDxfId="121" dataCellStyle="NodeXL Do Not Edit"/>
    <tableColumn id="9" xr3:uid="{00000000-0010-0000-0000-000009000000}" name="Dynamic Filter" dataDxfId="120" dataCellStyle="NodeXL Do Not Edit"/>
    <tableColumn id="8" xr3:uid="{00000000-0010-0000-0000-000008000000}" name="Add Your Own Columns Here" dataDxfId="92" dataCellStyle="NodeXL Other Column"/>
    <tableColumn id="15" xr3:uid="{B98A2739-805E-447B-8555-AEC0CC321571}" name="Relationship" dataDxfId="91" dataCellStyle="Normal"/>
    <tableColumn id="16" xr3:uid="{6A3B18BA-6B28-4013-9EF1-831DD48A7D8A}" name="Relationship Date (UTC)" dataDxfId="90" dataCellStyle="Normal"/>
    <tableColumn id="17" xr3:uid="{46A91910-FB45-40A8-9882-564A01050651}" name="Tweet" dataDxfId="89" dataCellStyle="Normal"/>
    <tableColumn id="18" xr3:uid="{FFD280A0-6277-4BDC-B9B1-649DA24F2BBE}" name="Retweet Count" dataDxfId="88" dataCellStyle="Normal"/>
    <tableColumn id="19" xr3:uid="{18312393-5043-464E-8150-C14D5B4E9AD8}" name="Favorite Count" dataDxfId="87" dataCellStyle="Normal"/>
    <tableColumn id="20" xr3:uid="{CD78B981-DCAB-4867-9192-CB69AD383CF2}" name="Reply Count" dataDxfId="86" dataCellStyle="Normal"/>
    <tableColumn id="21" xr3:uid="{11623A77-EF66-4F00-8C7C-DDAD78C79178}" name="Quote Count" dataDxfId="85" dataCellStyle="Normal"/>
    <tableColumn id="22" xr3:uid="{6D76A51C-5CF8-40B4-9100-1C350CA69B81}" name="Impression Count" dataDxfId="84" dataCellStyle="Normal"/>
    <tableColumn id="23" xr3:uid="{EF2E0479-F88A-4BA1-9EE0-B7FDA8C998C8}" name="Hashtags in Tweet" dataDxfId="83" dataCellStyle="Normal"/>
    <tableColumn id="24" xr3:uid="{AE31B698-921F-4EB1-BA18-5BE39005D68B}" name="URLs in Tweet" dataDxfId="82" dataCellStyle="Normal"/>
    <tableColumn id="25" xr3:uid="{E83B90AB-46F0-4EC4-9C53-A73A507B51E9}" name="Domains in Tweet" dataDxfId="81" dataCellStyle="Normal"/>
    <tableColumn id="26" xr3:uid="{AC60D106-955C-4377-9F9E-AEEE60136BBD}" name="Mentions in Tweet" dataDxfId="80" dataCellStyle="Normal"/>
    <tableColumn id="27" xr3:uid="{0606CA07-43AC-4A74-9E4C-0DF496D088B5}" name="Media in Tweet" dataDxfId="79" dataCellStyle="Normal"/>
    <tableColumn id="28" xr3:uid="{DFE648ED-41A7-46CD-8913-A6A597D36B7D}" name="Media Type" dataDxfId="78" dataCellStyle="Normal"/>
    <tableColumn id="29" xr3:uid="{E1EA5845-FB6C-4523-8F2D-20516F441EF4}" name="Source" dataDxfId="77" dataCellStyle="Normal"/>
    <tableColumn id="30" xr3:uid="{52AC3633-48D0-447C-8AD3-C3EC7BB05AE1}" name="Language" dataDxfId="76" dataCellStyle="Normal"/>
    <tableColumn id="31" xr3:uid="{47139653-ECC8-4D62-A094-0D1C10825AF6}" name="Twitter Page for Tweet" dataDxfId="75" dataCellStyle="Normal"/>
    <tableColumn id="32" xr3:uid="{088DC228-0E0E-40B0-B39A-28A45703615F}" name="Tweet Date (UTC)" dataDxfId="74" dataCellStyle="Normal"/>
    <tableColumn id="33" xr3:uid="{C263EB6E-CED8-4D73-9FC7-737E99A11A30}" name="Date" dataDxfId="73" dataCellStyle="Normal"/>
    <tableColumn id="34" xr3:uid="{3576C224-E57C-4796-AD56-98A05D1B0791}" name="Time" dataDxfId="72" dataCellStyle="Normal"/>
    <tableColumn id="35" xr3:uid="{ECA56185-6A48-43A9-AF7A-74E1479D5003}" name="Possibly Sensitive" dataDxfId="71" dataCellStyle="Normal"/>
    <tableColumn id="36" xr3:uid="{F87F2D84-844B-4FC9-9766-7E5AD2C3E3F4}" name="Place Bounding Box" dataDxfId="70" dataCellStyle="Normal"/>
    <tableColumn id="37" xr3:uid="{A0DE3B5A-54E0-4BAD-BCBA-336FA2230E19}" name="Place Country" dataDxfId="69" dataCellStyle="Normal"/>
    <tableColumn id="38" xr3:uid="{DC090D9B-B7C2-4218-973E-6E4671E0CBD8}" name="Place Country Code" dataDxfId="68" dataCellStyle="Normal"/>
    <tableColumn id="39" xr3:uid="{AB29EFC2-2DB9-4A4A-810A-F1E599804CC1}" name="Place Full Name" dataDxfId="67" dataCellStyle="Normal"/>
    <tableColumn id="40" xr3:uid="{FFDFBF17-104B-4CA7-A44A-0648142EE67C}" name="Place ID" dataDxfId="66" dataCellStyle="Normal"/>
    <tableColumn id="41" xr3:uid="{CE6A5A63-4605-44CD-BADF-E087196C9A35}" name="Place Name" dataDxfId="65" dataCellStyle="Normal"/>
    <tableColumn id="42" xr3:uid="{E650E059-5FB5-407D-A25D-2CCA7A1FC7E7}" name="Place Type" dataDxfId="64" dataCellStyle="Normal"/>
    <tableColumn id="43" xr3:uid="{620A8029-CD25-47A2-9640-94117B7AE872}" name="Media Key" dataDxfId="63" dataCellStyle="Normal"/>
    <tableColumn id="44" xr3:uid="{C52A82F5-CFBD-4480-9841-1AF3AA3747DE}" name="Media Duration (ms)" dataDxfId="62" dataCellStyle="Normal"/>
    <tableColumn id="45" xr3:uid="{FBC66EB1-F208-48DD-8B21-B49048335709}" name="Media Height" dataDxfId="61" dataCellStyle="Normal"/>
    <tableColumn id="46" xr3:uid="{32E54336-0A7B-467A-8834-BDD494001F0C}" name="Media Width" dataDxfId="60" dataCellStyle="Normal"/>
    <tableColumn id="47" xr3:uid="{AF1B61A1-7B27-40D1-B649-8F86B4C65F28}" name="Media View Count" dataDxfId="59" dataCellStyle="Normal"/>
    <tableColumn id="48" xr3:uid="{333AE1FA-4527-4380-B23A-DFCCA6BC9E16}" name="Tweet Image File" dataDxfId="58" dataCellStyle="Normal"/>
    <tableColumn id="49" xr3:uid="{1B105240-4C63-4348-B723-19E5651B349C}" name="Imported ID" dataDxfId="57" dataCellStyle="Normal"/>
    <tableColumn id="50" xr3:uid="{BBB80ABA-C51F-4B98-A333-63299A28B74C}" name="Conversation ID" dataDxfId="56" dataCellStyle="Normal"/>
    <tableColumn id="51" xr3:uid="{D7FEE96C-0730-4D54-BEA1-15587994EE77}" name="In Reply To User ID" dataDxfId="55" dataCellStyle="Normal"/>
    <tableColumn id="52" xr3:uid="{F6910FB5-2384-4A26-96EB-420A9E14FD62}" name="In Reply To Tweet ID" dataDxfId="54" dataCellStyle="Normal"/>
    <tableColumn id="53" xr3:uid="{72E3AE5B-B0DE-4273-B62F-CC102E642278}" name="Quoted Status ID" dataDxfId="53" dataCellStyle="Normal"/>
    <tableColumn id="54" xr3:uid="{F3D4324A-C26E-416F-8B35-E4308E46450D}" name="Retweet ID" dataDxfId="52" dataCellStyle="Normal"/>
    <tableColumn id="55" xr3:uid="{A47AFC28-ED80-4A53-84F8-FDC6AC0B5ECF}" name="Unified Twitter ID" dataDxfId="51" dataCellStyle="Normal"/>
    <tableColumn id="56" xr3:uid="{9E6CC9CB-B627-44DF-92F9-5B6E1B27443C}" name="Author ID" dataDxfId="50" dataCellStyle="Normal"/>
    <tableColumn id="57" xr3:uid="{6BFA7249-FE95-4661-9B30-EF0BED7677A5}" name="Poll ID" dataDxfId="49" dataCellStyle="Normal"/>
    <tableColumn id="58" xr3:uid="{D3C75C5A-4586-4DD7-95AB-D4C09CAF7B85}" name="Poll Options" dataDxfId="48" dataCellStyle="Normal"/>
    <tableColumn id="59" xr3:uid="{27ED5C56-6708-4075-8059-A454D8278EF2}" name="Poll Duration" dataDxfId="47" dataCellStyle="Normal"/>
    <tableColumn id="60" xr3:uid="{EC4FD1D2-EB18-4B40-9415-B551A277D017}" name="Poll End Date" dataDxfId="46" dataCellStyle="Normal"/>
    <tableColumn id="61" xr3:uid="{62C6F5BE-4DDE-458F-81AF-C74CE74A661D}" name="Poll Voting Status" dataDxfId="45" dataCellStyle="Normal"/>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130">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BO3" totalsRowShown="0" headerRowDxfId="179" dataDxfId="96">
  <autoFilter ref="A2:BO3" xr:uid="{00000000-0009-0000-0100-000002000000}"/>
  <tableColumns count="67">
    <tableColumn id="1" xr3:uid="{00000000-0010-0000-0100-000001000000}" name="Vertex" dataDxfId="118" dataCellStyle="NodeXL Required"/>
    <tableColumn id="2" xr3:uid="{00000000-0010-0000-0100-000002000000}" name="Color" dataDxfId="117" dataCellStyle="NodeXL Visual Property"/>
    <tableColumn id="5" xr3:uid="{00000000-0010-0000-0100-000005000000}" name="Shape" dataDxfId="116" dataCellStyle="NodeXL Visual Property"/>
    <tableColumn id="6" xr3:uid="{00000000-0010-0000-0100-000006000000}" name="Size" dataDxfId="115" dataCellStyle="NodeXL Visual Property"/>
    <tableColumn id="4" xr3:uid="{00000000-0010-0000-0100-000004000000}" name="Opacity" dataDxfId="8" dataCellStyle="NodeXL Visual Property"/>
    <tableColumn id="7" xr3:uid="{00000000-0010-0000-0100-000007000000}" name="Image File" dataDxfId="6" dataCellStyle="NodeXL Visual Property">
      <calculatedColumnFormula>HYPERLINK("https://pbs.twimg.com/profile_images/1283576393662636034/EjgsMA_W_normal.jpg")</calculatedColumnFormula>
    </tableColumn>
    <tableColumn id="3" xr3:uid="{00000000-0010-0000-0100-000003000000}" name="Visibility" dataDxfId="7" dataCellStyle="NodeXL Visual Property"/>
    <tableColumn id="10" xr3:uid="{00000000-0010-0000-0100-00000A000000}" name="Label" dataDxfId="114" dataCellStyle="NodeXL Label"/>
    <tableColumn id="16" xr3:uid="{00000000-0010-0000-0100-000010000000}" name="Label Fill Color" dataDxfId="113" dataCellStyle="NodeXL Label"/>
    <tableColumn id="9" xr3:uid="{00000000-0010-0000-0100-000009000000}" name="Label Position" dataDxfId="2" dataCellStyle="NodeXL Label"/>
    <tableColumn id="8" xr3:uid="{00000000-0010-0000-0100-000008000000}" name="Tooltip" dataDxfId="0" dataCellStyle="NodeXL Label"/>
    <tableColumn id="18" xr3:uid="{00000000-0010-0000-0100-000012000000}" name="Layout Order" dataDxfId="1" dataCellStyle="NodeXL Layout"/>
    <tableColumn id="13" xr3:uid="{00000000-0010-0000-0100-00000D000000}" name="X" dataDxfId="112" dataCellStyle="NodeXL Layout"/>
    <tableColumn id="14" xr3:uid="{00000000-0010-0000-0100-00000E000000}" name="Y" dataDxfId="111" dataCellStyle="NodeXL Layout"/>
    <tableColumn id="12" xr3:uid="{00000000-0010-0000-0100-00000C000000}" name="Locked?" dataDxfId="110" dataCellStyle="NodeXL Layout"/>
    <tableColumn id="19" xr3:uid="{00000000-0010-0000-0100-000013000000}" name="Polar R" dataDxfId="109" dataCellStyle="NodeXL Layout"/>
    <tableColumn id="20" xr3:uid="{00000000-0010-0000-0100-000014000000}" name="Polar Angle" dataDxfId="108" dataCellStyle="NodeXL Layout"/>
    <tableColumn id="21" xr3:uid="{00000000-0010-0000-0100-000015000000}" name="Degree" dataDxfId="107" dataCellStyle="NodeXL Graph Metric"/>
    <tableColumn id="22" xr3:uid="{00000000-0010-0000-0100-000016000000}" name="In-Degree" dataDxfId="106" dataCellStyle="NodeXL Graph Metric"/>
    <tableColumn id="23" xr3:uid="{00000000-0010-0000-0100-000017000000}" name="Out-Degree" dataDxfId="105" dataCellStyle="NodeXL Graph Metric"/>
    <tableColumn id="24" xr3:uid="{00000000-0010-0000-0100-000018000000}" name="Betweenness Centrality" dataDxfId="104" dataCellStyle="NodeXL Graph Metric"/>
    <tableColumn id="25" xr3:uid="{00000000-0010-0000-0100-000019000000}" name="Closeness Centrality" dataDxfId="103" dataCellStyle="NodeXL Graph Metric"/>
    <tableColumn id="26" xr3:uid="{00000000-0010-0000-0100-00001A000000}" name="Eigenvector Centrality" dataDxfId="102" dataCellStyle="NodeXL Graph Metric"/>
    <tableColumn id="15" xr3:uid="{00000000-0010-0000-0100-00000F000000}" name="PageRank" dataDxfId="101" dataCellStyle="NodeXL Graph Metric"/>
    <tableColumn id="27" xr3:uid="{00000000-0010-0000-0100-00001B000000}" name="Clustering Coefficient" dataDxfId="100" dataCellStyle="NodeXL Graph Metric"/>
    <tableColumn id="29" xr3:uid="{00000000-0010-0000-0100-00001D000000}" name="Reciprocated Vertex Pair Ratio" dataDxfId="99" dataCellStyle="NodeXL Graph Metric"/>
    <tableColumn id="11" xr3:uid="{00000000-0010-0000-0100-00000B000000}" name="ID" dataDxfId="98" dataCellStyle="NodeXL Do Not Edit"/>
    <tableColumn id="28" xr3:uid="{00000000-0010-0000-0100-00001C000000}" name="Dynamic Filter" dataDxfId="97" dataCellStyle="NodeXL Do Not Edit"/>
    <tableColumn id="17" xr3:uid="{00000000-0010-0000-0100-000011000000}" name="Add Your Own Columns Here" dataDxfId="44" dataCellStyle="NodeXL Other Column"/>
    <tableColumn id="30" xr3:uid="{61158851-D22A-4C04-8EB1-FA6868E44B56}" name="Name" dataDxfId="43" dataCellStyle="Normal"/>
    <tableColumn id="31" xr3:uid="{6FC605CB-CFF2-4BDB-99E9-E312FCA88271}" name="User ID" dataDxfId="42" dataCellStyle="Normal"/>
    <tableColumn id="32" xr3:uid="{61038BDC-168D-4D79-81AE-B437024CB81A}" name="Followers" dataDxfId="41" dataCellStyle="Normal"/>
    <tableColumn id="33" xr3:uid="{36C4211B-03F5-478E-8A4A-26C8D91FA334}" name="Followed" dataDxfId="40" dataCellStyle="Normal"/>
    <tableColumn id="34" xr3:uid="{F2F20FA3-514C-4ED5-9B29-0B602F18845E}" name="Tweets" dataDxfId="39" dataCellStyle="Normal"/>
    <tableColumn id="35" xr3:uid="{A26B88C8-8671-4E08-AC35-8639F5D30DA8}" name="Listed Count" dataDxfId="38" dataCellStyle="Normal"/>
    <tableColumn id="36" xr3:uid="{A8630BF0-AD9B-4067-9CC2-D93F24318746}" name="Favourites Count" dataDxfId="37" dataCellStyle="Normal"/>
    <tableColumn id="37" xr3:uid="{7194E876-A034-4668-A55B-FE3DD6E4F7A2}" name="Media Count" dataDxfId="36" dataCellStyle="Normal"/>
    <tableColumn id="38" xr3:uid="{3B51D3F2-BF8D-4532-A3F2-CB5EE569E020}" name="Verified" dataDxfId="35" dataCellStyle="Normal"/>
    <tableColumn id="39" xr3:uid="{613729E9-349D-44A4-8BEE-8D8FC9739BFA}" name="Joined Twitter Date (UTC)" dataDxfId="34" dataCellStyle="Normal"/>
    <tableColumn id="40" xr3:uid="{8444DADF-E866-44B4-A572-DF6C54FC6566}" name="Location" dataDxfId="33" dataCellStyle="Normal"/>
    <tableColumn id="41" xr3:uid="{28D3B80E-B2C8-4733-8E03-4BE58500AAFC}" name="Description" dataDxfId="32" dataCellStyle="Normal"/>
    <tableColumn id="42" xr3:uid="{100F306A-1E7B-4192-ADEF-819B9DA0F28C}" name="URLs (Details)" dataDxfId="31" dataCellStyle="Normal"/>
    <tableColumn id="43" xr3:uid="{15D413D9-66B8-4B92-B3A9-F031B34A4343}" name="Expanded URLs (Details)" dataDxfId="30" dataCellStyle="Normal"/>
    <tableColumn id="44" xr3:uid="{8B8D2827-B268-4A03-A2D3-E4A0A8C3E0D4}" name="Display URLs (Details)" dataDxfId="29" dataCellStyle="Normal"/>
    <tableColumn id="45" xr3:uid="{75796B9E-CF9F-451E-9AA9-8A9434D72B1D}" name="Description URLs (Details)" dataDxfId="28" dataCellStyle="Normal"/>
    <tableColumn id="46" xr3:uid="{9F5AE68B-894F-45A9-9B7B-30F909AEF2AF}" name="Description Expanded URLs (Details)" dataDxfId="27" dataCellStyle="Normal"/>
    <tableColumn id="47" xr3:uid="{42C4E3A9-995D-4A6B-B601-BD9185B0887E}" name="Description Display URLS (Details)" dataDxfId="26" dataCellStyle="Normal"/>
    <tableColumn id="48" xr3:uid="{6A19710A-019F-4AC5-B570-2AE2EBCD41E3}" name="Pinned Tweet ID" dataDxfId="25" dataCellStyle="Normal"/>
    <tableColumn id="49" xr3:uid="{12012F8E-BD93-469E-8DA7-78E870A0E964}" name="URL" dataDxfId="24" dataCellStyle="Normal"/>
    <tableColumn id="50" xr3:uid="{E2AE8A43-3A89-47EB-9351-60A7C0097128}" name="Is Blue Verified" dataDxfId="23" dataCellStyle="Normal"/>
    <tableColumn id="51" xr3:uid="{BE1001E9-707E-4CF9-8699-0AD33AE0084C}" name="You Are Followed By" dataDxfId="22" dataCellStyle="Normal"/>
    <tableColumn id="52" xr3:uid="{EC446366-2C8D-49F5-B1A6-6F6A990E0B8E}" name="You Are Following" dataDxfId="21" dataCellStyle="Normal"/>
    <tableColumn id="53" xr3:uid="{F7EA047A-3253-466E-A1B7-91B6E2566D6E}" name="Can DM" dataDxfId="20" dataCellStyle="Normal"/>
    <tableColumn id="54" xr3:uid="{A782C820-4F93-46EE-AA20-04F1400E2678}" name="Can Media Tag" dataDxfId="19" dataCellStyle="Normal"/>
    <tableColumn id="55" xr3:uid="{EA482B4A-02D9-40D3-A858-F748DB239F4A}" name="Default Profile" dataDxfId="18" dataCellStyle="Normal"/>
    <tableColumn id="56" xr3:uid="{D81D9572-2B06-4F27-A6F9-F59594B22425}" name="Default Profile Image" dataDxfId="17" dataCellStyle="Normal"/>
    <tableColumn id="57" xr3:uid="{75EA8441-2520-4405-9671-154FD47861A5}" name="Has Custom Timelines" dataDxfId="16" dataCellStyle="Normal"/>
    <tableColumn id="58" xr3:uid="{6B0554EF-307E-4C74-8EFA-BB58D2087426}" name="Is Translator" dataDxfId="15" dataCellStyle="Normal"/>
    <tableColumn id="59" xr3:uid="{B4EB9DAB-4589-4A3F-BDFF-8E6FA7209073}" name="Possibly Sensitive" dataDxfId="14" dataCellStyle="Normal"/>
    <tableColumn id="60" xr3:uid="{FF37B604-6F9F-42DF-9570-027334251E0E}" name="Profile Banner URL" dataDxfId="13" dataCellStyle="Normal"/>
    <tableColumn id="61" xr3:uid="{8C325B5C-922B-46E0-B7B4-D8E139F45C77}" name="Profile Interstitial Type" dataDxfId="12" dataCellStyle="Normal"/>
    <tableColumn id="62" xr3:uid="{AE7D3EC1-58EA-47E2-B93A-A6BB081DCB3B}" name="Translator Type" dataDxfId="11" dataCellStyle="Normal"/>
    <tableColumn id="63" xr3:uid="{8D898ED7-365C-430B-8B59-1A7409A50B05}" name="Want Retweets" dataDxfId="10" dataCellStyle="Normal"/>
    <tableColumn id="64" xr3:uid="{5B63CE99-865F-49DB-8307-21B23AD471B4}" name="Withheld" dataDxfId="9" dataCellStyle="Normal"/>
    <tableColumn id="65" xr3:uid="{20EA1E15-99E4-4A59-B178-7B5CD2DC9003}" name="Tweeted Search Term?" dataDxfId="5" dataCellStyle="Normal"/>
    <tableColumn id="66" xr3:uid="{D29592C5-B96E-4885-BFB2-7D976245DD2A}" name="Custom Menu Item Text" dataDxfId="4" dataCellStyle="Normal"/>
    <tableColumn id="67" xr3:uid="{176214DA-A52C-4AE6-B3ED-A7D4285BCC1E}" name="Custom Menu Item Action" dataDxfId="3" dataCellStyle="Normal">
      <calculatedColumnFormula>HYPERLINK("https://twitter.com/economedicos")</calculatedColumnFormula>
    </table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178">
  <autoFilter ref="A2:X3" xr:uid="{00000000-0009-0000-0100-000004000000}"/>
  <tableColumns count="24">
    <tableColumn id="1" xr3:uid="{00000000-0010-0000-0200-000001000000}" name="Group" dataDxfId="177" dataCellStyle="NodeXL Required"/>
    <tableColumn id="2" xr3:uid="{00000000-0010-0000-0200-000002000000}" name="Vertex Color" dataDxfId="176" dataCellStyle="NodeXL Visual Property"/>
    <tableColumn id="3" xr3:uid="{00000000-0010-0000-0200-000003000000}" name="Vertex Shape" dataDxfId="175" dataCellStyle="NodeXL Visual Property"/>
    <tableColumn id="22" xr3:uid="{00000000-0010-0000-0200-000016000000}" name="Visibility" dataDxfId="174" dataCellStyle="NodeXL Visual Property"/>
    <tableColumn id="4" xr3:uid="{00000000-0010-0000-0200-000004000000}" name="Collapsed?" dataCellStyle="NodeXL Visual Property"/>
    <tableColumn id="18" xr3:uid="{00000000-0010-0000-0200-000012000000}" name="Label" dataDxfId="17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172" dataCellStyle="NodeXL Do Not Edit"/>
    <tableColumn id="19" xr3:uid="{00000000-0010-0000-0200-000013000000}" name="Collapsed Properties" dataDxfId="171" dataCellStyle="NodeXL Do Not Edit"/>
    <tableColumn id="5" xr3:uid="{00000000-0010-0000-0200-000005000000}" name="Vertices" dataDxfId="170" dataCellStyle="NodeXL Graph Metric"/>
    <tableColumn id="7" xr3:uid="{00000000-0010-0000-0200-000007000000}" name="Unique Edges" dataDxfId="169" dataCellStyle="NodeXL Graph Metric"/>
    <tableColumn id="8" xr3:uid="{00000000-0010-0000-0200-000008000000}" name="Edges With Duplicates" dataDxfId="168" dataCellStyle="NodeXL Graph Metric"/>
    <tableColumn id="9" xr3:uid="{00000000-0010-0000-0200-000009000000}" name="Total Edges" dataDxfId="167" dataCellStyle="NodeXL Graph Metric"/>
    <tableColumn id="10" xr3:uid="{00000000-0010-0000-0200-00000A000000}" name="Self-Loops" dataDxfId="166" dataCellStyle="NodeXL Graph Metric"/>
    <tableColumn id="24" xr3:uid="{00000000-0010-0000-0200-000018000000}" name="Reciprocated Vertex Pair Ratio" dataDxfId="165" dataCellStyle="NodeXL Graph Metric"/>
    <tableColumn id="25" xr3:uid="{00000000-0010-0000-0200-000019000000}" name="Reciprocated Edge Ratio" dataDxfId="164" dataCellStyle="NodeXL Graph Metric"/>
    <tableColumn id="11" xr3:uid="{00000000-0010-0000-0200-00000B000000}" name="Connected Components" dataDxfId="163" dataCellStyle="NodeXL Graph Metric"/>
    <tableColumn id="12" xr3:uid="{00000000-0010-0000-0200-00000C000000}" name="Single-Vertex Connected Components" dataDxfId="162" dataCellStyle="NodeXL Graph Metric"/>
    <tableColumn id="13" xr3:uid="{00000000-0010-0000-0200-00000D000000}" name="Maximum Vertices in a Connected Component" dataDxfId="161" dataCellStyle="NodeXL Graph Metric"/>
    <tableColumn id="14" xr3:uid="{00000000-0010-0000-0200-00000E000000}" name="Maximum Edges in a Connected Component" dataDxfId="160" dataCellStyle="NodeXL Graph Metric"/>
    <tableColumn id="15" xr3:uid="{00000000-0010-0000-0200-00000F000000}" name="Maximum Geodesic Distance (Diameter)" dataDxfId="159" dataCellStyle="NodeXL Graph Metric"/>
    <tableColumn id="16" xr3:uid="{00000000-0010-0000-0200-000010000000}" name="Average Geodesic Distance" dataDxfId="158" dataCellStyle="NodeXL Graph Metric"/>
    <tableColumn id="17" xr3:uid="{00000000-0010-0000-0200-000011000000}" name="Graph Density" dataDxfId="157"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156" dataDxfId="155">
  <autoFilter ref="A1:C2" xr:uid="{00000000-0009-0000-0100-000005000000}"/>
  <tableColumns count="3">
    <tableColumn id="1" xr3:uid="{00000000-0010-0000-0300-000001000000}" name="Group" dataDxfId="154"/>
    <tableColumn id="2" xr3:uid="{00000000-0010-0000-0300-000002000000}" name="Vertex" dataDxfId="153"/>
    <tableColumn id="3" xr3:uid="{00000000-0010-0000-0300-000003000000}" name="Vertex ID" dataDxfId="15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 insertRow="1" totalsRowShown="0" dataCellStyle="NodeXL Graph Metric">
  <autoFilter ref="A1:B2" xr:uid="{00000000-0009-0000-0100-000006000000}"/>
  <tableColumns count="2">
    <tableColumn id="1" xr3:uid="{00000000-0010-0000-0400-000001000000}" name="Graph Metric" dataDxfId="151" dataCellStyle="NodeXL Graph Metric"/>
    <tableColumn id="2" xr3:uid="{00000000-0010-0000-0400-000002000000}" name="Value" dataDxfId="150"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149"/>
    <tableColumn id="2" xr3:uid="{00000000-0010-0000-0500-000002000000}" name="Degree Frequency" dataDxfId="148">
      <calculatedColumnFormula>COUNTIF(Vertices[Degree], "&gt;= " &amp; D2) - COUNTIF(Vertices[Degree], "&gt;=" &amp; D3)</calculatedColumnFormula>
    </tableColumn>
    <tableColumn id="3" xr3:uid="{00000000-0010-0000-0500-000003000000}" name="In-Degree Bin" dataDxfId="147"/>
    <tableColumn id="4" xr3:uid="{00000000-0010-0000-0500-000004000000}" name="In-Degree Frequency" dataDxfId="146">
      <calculatedColumnFormula>COUNTIF(Vertices[In-Degree], "&gt;= " &amp; F2) - COUNTIF(Vertices[In-Degree], "&gt;=" &amp; F3)</calculatedColumnFormula>
    </tableColumn>
    <tableColumn id="5" xr3:uid="{00000000-0010-0000-0500-000005000000}" name="Out-Degree Bin" dataDxfId="145"/>
    <tableColumn id="6" xr3:uid="{00000000-0010-0000-0500-000006000000}" name="Out-Degree Frequency" dataDxfId="144">
      <calculatedColumnFormula>COUNTIF(Vertices[Out-Degree], "&gt;= " &amp; H2) - COUNTIF(Vertices[Out-Degree], "&gt;=" &amp; H3)</calculatedColumnFormula>
    </tableColumn>
    <tableColumn id="7" xr3:uid="{00000000-0010-0000-0500-000007000000}" name="Betweenness Centrality Bin" dataDxfId="143"/>
    <tableColumn id="8" xr3:uid="{00000000-0010-0000-0500-000008000000}" name="Betweenness Centrality Frequency" dataDxfId="142">
      <calculatedColumnFormula>COUNTIF(Vertices[Betweenness Centrality], "&gt;= " &amp; J2) - COUNTIF(Vertices[Betweenness Centrality], "&gt;=" &amp; J3)</calculatedColumnFormula>
    </tableColumn>
    <tableColumn id="9" xr3:uid="{00000000-0010-0000-0500-000009000000}" name="Closeness Centrality Bin" dataDxfId="141"/>
    <tableColumn id="10" xr3:uid="{00000000-0010-0000-0500-00000A000000}" name="Closeness Centrality Frequency" dataDxfId="140">
      <calculatedColumnFormula>COUNTIF(Vertices[Closeness Centrality], "&gt;= " &amp; L2) - COUNTIF(Vertices[Closeness Centrality], "&gt;=" &amp; L3)</calculatedColumnFormula>
    </tableColumn>
    <tableColumn id="11" xr3:uid="{00000000-0010-0000-0500-00000B000000}" name="Eigenvector Centrality Bin" dataDxfId="139"/>
    <tableColumn id="12" xr3:uid="{00000000-0010-0000-0500-00000C000000}" name="Eigenvector Centrality Frequency" dataDxfId="138">
      <calculatedColumnFormula>COUNTIF(Vertices[Eigenvector Centrality], "&gt;= " &amp; N2) - COUNTIF(Vertices[Eigenvector Centrality], "&gt;=" &amp; N3)</calculatedColumnFormula>
    </tableColumn>
    <tableColumn id="18" xr3:uid="{00000000-0010-0000-0500-000012000000}" name="PageRank Bin" dataDxfId="137"/>
    <tableColumn id="17" xr3:uid="{00000000-0010-0000-0500-000011000000}" name="PageRank Frequency" dataDxfId="136">
      <calculatedColumnFormula>COUNTIF(Vertices[Eigenvector Centrality], "&gt;= " &amp; P2) - COUNTIF(Vertices[Eigenvector Centrality], "&gt;=" &amp; P3)</calculatedColumnFormula>
    </tableColumn>
    <tableColumn id="13" xr3:uid="{00000000-0010-0000-0500-00000D000000}" name="Clustering Coefficient Bin" dataDxfId="135"/>
    <tableColumn id="14" xr3:uid="{00000000-0010-0000-0500-00000E000000}" name="Clustering Coefficient Frequency" dataDxfId="134">
      <calculatedColumnFormula>COUNTIF(Vertices[Clustering Coefficient], "&gt;= " &amp; R2) - COUNTIF(Vertices[Clustering Coefficient], "&gt;=" &amp; R3)</calculatedColumnFormula>
    </tableColumn>
    <tableColumn id="15" xr3:uid="{00000000-0010-0000-0500-00000F000000}" name="Dynamic Filter Bin" dataDxfId="133"/>
    <tableColumn id="16" xr3:uid="{00000000-0010-0000-0500-000010000000}" name="Dynamic Filter Frequency" dataDxfId="13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60:B61" insertRow="1" totalsRowShown="0" dataCellStyle="NodeXL Graph Metric">
  <autoFilter ref="A60:B61"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131">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I168"/>
  <sheetViews>
    <sheetView tabSelected="1" workbookViewId="0">
      <pane xSplit="2" ySplit="2" topLeftCell="C3" activePane="bottomRight" state="frozen"/>
      <selection pane="topRight" activeCell="C1" sqref="C1"/>
      <selection pane="bottomLeft" activeCell="A3" sqref="A3"/>
      <selection pane="bottomRight" activeCell="A3" sqref="A3"/>
    </sheetView>
  </sheetViews>
  <sheetFormatPr defaultRowHeight="15" x14ac:dyDescent="0.25"/>
  <cols>
    <col min="1" max="2" width="10.42578125" style="1" customWidth="1"/>
    <col min="3" max="3" width="7.85546875" bestFit="1" customWidth="1"/>
    <col min="4" max="4" width="8.7109375" style="2" bestFit="1" customWidth="1"/>
    <col min="5" max="5" width="7.7109375" style="2" bestFit="1" customWidth="1"/>
    <col min="6" max="6" width="9.85546875" style="2" bestFit="1" customWidth="1"/>
    <col min="7" max="7" width="11" bestFit="1" customWidth="1"/>
    <col min="8" max="8" width="8" style="1" bestFit="1" customWidth="1"/>
    <col min="9" max="9" width="12.28515625" bestFit="1" customWidth="1"/>
    <col min="10" max="10" width="12.42578125" bestFit="1" customWidth="1"/>
    <col min="11" max="11" width="15.5703125"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10.85546875" bestFit="1" customWidth="1"/>
    <col min="19" max="19" width="10.5703125" bestFit="1" customWidth="1"/>
    <col min="20" max="20" width="8.5703125" bestFit="1" customWidth="1"/>
    <col min="21" max="21" width="8.85546875" bestFit="1" customWidth="1"/>
    <col min="22" max="22" width="13.140625" bestFit="1" customWidth="1"/>
    <col min="23" max="23" width="13.28515625" bestFit="1" customWidth="1"/>
    <col min="24" max="24" width="9.5703125" bestFit="1" customWidth="1"/>
    <col min="25" max="25" width="13.140625" bestFit="1" customWidth="1"/>
    <col min="26" max="26" width="13.85546875" bestFit="1" customWidth="1"/>
    <col min="27" max="27" width="11" bestFit="1" customWidth="1"/>
    <col min="28" max="28" width="8.85546875" bestFit="1" customWidth="1"/>
    <col min="29" max="29" width="9.28515625" bestFit="1" customWidth="1"/>
    <col min="30" max="30" width="11.5703125" bestFit="1" customWidth="1"/>
    <col min="31" max="31" width="14.42578125" bestFit="1" customWidth="1"/>
    <col min="32" max="32" width="13.42578125" bestFit="1" customWidth="1"/>
    <col min="33" max="33" width="7.42578125" bestFit="1" customWidth="1"/>
    <col min="34" max="34" width="7.7109375" bestFit="1" customWidth="1"/>
    <col min="35" max="35" width="11.42578125" bestFit="1" customWidth="1"/>
    <col min="36" max="36" width="17" bestFit="1" customWidth="1"/>
    <col min="37" max="37" width="10.28515625" bestFit="1" customWidth="1"/>
    <col min="38" max="38" width="15.5703125" bestFit="1" customWidth="1"/>
    <col min="39" max="39" width="11.7109375" bestFit="1" customWidth="1"/>
    <col min="40" max="40" width="10.28515625" bestFit="1" customWidth="1"/>
    <col min="41" max="41" width="8.5703125" bestFit="1" customWidth="1"/>
    <col min="42" max="42" width="8" bestFit="1" customWidth="1"/>
    <col min="43" max="43" width="8.85546875" bestFit="1" customWidth="1"/>
    <col min="44" max="44" width="17.140625" bestFit="1" customWidth="1"/>
    <col min="46" max="46" width="8.85546875" bestFit="1" customWidth="1"/>
    <col min="47" max="47" width="13.85546875" bestFit="1" customWidth="1"/>
    <col min="48" max="48" width="14.7109375" bestFit="1" customWidth="1"/>
    <col min="49" max="49" width="11.5703125" bestFit="1" customWidth="1"/>
    <col min="50" max="50" width="12.7109375" bestFit="1" customWidth="1"/>
    <col min="51" max="52" width="13" bestFit="1" customWidth="1"/>
    <col min="53" max="53" width="11" bestFit="1" customWidth="1"/>
    <col min="54" max="54" width="13.140625" bestFit="1" customWidth="1"/>
    <col min="55" max="55" width="12" bestFit="1" customWidth="1"/>
    <col min="56" max="56" width="11.7109375" bestFit="1" customWidth="1"/>
    <col min="57" max="57" width="9" bestFit="1" customWidth="1"/>
    <col min="58" max="58" width="10.28515625" bestFit="1" customWidth="1"/>
    <col min="59" max="59" width="11" bestFit="1" customWidth="1"/>
    <col min="60" max="60" width="10.42578125" bestFit="1" customWidth="1"/>
    <col min="61" max="61" width="13" bestFit="1" customWidth="1"/>
  </cols>
  <sheetData>
    <row r="1" spans="1:61" x14ac:dyDescent="0.25">
      <c r="C1" s="15" t="s">
        <v>39</v>
      </c>
      <c r="D1" s="16"/>
      <c r="E1" s="16"/>
      <c r="F1" s="16"/>
      <c r="G1" s="15"/>
      <c r="H1" s="13" t="s">
        <v>43</v>
      </c>
      <c r="I1" s="50"/>
      <c r="J1" s="50"/>
      <c r="K1" s="31" t="s">
        <v>42</v>
      </c>
      <c r="L1" s="17" t="s">
        <v>40</v>
      </c>
      <c r="M1" s="17"/>
      <c r="N1" s="14" t="s">
        <v>41</v>
      </c>
    </row>
    <row r="2" spans="1:61" ht="30" customHeight="1" x14ac:dyDescent="0.25">
      <c r="A2" s="10" t="s">
        <v>0</v>
      </c>
      <c r="B2" s="10" t="s">
        <v>1</v>
      </c>
      <c r="C2" s="7" t="s">
        <v>2</v>
      </c>
      <c r="D2" s="7" t="s">
        <v>3</v>
      </c>
      <c r="E2" s="7" t="s">
        <v>130</v>
      </c>
      <c r="F2" s="7" t="s">
        <v>4</v>
      </c>
      <c r="G2" s="7" t="s">
        <v>11</v>
      </c>
      <c r="H2" s="10" t="s">
        <v>46</v>
      </c>
      <c r="I2" s="7" t="s">
        <v>160</v>
      </c>
      <c r="J2" s="7" t="s">
        <v>161</v>
      </c>
      <c r="K2" s="7" t="s">
        <v>165</v>
      </c>
      <c r="L2" s="7" t="s">
        <v>12</v>
      </c>
      <c r="M2" s="7" t="s">
        <v>38</v>
      </c>
      <c r="N2" s="7" t="s">
        <v>26</v>
      </c>
      <c r="O2" s="7" t="s">
        <v>177</v>
      </c>
      <c r="P2" s="7" t="s">
        <v>178</v>
      </c>
      <c r="Q2" s="7" t="s">
        <v>179</v>
      </c>
      <c r="R2" s="7" t="s">
        <v>180</v>
      </c>
      <c r="S2" s="7" t="s">
        <v>181</v>
      </c>
      <c r="T2" s="7" t="s">
        <v>182</v>
      </c>
      <c r="U2" s="7" t="s">
        <v>183</v>
      </c>
      <c r="V2" s="7" t="s">
        <v>184</v>
      </c>
      <c r="W2" s="7" t="s">
        <v>185</v>
      </c>
      <c r="X2" s="7" t="s">
        <v>186</v>
      </c>
      <c r="Y2" s="7" t="s">
        <v>187</v>
      </c>
      <c r="Z2" s="7" t="s">
        <v>188</v>
      </c>
      <c r="AA2" s="7" t="s">
        <v>189</v>
      </c>
      <c r="AB2" s="7" t="s">
        <v>190</v>
      </c>
      <c r="AC2" s="7" t="s">
        <v>191</v>
      </c>
      <c r="AD2" s="7" t="s">
        <v>192</v>
      </c>
      <c r="AE2" s="7" t="s">
        <v>193</v>
      </c>
      <c r="AF2" s="7" t="s">
        <v>194</v>
      </c>
      <c r="AG2" s="7" t="s">
        <v>195</v>
      </c>
      <c r="AH2" s="7" t="s">
        <v>196</v>
      </c>
      <c r="AI2" s="7" t="s">
        <v>197</v>
      </c>
      <c r="AJ2" s="7" t="s">
        <v>198</v>
      </c>
      <c r="AK2" s="7" t="s">
        <v>199</v>
      </c>
      <c r="AL2" s="7" t="s">
        <v>200</v>
      </c>
      <c r="AM2" s="7" t="s">
        <v>201</v>
      </c>
      <c r="AN2" s="7" t="s">
        <v>202</v>
      </c>
      <c r="AO2" s="7" t="s">
        <v>203</v>
      </c>
      <c r="AP2" s="7" t="s">
        <v>204</v>
      </c>
      <c r="AQ2" s="7" t="s">
        <v>205</v>
      </c>
      <c r="AR2" s="7" t="s">
        <v>206</v>
      </c>
      <c r="AS2" s="7" t="s">
        <v>207</v>
      </c>
      <c r="AT2" s="7" t="s">
        <v>208</v>
      </c>
      <c r="AU2" s="7" t="s">
        <v>209</v>
      </c>
      <c r="AV2" s="7" t="s">
        <v>210</v>
      </c>
      <c r="AW2" s="7" t="s">
        <v>211</v>
      </c>
      <c r="AX2" s="7" t="s">
        <v>212</v>
      </c>
      <c r="AY2" s="7" t="s">
        <v>213</v>
      </c>
      <c r="AZ2" s="7" t="s">
        <v>214</v>
      </c>
      <c r="BA2" s="7" t="s">
        <v>215</v>
      </c>
      <c r="BB2" s="7" t="s">
        <v>216</v>
      </c>
      <c r="BC2" s="7" t="s">
        <v>217</v>
      </c>
      <c r="BD2" s="7" t="s">
        <v>218</v>
      </c>
      <c r="BE2" s="7" t="s">
        <v>219</v>
      </c>
      <c r="BF2" s="7" t="s">
        <v>220</v>
      </c>
      <c r="BG2" s="7" t="s">
        <v>221</v>
      </c>
      <c r="BH2" s="7" t="s">
        <v>222</v>
      </c>
      <c r="BI2" s="7" t="s">
        <v>223</v>
      </c>
    </row>
    <row r="3" spans="1:61" ht="15" customHeight="1" x14ac:dyDescent="0.25">
      <c r="A3" s="62" t="s">
        <v>224</v>
      </c>
      <c r="B3" s="62" t="s">
        <v>224</v>
      </c>
      <c r="C3" s="63"/>
      <c r="D3" s="64"/>
      <c r="E3" s="65"/>
      <c r="F3" s="66"/>
      <c r="G3" s="63"/>
      <c r="H3" s="67"/>
      <c r="I3" s="68"/>
      <c r="J3" s="68"/>
      <c r="K3" s="32"/>
      <c r="L3" s="69"/>
      <c r="M3" s="69"/>
      <c r="N3" s="70"/>
      <c r="O3" s="76" t="s">
        <v>225</v>
      </c>
      <c r="P3" s="78">
        <v>45096.466168981482</v>
      </c>
      <c r="Q3" s="76" t="s">
        <v>288</v>
      </c>
      <c r="R3" s="76">
        <v>0</v>
      </c>
      <c r="S3" s="76">
        <v>0</v>
      </c>
      <c r="T3" s="76">
        <v>0</v>
      </c>
      <c r="U3" s="76">
        <v>0</v>
      </c>
      <c r="V3" s="76">
        <v>10</v>
      </c>
      <c r="W3" s="80" t="s">
        <v>392</v>
      </c>
      <c r="X3" s="76"/>
      <c r="Y3" s="76"/>
      <c r="Z3" s="76"/>
      <c r="AA3" s="76"/>
      <c r="AB3" s="76"/>
      <c r="AC3" s="80" t="s">
        <v>399</v>
      </c>
      <c r="AD3" s="76" t="s">
        <v>400</v>
      </c>
      <c r="AE3" s="82" t="str">
        <f>HYPERLINK("https://twitter.com/economedicos/status/1670751098477457411")</f>
        <v>https://twitter.com/economedicos/status/1670751098477457411</v>
      </c>
      <c r="AF3" s="78">
        <v>45096.466168981482</v>
      </c>
      <c r="AG3" s="84">
        <v>45096</v>
      </c>
      <c r="AH3" s="80" t="s">
        <v>463</v>
      </c>
      <c r="AI3" s="76"/>
      <c r="AJ3" s="76"/>
      <c r="AK3" s="76"/>
      <c r="AL3" s="76"/>
      <c r="AM3" s="76"/>
      <c r="AN3" s="76"/>
      <c r="AO3" s="76"/>
      <c r="AP3" s="76"/>
      <c r="AQ3" s="76"/>
      <c r="AR3" s="76"/>
      <c r="AS3" s="76"/>
      <c r="AT3" s="76"/>
      <c r="AU3" s="76"/>
      <c r="AV3" s="82" t="str">
        <f>HYPERLINK("https://pbs.twimg.com/profile_images/1283576393662636034/EjgsMA_W_normal.jpg")</f>
        <v>https://pbs.twimg.com/profile_images/1283576393662636034/EjgsMA_W_normal.jpg</v>
      </c>
      <c r="AW3" s="80" t="s">
        <v>625</v>
      </c>
      <c r="AX3" s="80" t="s">
        <v>791</v>
      </c>
      <c r="AY3" s="80" t="s">
        <v>895</v>
      </c>
      <c r="AZ3" s="80" t="s">
        <v>958</v>
      </c>
      <c r="BA3" s="80" t="s">
        <v>1061</v>
      </c>
      <c r="BB3" s="80" t="s">
        <v>1061</v>
      </c>
      <c r="BC3" s="80" t="s">
        <v>958</v>
      </c>
      <c r="BD3" s="80" t="s">
        <v>895</v>
      </c>
      <c r="BE3" s="76"/>
      <c r="BF3" s="76"/>
      <c r="BG3" s="76"/>
      <c r="BH3" s="76"/>
      <c r="BI3" s="76"/>
    </row>
    <row r="4" spans="1:61" ht="15" customHeight="1" x14ac:dyDescent="0.25">
      <c r="A4" s="62" t="s">
        <v>224</v>
      </c>
      <c r="B4" s="62" t="s">
        <v>224</v>
      </c>
      <c r="C4" s="63"/>
      <c r="D4" s="64"/>
      <c r="E4" s="65"/>
      <c r="F4" s="66"/>
      <c r="G4" s="63"/>
      <c r="H4" s="67"/>
      <c r="I4" s="68"/>
      <c r="J4" s="68"/>
      <c r="K4" s="32"/>
      <c r="L4" s="75"/>
      <c r="M4" s="75"/>
      <c r="N4" s="70"/>
      <c r="O4" s="77" t="s">
        <v>225</v>
      </c>
      <c r="P4" s="79">
        <v>45079.507488425923</v>
      </c>
      <c r="Q4" s="77" t="s">
        <v>325</v>
      </c>
      <c r="R4" s="77">
        <v>0</v>
      </c>
      <c r="S4" s="77">
        <v>0</v>
      </c>
      <c r="T4" s="77">
        <v>0</v>
      </c>
      <c r="U4" s="77">
        <v>0</v>
      </c>
      <c r="V4" s="77">
        <v>11</v>
      </c>
      <c r="W4" s="81" t="s">
        <v>392</v>
      </c>
      <c r="X4" s="77"/>
      <c r="Y4" s="77"/>
      <c r="Z4" s="77"/>
      <c r="AA4" s="77"/>
      <c r="AB4" s="77"/>
      <c r="AC4" s="81" t="s">
        <v>399</v>
      </c>
      <c r="AD4" s="77" t="s">
        <v>400</v>
      </c>
      <c r="AE4" s="83" t="str">
        <f>HYPERLINK("https://twitter.com/economedicos/status/1664605476397383682")</f>
        <v>https://twitter.com/economedicos/status/1664605476397383682</v>
      </c>
      <c r="AF4" s="79">
        <v>45079.507488425923</v>
      </c>
      <c r="AG4" s="85">
        <v>45079</v>
      </c>
      <c r="AH4" s="81" t="s">
        <v>498</v>
      </c>
      <c r="AI4" s="77"/>
      <c r="AJ4" s="77"/>
      <c r="AK4" s="77"/>
      <c r="AL4" s="77"/>
      <c r="AM4" s="77"/>
      <c r="AN4" s="77"/>
      <c r="AO4" s="77"/>
      <c r="AP4" s="77"/>
      <c r="AQ4" s="77"/>
      <c r="AR4" s="77"/>
      <c r="AS4" s="77"/>
      <c r="AT4" s="77"/>
      <c r="AU4" s="77"/>
      <c r="AV4" s="83" t="str">
        <f>HYPERLINK("https://pbs.twimg.com/profile_images/1283576393662636034/EjgsMA_W_normal.jpg")</f>
        <v>https://pbs.twimg.com/profile_images/1283576393662636034/EjgsMA_W_normal.jpg</v>
      </c>
      <c r="AW4" s="81" t="s">
        <v>662</v>
      </c>
      <c r="AX4" s="81" t="s">
        <v>828</v>
      </c>
      <c r="AY4" s="81" t="s">
        <v>895</v>
      </c>
      <c r="AZ4" s="81" t="s">
        <v>995</v>
      </c>
      <c r="BA4" s="81" t="s">
        <v>1061</v>
      </c>
      <c r="BB4" s="81" t="s">
        <v>1061</v>
      </c>
      <c r="BC4" s="81" t="s">
        <v>995</v>
      </c>
      <c r="BD4" s="81" t="s">
        <v>895</v>
      </c>
      <c r="BE4" s="77"/>
      <c r="BF4" s="77"/>
      <c r="BG4" s="77"/>
      <c r="BH4" s="77"/>
      <c r="BI4" s="77"/>
    </row>
    <row r="5" spans="1:61" x14ac:dyDescent="0.25">
      <c r="A5" s="62" t="s">
        <v>224</v>
      </c>
      <c r="B5" s="62" t="s">
        <v>224</v>
      </c>
      <c r="C5" s="63"/>
      <c r="D5" s="64"/>
      <c r="E5" s="65"/>
      <c r="F5" s="66"/>
      <c r="G5" s="63"/>
      <c r="H5" s="67"/>
      <c r="I5" s="68"/>
      <c r="J5" s="68"/>
      <c r="K5" s="32"/>
      <c r="L5" s="75"/>
      <c r="M5" s="75"/>
      <c r="N5" s="70"/>
      <c r="O5" s="77" t="s">
        <v>225</v>
      </c>
      <c r="P5" s="79">
        <v>45063.464537037034</v>
      </c>
      <c r="Q5" s="77" t="s">
        <v>252</v>
      </c>
      <c r="R5" s="77">
        <v>0</v>
      </c>
      <c r="S5" s="77">
        <v>0</v>
      </c>
      <c r="T5" s="77">
        <v>0</v>
      </c>
      <c r="U5" s="77">
        <v>0</v>
      </c>
      <c r="V5" s="77">
        <v>9</v>
      </c>
      <c r="W5" s="81" t="s">
        <v>392</v>
      </c>
      <c r="X5" s="77"/>
      <c r="Y5" s="77"/>
      <c r="Z5" s="77"/>
      <c r="AA5" s="77"/>
      <c r="AB5" s="77"/>
      <c r="AC5" s="81" t="s">
        <v>399</v>
      </c>
      <c r="AD5" s="77" t="s">
        <v>400</v>
      </c>
      <c r="AE5" s="83" t="str">
        <f>HYPERLINK("https://twitter.com/economedicos/status/1658791707436105729")</f>
        <v>https://twitter.com/economedicos/status/1658791707436105729</v>
      </c>
      <c r="AF5" s="79">
        <v>45063.464537037034</v>
      </c>
      <c r="AG5" s="85">
        <v>45063</v>
      </c>
      <c r="AH5" s="81" t="s">
        <v>427</v>
      </c>
      <c r="AI5" s="77"/>
      <c r="AJ5" s="77"/>
      <c r="AK5" s="77"/>
      <c r="AL5" s="77"/>
      <c r="AM5" s="77"/>
      <c r="AN5" s="77"/>
      <c r="AO5" s="77"/>
      <c r="AP5" s="77"/>
      <c r="AQ5" s="77"/>
      <c r="AR5" s="77"/>
      <c r="AS5" s="77"/>
      <c r="AT5" s="77"/>
      <c r="AU5" s="77"/>
      <c r="AV5" s="83" t="str">
        <f>HYPERLINK("https://pbs.twimg.com/profile_images/1283576393662636034/EjgsMA_W_normal.jpg")</f>
        <v>https://pbs.twimg.com/profile_images/1283576393662636034/EjgsMA_W_normal.jpg</v>
      </c>
      <c r="AW5" s="81" t="s">
        <v>589</v>
      </c>
      <c r="AX5" s="81" t="s">
        <v>755</v>
      </c>
      <c r="AY5" s="81" t="s">
        <v>895</v>
      </c>
      <c r="AZ5" s="81" t="s">
        <v>922</v>
      </c>
      <c r="BA5" s="81" t="s">
        <v>1061</v>
      </c>
      <c r="BB5" s="81" t="s">
        <v>1061</v>
      </c>
      <c r="BC5" s="81" t="s">
        <v>922</v>
      </c>
      <c r="BD5" s="81" t="s">
        <v>895</v>
      </c>
      <c r="BE5" s="77"/>
      <c r="BF5" s="77"/>
      <c r="BG5" s="77"/>
      <c r="BH5" s="77"/>
      <c r="BI5" s="77"/>
    </row>
    <row r="6" spans="1:61" x14ac:dyDescent="0.25">
      <c r="A6" s="62" t="s">
        <v>224</v>
      </c>
      <c r="B6" s="62" t="s">
        <v>224</v>
      </c>
      <c r="C6" s="63"/>
      <c r="D6" s="64"/>
      <c r="E6" s="65"/>
      <c r="F6" s="66"/>
      <c r="G6" s="63"/>
      <c r="H6" s="67"/>
      <c r="I6" s="68"/>
      <c r="J6" s="68"/>
      <c r="K6" s="32"/>
      <c r="L6" s="75"/>
      <c r="M6" s="75"/>
      <c r="N6" s="70"/>
      <c r="O6" s="77" t="s">
        <v>225</v>
      </c>
      <c r="P6" s="79">
        <v>45034.456307870372</v>
      </c>
      <c r="Q6" s="77" t="s">
        <v>236</v>
      </c>
      <c r="R6" s="77">
        <v>0</v>
      </c>
      <c r="S6" s="77">
        <v>0</v>
      </c>
      <c r="T6" s="77">
        <v>0</v>
      </c>
      <c r="U6" s="77">
        <v>0</v>
      </c>
      <c r="V6" s="77">
        <v>7</v>
      </c>
      <c r="W6" s="81" t="s">
        <v>392</v>
      </c>
      <c r="X6" s="77"/>
      <c r="Y6" s="77"/>
      <c r="Z6" s="77"/>
      <c r="AA6" s="77"/>
      <c r="AB6" s="77"/>
      <c r="AC6" s="81" t="s">
        <v>399</v>
      </c>
      <c r="AD6" s="77" t="s">
        <v>400</v>
      </c>
      <c r="AE6" s="83" t="str">
        <f>HYPERLINK("https://twitter.com/economedicos/status/1648279477502324737")</f>
        <v>https://twitter.com/economedicos/status/1648279477502324737</v>
      </c>
      <c r="AF6" s="79">
        <v>45034.456307870372</v>
      </c>
      <c r="AG6" s="85">
        <v>45034</v>
      </c>
      <c r="AH6" s="81" t="s">
        <v>411</v>
      </c>
      <c r="AI6" s="77"/>
      <c r="AJ6" s="77"/>
      <c r="AK6" s="77"/>
      <c r="AL6" s="77"/>
      <c r="AM6" s="77"/>
      <c r="AN6" s="77"/>
      <c r="AO6" s="77"/>
      <c r="AP6" s="77"/>
      <c r="AQ6" s="77"/>
      <c r="AR6" s="77"/>
      <c r="AS6" s="77"/>
      <c r="AT6" s="77"/>
      <c r="AU6" s="77"/>
      <c r="AV6" s="83" t="str">
        <f>HYPERLINK("https://pbs.twimg.com/profile_images/1283576393662636034/EjgsMA_W_normal.jpg")</f>
        <v>https://pbs.twimg.com/profile_images/1283576393662636034/EjgsMA_W_normal.jpg</v>
      </c>
      <c r="AW6" s="81" t="s">
        <v>573</v>
      </c>
      <c r="AX6" s="81" t="s">
        <v>739</v>
      </c>
      <c r="AY6" s="81" t="s">
        <v>895</v>
      </c>
      <c r="AZ6" s="81" t="s">
        <v>906</v>
      </c>
      <c r="BA6" s="81" t="s">
        <v>1061</v>
      </c>
      <c r="BB6" s="81" t="s">
        <v>1061</v>
      </c>
      <c r="BC6" s="81" t="s">
        <v>906</v>
      </c>
      <c r="BD6" s="81" t="s">
        <v>895</v>
      </c>
      <c r="BE6" s="77"/>
      <c r="BF6" s="77"/>
      <c r="BG6" s="77"/>
      <c r="BH6" s="77"/>
      <c r="BI6" s="77"/>
    </row>
    <row r="7" spans="1:61" x14ac:dyDescent="0.25">
      <c r="A7" s="62" t="s">
        <v>224</v>
      </c>
      <c r="B7" s="62" t="s">
        <v>224</v>
      </c>
      <c r="C7" s="63"/>
      <c r="D7" s="64"/>
      <c r="E7" s="65"/>
      <c r="F7" s="66"/>
      <c r="G7" s="63"/>
      <c r="H7" s="67"/>
      <c r="I7" s="68"/>
      <c r="J7" s="68"/>
      <c r="K7" s="32"/>
      <c r="L7" s="75"/>
      <c r="M7" s="75"/>
      <c r="N7" s="70"/>
      <c r="O7" s="77" t="s">
        <v>225</v>
      </c>
      <c r="P7" s="79">
        <v>45033.461053240739</v>
      </c>
      <c r="Q7" s="77" t="s">
        <v>237</v>
      </c>
      <c r="R7" s="77">
        <v>0</v>
      </c>
      <c r="S7" s="77">
        <v>0</v>
      </c>
      <c r="T7" s="77">
        <v>0</v>
      </c>
      <c r="U7" s="77">
        <v>0</v>
      </c>
      <c r="V7" s="77">
        <v>4</v>
      </c>
      <c r="W7" s="81" t="s">
        <v>392</v>
      </c>
      <c r="X7" s="77"/>
      <c r="Y7" s="77"/>
      <c r="Z7" s="77"/>
      <c r="AA7" s="77"/>
      <c r="AB7" s="77"/>
      <c r="AC7" s="81" t="s">
        <v>399</v>
      </c>
      <c r="AD7" s="77" t="s">
        <v>400</v>
      </c>
      <c r="AE7" s="83" t="str">
        <f>HYPERLINK("https://twitter.com/economedicos/status/1647918808655360001")</f>
        <v>https://twitter.com/economedicos/status/1647918808655360001</v>
      </c>
      <c r="AF7" s="79">
        <v>45033.461053240739</v>
      </c>
      <c r="AG7" s="85">
        <v>45033</v>
      </c>
      <c r="AH7" s="81" t="s">
        <v>412</v>
      </c>
      <c r="AI7" s="77"/>
      <c r="AJ7" s="77"/>
      <c r="AK7" s="77"/>
      <c r="AL7" s="77"/>
      <c r="AM7" s="77"/>
      <c r="AN7" s="77"/>
      <c r="AO7" s="77"/>
      <c r="AP7" s="77"/>
      <c r="AQ7" s="77"/>
      <c r="AR7" s="77"/>
      <c r="AS7" s="77"/>
      <c r="AT7" s="77"/>
      <c r="AU7" s="77"/>
      <c r="AV7" s="83" t="str">
        <f>HYPERLINK("https://pbs.twimg.com/profile_images/1283576393662636034/EjgsMA_W_normal.jpg")</f>
        <v>https://pbs.twimg.com/profile_images/1283576393662636034/EjgsMA_W_normal.jpg</v>
      </c>
      <c r="AW7" s="81" t="s">
        <v>574</v>
      </c>
      <c r="AX7" s="81" t="s">
        <v>740</v>
      </c>
      <c r="AY7" s="81" t="s">
        <v>895</v>
      </c>
      <c r="AZ7" s="81" t="s">
        <v>907</v>
      </c>
      <c r="BA7" s="81" t="s">
        <v>1061</v>
      </c>
      <c r="BB7" s="81" t="s">
        <v>1061</v>
      </c>
      <c r="BC7" s="81" t="s">
        <v>907</v>
      </c>
      <c r="BD7" s="81" t="s">
        <v>895</v>
      </c>
      <c r="BE7" s="77"/>
      <c r="BF7" s="77"/>
      <c r="BG7" s="77"/>
      <c r="BH7" s="77"/>
      <c r="BI7" s="77"/>
    </row>
    <row r="8" spans="1:61" x14ac:dyDescent="0.25">
      <c r="A8" s="62" t="s">
        <v>224</v>
      </c>
      <c r="B8" s="62" t="s">
        <v>224</v>
      </c>
      <c r="C8" s="63"/>
      <c r="D8" s="64"/>
      <c r="E8" s="65"/>
      <c r="F8" s="66"/>
      <c r="G8" s="63"/>
      <c r="H8" s="67"/>
      <c r="I8" s="68"/>
      <c r="J8" s="68"/>
      <c r="K8" s="32"/>
      <c r="L8" s="75"/>
      <c r="M8" s="75"/>
      <c r="N8" s="70"/>
      <c r="O8" s="77" t="s">
        <v>225</v>
      </c>
      <c r="P8" s="79">
        <v>45020.455787037034</v>
      </c>
      <c r="Q8" s="77" t="s">
        <v>310</v>
      </c>
      <c r="R8" s="77">
        <v>0</v>
      </c>
      <c r="S8" s="77">
        <v>0</v>
      </c>
      <c r="T8" s="77">
        <v>0</v>
      </c>
      <c r="U8" s="77">
        <v>0</v>
      </c>
      <c r="V8" s="77">
        <v>39</v>
      </c>
      <c r="W8" s="81" t="s">
        <v>392</v>
      </c>
      <c r="X8" s="77"/>
      <c r="Y8" s="77"/>
      <c r="Z8" s="77"/>
      <c r="AA8" s="77"/>
      <c r="AB8" s="77"/>
      <c r="AC8" s="81" t="s">
        <v>399</v>
      </c>
      <c r="AD8" s="77" t="s">
        <v>400</v>
      </c>
      <c r="AE8" s="83" t="str">
        <f>HYPERLINK("https://twitter.com/economedicos/status/1643205856865951748")</f>
        <v>https://twitter.com/economedicos/status/1643205856865951748</v>
      </c>
      <c r="AF8" s="79">
        <v>45020.455787037034</v>
      </c>
      <c r="AG8" s="85">
        <v>45020</v>
      </c>
      <c r="AH8" s="81" t="s">
        <v>484</v>
      </c>
      <c r="AI8" s="77"/>
      <c r="AJ8" s="77"/>
      <c r="AK8" s="77"/>
      <c r="AL8" s="77"/>
      <c r="AM8" s="77"/>
      <c r="AN8" s="77"/>
      <c r="AO8" s="77"/>
      <c r="AP8" s="77"/>
      <c r="AQ8" s="77"/>
      <c r="AR8" s="77"/>
      <c r="AS8" s="77"/>
      <c r="AT8" s="77"/>
      <c r="AU8" s="77"/>
      <c r="AV8" s="83" t="str">
        <f>HYPERLINK("https://pbs.twimg.com/profile_images/1283576393662636034/EjgsMA_W_normal.jpg")</f>
        <v>https://pbs.twimg.com/profile_images/1283576393662636034/EjgsMA_W_normal.jpg</v>
      </c>
      <c r="AW8" s="81" t="s">
        <v>647</v>
      </c>
      <c r="AX8" s="81" t="s">
        <v>813</v>
      </c>
      <c r="AY8" s="81" t="s">
        <v>895</v>
      </c>
      <c r="AZ8" s="81" t="s">
        <v>980</v>
      </c>
      <c r="BA8" s="81" t="s">
        <v>1061</v>
      </c>
      <c r="BB8" s="81" t="s">
        <v>1061</v>
      </c>
      <c r="BC8" s="81" t="s">
        <v>980</v>
      </c>
      <c r="BD8" s="81" t="s">
        <v>895</v>
      </c>
      <c r="BE8" s="77"/>
      <c r="BF8" s="77"/>
      <c r="BG8" s="77"/>
      <c r="BH8" s="77"/>
      <c r="BI8" s="77"/>
    </row>
    <row r="9" spans="1:61" x14ac:dyDescent="0.25">
      <c r="A9" s="62" t="s">
        <v>224</v>
      </c>
      <c r="B9" s="62" t="s">
        <v>224</v>
      </c>
      <c r="C9" s="63"/>
      <c r="D9" s="64"/>
      <c r="E9" s="65"/>
      <c r="F9" s="66"/>
      <c r="G9" s="63"/>
      <c r="H9" s="67"/>
      <c r="I9" s="68"/>
      <c r="J9" s="68"/>
      <c r="K9" s="32"/>
      <c r="L9" s="75"/>
      <c r="M9" s="75"/>
      <c r="N9" s="70"/>
      <c r="O9" s="77" t="s">
        <v>225</v>
      </c>
      <c r="P9" s="79">
        <v>45019.464467592596</v>
      </c>
      <c r="Q9" s="77" t="s">
        <v>311</v>
      </c>
      <c r="R9" s="77">
        <v>0</v>
      </c>
      <c r="S9" s="77">
        <v>0</v>
      </c>
      <c r="T9" s="77">
        <v>0</v>
      </c>
      <c r="U9" s="77">
        <v>0</v>
      </c>
      <c r="V9" s="77">
        <v>10</v>
      </c>
      <c r="W9" s="81" t="s">
        <v>392</v>
      </c>
      <c r="X9" s="77"/>
      <c r="Y9" s="77"/>
      <c r="Z9" s="77"/>
      <c r="AA9" s="77"/>
      <c r="AB9" s="77"/>
      <c r="AC9" s="81" t="s">
        <v>399</v>
      </c>
      <c r="AD9" s="77" t="s">
        <v>400</v>
      </c>
      <c r="AE9" s="83" t="str">
        <f>HYPERLINK("https://twitter.com/economedicos/status/1642846616586534917")</f>
        <v>https://twitter.com/economedicos/status/1642846616586534917</v>
      </c>
      <c r="AF9" s="79">
        <v>45019.464467592596</v>
      </c>
      <c r="AG9" s="85">
        <v>45019</v>
      </c>
      <c r="AH9" s="81" t="s">
        <v>485</v>
      </c>
      <c r="AI9" s="77"/>
      <c r="AJ9" s="77"/>
      <c r="AK9" s="77"/>
      <c r="AL9" s="77"/>
      <c r="AM9" s="77"/>
      <c r="AN9" s="77"/>
      <c r="AO9" s="77"/>
      <c r="AP9" s="77"/>
      <c r="AQ9" s="77"/>
      <c r="AR9" s="77"/>
      <c r="AS9" s="77"/>
      <c r="AT9" s="77"/>
      <c r="AU9" s="77"/>
      <c r="AV9" s="83" t="str">
        <f>HYPERLINK("https://pbs.twimg.com/profile_images/1283576393662636034/EjgsMA_W_normal.jpg")</f>
        <v>https://pbs.twimg.com/profile_images/1283576393662636034/EjgsMA_W_normal.jpg</v>
      </c>
      <c r="AW9" s="81" t="s">
        <v>648</v>
      </c>
      <c r="AX9" s="81" t="s">
        <v>814</v>
      </c>
      <c r="AY9" s="81" t="s">
        <v>895</v>
      </c>
      <c r="AZ9" s="81" t="s">
        <v>981</v>
      </c>
      <c r="BA9" s="81" t="s">
        <v>1061</v>
      </c>
      <c r="BB9" s="81" t="s">
        <v>1061</v>
      </c>
      <c r="BC9" s="81" t="s">
        <v>981</v>
      </c>
      <c r="BD9" s="81" t="s">
        <v>895</v>
      </c>
      <c r="BE9" s="77"/>
      <c r="BF9" s="77"/>
      <c r="BG9" s="77"/>
      <c r="BH9" s="77"/>
      <c r="BI9" s="77"/>
    </row>
    <row r="10" spans="1:61" x14ac:dyDescent="0.25">
      <c r="A10" s="62" t="s">
        <v>224</v>
      </c>
      <c r="B10" s="62" t="s">
        <v>224</v>
      </c>
      <c r="C10" s="63"/>
      <c r="D10" s="64"/>
      <c r="E10" s="65"/>
      <c r="F10" s="66"/>
      <c r="G10" s="63"/>
      <c r="H10" s="67"/>
      <c r="I10" s="68"/>
      <c r="J10" s="68"/>
      <c r="K10" s="32"/>
      <c r="L10" s="75"/>
      <c r="M10" s="75"/>
      <c r="N10" s="70"/>
      <c r="O10" s="77" t="s">
        <v>225</v>
      </c>
      <c r="P10" s="79">
        <v>44964.44059027778</v>
      </c>
      <c r="Q10" s="77" t="s">
        <v>333</v>
      </c>
      <c r="R10" s="77">
        <v>0</v>
      </c>
      <c r="S10" s="77">
        <v>0</v>
      </c>
      <c r="T10" s="77">
        <v>0</v>
      </c>
      <c r="U10" s="77">
        <v>0</v>
      </c>
      <c r="V10" s="77">
        <v>10</v>
      </c>
      <c r="W10" s="81" t="s">
        <v>392</v>
      </c>
      <c r="X10" s="77"/>
      <c r="Y10" s="77"/>
      <c r="Z10" s="77"/>
      <c r="AA10" s="77"/>
      <c r="AB10" s="77"/>
      <c r="AC10" s="81" t="s">
        <v>399</v>
      </c>
      <c r="AD10" s="77" t="s">
        <v>400</v>
      </c>
      <c r="AE10" s="83" t="str">
        <f>HYPERLINK("https://twitter.com/economedicos/status/1622906630844170240")</f>
        <v>https://twitter.com/economedicos/status/1622906630844170240</v>
      </c>
      <c r="AF10" s="79">
        <v>44964.44059027778</v>
      </c>
      <c r="AG10" s="85">
        <v>44964</v>
      </c>
      <c r="AH10" s="81" t="s">
        <v>506</v>
      </c>
      <c r="AI10" s="77"/>
      <c r="AJ10" s="77"/>
      <c r="AK10" s="77"/>
      <c r="AL10" s="77"/>
      <c r="AM10" s="77"/>
      <c r="AN10" s="77"/>
      <c r="AO10" s="77"/>
      <c r="AP10" s="77"/>
      <c r="AQ10" s="77"/>
      <c r="AR10" s="77"/>
      <c r="AS10" s="77"/>
      <c r="AT10" s="77"/>
      <c r="AU10" s="77"/>
      <c r="AV10" s="83" t="str">
        <f>HYPERLINK("https://pbs.twimg.com/profile_images/1283576393662636034/EjgsMA_W_normal.jpg")</f>
        <v>https://pbs.twimg.com/profile_images/1283576393662636034/EjgsMA_W_normal.jpg</v>
      </c>
      <c r="AW10" s="81" t="s">
        <v>670</v>
      </c>
      <c r="AX10" s="81" t="s">
        <v>836</v>
      </c>
      <c r="AY10" s="81" t="s">
        <v>895</v>
      </c>
      <c r="AZ10" s="81" t="s">
        <v>1003</v>
      </c>
      <c r="BA10" s="81" t="s">
        <v>1061</v>
      </c>
      <c r="BB10" s="81" t="s">
        <v>1061</v>
      </c>
      <c r="BC10" s="81" t="s">
        <v>1003</v>
      </c>
      <c r="BD10" s="81" t="s">
        <v>895</v>
      </c>
      <c r="BE10" s="77"/>
      <c r="BF10" s="77"/>
      <c r="BG10" s="77"/>
      <c r="BH10" s="77"/>
      <c r="BI10" s="77"/>
    </row>
    <row r="11" spans="1:61" x14ac:dyDescent="0.25">
      <c r="A11" s="62" t="s">
        <v>224</v>
      </c>
      <c r="B11" s="62" t="s">
        <v>224</v>
      </c>
      <c r="C11" s="63"/>
      <c r="D11" s="64"/>
      <c r="E11" s="65"/>
      <c r="F11" s="66"/>
      <c r="G11" s="63"/>
      <c r="H11" s="67"/>
      <c r="I11" s="68"/>
      <c r="J11" s="68"/>
      <c r="K11" s="32"/>
      <c r="L11" s="75"/>
      <c r="M11" s="75"/>
      <c r="N11" s="70"/>
      <c r="O11" s="77" t="s">
        <v>225</v>
      </c>
      <c r="P11" s="79">
        <v>44963.453101851854</v>
      </c>
      <c r="Q11" s="77" t="s">
        <v>334</v>
      </c>
      <c r="R11" s="77">
        <v>0</v>
      </c>
      <c r="S11" s="77">
        <v>1</v>
      </c>
      <c r="T11" s="77">
        <v>0</v>
      </c>
      <c r="U11" s="77">
        <v>0</v>
      </c>
      <c r="V11" s="77">
        <v>9</v>
      </c>
      <c r="W11" s="81" t="s">
        <v>392</v>
      </c>
      <c r="X11" s="77"/>
      <c r="Y11" s="77"/>
      <c r="Z11" s="77"/>
      <c r="AA11" s="77"/>
      <c r="AB11" s="77"/>
      <c r="AC11" s="81" t="s">
        <v>399</v>
      </c>
      <c r="AD11" s="77" t="s">
        <v>400</v>
      </c>
      <c r="AE11" s="83" t="str">
        <f>HYPERLINK("https://twitter.com/economedicos/status/1622548777260273665")</f>
        <v>https://twitter.com/economedicos/status/1622548777260273665</v>
      </c>
      <c r="AF11" s="79">
        <v>44963.453101851854</v>
      </c>
      <c r="AG11" s="85">
        <v>44963</v>
      </c>
      <c r="AH11" s="81" t="s">
        <v>507</v>
      </c>
      <c r="AI11" s="77"/>
      <c r="AJ11" s="77"/>
      <c r="AK11" s="77"/>
      <c r="AL11" s="77"/>
      <c r="AM11" s="77"/>
      <c r="AN11" s="77"/>
      <c r="AO11" s="77"/>
      <c r="AP11" s="77"/>
      <c r="AQ11" s="77"/>
      <c r="AR11" s="77"/>
      <c r="AS11" s="77"/>
      <c r="AT11" s="77"/>
      <c r="AU11" s="77"/>
      <c r="AV11" s="83" t="str">
        <f>HYPERLINK("https://pbs.twimg.com/profile_images/1283576393662636034/EjgsMA_W_normal.jpg")</f>
        <v>https://pbs.twimg.com/profile_images/1283576393662636034/EjgsMA_W_normal.jpg</v>
      </c>
      <c r="AW11" s="81" t="s">
        <v>671</v>
      </c>
      <c r="AX11" s="81" t="s">
        <v>837</v>
      </c>
      <c r="AY11" s="81" t="s">
        <v>895</v>
      </c>
      <c r="AZ11" s="81" t="s">
        <v>1004</v>
      </c>
      <c r="BA11" s="81" t="s">
        <v>1061</v>
      </c>
      <c r="BB11" s="81" t="s">
        <v>1061</v>
      </c>
      <c r="BC11" s="81" t="s">
        <v>1004</v>
      </c>
      <c r="BD11" s="81" t="s">
        <v>895</v>
      </c>
      <c r="BE11" s="77"/>
      <c r="BF11" s="77"/>
      <c r="BG11" s="77"/>
      <c r="BH11" s="77"/>
      <c r="BI11" s="77"/>
    </row>
    <row r="12" spans="1:61" x14ac:dyDescent="0.25">
      <c r="A12" s="62" t="s">
        <v>224</v>
      </c>
      <c r="B12" s="62" t="s">
        <v>224</v>
      </c>
      <c r="C12" s="63"/>
      <c r="D12" s="64"/>
      <c r="E12" s="65"/>
      <c r="F12" s="66"/>
      <c r="G12" s="63"/>
      <c r="H12" s="67"/>
      <c r="I12" s="68"/>
      <c r="J12" s="68"/>
      <c r="K12" s="32"/>
      <c r="L12" s="75"/>
      <c r="M12" s="75"/>
      <c r="N12" s="70"/>
      <c r="O12" s="77" t="s">
        <v>225</v>
      </c>
      <c r="P12" s="79">
        <v>44949.465914351851</v>
      </c>
      <c r="Q12" s="77" t="s">
        <v>386</v>
      </c>
      <c r="R12" s="77">
        <v>0</v>
      </c>
      <c r="S12" s="77">
        <v>0</v>
      </c>
      <c r="T12" s="77">
        <v>0</v>
      </c>
      <c r="U12" s="77">
        <v>0</v>
      </c>
      <c r="V12" s="77">
        <v>7</v>
      </c>
      <c r="W12" s="81" t="s">
        <v>392</v>
      </c>
      <c r="X12" s="77"/>
      <c r="Y12" s="77"/>
      <c r="Z12" s="77"/>
      <c r="AA12" s="77"/>
      <c r="AB12" s="77"/>
      <c r="AC12" s="81" t="s">
        <v>399</v>
      </c>
      <c r="AD12" s="77" t="s">
        <v>400</v>
      </c>
      <c r="AE12" s="83" t="str">
        <f>HYPERLINK("https://twitter.com/economedicos/status/1617479990869913601")</f>
        <v>https://twitter.com/economedicos/status/1617479990869913601</v>
      </c>
      <c r="AF12" s="79">
        <v>44949.465914351851</v>
      </c>
      <c r="AG12" s="85">
        <v>44949</v>
      </c>
      <c r="AH12" s="81" t="s">
        <v>483</v>
      </c>
      <c r="AI12" s="77"/>
      <c r="AJ12" s="77"/>
      <c r="AK12" s="77"/>
      <c r="AL12" s="77"/>
      <c r="AM12" s="77"/>
      <c r="AN12" s="77"/>
      <c r="AO12" s="77"/>
      <c r="AP12" s="77"/>
      <c r="AQ12" s="77"/>
      <c r="AR12" s="77"/>
      <c r="AS12" s="77"/>
      <c r="AT12" s="77"/>
      <c r="AU12" s="77"/>
      <c r="AV12" s="83" t="str">
        <f>HYPERLINK("https://pbs.twimg.com/profile_images/1283576393662636034/EjgsMA_W_normal.jpg")</f>
        <v>https://pbs.twimg.com/profile_images/1283576393662636034/EjgsMA_W_normal.jpg</v>
      </c>
      <c r="AW12" s="81" t="s">
        <v>724</v>
      </c>
      <c r="AX12" s="81" t="s">
        <v>890</v>
      </c>
      <c r="AY12" s="81" t="s">
        <v>895</v>
      </c>
      <c r="AZ12" s="81" t="s">
        <v>1056</v>
      </c>
      <c r="BA12" s="81" t="s">
        <v>1061</v>
      </c>
      <c r="BB12" s="81" t="s">
        <v>1061</v>
      </c>
      <c r="BC12" s="81" t="s">
        <v>1056</v>
      </c>
      <c r="BD12" s="81" t="s">
        <v>895</v>
      </c>
      <c r="BE12" s="77"/>
      <c r="BF12" s="77"/>
      <c r="BG12" s="77"/>
      <c r="BH12" s="77"/>
      <c r="BI12" s="77"/>
    </row>
    <row r="13" spans="1:61" x14ac:dyDescent="0.25">
      <c r="A13" s="62" t="s">
        <v>224</v>
      </c>
      <c r="B13" s="62" t="s">
        <v>224</v>
      </c>
      <c r="C13" s="63"/>
      <c r="D13" s="64"/>
      <c r="E13" s="65"/>
      <c r="F13" s="66"/>
      <c r="G13" s="63"/>
      <c r="H13" s="67"/>
      <c r="I13" s="68"/>
      <c r="J13" s="68"/>
      <c r="K13" s="32"/>
      <c r="L13" s="75"/>
      <c r="M13" s="75"/>
      <c r="N13" s="70"/>
      <c r="O13" s="77" t="s">
        <v>225</v>
      </c>
      <c r="P13" s="79">
        <v>44946.450833333336</v>
      </c>
      <c r="Q13" s="77" t="s">
        <v>387</v>
      </c>
      <c r="R13" s="77">
        <v>0</v>
      </c>
      <c r="S13" s="77">
        <v>0</v>
      </c>
      <c r="T13" s="77">
        <v>0</v>
      </c>
      <c r="U13" s="77">
        <v>0</v>
      </c>
      <c r="V13" s="77">
        <v>7</v>
      </c>
      <c r="W13" s="81" t="s">
        <v>392</v>
      </c>
      <c r="X13" s="77"/>
      <c r="Y13" s="77"/>
      <c r="Z13" s="77"/>
      <c r="AA13" s="77"/>
      <c r="AB13" s="77"/>
      <c r="AC13" s="81" t="s">
        <v>399</v>
      </c>
      <c r="AD13" s="77" t="s">
        <v>400</v>
      </c>
      <c r="AE13" s="83" t="str">
        <f>HYPERLINK("https://twitter.com/economedicos/status/1616387360840712192")</f>
        <v>https://twitter.com/economedicos/status/1616387360840712192</v>
      </c>
      <c r="AF13" s="79">
        <v>44946.450833333336</v>
      </c>
      <c r="AG13" s="85">
        <v>44946</v>
      </c>
      <c r="AH13" s="81" t="s">
        <v>559</v>
      </c>
      <c r="AI13" s="77"/>
      <c r="AJ13" s="77"/>
      <c r="AK13" s="77"/>
      <c r="AL13" s="77"/>
      <c r="AM13" s="77"/>
      <c r="AN13" s="77"/>
      <c r="AO13" s="77"/>
      <c r="AP13" s="77"/>
      <c r="AQ13" s="77"/>
      <c r="AR13" s="77"/>
      <c r="AS13" s="77"/>
      <c r="AT13" s="77"/>
      <c r="AU13" s="77"/>
      <c r="AV13" s="83" t="str">
        <f>HYPERLINK("https://pbs.twimg.com/profile_images/1283576393662636034/EjgsMA_W_normal.jpg")</f>
        <v>https://pbs.twimg.com/profile_images/1283576393662636034/EjgsMA_W_normal.jpg</v>
      </c>
      <c r="AW13" s="81" t="s">
        <v>725</v>
      </c>
      <c r="AX13" s="81" t="s">
        <v>891</v>
      </c>
      <c r="AY13" s="81" t="s">
        <v>895</v>
      </c>
      <c r="AZ13" s="81" t="s">
        <v>1057</v>
      </c>
      <c r="BA13" s="81" t="s">
        <v>1061</v>
      </c>
      <c r="BB13" s="81" t="s">
        <v>1061</v>
      </c>
      <c r="BC13" s="81" t="s">
        <v>1057</v>
      </c>
      <c r="BD13" s="81" t="s">
        <v>895</v>
      </c>
      <c r="BE13" s="77"/>
      <c r="BF13" s="77"/>
      <c r="BG13" s="77"/>
      <c r="BH13" s="77"/>
      <c r="BI13" s="77"/>
    </row>
    <row r="14" spans="1:61" x14ac:dyDescent="0.25">
      <c r="A14" s="62" t="s">
        <v>224</v>
      </c>
      <c r="B14" s="62" t="s">
        <v>224</v>
      </c>
      <c r="C14" s="63"/>
      <c r="D14" s="64"/>
      <c r="E14" s="65"/>
      <c r="F14" s="66"/>
      <c r="G14" s="63"/>
      <c r="H14" s="67"/>
      <c r="I14" s="68"/>
      <c r="J14" s="68"/>
      <c r="K14" s="32"/>
      <c r="L14" s="75"/>
      <c r="M14" s="75"/>
      <c r="N14" s="70"/>
      <c r="O14" s="77" t="s">
        <v>225</v>
      </c>
      <c r="P14" s="79">
        <v>44944.455358796295</v>
      </c>
      <c r="Q14" s="77" t="s">
        <v>388</v>
      </c>
      <c r="R14" s="77">
        <v>0</v>
      </c>
      <c r="S14" s="77">
        <v>0</v>
      </c>
      <c r="T14" s="77">
        <v>0</v>
      </c>
      <c r="U14" s="77">
        <v>0</v>
      </c>
      <c r="V14" s="77">
        <v>8</v>
      </c>
      <c r="W14" s="81" t="s">
        <v>392</v>
      </c>
      <c r="X14" s="77"/>
      <c r="Y14" s="77"/>
      <c r="Z14" s="77"/>
      <c r="AA14" s="77"/>
      <c r="AB14" s="77"/>
      <c r="AC14" s="81" t="s">
        <v>399</v>
      </c>
      <c r="AD14" s="77" t="s">
        <v>400</v>
      </c>
      <c r="AE14" s="83" t="str">
        <f>HYPERLINK("https://twitter.com/economedicos/status/1615664225153871873")</f>
        <v>https://twitter.com/economedicos/status/1615664225153871873</v>
      </c>
      <c r="AF14" s="79">
        <v>44944.455358796295</v>
      </c>
      <c r="AG14" s="85">
        <v>44944</v>
      </c>
      <c r="AH14" s="81" t="s">
        <v>560</v>
      </c>
      <c r="AI14" s="77"/>
      <c r="AJ14" s="77"/>
      <c r="AK14" s="77"/>
      <c r="AL14" s="77"/>
      <c r="AM14" s="77"/>
      <c r="AN14" s="77"/>
      <c r="AO14" s="77"/>
      <c r="AP14" s="77"/>
      <c r="AQ14" s="77"/>
      <c r="AR14" s="77"/>
      <c r="AS14" s="77"/>
      <c r="AT14" s="77"/>
      <c r="AU14" s="77"/>
      <c r="AV14" s="83" t="str">
        <f>HYPERLINK("https://pbs.twimg.com/profile_images/1283576393662636034/EjgsMA_W_normal.jpg")</f>
        <v>https://pbs.twimg.com/profile_images/1283576393662636034/EjgsMA_W_normal.jpg</v>
      </c>
      <c r="AW14" s="81" t="s">
        <v>726</v>
      </c>
      <c r="AX14" s="81" t="s">
        <v>892</v>
      </c>
      <c r="AY14" s="81" t="s">
        <v>895</v>
      </c>
      <c r="AZ14" s="81" t="s">
        <v>1058</v>
      </c>
      <c r="BA14" s="81" t="s">
        <v>1061</v>
      </c>
      <c r="BB14" s="81" t="s">
        <v>1061</v>
      </c>
      <c r="BC14" s="81" t="s">
        <v>1058</v>
      </c>
      <c r="BD14" s="81" t="s">
        <v>895</v>
      </c>
      <c r="BE14" s="77"/>
      <c r="BF14" s="77"/>
      <c r="BG14" s="77"/>
      <c r="BH14" s="77"/>
      <c r="BI14" s="77"/>
    </row>
    <row r="15" spans="1:61" x14ac:dyDescent="0.25">
      <c r="A15" s="62" t="s">
        <v>224</v>
      </c>
      <c r="B15" s="62" t="s">
        <v>224</v>
      </c>
      <c r="C15" s="63"/>
      <c r="D15" s="64"/>
      <c r="E15" s="65"/>
      <c r="F15" s="66"/>
      <c r="G15" s="63"/>
      <c r="H15" s="67"/>
      <c r="I15" s="68"/>
      <c r="J15" s="68"/>
      <c r="K15" s="32"/>
      <c r="L15" s="75"/>
      <c r="M15" s="75"/>
      <c r="N15" s="70"/>
      <c r="O15" s="77" t="s">
        <v>225</v>
      </c>
      <c r="P15" s="79">
        <v>44943.474016203705</v>
      </c>
      <c r="Q15" s="77" t="s">
        <v>389</v>
      </c>
      <c r="R15" s="77">
        <v>0</v>
      </c>
      <c r="S15" s="77">
        <v>0</v>
      </c>
      <c r="T15" s="77">
        <v>0</v>
      </c>
      <c r="U15" s="77">
        <v>0</v>
      </c>
      <c r="V15" s="77">
        <v>6</v>
      </c>
      <c r="W15" s="81" t="s">
        <v>392</v>
      </c>
      <c r="X15" s="77"/>
      <c r="Y15" s="77"/>
      <c r="Z15" s="77"/>
      <c r="AA15" s="77"/>
      <c r="AB15" s="77"/>
      <c r="AC15" s="81" t="s">
        <v>399</v>
      </c>
      <c r="AD15" s="77" t="s">
        <v>400</v>
      </c>
      <c r="AE15" s="83" t="str">
        <f>HYPERLINK("https://twitter.com/economedicos/status/1615308600389369856")</f>
        <v>https://twitter.com/economedicos/status/1615308600389369856</v>
      </c>
      <c r="AF15" s="79">
        <v>44943.474016203705</v>
      </c>
      <c r="AG15" s="85">
        <v>44943</v>
      </c>
      <c r="AH15" s="81" t="s">
        <v>561</v>
      </c>
      <c r="AI15" s="77"/>
      <c r="AJ15" s="77"/>
      <c r="AK15" s="77"/>
      <c r="AL15" s="77"/>
      <c r="AM15" s="77"/>
      <c r="AN15" s="77"/>
      <c r="AO15" s="77"/>
      <c r="AP15" s="77"/>
      <c r="AQ15" s="77"/>
      <c r="AR15" s="77"/>
      <c r="AS15" s="77"/>
      <c r="AT15" s="77"/>
      <c r="AU15" s="77"/>
      <c r="AV15" s="83" t="str">
        <f>HYPERLINK("https://pbs.twimg.com/profile_images/1283576393662636034/EjgsMA_W_normal.jpg")</f>
        <v>https://pbs.twimg.com/profile_images/1283576393662636034/EjgsMA_W_normal.jpg</v>
      </c>
      <c r="AW15" s="81" t="s">
        <v>727</v>
      </c>
      <c r="AX15" s="81" t="s">
        <v>893</v>
      </c>
      <c r="AY15" s="81" t="s">
        <v>895</v>
      </c>
      <c r="AZ15" s="81" t="s">
        <v>1059</v>
      </c>
      <c r="BA15" s="81" t="s">
        <v>1061</v>
      </c>
      <c r="BB15" s="81" t="s">
        <v>1061</v>
      </c>
      <c r="BC15" s="81" t="s">
        <v>1059</v>
      </c>
      <c r="BD15" s="81" t="s">
        <v>895</v>
      </c>
      <c r="BE15" s="77"/>
      <c r="BF15" s="77"/>
      <c r="BG15" s="77"/>
      <c r="BH15" s="77"/>
      <c r="BI15" s="77"/>
    </row>
    <row r="16" spans="1:61" x14ac:dyDescent="0.25">
      <c r="A16" s="62" t="s">
        <v>224</v>
      </c>
      <c r="B16" s="62" t="s">
        <v>224</v>
      </c>
      <c r="C16" s="63"/>
      <c r="D16" s="64"/>
      <c r="E16" s="65"/>
      <c r="F16" s="66"/>
      <c r="G16" s="63"/>
      <c r="H16" s="67"/>
      <c r="I16" s="68"/>
      <c r="J16" s="68"/>
      <c r="K16" s="32"/>
      <c r="L16" s="75"/>
      <c r="M16" s="75"/>
      <c r="N16" s="70"/>
      <c r="O16" s="77" t="s">
        <v>225</v>
      </c>
      <c r="P16" s="79">
        <v>45107.472754629627</v>
      </c>
      <c r="Q16" s="77" t="s">
        <v>356</v>
      </c>
      <c r="R16" s="77">
        <v>0</v>
      </c>
      <c r="S16" s="77">
        <v>0</v>
      </c>
      <c r="T16" s="77">
        <v>0</v>
      </c>
      <c r="U16" s="77">
        <v>0</v>
      </c>
      <c r="V16" s="77">
        <v>9</v>
      </c>
      <c r="W16" s="81" t="s">
        <v>392</v>
      </c>
      <c r="X16" s="77"/>
      <c r="Y16" s="77"/>
      <c r="Z16" s="77"/>
      <c r="AA16" s="77"/>
      <c r="AB16" s="77"/>
      <c r="AC16" s="81" t="s">
        <v>399</v>
      </c>
      <c r="AD16" s="77" t="s">
        <v>400</v>
      </c>
      <c r="AE16" s="83" t="str">
        <f>HYPERLINK("https://twitter.com/economedicos/status/1674739753005056002")</f>
        <v>https://twitter.com/economedicos/status/1674739753005056002</v>
      </c>
      <c r="AF16" s="79">
        <v>45107.472754629627</v>
      </c>
      <c r="AG16" s="85">
        <v>45107</v>
      </c>
      <c r="AH16" s="81" t="s">
        <v>528</v>
      </c>
      <c r="AI16" s="77"/>
      <c r="AJ16" s="77"/>
      <c r="AK16" s="77"/>
      <c r="AL16" s="77"/>
      <c r="AM16" s="77"/>
      <c r="AN16" s="77"/>
      <c r="AO16" s="77"/>
      <c r="AP16" s="77"/>
      <c r="AQ16" s="77"/>
      <c r="AR16" s="77"/>
      <c r="AS16" s="77"/>
      <c r="AT16" s="77"/>
      <c r="AU16" s="77"/>
      <c r="AV16" s="83" t="str">
        <f>HYPERLINK("https://pbs.twimg.com/profile_images/1283576393662636034/EjgsMA_W_normal.jpg")</f>
        <v>https://pbs.twimg.com/profile_images/1283576393662636034/EjgsMA_W_normal.jpg</v>
      </c>
      <c r="AW16" s="81" t="s">
        <v>693</v>
      </c>
      <c r="AX16" s="81" t="s">
        <v>859</v>
      </c>
      <c r="AY16" s="81" t="s">
        <v>895</v>
      </c>
      <c r="AZ16" s="81" t="s">
        <v>1026</v>
      </c>
      <c r="BA16" s="81" t="s">
        <v>1061</v>
      </c>
      <c r="BB16" s="81" t="s">
        <v>1061</v>
      </c>
      <c r="BC16" s="81" t="s">
        <v>1026</v>
      </c>
      <c r="BD16" s="81" t="s">
        <v>895</v>
      </c>
      <c r="BE16" s="77"/>
      <c r="BF16" s="77"/>
      <c r="BG16" s="77"/>
      <c r="BH16" s="77"/>
      <c r="BI16" s="77"/>
    </row>
    <row r="17" spans="1:61" x14ac:dyDescent="0.25">
      <c r="A17" s="62" t="s">
        <v>224</v>
      </c>
      <c r="B17" s="62" t="s">
        <v>224</v>
      </c>
      <c r="C17" s="63"/>
      <c r="D17" s="64"/>
      <c r="E17" s="65"/>
      <c r="F17" s="66"/>
      <c r="G17" s="63"/>
      <c r="H17" s="67"/>
      <c r="I17" s="68"/>
      <c r="J17" s="68"/>
      <c r="K17" s="32"/>
      <c r="L17" s="75"/>
      <c r="M17" s="75"/>
      <c r="N17" s="70"/>
      <c r="O17" s="77" t="s">
        <v>225</v>
      </c>
      <c r="P17" s="79">
        <v>45097.453750000001</v>
      </c>
      <c r="Q17" s="77" t="s">
        <v>287</v>
      </c>
      <c r="R17" s="77">
        <v>0</v>
      </c>
      <c r="S17" s="77">
        <v>0</v>
      </c>
      <c r="T17" s="77">
        <v>0</v>
      </c>
      <c r="U17" s="77">
        <v>0</v>
      </c>
      <c r="V17" s="77">
        <v>4</v>
      </c>
      <c r="W17" s="81" t="s">
        <v>392</v>
      </c>
      <c r="X17" s="77"/>
      <c r="Y17" s="77"/>
      <c r="Z17" s="77"/>
      <c r="AA17" s="77"/>
      <c r="AB17" s="77"/>
      <c r="AC17" s="81" t="s">
        <v>399</v>
      </c>
      <c r="AD17" s="77" t="s">
        <v>400</v>
      </c>
      <c r="AE17" s="83" t="str">
        <f>HYPERLINK("https://twitter.com/economedicos/status/1671108984349028353")</f>
        <v>https://twitter.com/economedicos/status/1671108984349028353</v>
      </c>
      <c r="AF17" s="79">
        <v>45097.453750000001</v>
      </c>
      <c r="AG17" s="85">
        <v>45097</v>
      </c>
      <c r="AH17" s="81" t="s">
        <v>462</v>
      </c>
      <c r="AI17" s="77"/>
      <c r="AJ17" s="77"/>
      <c r="AK17" s="77"/>
      <c r="AL17" s="77"/>
      <c r="AM17" s="77"/>
      <c r="AN17" s="77"/>
      <c r="AO17" s="77"/>
      <c r="AP17" s="77"/>
      <c r="AQ17" s="77"/>
      <c r="AR17" s="77"/>
      <c r="AS17" s="77"/>
      <c r="AT17" s="77"/>
      <c r="AU17" s="77"/>
      <c r="AV17" s="83" t="str">
        <f>HYPERLINK("https://pbs.twimg.com/profile_images/1283576393662636034/EjgsMA_W_normal.jpg")</f>
        <v>https://pbs.twimg.com/profile_images/1283576393662636034/EjgsMA_W_normal.jpg</v>
      </c>
      <c r="AW17" s="81" t="s">
        <v>624</v>
      </c>
      <c r="AX17" s="81" t="s">
        <v>790</v>
      </c>
      <c r="AY17" s="81" t="s">
        <v>895</v>
      </c>
      <c r="AZ17" s="81" t="s">
        <v>957</v>
      </c>
      <c r="BA17" s="81" t="s">
        <v>1061</v>
      </c>
      <c r="BB17" s="81" t="s">
        <v>1061</v>
      </c>
      <c r="BC17" s="81" t="s">
        <v>957</v>
      </c>
      <c r="BD17" s="81" t="s">
        <v>895</v>
      </c>
      <c r="BE17" s="77"/>
      <c r="BF17" s="77"/>
      <c r="BG17" s="77"/>
      <c r="BH17" s="77"/>
      <c r="BI17" s="77"/>
    </row>
    <row r="18" spans="1:61" x14ac:dyDescent="0.25">
      <c r="A18" s="62" t="s">
        <v>224</v>
      </c>
      <c r="B18" s="62" t="s">
        <v>224</v>
      </c>
      <c r="C18" s="63"/>
      <c r="D18" s="64"/>
      <c r="E18" s="65"/>
      <c r="F18" s="66"/>
      <c r="G18" s="63"/>
      <c r="H18" s="67"/>
      <c r="I18" s="68"/>
      <c r="J18" s="68"/>
      <c r="K18" s="32"/>
      <c r="L18" s="75"/>
      <c r="M18" s="75"/>
      <c r="N18" s="70"/>
      <c r="O18" s="77" t="s">
        <v>225</v>
      </c>
      <c r="P18" s="79">
        <v>45084.469965277778</v>
      </c>
      <c r="Q18" s="77" t="s">
        <v>233</v>
      </c>
      <c r="R18" s="77">
        <v>0</v>
      </c>
      <c r="S18" s="77">
        <v>0</v>
      </c>
      <c r="T18" s="77">
        <v>0</v>
      </c>
      <c r="U18" s="77">
        <v>0</v>
      </c>
      <c r="V18" s="77">
        <v>4</v>
      </c>
      <c r="W18" s="81" t="s">
        <v>392</v>
      </c>
      <c r="X18" s="77"/>
      <c r="Y18" s="77"/>
      <c r="Z18" s="77"/>
      <c r="AA18" s="77"/>
      <c r="AB18" s="77"/>
      <c r="AC18" s="81" t="s">
        <v>399</v>
      </c>
      <c r="AD18" s="77" t="s">
        <v>400</v>
      </c>
      <c r="AE18" s="83" t="str">
        <f>HYPERLINK("https://twitter.com/economedicos/status/1666403818693697539")</f>
        <v>https://twitter.com/economedicos/status/1666403818693697539</v>
      </c>
      <c r="AF18" s="79">
        <v>45084.469965277778</v>
      </c>
      <c r="AG18" s="85">
        <v>45084</v>
      </c>
      <c r="AH18" s="81" t="s">
        <v>408</v>
      </c>
      <c r="AI18" s="77"/>
      <c r="AJ18" s="77"/>
      <c r="AK18" s="77"/>
      <c r="AL18" s="77"/>
      <c r="AM18" s="77"/>
      <c r="AN18" s="77"/>
      <c r="AO18" s="77"/>
      <c r="AP18" s="77"/>
      <c r="AQ18" s="77"/>
      <c r="AR18" s="77"/>
      <c r="AS18" s="77"/>
      <c r="AT18" s="77"/>
      <c r="AU18" s="77"/>
      <c r="AV18" s="83" t="str">
        <f>HYPERLINK("https://pbs.twimg.com/profile_images/1283576393662636034/EjgsMA_W_normal.jpg")</f>
        <v>https://pbs.twimg.com/profile_images/1283576393662636034/EjgsMA_W_normal.jpg</v>
      </c>
      <c r="AW18" s="81" t="s">
        <v>570</v>
      </c>
      <c r="AX18" s="81" t="s">
        <v>736</v>
      </c>
      <c r="AY18" s="81" t="s">
        <v>895</v>
      </c>
      <c r="AZ18" s="81" t="s">
        <v>903</v>
      </c>
      <c r="BA18" s="81" t="s">
        <v>1061</v>
      </c>
      <c r="BB18" s="81" t="s">
        <v>1061</v>
      </c>
      <c r="BC18" s="81" t="s">
        <v>903</v>
      </c>
      <c r="BD18" s="81" t="s">
        <v>895</v>
      </c>
      <c r="BE18" s="77"/>
      <c r="BF18" s="77"/>
      <c r="BG18" s="77"/>
      <c r="BH18" s="77"/>
      <c r="BI18" s="77"/>
    </row>
    <row r="19" spans="1:61" x14ac:dyDescent="0.25">
      <c r="A19" s="62" t="s">
        <v>224</v>
      </c>
      <c r="B19" s="62" t="s">
        <v>224</v>
      </c>
      <c r="C19" s="63"/>
      <c r="D19" s="64"/>
      <c r="E19" s="65"/>
      <c r="F19" s="66"/>
      <c r="G19" s="63"/>
      <c r="H19" s="67"/>
      <c r="I19" s="68"/>
      <c r="J19" s="68"/>
      <c r="K19" s="32"/>
      <c r="L19" s="75"/>
      <c r="M19" s="75"/>
      <c r="N19" s="70"/>
      <c r="O19" s="77" t="s">
        <v>225</v>
      </c>
      <c r="P19" s="79">
        <v>45068.447893518518</v>
      </c>
      <c r="Q19" s="77" t="s">
        <v>382</v>
      </c>
      <c r="R19" s="77">
        <v>0</v>
      </c>
      <c r="S19" s="77">
        <v>0</v>
      </c>
      <c r="T19" s="77">
        <v>0</v>
      </c>
      <c r="U19" s="77">
        <v>0</v>
      </c>
      <c r="V19" s="77">
        <v>9</v>
      </c>
      <c r="W19" s="81" t="s">
        <v>392</v>
      </c>
      <c r="X19" s="77"/>
      <c r="Y19" s="77"/>
      <c r="Z19" s="77"/>
      <c r="AA19" s="77"/>
      <c r="AB19" s="77"/>
      <c r="AC19" s="81" t="s">
        <v>399</v>
      </c>
      <c r="AD19" s="77" t="s">
        <v>400</v>
      </c>
      <c r="AE19" s="83" t="str">
        <f>HYPERLINK("https://twitter.com/economedicos/status/1660597615635963904")</f>
        <v>https://twitter.com/economedicos/status/1660597615635963904</v>
      </c>
      <c r="AF19" s="79">
        <v>45068.447893518518</v>
      </c>
      <c r="AG19" s="85">
        <v>45068</v>
      </c>
      <c r="AH19" s="81" t="s">
        <v>554</v>
      </c>
      <c r="AI19" s="77"/>
      <c r="AJ19" s="77"/>
      <c r="AK19" s="77"/>
      <c r="AL19" s="77"/>
      <c r="AM19" s="77"/>
      <c r="AN19" s="77"/>
      <c r="AO19" s="77"/>
      <c r="AP19" s="77"/>
      <c r="AQ19" s="77"/>
      <c r="AR19" s="77"/>
      <c r="AS19" s="77"/>
      <c r="AT19" s="77"/>
      <c r="AU19" s="77"/>
      <c r="AV19" s="83" t="str">
        <f>HYPERLINK("https://pbs.twimg.com/profile_images/1283576393662636034/EjgsMA_W_normal.jpg")</f>
        <v>https://pbs.twimg.com/profile_images/1283576393662636034/EjgsMA_W_normal.jpg</v>
      </c>
      <c r="AW19" s="81" t="s">
        <v>719</v>
      </c>
      <c r="AX19" s="81" t="s">
        <v>885</v>
      </c>
      <c r="AY19" s="81" t="s">
        <v>895</v>
      </c>
      <c r="AZ19" s="81" t="s">
        <v>1051</v>
      </c>
      <c r="BA19" s="81" t="s">
        <v>1061</v>
      </c>
      <c r="BB19" s="81" t="s">
        <v>1061</v>
      </c>
      <c r="BC19" s="81" t="s">
        <v>1051</v>
      </c>
      <c r="BD19" s="81" t="s">
        <v>895</v>
      </c>
      <c r="BE19" s="77"/>
      <c r="BF19" s="77"/>
      <c r="BG19" s="77"/>
      <c r="BH19" s="77"/>
      <c r="BI19" s="77"/>
    </row>
    <row r="20" spans="1:61" x14ac:dyDescent="0.25">
      <c r="A20" s="62" t="s">
        <v>224</v>
      </c>
      <c r="B20" s="62" t="s">
        <v>224</v>
      </c>
      <c r="C20" s="63"/>
      <c r="D20" s="64"/>
      <c r="E20" s="65"/>
      <c r="F20" s="66"/>
      <c r="G20" s="63"/>
      <c r="H20" s="67"/>
      <c r="I20" s="68"/>
      <c r="J20" s="68"/>
      <c r="K20" s="32"/>
      <c r="L20" s="75"/>
      <c r="M20" s="75"/>
      <c r="N20" s="70"/>
      <c r="O20" s="77" t="s">
        <v>225</v>
      </c>
      <c r="P20" s="79">
        <v>45064.500648148147</v>
      </c>
      <c r="Q20" s="77" t="s">
        <v>251</v>
      </c>
      <c r="R20" s="77">
        <v>0</v>
      </c>
      <c r="S20" s="77">
        <v>0</v>
      </c>
      <c r="T20" s="77">
        <v>0</v>
      </c>
      <c r="U20" s="77">
        <v>0</v>
      </c>
      <c r="V20" s="77">
        <v>2</v>
      </c>
      <c r="W20" s="81" t="s">
        <v>392</v>
      </c>
      <c r="X20" s="77"/>
      <c r="Y20" s="77"/>
      <c r="Z20" s="77"/>
      <c r="AA20" s="77"/>
      <c r="AB20" s="77"/>
      <c r="AC20" s="81" t="s">
        <v>399</v>
      </c>
      <c r="AD20" s="77" t="s">
        <v>400</v>
      </c>
      <c r="AE20" s="83" t="str">
        <f>HYPERLINK("https://twitter.com/economedicos/status/1659167181542760451")</f>
        <v>https://twitter.com/economedicos/status/1659167181542760451</v>
      </c>
      <c r="AF20" s="79">
        <v>45064.500648148147</v>
      </c>
      <c r="AG20" s="85">
        <v>45064</v>
      </c>
      <c r="AH20" s="81" t="s">
        <v>426</v>
      </c>
      <c r="AI20" s="77"/>
      <c r="AJ20" s="77"/>
      <c r="AK20" s="77"/>
      <c r="AL20" s="77"/>
      <c r="AM20" s="77"/>
      <c r="AN20" s="77"/>
      <c r="AO20" s="77"/>
      <c r="AP20" s="77"/>
      <c r="AQ20" s="77"/>
      <c r="AR20" s="77"/>
      <c r="AS20" s="77"/>
      <c r="AT20" s="77"/>
      <c r="AU20" s="77"/>
      <c r="AV20" s="83" t="str">
        <f>HYPERLINK("https://pbs.twimg.com/profile_images/1283576393662636034/EjgsMA_W_normal.jpg")</f>
        <v>https://pbs.twimg.com/profile_images/1283576393662636034/EjgsMA_W_normal.jpg</v>
      </c>
      <c r="AW20" s="81" t="s">
        <v>588</v>
      </c>
      <c r="AX20" s="81" t="s">
        <v>754</v>
      </c>
      <c r="AY20" s="81" t="s">
        <v>895</v>
      </c>
      <c r="AZ20" s="81" t="s">
        <v>921</v>
      </c>
      <c r="BA20" s="81" t="s">
        <v>1061</v>
      </c>
      <c r="BB20" s="81" t="s">
        <v>1061</v>
      </c>
      <c r="BC20" s="81" t="s">
        <v>921</v>
      </c>
      <c r="BD20" s="81" t="s">
        <v>895</v>
      </c>
      <c r="BE20" s="77"/>
      <c r="BF20" s="77"/>
      <c r="BG20" s="77"/>
      <c r="BH20" s="77"/>
      <c r="BI20" s="77"/>
    </row>
    <row r="21" spans="1:61" x14ac:dyDescent="0.25">
      <c r="A21" s="62" t="s">
        <v>224</v>
      </c>
      <c r="B21" s="62" t="s">
        <v>224</v>
      </c>
      <c r="C21" s="63"/>
      <c r="D21" s="64"/>
      <c r="E21" s="65"/>
      <c r="F21" s="66"/>
      <c r="G21" s="63"/>
      <c r="H21" s="67"/>
      <c r="I21" s="68"/>
      <c r="J21" s="68"/>
      <c r="K21" s="32"/>
      <c r="L21" s="75"/>
      <c r="M21" s="75"/>
      <c r="N21" s="70"/>
      <c r="O21" s="77" t="s">
        <v>225</v>
      </c>
      <c r="P21" s="79">
        <v>45022.438530092593</v>
      </c>
      <c r="Q21" s="77" t="s">
        <v>360</v>
      </c>
      <c r="R21" s="77">
        <v>0</v>
      </c>
      <c r="S21" s="77">
        <v>0</v>
      </c>
      <c r="T21" s="77">
        <v>0</v>
      </c>
      <c r="U21" s="77">
        <v>0</v>
      </c>
      <c r="V21" s="77">
        <v>8</v>
      </c>
      <c r="W21" s="81" t="s">
        <v>392</v>
      </c>
      <c r="X21" s="77"/>
      <c r="Y21" s="77"/>
      <c r="Z21" s="77"/>
      <c r="AA21" s="77"/>
      <c r="AB21" s="77"/>
      <c r="AC21" s="81" t="s">
        <v>399</v>
      </c>
      <c r="AD21" s="77" t="s">
        <v>400</v>
      </c>
      <c r="AE21" s="83" t="str">
        <f>HYPERLINK("https://twitter.com/economedicos/status/1643924382056677376")</f>
        <v>https://twitter.com/economedicos/status/1643924382056677376</v>
      </c>
      <c r="AF21" s="79">
        <v>45022.438530092593</v>
      </c>
      <c r="AG21" s="85">
        <v>45022</v>
      </c>
      <c r="AH21" s="81" t="s">
        <v>532</v>
      </c>
      <c r="AI21" s="77"/>
      <c r="AJ21" s="77"/>
      <c r="AK21" s="77"/>
      <c r="AL21" s="77"/>
      <c r="AM21" s="77"/>
      <c r="AN21" s="77"/>
      <c r="AO21" s="77"/>
      <c r="AP21" s="77"/>
      <c r="AQ21" s="77"/>
      <c r="AR21" s="77"/>
      <c r="AS21" s="77"/>
      <c r="AT21" s="77"/>
      <c r="AU21" s="77"/>
      <c r="AV21" s="83" t="str">
        <f>HYPERLINK("https://pbs.twimg.com/profile_images/1283576393662636034/EjgsMA_W_normal.jpg")</f>
        <v>https://pbs.twimg.com/profile_images/1283576393662636034/EjgsMA_W_normal.jpg</v>
      </c>
      <c r="AW21" s="81" t="s">
        <v>697</v>
      </c>
      <c r="AX21" s="81" t="s">
        <v>863</v>
      </c>
      <c r="AY21" s="81" t="s">
        <v>895</v>
      </c>
      <c r="AZ21" s="81" t="s">
        <v>1030</v>
      </c>
      <c r="BA21" s="81" t="s">
        <v>1061</v>
      </c>
      <c r="BB21" s="81" t="s">
        <v>1061</v>
      </c>
      <c r="BC21" s="81" t="s">
        <v>1030</v>
      </c>
      <c r="BD21" s="81" t="s">
        <v>895</v>
      </c>
      <c r="BE21" s="77"/>
      <c r="BF21" s="77"/>
      <c r="BG21" s="77"/>
      <c r="BH21" s="77"/>
      <c r="BI21" s="77"/>
    </row>
    <row r="22" spans="1:61" x14ac:dyDescent="0.25">
      <c r="A22" s="62" t="s">
        <v>224</v>
      </c>
      <c r="B22" s="62" t="s">
        <v>224</v>
      </c>
      <c r="C22" s="63"/>
      <c r="D22" s="64"/>
      <c r="E22" s="65"/>
      <c r="F22" s="66"/>
      <c r="G22" s="63"/>
      <c r="H22" s="67"/>
      <c r="I22" s="68"/>
      <c r="J22" s="68"/>
      <c r="K22" s="32"/>
      <c r="L22" s="75"/>
      <c r="M22" s="75"/>
      <c r="N22" s="70"/>
      <c r="O22" s="77" t="s">
        <v>225</v>
      </c>
      <c r="P22" s="79">
        <v>45021.458460648151</v>
      </c>
      <c r="Q22" s="77" t="s">
        <v>361</v>
      </c>
      <c r="R22" s="77">
        <v>0</v>
      </c>
      <c r="S22" s="77">
        <v>0</v>
      </c>
      <c r="T22" s="77">
        <v>0</v>
      </c>
      <c r="U22" s="77">
        <v>0</v>
      </c>
      <c r="V22" s="77">
        <v>9</v>
      </c>
      <c r="W22" s="81" t="s">
        <v>392</v>
      </c>
      <c r="X22" s="77"/>
      <c r="Y22" s="77"/>
      <c r="Z22" s="77"/>
      <c r="AA22" s="77"/>
      <c r="AB22" s="77"/>
      <c r="AC22" s="81" t="s">
        <v>399</v>
      </c>
      <c r="AD22" s="77" t="s">
        <v>400</v>
      </c>
      <c r="AE22" s="83" t="str">
        <f>HYPERLINK("https://twitter.com/economedicos/status/1643569215582920710")</f>
        <v>https://twitter.com/economedicos/status/1643569215582920710</v>
      </c>
      <c r="AF22" s="79">
        <v>45021.458460648151</v>
      </c>
      <c r="AG22" s="85">
        <v>45021</v>
      </c>
      <c r="AH22" s="81" t="s">
        <v>533</v>
      </c>
      <c r="AI22" s="77"/>
      <c r="AJ22" s="77"/>
      <c r="AK22" s="77"/>
      <c r="AL22" s="77"/>
      <c r="AM22" s="77"/>
      <c r="AN22" s="77"/>
      <c r="AO22" s="77"/>
      <c r="AP22" s="77"/>
      <c r="AQ22" s="77"/>
      <c r="AR22" s="77"/>
      <c r="AS22" s="77"/>
      <c r="AT22" s="77"/>
      <c r="AU22" s="77"/>
      <c r="AV22" s="83" t="str">
        <f>HYPERLINK("https://pbs.twimg.com/profile_images/1283576393662636034/EjgsMA_W_normal.jpg")</f>
        <v>https://pbs.twimg.com/profile_images/1283576393662636034/EjgsMA_W_normal.jpg</v>
      </c>
      <c r="AW22" s="81" t="s">
        <v>698</v>
      </c>
      <c r="AX22" s="81" t="s">
        <v>864</v>
      </c>
      <c r="AY22" s="81" t="s">
        <v>895</v>
      </c>
      <c r="AZ22" s="81" t="s">
        <v>1031</v>
      </c>
      <c r="BA22" s="81" t="s">
        <v>1061</v>
      </c>
      <c r="BB22" s="81" t="s">
        <v>1061</v>
      </c>
      <c r="BC22" s="81" t="s">
        <v>1031</v>
      </c>
      <c r="BD22" s="81" t="s">
        <v>895</v>
      </c>
      <c r="BE22" s="77"/>
      <c r="BF22" s="77"/>
      <c r="BG22" s="77"/>
      <c r="BH22" s="77"/>
      <c r="BI22" s="77"/>
    </row>
    <row r="23" spans="1:61" x14ac:dyDescent="0.25">
      <c r="A23" s="62" t="s">
        <v>224</v>
      </c>
      <c r="B23" s="62" t="s">
        <v>224</v>
      </c>
      <c r="C23" s="63"/>
      <c r="D23" s="64"/>
      <c r="E23" s="65"/>
      <c r="F23" s="66"/>
      <c r="G23" s="63"/>
      <c r="H23" s="67"/>
      <c r="I23" s="68"/>
      <c r="J23" s="68"/>
      <c r="K23" s="32"/>
      <c r="L23" s="75"/>
      <c r="M23" s="75"/>
      <c r="N23" s="70"/>
      <c r="O23" s="77" t="s">
        <v>225</v>
      </c>
      <c r="P23" s="79">
        <v>44995.44604166667</v>
      </c>
      <c r="Q23" s="77" t="s">
        <v>257</v>
      </c>
      <c r="R23" s="77">
        <v>0</v>
      </c>
      <c r="S23" s="77">
        <v>0</v>
      </c>
      <c r="T23" s="77">
        <v>0</v>
      </c>
      <c r="U23" s="77">
        <v>0</v>
      </c>
      <c r="V23" s="77">
        <v>8</v>
      </c>
      <c r="W23" s="81" t="s">
        <v>392</v>
      </c>
      <c r="X23" s="77"/>
      <c r="Y23" s="77"/>
      <c r="Z23" s="77"/>
      <c r="AA23" s="77"/>
      <c r="AB23" s="77"/>
      <c r="AC23" s="81" t="s">
        <v>399</v>
      </c>
      <c r="AD23" s="77" t="s">
        <v>400</v>
      </c>
      <c r="AE23" s="83" t="str">
        <f>HYPERLINK("https://twitter.com/economedicos/status/1634142631407108097")</f>
        <v>https://twitter.com/economedicos/status/1634142631407108097</v>
      </c>
      <c r="AF23" s="79">
        <v>44995.44604166667</v>
      </c>
      <c r="AG23" s="85">
        <v>44995</v>
      </c>
      <c r="AH23" s="81" t="s">
        <v>432</v>
      </c>
      <c r="AI23" s="77"/>
      <c r="AJ23" s="77"/>
      <c r="AK23" s="77"/>
      <c r="AL23" s="77"/>
      <c r="AM23" s="77"/>
      <c r="AN23" s="77"/>
      <c r="AO23" s="77"/>
      <c r="AP23" s="77"/>
      <c r="AQ23" s="77"/>
      <c r="AR23" s="77"/>
      <c r="AS23" s="77"/>
      <c r="AT23" s="77"/>
      <c r="AU23" s="77"/>
      <c r="AV23" s="83" t="str">
        <f>HYPERLINK("https://pbs.twimg.com/profile_images/1283576393662636034/EjgsMA_W_normal.jpg")</f>
        <v>https://pbs.twimg.com/profile_images/1283576393662636034/EjgsMA_W_normal.jpg</v>
      </c>
      <c r="AW23" s="81" t="s">
        <v>594</v>
      </c>
      <c r="AX23" s="81" t="s">
        <v>760</v>
      </c>
      <c r="AY23" s="81" t="s">
        <v>895</v>
      </c>
      <c r="AZ23" s="81" t="s">
        <v>927</v>
      </c>
      <c r="BA23" s="81" t="s">
        <v>1061</v>
      </c>
      <c r="BB23" s="81" t="s">
        <v>1061</v>
      </c>
      <c r="BC23" s="81" t="s">
        <v>927</v>
      </c>
      <c r="BD23" s="81" t="s">
        <v>895</v>
      </c>
      <c r="BE23" s="77"/>
      <c r="BF23" s="77"/>
      <c r="BG23" s="77"/>
      <c r="BH23" s="77"/>
      <c r="BI23" s="77"/>
    </row>
    <row r="24" spans="1:61" x14ac:dyDescent="0.25">
      <c r="A24" s="62" t="s">
        <v>224</v>
      </c>
      <c r="B24" s="62" t="s">
        <v>224</v>
      </c>
      <c r="C24" s="63"/>
      <c r="D24" s="64"/>
      <c r="E24" s="65"/>
      <c r="F24" s="66"/>
      <c r="G24" s="63"/>
      <c r="H24" s="67"/>
      <c r="I24" s="68"/>
      <c r="J24" s="68"/>
      <c r="K24" s="32"/>
      <c r="L24" s="75"/>
      <c r="M24" s="75"/>
      <c r="N24" s="70"/>
      <c r="O24" s="77" t="s">
        <v>225</v>
      </c>
      <c r="P24" s="79">
        <v>44994.433321759258</v>
      </c>
      <c r="Q24" s="77" t="s">
        <v>258</v>
      </c>
      <c r="R24" s="77">
        <v>0</v>
      </c>
      <c r="S24" s="77">
        <v>0</v>
      </c>
      <c r="T24" s="77">
        <v>0</v>
      </c>
      <c r="U24" s="77">
        <v>0</v>
      </c>
      <c r="V24" s="77">
        <v>12</v>
      </c>
      <c r="W24" s="81" t="s">
        <v>392</v>
      </c>
      <c r="X24" s="77"/>
      <c r="Y24" s="77"/>
      <c r="Z24" s="77"/>
      <c r="AA24" s="77"/>
      <c r="AB24" s="77"/>
      <c r="AC24" s="81" t="s">
        <v>399</v>
      </c>
      <c r="AD24" s="77" t="s">
        <v>400</v>
      </c>
      <c r="AE24" s="83" t="str">
        <f>HYPERLINK("https://twitter.com/economedicos/status/1633775631358996481")</f>
        <v>https://twitter.com/economedicos/status/1633775631358996481</v>
      </c>
      <c r="AF24" s="79">
        <v>44994.433321759258</v>
      </c>
      <c r="AG24" s="85">
        <v>44994</v>
      </c>
      <c r="AH24" s="81" t="s">
        <v>433</v>
      </c>
      <c r="AI24" s="77"/>
      <c r="AJ24" s="77"/>
      <c r="AK24" s="77"/>
      <c r="AL24" s="77"/>
      <c r="AM24" s="77"/>
      <c r="AN24" s="77"/>
      <c r="AO24" s="77"/>
      <c r="AP24" s="77"/>
      <c r="AQ24" s="77"/>
      <c r="AR24" s="77"/>
      <c r="AS24" s="77"/>
      <c r="AT24" s="77"/>
      <c r="AU24" s="77"/>
      <c r="AV24" s="83" t="str">
        <f>HYPERLINK("https://pbs.twimg.com/profile_images/1283576393662636034/EjgsMA_W_normal.jpg")</f>
        <v>https://pbs.twimg.com/profile_images/1283576393662636034/EjgsMA_W_normal.jpg</v>
      </c>
      <c r="AW24" s="81" t="s">
        <v>595</v>
      </c>
      <c r="AX24" s="81" t="s">
        <v>761</v>
      </c>
      <c r="AY24" s="81" t="s">
        <v>895</v>
      </c>
      <c r="AZ24" s="81" t="s">
        <v>928</v>
      </c>
      <c r="BA24" s="81" t="s">
        <v>1061</v>
      </c>
      <c r="BB24" s="81" t="s">
        <v>1061</v>
      </c>
      <c r="BC24" s="81" t="s">
        <v>928</v>
      </c>
      <c r="BD24" s="81" t="s">
        <v>895</v>
      </c>
      <c r="BE24" s="77"/>
      <c r="BF24" s="77"/>
      <c r="BG24" s="77"/>
      <c r="BH24" s="77"/>
      <c r="BI24" s="77"/>
    </row>
    <row r="25" spans="1:61" x14ac:dyDescent="0.25">
      <c r="A25" s="62" t="s">
        <v>224</v>
      </c>
      <c r="B25" s="62" t="s">
        <v>224</v>
      </c>
      <c r="C25" s="63"/>
      <c r="D25" s="64"/>
      <c r="E25" s="65"/>
      <c r="F25" s="66"/>
      <c r="G25" s="63"/>
      <c r="H25" s="67"/>
      <c r="I25" s="68"/>
      <c r="J25" s="68"/>
      <c r="K25" s="32"/>
      <c r="L25" s="75"/>
      <c r="M25" s="75"/>
      <c r="N25" s="70"/>
      <c r="O25" s="77" t="s">
        <v>225</v>
      </c>
      <c r="P25" s="79">
        <v>44960.468576388892</v>
      </c>
      <c r="Q25" s="77" t="s">
        <v>314</v>
      </c>
      <c r="R25" s="77">
        <v>0</v>
      </c>
      <c r="S25" s="77">
        <v>0</v>
      </c>
      <c r="T25" s="77">
        <v>0</v>
      </c>
      <c r="U25" s="77">
        <v>0</v>
      </c>
      <c r="V25" s="77">
        <v>6</v>
      </c>
      <c r="W25" s="81" t="s">
        <v>392</v>
      </c>
      <c r="X25" s="77"/>
      <c r="Y25" s="77"/>
      <c r="Z25" s="77"/>
      <c r="AA25" s="77"/>
      <c r="AB25" s="77"/>
      <c r="AC25" s="81" t="s">
        <v>399</v>
      </c>
      <c r="AD25" s="77" t="s">
        <v>400</v>
      </c>
      <c r="AE25" s="83" t="str">
        <f>HYPERLINK("https://twitter.com/economedicos/status/1621467219828916226")</f>
        <v>https://twitter.com/economedicos/status/1621467219828916226</v>
      </c>
      <c r="AF25" s="79">
        <v>44960.468576388892</v>
      </c>
      <c r="AG25" s="85">
        <v>44960</v>
      </c>
      <c r="AH25" s="81" t="s">
        <v>488</v>
      </c>
      <c r="AI25" s="77"/>
      <c r="AJ25" s="77"/>
      <c r="AK25" s="77"/>
      <c r="AL25" s="77"/>
      <c r="AM25" s="77"/>
      <c r="AN25" s="77"/>
      <c r="AO25" s="77"/>
      <c r="AP25" s="77"/>
      <c r="AQ25" s="77"/>
      <c r="AR25" s="77"/>
      <c r="AS25" s="77"/>
      <c r="AT25" s="77"/>
      <c r="AU25" s="77"/>
      <c r="AV25" s="83" t="str">
        <f>HYPERLINK("https://pbs.twimg.com/profile_images/1283576393662636034/EjgsMA_W_normal.jpg")</f>
        <v>https://pbs.twimg.com/profile_images/1283576393662636034/EjgsMA_W_normal.jpg</v>
      </c>
      <c r="AW25" s="81" t="s">
        <v>651</v>
      </c>
      <c r="AX25" s="81" t="s">
        <v>817</v>
      </c>
      <c r="AY25" s="81" t="s">
        <v>895</v>
      </c>
      <c r="AZ25" s="81" t="s">
        <v>984</v>
      </c>
      <c r="BA25" s="81" t="s">
        <v>1061</v>
      </c>
      <c r="BB25" s="81" t="s">
        <v>1061</v>
      </c>
      <c r="BC25" s="81" t="s">
        <v>984</v>
      </c>
      <c r="BD25" s="81" t="s">
        <v>895</v>
      </c>
      <c r="BE25" s="77"/>
      <c r="BF25" s="77"/>
      <c r="BG25" s="77"/>
      <c r="BH25" s="77"/>
      <c r="BI25" s="77"/>
    </row>
    <row r="26" spans="1:61" x14ac:dyDescent="0.25">
      <c r="A26" s="62" t="s">
        <v>224</v>
      </c>
      <c r="B26" s="62" t="s">
        <v>224</v>
      </c>
      <c r="C26" s="63"/>
      <c r="D26" s="64"/>
      <c r="E26" s="65"/>
      <c r="F26" s="66"/>
      <c r="G26" s="63"/>
      <c r="H26" s="67"/>
      <c r="I26" s="68"/>
      <c r="J26" s="68"/>
      <c r="K26" s="32"/>
      <c r="L26" s="75"/>
      <c r="M26" s="75"/>
      <c r="N26" s="70"/>
      <c r="O26" s="77" t="s">
        <v>225</v>
      </c>
      <c r="P26" s="79">
        <v>44959.471099537041</v>
      </c>
      <c r="Q26" s="77" t="s">
        <v>315</v>
      </c>
      <c r="R26" s="77">
        <v>0</v>
      </c>
      <c r="S26" s="77">
        <v>0</v>
      </c>
      <c r="T26" s="77">
        <v>0</v>
      </c>
      <c r="U26" s="77">
        <v>0</v>
      </c>
      <c r="V26" s="77">
        <v>15</v>
      </c>
      <c r="W26" s="81" t="s">
        <v>397</v>
      </c>
      <c r="X26" s="77"/>
      <c r="Y26" s="77"/>
      <c r="Z26" s="77"/>
      <c r="AA26" s="77"/>
      <c r="AB26" s="77"/>
      <c r="AC26" s="81" t="s">
        <v>399</v>
      </c>
      <c r="AD26" s="77" t="s">
        <v>400</v>
      </c>
      <c r="AE26" s="83" t="str">
        <f>HYPERLINK("https://twitter.com/economedicos/status/1621105748729303041")</f>
        <v>https://twitter.com/economedicos/status/1621105748729303041</v>
      </c>
      <c r="AF26" s="79">
        <v>44959.471099537041</v>
      </c>
      <c r="AG26" s="85">
        <v>44959</v>
      </c>
      <c r="AH26" s="81" t="s">
        <v>489</v>
      </c>
      <c r="AI26" s="77"/>
      <c r="AJ26" s="77"/>
      <c r="AK26" s="77"/>
      <c r="AL26" s="77"/>
      <c r="AM26" s="77"/>
      <c r="AN26" s="77"/>
      <c r="AO26" s="77"/>
      <c r="AP26" s="77"/>
      <c r="AQ26" s="77"/>
      <c r="AR26" s="77"/>
      <c r="AS26" s="77"/>
      <c r="AT26" s="77"/>
      <c r="AU26" s="77"/>
      <c r="AV26" s="83" t="str">
        <f>HYPERLINK("https://pbs.twimg.com/profile_images/1283576393662636034/EjgsMA_W_normal.jpg")</f>
        <v>https://pbs.twimg.com/profile_images/1283576393662636034/EjgsMA_W_normal.jpg</v>
      </c>
      <c r="AW26" s="81" t="s">
        <v>652</v>
      </c>
      <c r="AX26" s="81" t="s">
        <v>818</v>
      </c>
      <c r="AY26" s="81" t="s">
        <v>895</v>
      </c>
      <c r="AZ26" s="81" t="s">
        <v>985</v>
      </c>
      <c r="BA26" s="81" t="s">
        <v>1061</v>
      </c>
      <c r="BB26" s="81" t="s">
        <v>1061</v>
      </c>
      <c r="BC26" s="81" t="s">
        <v>985</v>
      </c>
      <c r="BD26" s="81" t="s">
        <v>895</v>
      </c>
      <c r="BE26" s="77"/>
      <c r="BF26" s="77"/>
      <c r="BG26" s="77"/>
      <c r="BH26" s="77"/>
      <c r="BI26" s="77"/>
    </row>
    <row r="27" spans="1:61" x14ac:dyDescent="0.25">
      <c r="A27" s="62" t="s">
        <v>224</v>
      </c>
      <c r="B27" s="62" t="s">
        <v>224</v>
      </c>
      <c r="C27" s="63"/>
      <c r="D27" s="64"/>
      <c r="E27" s="65"/>
      <c r="F27" s="66"/>
      <c r="G27" s="63"/>
      <c r="H27" s="67"/>
      <c r="I27" s="68"/>
      <c r="J27" s="68"/>
      <c r="K27" s="32"/>
      <c r="L27" s="75"/>
      <c r="M27" s="75"/>
      <c r="N27" s="70"/>
      <c r="O27" s="77" t="s">
        <v>225</v>
      </c>
      <c r="P27" s="79">
        <v>44958.476157407407</v>
      </c>
      <c r="Q27" s="77" t="s">
        <v>316</v>
      </c>
      <c r="R27" s="77">
        <v>0</v>
      </c>
      <c r="S27" s="77">
        <v>0</v>
      </c>
      <c r="T27" s="77">
        <v>0</v>
      </c>
      <c r="U27" s="77">
        <v>0</v>
      </c>
      <c r="V27" s="77">
        <v>12</v>
      </c>
      <c r="W27" s="81" t="s">
        <v>394</v>
      </c>
      <c r="X27" s="77"/>
      <c r="Y27" s="77"/>
      <c r="Z27" s="77"/>
      <c r="AA27" s="77"/>
      <c r="AB27" s="77"/>
      <c r="AC27" s="81" t="s">
        <v>399</v>
      </c>
      <c r="AD27" s="77" t="s">
        <v>400</v>
      </c>
      <c r="AE27" s="83" t="str">
        <f>HYPERLINK("https://twitter.com/economedicos/status/1620745194152005634")</f>
        <v>https://twitter.com/economedicos/status/1620745194152005634</v>
      </c>
      <c r="AF27" s="79">
        <v>44958.476157407407</v>
      </c>
      <c r="AG27" s="85">
        <v>44958</v>
      </c>
      <c r="AH27" s="81" t="s">
        <v>490</v>
      </c>
      <c r="AI27" s="77"/>
      <c r="AJ27" s="77"/>
      <c r="AK27" s="77"/>
      <c r="AL27" s="77"/>
      <c r="AM27" s="77"/>
      <c r="AN27" s="77"/>
      <c r="AO27" s="77"/>
      <c r="AP27" s="77"/>
      <c r="AQ27" s="77"/>
      <c r="AR27" s="77"/>
      <c r="AS27" s="77"/>
      <c r="AT27" s="77"/>
      <c r="AU27" s="77"/>
      <c r="AV27" s="83" t="str">
        <f>HYPERLINK("https://pbs.twimg.com/profile_images/1283576393662636034/EjgsMA_W_normal.jpg")</f>
        <v>https://pbs.twimg.com/profile_images/1283576393662636034/EjgsMA_W_normal.jpg</v>
      </c>
      <c r="AW27" s="81" t="s">
        <v>653</v>
      </c>
      <c r="AX27" s="81" t="s">
        <v>819</v>
      </c>
      <c r="AY27" s="81" t="s">
        <v>895</v>
      </c>
      <c r="AZ27" s="81" t="s">
        <v>986</v>
      </c>
      <c r="BA27" s="81" t="s">
        <v>1061</v>
      </c>
      <c r="BB27" s="81" t="s">
        <v>1061</v>
      </c>
      <c r="BC27" s="81" t="s">
        <v>986</v>
      </c>
      <c r="BD27" s="81" t="s">
        <v>895</v>
      </c>
      <c r="BE27" s="77"/>
      <c r="BF27" s="77"/>
      <c r="BG27" s="77"/>
      <c r="BH27" s="77"/>
      <c r="BI27" s="77"/>
    </row>
    <row r="28" spans="1:61" x14ac:dyDescent="0.25">
      <c r="A28" s="62" t="s">
        <v>224</v>
      </c>
      <c r="B28" s="62" t="s">
        <v>224</v>
      </c>
      <c r="C28" s="63"/>
      <c r="D28" s="64"/>
      <c r="E28" s="65"/>
      <c r="F28" s="66"/>
      <c r="G28" s="63"/>
      <c r="H28" s="67"/>
      <c r="I28" s="68"/>
      <c r="J28" s="68"/>
      <c r="K28" s="32"/>
      <c r="L28" s="75"/>
      <c r="M28" s="75"/>
      <c r="N28" s="70"/>
      <c r="O28" s="77" t="s">
        <v>225</v>
      </c>
      <c r="P28" s="79">
        <v>44956.443530092591</v>
      </c>
      <c r="Q28" s="77" t="s">
        <v>317</v>
      </c>
      <c r="R28" s="77">
        <v>0</v>
      </c>
      <c r="S28" s="77">
        <v>0</v>
      </c>
      <c r="T28" s="77">
        <v>0</v>
      </c>
      <c r="U28" s="77">
        <v>0</v>
      </c>
      <c r="V28" s="77">
        <v>2</v>
      </c>
      <c r="W28" s="81" t="s">
        <v>394</v>
      </c>
      <c r="X28" s="77"/>
      <c r="Y28" s="77"/>
      <c r="Z28" s="77"/>
      <c r="AA28" s="77"/>
      <c r="AB28" s="77"/>
      <c r="AC28" s="81" t="s">
        <v>399</v>
      </c>
      <c r="AD28" s="77" t="s">
        <v>400</v>
      </c>
      <c r="AE28" s="83" t="str">
        <f>HYPERLINK("https://twitter.com/economedicos/status/1620008591536320512")</f>
        <v>https://twitter.com/economedicos/status/1620008591536320512</v>
      </c>
      <c r="AF28" s="79">
        <v>44956.443530092591</v>
      </c>
      <c r="AG28" s="85">
        <v>44956</v>
      </c>
      <c r="AH28" s="81" t="s">
        <v>458</v>
      </c>
      <c r="AI28" s="77"/>
      <c r="AJ28" s="77"/>
      <c r="AK28" s="77"/>
      <c r="AL28" s="77"/>
      <c r="AM28" s="77"/>
      <c r="AN28" s="77"/>
      <c r="AO28" s="77"/>
      <c r="AP28" s="77"/>
      <c r="AQ28" s="77"/>
      <c r="AR28" s="77"/>
      <c r="AS28" s="77"/>
      <c r="AT28" s="77"/>
      <c r="AU28" s="77"/>
      <c r="AV28" s="83" t="str">
        <f>HYPERLINK("https://pbs.twimg.com/profile_images/1283576393662636034/EjgsMA_W_normal.jpg")</f>
        <v>https://pbs.twimg.com/profile_images/1283576393662636034/EjgsMA_W_normal.jpg</v>
      </c>
      <c r="AW28" s="81" t="s">
        <v>654</v>
      </c>
      <c r="AX28" s="81" t="s">
        <v>820</v>
      </c>
      <c r="AY28" s="81" t="s">
        <v>895</v>
      </c>
      <c r="AZ28" s="81" t="s">
        <v>987</v>
      </c>
      <c r="BA28" s="81" t="s">
        <v>1061</v>
      </c>
      <c r="BB28" s="81" t="s">
        <v>1061</v>
      </c>
      <c r="BC28" s="81" t="s">
        <v>987</v>
      </c>
      <c r="BD28" s="81" t="s">
        <v>895</v>
      </c>
      <c r="BE28" s="77"/>
      <c r="BF28" s="77"/>
      <c r="BG28" s="77"/>
      <c r="BH28" s="77"/>
      <c r="BI28" s="77"/>
    </row>
    <row r="29" spans="1:61" x14ac:dyDescent="0.25">
      <c r="A29" s="62" t="s">
        <v>224</v>
      </c>
      <c r="B29" s="62" t="s">
        <v>224</v>
      </c>
      <c r="C29" s="63"/>
      <c r="D29" s="64"/>
      <c r="E29" s="65"/>
      <c r="F29" s="66"/>
      <c r="G29" s="63"/>
      <c r="H29" s="67"/>
      <c r="I29" s="68"/>
      <c r="J29" s="68"/>
      <c r="K29" s="32"/>
      <c r="L29" s="75"/>
      <c r="M29" s="75"/>
      <c r="N29" s="70"/>
      <c r="O29" s="77" t="s">
        <v>225</v>
      </c>
      <c r="P29" s="79">
        <v>45112.429710648146</v>
      </c>
      <c r="Q29" s="77" t="s">
        <v>341</v>
      </c>
      <c r="R29" s="77">
        <v>0</v>
      </c>
      <c r="S29" s="77">
        <v>0</v>
      </c>
      <c r="T29" s="77">
        <v>1</v>
      </c>
      <c r="U29" s="77">
        <v>0</v>
      </c>
      <c r="V29" s="77">
        <v>13</v>
      </c>
      <c r="W29" s="81" t="s">
        <v>392</v>
      </c>
      <c r="X29" s="77"/>
      <c r="Y29" s="77"/>
      <c r="Z29" s="77"/>
      <c r="AA29" s="77"/>
      <c r="AB29" s="77"/>
      <c r="AC29" s="81" t="s">
        <v>399</v>
      </c>
      <c r="AD29" s="77" t="s">
        <v>400</v>
      </c>
      <c r="AE29" s="83" t="str">
        <f>HYPERLINK("https://twitter.com/economedicos/status/1676536091266908161")</f>
        <v>https://twitter.com/economedicos/status/1676536091266908161</v>
      </c>
      <c r="AF29" s="79">
        <v>45112.429710648146</v>
      </c>
      <c r="AG29" s="85">
        <v>45112</v>
      </c>
      <c r="AH29" s="81" t="s">
        <v>513</v>
      </c>
      <c r="AI29" s="77"/>
      <c r="AJ29" s="77"/>
      <c r="AK29" s="77"/>
      <c r="AL29" s="77"/>
      <c r="AM29" s="77"/>
      <c r="AN29" s="77"/>
      <c r="AO29" s="77"/>
      <c r="AP29" s="77"/>
      <c r="AQ29" s="77"/>
      <c r="AR29" s="77"/>
      <c r="AS29" s="77"/>
      <c r="AT29" s="77"/>
      <c r="AU29" s="77"/>
      <c r="AV29" s="83" t="str">
        <f>HYPERLINK("https://pbs.twimg.com/profile_images/1283576393662636034/EjgsMA_W_normal.jpg")</f>
        <v>https://pbs.twimg.com/profile_images/1283576393662636034/EjgsMA_W_normal.jpg</v>
      </c>
      <c r="AW29" s="81" t="s">
        <v>678</v>
      </c>
      <c r="AX29" s="81" t="s">
        <v>844</v>
      </c>
      <c r="AY29" s="81" t="s">
        <v>895</v>
      </c>
      <c r="AZ29" s="81" t="s">
        <v>1011</v>
      </c>
      <c r="BA29" s="81" t="s">
        <v>1061</v>
      </c>
      <c r="BB29" s="81" t="s">
        <v>1061</v>
      </c>
      <c r="BC29" s="81" t="s">
        <v>1011</v>
      </c>
      <c r="BD29" s="81" t="s">
        <v>895</v>
      </c>
      <c r="BE29" s="77"/>
      <c r="BF29" s="77"/>
      <c r="BG29" s="77"/>
      <c r="BH29" s="77"/>
      <c r="BI29" s="77"/>
    </row>
    <row r="30" spans="1:61" x14ac:dyDescent="0.25">
      <c r="A30" s="62" t="s">
        <v>224</v>
      </c>
      <c r="B30" s="62" t="s">
        <v>224</v>
      </c>
      <c r="C30" s="63"/>
      <c r="D30" s="64"/>
      <c r="E30" s="65"/>
      <c r="F30" s="66"/>
      <c r="G30" s="63"/>
      <c r="H30" s="67"/>
      <c r="I30" s="68"/>
      <c r="J30" s="68"/>
      <c r="K30" s="32"/>
      <c r="L30" s="75"/>
      <c r="M30" s="75"/>
      <c r="N30" s="70"/>
      <c r="O30" s="77" t="s">
        <v>225</v>
      </c>
      <c r="P30" s="79">
        <v>45098.465057870373</v>
      </c>
      <c r="Q30" s="77" t="s">
        <v>250</v>
      </c>
      <c r="R30" s="77">
        <v>0</v>
      </c>
      <c r="S30" s="77">
        <v>0</v>
      </c>
      <c r="T30" s="77">
        <v>0</v>
      </c>
      <c r="U30" s="77">
        <v>0</v>
      </c>
      <c r="V30" s="77">
        <v>9</v>
      </c>
      <c r="W30" s="81" t="s">
        <v>392</v>
      </c>
      <c r="X30" s="77"/>
      <c r="Y30" s="77"/>
      <c r="Z30" s="77"/>
      <c r="AA30" s="77"/>
      <c r="AB30" s="77"/>
      <c r="AC30" s="81" t="s">
        <v>399</v>
      </c>
      <c r="AD30" s="77" t="s">
        <v>400</v>
      </c>
      <c r="AE30" s="83" t="str">
        <f>HYPERLINK("https://twitter.com/economedicos/status/1671475470544543744")</f>
        <v>https://twitter.com/economedicos/status/1671475470544543744</v>
      </c>
      <c r="AF30" s="79">
        <v>45098.465057870373</v>
      </c>
      <c r="AG30" s="85">
        <v>45098</v>
      </c>
      <c r="AH30" s="81" t="s">
        <v>425</v>
      </c>
      <c r="AI30" s="77"/>
      <c r="AJ30" s="77"/>
      <c r="AK30" s="77"/>
      <c r="AL30" s="77"/>
      <c r="AM30" s="77"/>
      <c r="AN30" s="77"/>
      <c r="AO30" s="77"/>
      <c r="AP30" s="77"/>
      <c r="AQ30" s="77"/>
      <c r="AR30" s="77"/>
      <c r="AS30" s="77"/>
      <c r="AT30" s="77"/>
      <c r="AU30" s="77"/>
      <c r="AV30" s="83" t="str">
        <f>HYPERLINK("https://pbs.twimg.com/profile_images/1283576393662636034/EjgsMA_W_normal.jpg")</f>
        <v>https://pbs.twimg.com/profile_images/1283576393662636034/EjgsMA_W_normal.jpg</v>
      </c>
      <c r="AW30" s="81" t="s">
        <v>587</v>
      </c>
      <c r="AX30" s="81" t="s">
        <v>753</v>
      </c>
      <c r="AY30" s="81" t="s">
        <v>895</v>
      </c>
      <c r="AZ30" s="81" t="s">
        <v>920</v>
      </c>
      <c r="BA30" s="81" t="s">
        <v>1061</v>
      </c>
      <c r="BB30" s="81" t="s">
        <v>1061</v>
      </c>
      <c r="BC30" s="81" t="s">
        <v>920</v>
      </c>
      <c r="BD30" s="81" t="s">
        <v>895</v>
      </c>
      <c r="BE30" s="77"/>
      <c r="BF30" s="77"/>
      <c r="BG30" s="77"/>
      <c r="BH30" s="77"/>
      <c r="BI30" s="77"/>
    </row>
    <row r="31" spans="1:61" x14ac:dyDescent="0.25">
      <c r="A31" s="62" t="s">
        <v>224</v>
      </c>
      <c r="B31" s="62" t="s">
        <v>224</v>
      </c>
      <c r="C31" s="63"/>
      <c r="D31" s="64"/>
      <c r="E31" s="65"/>
      <c r="F31" s="66"/>
      <c r="G31" s="63"/>
      <c r="H31" s="67"/>
      <c r="I31" s="68"/>
      <c r="J31" s="68"/>
      <c r="K31" s="32"/>
      <c r="L31" s="75"/>
      <c r="M31" s="75"/>
      <c r="N31" s="70"/>
      <c r="O31" s="77" t="s">
        <v>225</v>
      </c>
      <c r="P31" s="79">
        <v>45085.411979166667</v>
      </c>
      <c r="Q31" s="77" t="s">
        <v>232</v>
      </c>
      <c r="R31" s="77">
        <v>0</v>
      </c>
      <c r="S31" s="77">
        <v>0</v>
      </c>
      <c r="T31" s="77">
        <v>0</v>
      </c>
      <c r="U31" s="77">
        <v>0</v>
      </c>
      <c r="V31" s="77">
        <v>2</v>
      </c>
      <c r="W31" s="81" t="s">
        <v>392</v>
      </c>
      <c r="X31" s="77"/>
      <c r="Y31" s="77"/>
      <c r="Z31" s="77"/>
      <c r="AA31" s="77"/>
      <c r="AB31" s="77"/>
      <c r="AC31" s="81" t="s">
        <v>399</v>
      </c>
      <c r="AD31" s="77" t="s">
        <v>400</v>
      </c>
      <c r="AE31" s="83" t="str">
        <f>HYPERLINK("https://twitter.com/economedicos/status/1666745194019192835")</f>
        <v>https://twitter.com/economedicos/status/1666745194019192835</v>
      </c>
      <c r="AF31" s="79">
        <v>45085.411979166667</v>
      </c>
      <c r="AG31" s="85">
        <v>45085</v>
      </c>
      <c r="AH31" s="81" t="s">
        <v>407</v>
      </c>
      <c r="AI31" s="77"/>
      <c r="AJ31" s="77"/>
      <c r="AK31" s="77"/>
      <c r="AL31" s="77"/>
      <c r="AM31" s="77"/>
      <c r="AN31" s="77"/>
      <c r="AO31" s="77"/>
      <c r="AP31" s="77"/>
      <c r="AQ31" s="77"/>
      <c r="AR31" s="77"/>
      <c r="AS31" s="77"/>
      <c r="AT31" s="77"/>
      <c r="AU31" s="77"/>
      <c r="AV31" s="83" t="str">
        <f>HYPERLINK("https://pbs.twimg.com/profile_images/1283576393662636034/EjgsMA_W_normal.jpg")</f>
        <v>https://pbs.twimg.com/profile_images/1283576393662636034/EjgsMA_W_normal.jpg</v>
      </c>
      <c r="AW31" s="81" t="s">
        <v>569</v>
      </c>
      <c r="AX31" s="81" t="s">
        <v>735</v>
      </c>
      <c r="AY31" s="81" t="s">
        <v>895</v>
      </c>
      <c r="AZ31" s="81" t="s">
        <v>902</v>
      </c>
      <c r="BA31" s="81" t="s">
        <v>1061</v>
      </c>
      <c r="BB31" s="81" t="s">
        <v>1061</v>
      </c>
      <c r="BC31" s="81" t="s">
        <v>902</v>
      </c>
      <c r="BD31" s="81" t="s">
        <v>895</v>
      </c>
      <c r="BE31" s="77"/>
      <c r="BF31" s="77"/>
      <c r="BG31" s="77"/>
      <c r="BH31" s="77"/>
      <c r="BI31" s="77"/>
    </row>
    <row r="32" spans="1:61" x14ac:dyDescent="0.25">
      <c r="A32" s="62" t="s">
        <v>224</v>
      </c>
      <c r="B32" s="62" t="s">
        <v>224</v>
      </c>
      <c r="C32" s="63"/>
      <c r="D32" s="64"/>
      <c r="E32" s="65"/>
      <c r="F32" s="66"/>
      <c r="G32" s="63"/>
      <c r="H32" s="67"/>
      <c r="I32" s="68"/>
      <c r="J32" s="68"/>
      <c r="K32" s="32"/>
      <c r="L32" s="75"/>
      <c r="M32" s="75"/>
      <c r="N32" s="70"/>
      <c r="O32" s="77" t="s">
        <v>225</v>
      </c>
      <c r="P32" s="79">
        <v>45076.445636574077</v>
      </c>
      <c r="Q32" s="77" t="s">
        <v>359</v>
      </c>
      <c r="R32" s="77">
        <v>0</v>
      </c>
      <c r="S32" s="77">
        <v>0</v>
      </c>
      <c r="T32" s="77">
        <v>0</v>
      </c>
      <c r="U32" s="77">
        <v>0</v>
      </c>
      <c r="V32" s="77">
        <v>3</v>
      </c>
      <c r="W32" s="81" t="s">
        <v>392</v>
      </c>
      <c r="X32" s="77"/>
      <c r="Y32" s="77"/>
      <c r="Z32" s="77"/>
      <c r="AA32" s="77"/>
      <c r="AB32" s="77"/>
      <c r="AC32" s="81" t="s">
        <v>399</v>
      </c>
      <c r="AD32" s="77" t="s">
        <v>400</v>
      </c>
      <c r="AE32" s="83" t="str">
        <f>HYPERLINK("https://twitter.com/economedicos/status/1663495902076497923")</f>
        <v>https://twitter.com/economedicos/status/1663495902076497923</v>
      </c>
      <c r="AF32" s="79">
        <v>45076.445636574077</v>
      </c>
      <c r="AG32" s="85">
        <v>45076</v>
      </c>
      <c r="AH32" s="81" t="s">
        <v>531</v>
      </c>
      <c r="AI32" s="77"/>
      <c r="AJ32" s="77"/>
      <c r="AK32" s="77"/>
      <c r="AL32" s="77"/>
      <c r="AM32" s="77"/>
      <c r="AN32" s="77"/>
      <c r="AO32" s="77"/>
      <c r="AP32" s="77"/>
      <c r="AQ32" s="77"/>
      <c r="AR32" s="77"/>
      <c r="AS32" s="77"/>
      <c r="AT32" s="77"/>
      <c r="AU32" s="77"/>
      <c r="AV32" s="83" t="str">
        <f>HYPERLINK("https://pbs.twimg.com/profile_images/1283576393662636034/EjgsMA_W_normal.jpg")</f>
        <v>https://pbs.twimg.com/profile_images/1283576393662636034/EjgsMA_W_normal.jpg</v>
      </c>
      <c r="AW32" s="81" t="s">
        <v>696</v>
      </c>
      <c r="AX32" s="81" t="s">
        <v>862</v>
      </c>
      <c r="AY32" s="81" t="s">
        <v>895</v>
      </c>
      <c r="AZ32" s="81" t="s">
        <v>1029</v>
      </c>
      <c r="BA32" s="81" t="s">
        <v>1061</v>
      </c>
      <c r="BB32" s="81" t="s">
        <v>1061</v>
      </c>
      <c r="BC32" s="81" t="s">
        <v>1029</v>
      </c>
      <c r="BD32" s="81" t="s">
        <v>895</v>
      </c>
      <c r="BE32" s="77"/>
      <c r="BF32" s="77"/>
      <c r="BG32" s="77"/>
      <c r="BH32" s="77"/>
      <c r="BI32" s="77"/>
    </row>
    <row r="33" spans="1:61" x14ac:dyDescent="0.25">
      <c r="A33" s="62" t="s">
        <v>224</v>
      </c>
      <c r="B33" s="62" t="s">
        <v>224</v>
      </c>
      <c r="C33" s="63"/>
      <c r="D33" s="64"/>
      <c r="E33" s="65"/>
      <c r="F33" s="66"/>
      <c r="G33" s="63"/>
      <c r="H33" s="67"/>
      <c r="I33" s="68"/>
      <c r="J33" s="68"/>
      <c r="K33" s="32"/>
      <c r="L33" s="75"/>
      <c r="M33" s="75"/>
      <c r="N33" s="70"/>
      <c r="O33" s="77" t="s">
        <v>225</v>
      </c>
      <c r="P33" s="79">
        <v>45075.437337962961</v>
      </c>
      <c r="Q33" s="77" t="s">
        <v>308</v>
      </c>
      <c r="R33" s="77">
        <v>0</v>
      </c>
      <c r="S33" s="77">
        <v>0</v>
      </c>
      <c r="T33" s="77">
        <v>0</v>
      </c>
      <c r="U33" s="77">
        <v>0</v>
      </c>
      <c r="V33" s="77">
        <v>12</v>
      </c>
      <c r="W33" s="81" t="s">
        <v>396</v>
      </c>
      <c r="X33" s="77"/>
      <c r="Y33" s="77"/>
      <c r="Z33" s="77"/>
      <c r="AA33" s="77"/>
      <c r="AB33" s="77"/>
      <c r="AC33" s="81" t="s">
        <v>399</v>
      </c>
      <c r="AD33" s="77" t="s">
        <v>400</v>
      </c>
      <c r="AE33" s="83" t="str">
        <f>HYPERLINK("https://twitter.com/economedicos/status/1663130505150119936")</f>
        <v>https://twitter.com/economedicos/status/1663130505150119936</v>
      </c>
      <c r="AF33" s="79">
        <v>45075.437337962961</v>
      </c>
      <c r="AG33" s="85">
        <v>45075</v>
      </c>
      <c r="AH33" s="81" t="s">
        <v>482</v>
      </c>
      <c r="AI33" s="77"/>
      <c r="AJ33" s="77"/>
      <c r="AK33" s="77"/>
      <c r="AL33" s="77"/>
      <c r="AM33" s="77"/>
      <c r="AN33" s="77"/>
      <c r="AO33" s="77"/>
      <c r="AP33" s="77"/>
      <c r="AQ33" s="77"/>
      <c r="AR33" s="77"/>
      <c r="AS33" s="77"/>
      <c r="AT33" s="77"/>
      <c r="AU33" s="77"/>
      <c r="AV33" s="83" t="str">
        <f>HYPERLINK("https://pbs.twimg.com/profile_images/1283576393662636034/EjgsMA_W_normal.jpg")</f>
        <v>https://pbs.twimg.com/profile_images/1283576393662636034/EjgsMA_W_normal.jpg</v>
      </c>
      <c r="AW33" s="81" t="s">
        <v>645</v>
      </c>
      <c r="AX33" s="81" t="s">
        <v>811</v>
      </c>
      <c r="AY33" s="81" t="s">
        <v>895</v>
      </c>
      <c r="AZ33" s="81" t="s">
        <v>978</v>
      </c>
      <c r="BA33" s="81" t="s">
        <v>1061</v>
      </c>
      <c r="BB33" s="81" t="s">
        <v>1061</v>
      </c>
      <c r="BC33" s="81" t="s">
        <v>978</v>
      </c>
      <c r="BD33" s="81" t="s">
        <v>895</v>
      </c>
      <c r="BE33" s="77"/>
      <c r="BF33" s="77"/>
      <c r="BG33" s="77"/>
      <c r="BH33" s="77"/>
      <c r="BI33" s="77"/>
    </row>
    <row r="34" spans="1:61" x14ac:dyDescent="0.25">
      <c r="A34" s="62" t="s">
        <v>224</v>
      </c>
      <c r="B34" s="62" t="s">
        <v>224</v>
      </c>
      <c r="C34" s="63"/>
      <c r="D34" s="64"/>
      <c r="E34" s="65"/>
      <c r="F34" s="66"/>
      <c r="G34" s="63"/>
      <c r="H34" s="67"/>
      <c r="I34" s="68"/>
      <c r="J34" s="68"/>
      <c r="K34" s="32"/>
      <c r="L34" s="75"/>
      <c r="M34" s="75"/>
      <c r="N34" s="70"/>
      <c r="O34" s="77" t="s">
        <v>225</v>
      </c>
      <c r="P34" s="79">
        <v>45028.455601851849</v>
      </c>
      <c r="Q34" s="77" t="s">
        <v>329</v>
      </c>
      <c r="R34" s="77">
        <v>0</v>
      </c>
      <c r="S34" s="77">
        <v>0</v>
      </c>
      <c r="T34" s="77">
        <v>0</v>
      </c>
      <c r="U34" s="77">
        <v>0</v>
      </c>
      <c r="V34" s="77">
        <v>3</v>
      </c>
      <c r="W34" s="81" t="s">
        <v>392</v>
      </c>
      <c r="X34" s="77"/>
      <c r="Y34" s="77"/>
      <c r="Z34" s="77"/>
      <c r="AA34" s="77"/>
      <c r="AB34" s="77"/>
      <c r="AC34" s="81" t="s">
        <v>399</v>
      </c>
      <c r="AD34" s="77" t="s">
        <v>400</v>
      </c>
      <c r="AE34" s="83" t="str">
        <f>HYPERLINK("https://twitter.com/economedicos/status/1646104895148240898")</f>
        <v>https://twitter.com/economedicos/status/1646104895148240898</v>
      </c>
      <c r="AF34" s="79">
        <v>45028.455601851849</v>
      </c>
      <c r="AG34" s="85">
        <v>45028</v>
      </c>
      <c r="AH34" s="81" t="s">
        <v>502</v>
      </c>
      <c r="AI34" s="77"/>
      <c r="AJ34" s="77"/>
      <c r="AK34" s="77"/>
      <c r="AL34" s="77"/>
      <c r="AM34" s="77"/>
      <c r="AN34" s="77"/>
      <c r="AO34" s="77"/>
      <c r="AP34" s="77"/>
      <c r="AQ34" s="77"/>
      <c r="AR34" s="77"/>
      <c r="AS34" s="77"/>
      <c r="AT34" s="77"/>
      <c r="AU34" s="77"/>
      <c r="AV34" s="83" t="str">
        <f>HYPERLINK("https://pbs.twimg.com/profile_images/1283576393662636034/EjgsMA_W_normal.jpg")</f>
        <v>https://pbs.twimg.com/profile_images/1283576393662636034/EjgsMA_W_normal.jpg</v>
      </c>
      <c r="AW34" s="81" t="s">
        <v>666</v>
      </c>
      <c r="AX34" s="81" t="s">
        <v>832</v>
      </c>
      <c r="AY34" s="81" t="s">
        <v>895</v>
      </c>
      <c r="AZ34" s="81" t="s">
        <v>999</v>
      </c>
      <c r="BA34" s="81" t="s">
        <v>1061</v>
      </c>
      <c r="BB34" s="81" t="s">
        <v>1061</v>
      </c>
      <c r="BC34" s="81" t="s">
        <v>999</v>
      </c>
      <c r="BD34" s="81" t="s">
        <v>895</v>
      </c>
      <c r="BE34" s="77"/>
      <c r="BF34" s="77"/>
      <c r="BG34" s="77"/>
      <c r="BH34" s="77"/>
      <c r="BI34" s="77"/>
    </row>
    <row r="35" spans="1:61" x14ac:dyDescent="0.25">
      <c r="A35" s="62" t="s">
        <v>224</v>
      </c>
      <c r="B35" s="62" t="s">
        <v>224</v>
      </c>
      <c r="C35" s="63"/>
      <c r="D35" s="64"/>
      <c r="E35" s="65"/>
      <c r="F35" s="66"/>
      <c r="G35" s="63"/>
      <c r="H35" s="67"/>
      <c r="I35" s="68"/>
      <c r="J35" s="68"/>
      <c r="K35" s="32"/>
      <c r="L35" s="75"/>
      <c r="M35" s="75"/>
      <c r="N35" s="70"/>
      <c r="O35" s="77" t="s">
        <v>225</v>
      </c>
      <c r="P35" s="79">
        <v>45026.445162037038</v>
      </c>
      <c r="Q35" s="77" t="s">
        <v>330</v>
      </c>
      <c r="R35" s="77">
        <v>0</v>
      </c>
      <c r="S35" s="77">
        <v>0</v>
      </c>
      <c r="T35" s="77">
        <v>0</v>
      </c>
      <c r="U35" s="77">
        <v>0</v>
      </c>
      <c r="V35" s="77">
        <v>56</v>
      </c>
      <c r="W35" s="81" t="s">
        <v>392</v>
      </c>
      <c r="X35" s="77"/>
      <c r="Y35" s="77"/>
      <c r="Z35" s="77"/>
      <c r="AA35" s="77"/>
      <c r="AB35" s="77"/>
      <c r="AC35" s="81" t="s">
        <v>399</v>
      </c>
      <c r="AD35" s="77" t="s">
        <v>400</v>
      </c>
      <c r="AE35" s="83" t="str">
        <f>HYPERLINK("https://twitter.com/economedicos/status/1645376336058277888")</f>
        <v>https://twitter.com/economedicos/status/1645376336058277888</v>
      </c>
      <c r="AF35" s="79">
        <v>45026.445162037038</v>
      </c>
      <c r="AG35" s="85">
        <v>45026</v>
      </c>
      <c r="AH35" s="81" t="s">
        <v>503</v>
      </c>
      <c r="AI35" s="77"/>
      <c r="AJ35" s="77"/>
      <c r="AK35" s="77"/>
      <c r="AL35" s="77"/>
      <c r="AM35" s="77"/>
      <c r="AN35" s="77"/>
      <c r="AO35" s="77"/>
      <c r="AP35" s="77"/>
      <c r="AQ35" s="77"/>
      <c r="AR35" s="77"/>
      <c r="AS35" s="77"/>
      <c r="AT35" s="77"/>
      <c r="AU35" s="77"/>
      <c r="AV35" s="83" t="str">
        <f>HYPERLINK("https://pbs.twimg.com/profile_images/1283576393662636034/EjgsMA_W_normal.jpg")</f>
        <v>https://pbs.twimg.com/profile_images/1283576393662636034/EjgsMA_W_normal.jpg</v>
      </c>
      <c r="AW35" s="81" t="s">
        <v>667</v>
      </c>
      <c r="AX35" s="81" t="s">
        <v>833</v>
      </c>
      <c r="AY35" s="81" t="s">
        <v>895</v>
      </c>
      <c r="AZ35" s="81" t="s">
        <v>1000</v>
      </c>
      <c r="BA35" s="81" t="s">
        <v>1061</v>
      </c>
      <c r="BB35" s="81" t="s">
        <v>1061</v>
      </c>
      <c r="BC35" s="81" t="s">
        <v>1000</v>
      </c>
      <c r="BD35" s="81" t="s">
        <v>895</v>
      </c>
      <c r="BE35" s="77"/>
      <c r="BF35" s="77"/>
      <c r="BG35" s="77"/>
      <c r="BH35" s="77"/>
      <c r="BI35" s="77"/>
    </row>
    <row r="36" spans="1:61" x14ac:dyDescent="0.25">
      <c r="A36" s="62" t="s">
        <v>224</v>
      </c>
      <c r="B36" s="62" t="s">
        <v>224</v>
      </c>
      <c r="C36" s="63"/>
      <c r="D36" s="64"/>
      <c r="E36" s="65"/>
      <c r="F36" s="66"/>
      <c r="G36" s="63"/>
      <c r="H36" s="67"/>
      <c r="I36" s="68"/>
      <c r="J36" s="68"/>
      <c r="K36" s="32"/>
      <c r="L36" s="75"/>
      <c r="M36" s="75"/>
      <c r="N36" s="70"/>
      <c r="O36" s="77" t="s">
        <v>225</v>
      </c>
      <c r="P36" s="79">
        <v>44993.46125</v>
      </c>
      <c r="Q36" s="77" t="s">
        <v>293</v>
      </c>
      <c r="R36" s="77">
        <v>0</v>
      </c>
      <c r="S36" s="77">
        <v>0</v>
      </c>
      <c r="T36" s="77">
        <v>0</v>
      </c>
      <c r="U36" s="77">
        <v>0</v>
      </c>
      <c r="V36" s="77">
        <v>9</v>
      </c>
      <c r="W36" s="81" t="s">
        <v>392</v>
      </c>
      <c r="X36" s="77"/>
      <c r="Y36" s="77"/>
      <c r="Z36" s="77"/>
      <c r="AA36" s="77"/>
      <c r="AB36" s="77"/>
      <c r="AC36" s="81" t="s">
        <v>399</v>
      </c>
      <c r="AD36" s="77" t="s">
        <v>400</v>
      </c>
      <c r="AE36" s="83" t="str">
        <f>HYPERLINK("https://twitter.com/economedicos/status/1633423365435260931")</f>
        <v>https://twitter.com/economedicos/status/1633423365435260931</v>
      </c>
      <c r="AF36" s="79">
        <v>44993.46125</v>
      </c>
      <c r="AG36" s="85">
        <v>44993</v>
      </c>
      <c r="AH36" s="81" t="s">
        <v>468</v>
      </c>
      <c r="AI36" s="77"/>
      <c r="AJ36" s="77"/>
      <c r="AK36" s="77"/>
      <c r="AL36" s="77"/>
      <c r="AM36" s="77"/>
      <c r="AN36" s="77"/>
      <c r="AO36" s="77"/>
      <c r="AP36" s="77"/>
      <c r="AQ36" s="77"/>
      <c r="AR36" s="77"/>
      <c r="AS36" s="77"/>
      <c r="AT36" s="77"/>
      <c r="AU36" s="77"/>
      <c r="AV36" s="83" t="str">
        <f>HYPERLINK("https://pbs.twimg.com/profile_images/1283576393662636034/EjgsMA_W_normal.jpg")</f>
        <v>https://pbs.twimg.com/profile_images/1283576393662636034/EjgsMA_W_normal.jpg</v>
      </c>
      <c r="AW36" s="81" t="s">
        <v>630</v>
      </c>
      <c r="AX36" s="81" t="s">
        <v>796</v>
      </c>
      <c r="AY36" s="81" t="s">
        <v>895</v>
      </c>
      <c r="AZ36" s="81" t="s">
        <v>963</v>
      </c>
      <c r="BA36" s="81" t="s">
        <v>1061</v>
      </c>
      <c r="BB36" s="81" t="s">
        <v>1061</v>
      </c>
      <c r="BC36" s="81" t="s">
        <v>963</v>
      </c>
      <c r="BD36" s="81" t="s">
        <v>895</v>
      </c>
      <c r="BE36" s="77"/>
      <c r="BF36" s="77"/>
      <c r="BG36" s="77"/>
      <c r="BH36" s="77"/>
      <c r="BI36" s="77"/>
    </row>
    <row r="37" spans="1:61" x14ac:dyDescent="0.25">
      <c r="A37" s="62" t="s">
        <v>224</v>
      </c>
      <c r="B37" s="62" t="s">
        <v>224</v>
      </c>
      <c r="C37" s="63"/>
      <c r="D37" s="64"/>
      <c r="E37" s="65"/>
      <c r="F37" s="66"/>
      <c r="G37" s="63"/>
      <c r="H37" s="67"/>
      <c r="I37" s="68"/>
      <c r="J37" s="68"/>
      <c r="K37" s="32"/>
      <c r="L37" s="75"/>
      <c r="M37" s="75"/>
      <c r="N37" s="70"/>
      <c r="O37" s="77" t="s">
        <v>225</v>
      </c>
      <c r="P37" s="79">
        <v>44992.435520833336</v>
      </c>
      <c r="Q37" s="77" t="s">
        <v>294</v>
      </c>
      <c r="R37" s="77">
        <v>0</v>
      </c>
      <c r="S37" s="77">
        <v>0</v>
      </c>
      <c r="T37" s="77">
        <v>0</v>
      </c>
      <c r="U37" s="77">
        <v>0</v>
      </c>
      <c r="V37" s="77">
        <v>5</v>
      </c>
      <c r="W37" s="81" t="s">
        <v>392</v>
      </c>
      <c r="X37" s="77"/>
      <c r="Y37" s="77"/>
      <c r="Z37" s="77"/>
      <c r="AA37" s="77"/>
      <c r="AB37" s="77"/>
      <c r="AC37" s="81" t="s">
        <v>399</v>
      </c>
      <c r="AD37" s="77" t="s">
        <v>400</v>
      </c>
      <c r="AE37" s="83" t="str">
        <f>HYPERLINK("https://twitter.com/economedicos/status/1633051652415537153")</f>
        <v>https://twitter.com/economedicos/status/1633051652415537153</v>
      </c>
      <c r="AF37" s="79">
        <v>44992.435520833336</v>
      </c>
      <c r="AG37" s="85">
        <v>44992</v>
      </c>
      <c r="AH37" s="81" t="s">
        <v>439</v>
      </c>
      <c r="AI37" s="77"/>
      <c r="AJ37" s="77"/>
      <c r="AK37" s="77"/>
      <c r="AL37" s="77"/>
      <c r="AM37" s="77"/>
      <c r="AN37" s="77"/>
      <c r="AO37" s="77"/>
      <c r="AP37" s="77"/>
      <c r="AQ37" s="77"/>
      <c r="AR37" s="77"/>
      <c r="AS37" s="77"/>
      <c r="AT37" s="77"/>
      <c r="AU37" s="77"/>
      <c r="AV37" s="83" t="str">
        <f>HYPERLINK("https://pbs.twimg.com/profile_images/1283576393662636034/EjgsMA_W_normal.jpg")</f>
        <v>https://pbs.twimg.com/profile_images/1283576393662636034/EjgsMA_W_normal.jpg</v>
      </c>
      <c r="AW37" s="81" t="s">
        <v>631</v>
      </c>
      <c r="AX37" s="81" t="s">
        <v>797</v>
      </c>
      <c r="AY37" s="81" t="s">
        <v>895</v>
      </c>
      <c r="AZ37" s="81" t="s">
        <v>964</v>
      </c>
      <c r="BA37" s="81" t="s">
        <v>1061</v>
      </c>
      <c r="BB37" s="81" t="s">
        <v>1061</v>
      </c>
      <c r="BC37" s="81" t="s">
        <v>964</v>
      </c>
      <c r="BD37" s="81" t="s">
        <v>895</v>
      </c>
      <c r="BE37" s="77"/>
      <c r="BF37" s="77"/>
      <c r="BG37" s="77"/>
      <c r="BH37" s="77"/>
      <c r="BI37" s="77"/>
    </row>
    <row r="38" spans="1:61" x14ac:dyDescent="0.25">
      <c r="A38" s="62" t="s">
        <v>224</v>
      </c>
      <c r="B38" s="62" t="s">
        <v>224</v>
      </c>
      <c r="C38" s="63"/>
      <c r="D38" s="64"/>
      <c r="E38" s="65"/>
      <c r="F38" s="66"/>
      <c r="G38" s="63"/>
      <c r="H38" s="67"/>
      <c r="I38" s="68"/>
      <c r="J38" s="68"/>
      <c r="K38" s="32"/>
      <c r="L38" s="75"/>
      <c r="M38" s="75"/>
      <c r="N38" s="70"/>
      <c r="O38" s="77" t="s">
        <v>225</v>
      </c>
      <c r="P38" s="79">
        <v>44953.460601851853</v>
      </c>
      <c r="Q38" s="77" t="s">
        <v>366</v>
      </c>
      <c r="R38" s="77">
        <v>0</v>
      </c>
      <c r="S38" s="77">
        <v>0</v>
      </c>
      <c r="T38" s="77">
        <v>0</v>
      </c>
      <c r="U38" s="77">
        <v>0</v>
      </c>
      <c r="V38" s="77">
        <v>8</v>
      </c>
      <c r="W38" s="81" t="s">
        <v>392</v>
      </c>
      <c r="X38" s="77"/>
      <c r="Y38" s="77"/>
      <c r="Z38" s="77"/>
      <c r="AA38" s="77"/>
      <c r="AB38" s="77"/>
      <c r="AC38" s="81" t="s">
        <v>399</v>
      </c>
      <c r="AD38" s="77" t="s">
        <v>400</v>
      </c>
      <c r="AE38" s="83" t="str">
        <f>HYPERLINK("https://twitter.com/economedicos/status/1618927616123338753")</f>
        <v>https://twitter.com/economedicos/status/1618927616123338753</v>
      </c>
      <c r="AF38" s="79">
        <v>44953.460601851853</v>
      </c>
      <c r="AG38" s="85">
        <v>44953</v>
      </c>
      <c r="AH38" s="81" t="s">
        <v>538</v>
      </c>
      <c r="AI38" s="77"/>
      <c r="AJ38" s="77"/>
      <c r="AK38" s="77"/>
      <c r="AL38" s="77"/>
      <c r="AM38" s="77"/>
      <c r="AN38" s="77"/>
      <c r="AO38" s="77"/>
      <c r="AP38" s="77"/>
      <c r="AQ38" s="77"/>
      <c r="AR38" s="77"/>
      <c r="AS38" s="77"/>
      <c r="AT38" s="77"/>
      <c r="AU38" s="77"/>
      <c r="AV38" s="83" t="str">
        <f>HYPERLINK("https://pbs.twimg.com/profile_images/1283576393662636034/EjgsMA_W_normal.jpg")</f>
        <v>https://pbs.twimg.com/profile_images/1283576393662636034/EjgsMA_W_normal.jpg</v>
      </c>
      <c r="AW38" s="81" t="s">
        <v>703</v>
      </c>
      <c r="AX38" s="81" t="s">
        <v>869</v>
      </c>
      <c r="AY38" s="81" t="s">
        <v>895</v>
      </c>
      <c r="AZ38" s="81" t="s">
        <v>1036</v>
      </c>
      <c r="BA38" s="81" t="s">
        <v>1061</v>
      </c>
      <c r="BB38" s="81" t="s">
        <v>1061</v>
      </c>
      <c r="BC38" s="81" t="s">
        <v>1036</v>
      </c>
      <c r="BD38" s="81" t="s">
        <v>895</v>
      </c>
      <c r="BE38" s="77"/>
      <c r="BF38" s="77"/>
      <c r="BG38" s="77"/>
      <c r="BH38" s="77"/>
      <c r="BI38" s="77"/>
    </row>
    <row r="39" spans="1:61" x14ac:dyDescent="0.25">
      <c r="A39" s="62" t="s">
        <v>224</v>
      </c>
      <c r="B39" s="62" t="s">
        <v>224</v>
      </c>
      <c r="C39" s="63"/>
      <c r="D39" s="64"/>
      <c r="E39" s="65"/>
      <c r="F39" s="66"/>
      <c r="G39" s="63"/>
      <c r="H39" s="67"/>
      <c r="I39" s="68"/>
      <c r="J39" s="68"/>
      <c r="K39" s="32"/>
      <c r="L39" s="75"/>
      <c r="M39" s="75"/>
      <c r="N39" s="70"/>
      <c r="O39" s="77" t="s">
        <v>225</v>
      </c>
      <c r="P39" s="79">
        <v>44952.446863425925</v>
      </c>
      <c r="Q39" s="77" t="s">
        <v>367</v>
      </c>
      <c r="R39" s="77">
        <v>0</v>
      </c>
      <c r="S39" s="77">
        <v>0</v>
      </c>
      <c r="T39" s="77">
        <v>0</v>
      </c>
      <c r="U39" s="77">
        <v>0</v>
      </c>
      <c r="V39" s="77">
        <v>11</v>
      </c>
      <c r="W39" s="81" t="s">
        <v>392</v>
      </c>
      <c r="X39" s="77"/>
      <c r="Y39" s="77"/>
      <c r="Z39" s="77"/>
      <c r="AA39" s="77"/>
      <c r="AB39" s="77"/>
      <c r="AC39" s="81" t="s">
        <v>399</v>
      </c>
      <c r="AD39" s="77" t="s">
        <v>400</v>
      </c>
      <c r="AE39" s="83" t="str">
        <f>HYPERLINK("https://twitter.com/economedicos/status/1618560248717152259")</f>
        <v>https://twitter.com/economedicos/status/1618560248717152259</v>
      </c>
      <c r="AF39" s="79">
        <v>44952.446863425925</v>
      </c>
      <c r="AG39" s="85">
        <v>44952</v>
      </c>
      <c r="AH39" s="81" t="s">
        <v>539</v>
      </c>
      <c r="AI39" s="77"/>
      <c r="AJ39" s="77"/>
      <c r="AK39" s="77"/>
      <c r="AL39" s="77"/>
      <c r="AM39" s="77"/>
      <c r="AN39" s="77"/>
      <c r="AO39" s="77"/>
      <c r="AP39" s="77"/>
      <c r="AQ39" s="77"/>
      <c r="AR39" s="77"/>
      <c r="AS39" s="77"/>
      <c r="AT39" s="77"/>
      <c r="AU39" s="77"/>
      <c r="AV39" s="83" t="str">
        <f>HYPERLINK("https://pbs.twimg.com/profile_images/1283576393662636034/EjgsMA_W_normal.jpg")</f>
        <v>https://pbs.twimg.com/profile_images/1283576393662636034/EjgsMA_W_normal.jpg</v>
      </c>
      <c r="AW39" s="81" t="s">
        <v>704</v>
      </c>
      <c r="AX39" s="81" t="s">
        <v>870</v>
      </c>
      <c r="AY39" s="81" t="s">
        <v>895</v>
      </c>
      <c r="AZ39" s="81" t="s">
        <v>1037</v>
      </c>
      <c r="BA39" s="81" t="s">
        <v>1061</v>
      </c>
      <c r="BB39" s="81" t="s">
        <v>1061</v>
      </c>
      <c r="BC39" s="81" t="s">
        <v>1037</v>
      </c>
      <c r="BD39" s="81" t="s">
        <v>895</v>
      </c>
      <c r="BE39" s="77"/>
      <c r="BF39" s="77"/>
      <c r="BG39" s="77"/>
      <c r="BH39" s="77"/>
      <c r="BI39" s="77"/>
    </row>
    <row r="40" spans="1:61" x14ac:dyDescent="0.25">
      <c r="A40" s="62" t="s">
        <v>224</v>
      </c>
      <c r="B40" s="62" t="s">
        <v>224</v>
      </c>
      <c r="C40" s="63"/>
      <c r="D40" s="64"/>
      <c r="E40" s="65"/>
      <c r="F40" s="66"/>
      <c r="G40" s="63"/>
      <c r="H40" s="67"/>
      <c r="I40" s="68"/>
      <c r="J40" s="68"/>
      <c r="K40" s="32"/>
      <c r="L40" s="75"/>
      <c r="M40" s="75"/>
      <c r="N40" s="70"/>
      <c r="O40" s="77" t="s">
        <v>225</v>
      </c>
      <c r="P40" s="79">
        <v>44951.430763888886</v>
      </c>
      <c r="Q40" s="77" t="s">
        <v>368</v>
      </c>
      <c r="R40" s="77">
        <v>0</v>
      </c>
      <c r="S40" s="77">
        <v>0</v>
      </c>
      <c r="T40" s="77">
        <v>0</v>
      </c>
      <c r="U40" s="77">
        <v>0</v>
      </c>
      <c r="V40" s="77">
        <v>3</v>
      </c>
      <c r="W40" s="81" t="s">
        <v>392</v>
      </c>
      <c r="X40" s="77"/>
      <c r="Y40" s="77"/>
      <c r="Z40" s="77"/>
      <c r="AA40" s="77"/>
      <c r="AB40" s="77"/>
      <c r="AC40" s="81" t="s">
        <v>399</v>
      </c>
      <c r="AD40" s="77" t="s">
        <v>400</v>
      </c>
      <c r="AE40" s="83" t="str">
        <f>HYPERLINK("https://twitter.com/economedicos/status/1618192028361461760")</f>
        <v>https://twitter.com/economedicos/status/1618192028361461760</v>
      </c>
      <c r="AF40" s="79">
        <v>44951.430763888886</v>
      </c>
      <c r="AG40" s="85">
        <v>44951</v>
      </c>
      <c r="AH40" s="81" t="s">
        <v>540</v>
      </c>
      <c r="AI40" s="77"/>
      <c r="AJ40" s="77"/>
      <c r="AK40" s="77"/>
      <c r="AL40" s="77"/>
      <c r="AM40" s="77"/>
      <c r="AN40" s="77"/>
      <c r="AO40" s="77"/>
      <c r="AP40" s="77"/>
      <c r="AQ40" s="77"/>
      <c r="AR40" s="77"/>
      <c r="AS40" s="77"/>
      <c r="AT40" s="77"/>
      <c r="AU40" s="77"/>
      <c r="AV40" s="83" t="str">
        <f>HYPERLINK("https://pbs.twimg.com/profile_images/1283576393662636034/EjgsMA_W_normal.jpg")</f>
        <v>https://pbs.twimg.com/profile_images/1283576393662636034/EjgsMA_W_normal.jpg</v>
      </c>
      <c r="AW40" s="81" t="s">
        <v>705</v>
      </c>
      <c r="AX40" s="81" t="s">
        <v>871</v>
      </c>
      <c r="AY40" s="81" t="s">
        <v>895</v>
      </c>
      <c r="AZ40" s="81" t="s">
        <v>1038</v>
      </c>
      <c r="BA40" s="81" t="s">
        <v>1061</v>
      </c>
      <c r="BB40" s="81" t="s">
        <v>1061</v>
      </c>
      <c r="BC40" s="81" t="s">
        <v>1038</v>
      </c>
      <c r="BD40" s="81" t="s">
        <v>895</v>
      </c>
      <c r="BE40" s="77"/>
      <c r="BF40" s="77"/>
      <c r="BG40" s="77"/>
      <c r="BH40" s="77"/>
      <c r="BI40" s="77"/>
    </row>
    <row r="41" spans="1:61" x14ac:dyDescent="0.25">
      <c r="A41" s="62" t="s">
        <v>224</v>
      </c>
      <c r="B41" s="62" t="s">
        <v>224</v>
      </c>
      <c r="C41" s="63"/>
      <c r="D41" s="64"/>
      <c r="E41" s="65"/>
      <c r="F41" s="66"/>
      <c r="G41" s="63"/>
      <c r="H41" s="67"/>
      <c r="I41" s="68"/>
      <c r="J41" s="68"/>
      <c r="K41" s="32"/>
      <c r="L41" s="75"/>
      <c r="M41" s="75"/>
      <c r="N41" s="70"/>
      <c r="O41" s="77" t="s">
        <v>225</v>
      </c>
      <c r="P41" s="79">
        <v>44950.421493055554</v>
      </c>
      <c r="Q41" s="77" t="s">
        <v>369</v>
      </c>
      <c r="R41" s="77">
        <v>0</v>
      </c>
      <c r="S41" s="77">
        <v>0</v>
      </c>
      <c r="T41" s="77">
        <v>0</v>
      </c>
      <c r="U41" s="77">
        <v>0</v>
      </c>
      <c r="V41" s="77">
        <v>7</v>
      </c>
      <c r="W41" s="81" t="s">
        <v>392</v>
      </c>
      <c r="X41" s="77"/>
      <c r="Y41" s="77"/>
      <c r="Z41" s="77"/>
      <c r="AA41" s="77"/>
      <c r="AB41" s="77"/>
      <c r="AC41" s="81" t="s">
        <v>399</v>
      </c>
      <c r="AD41" s="77" t="s">
        <v>400</v>
      </c>
      <c r="AE41" s="83" t="str">
        <f>HYPERLINK("https://twitter.com/economedicos/status/1617826279402897410")</f>
        <v>https://twitter.com/economedicos/status/1617826279402897410</v>
      </c>
      <c r="AF41" s="79">
        <v>44950.421493055554</v>
      </c>
      <c r="AG41" s="85">
        <v>44950</v>
      </c>
      <c r="AH41" s="81" t="s">
        <v>541</v>
      </c>
      <c r="AI41" s="77"/>
      <c r="AJ41" s="77"/>
      <c r="AK41" s="77"/>
      <c r="AL41" s="77"/>
      <c r="AM41" s="77"/>
      <c r="AN41" s="77"/>
      <c r="AO41" s="77"/>
      <c r="AP41" s="77"/>
      <c r="AQ41" s="77"/>
      <c r="AR41" s="77"/>
      <c r="AS41" s="77"/>
      <c r="AT41" s="77"/>
      <c r="AU41" s="77"/>
      <c r="AV41" s="83" t="str">
        <f>HYPERLINK("https://pbs.twimg.com/profile_images/1283576393662636034/EjgsMA_W_normal.jpg")</f>
        <v>https://pbs.twimg.com/profile_images/1283576393662636034/EjgsMA_W_normal.jpg</v>
      </c>
      <c r="AW41" s="81" t="s">
        <v>706</v>
      </c>
      <c r="AX41" s="81" t="s">
        <v>872</v>
      </c>
      <c r="AY41" s="81" t="s">
        <v>895</v>
      </c>
      <c r="AZ41" s="81" t="s">
        <v>1039</v>
      </c>
      <c r="BA41" s="81" t="s">
        <v>1061</v>
      </c>
      <c r="BB41" s="81" t="s">
        <v>1061</v>
      </c>
      <c r="BC41" s="81" t="s">
        <v>1039</v>
      </c>
      <c r="BD41" s="81" t="s">
        <v>895</v>
      </c>
      <c r="BE41" s="77"/>
      <c r="BF41" s="77"/>
      <c r="BG41" s="77"/>
      <c r="BH41" s="77"/>
      <c r="BI41" s="77"/>
    </row>
    <row r="42" spans="1:61" x14ac:dyDescent="0.25">
      <c r="A42" s="62" t="s">
        <v>224</v>
      </c>
      <c r="B42" s="62" t="s">
        <v>224</v>
      </c>
      <c r="C42" s="63"/>
      <c r="D42" s="64"/>
      <c r="E42" s="65"/>
      <c r="F42" s="66"/>
      <c r="G42" s="63"/>
      <c r="H42" s="67"/>
      <c r="I42" s="68"/>
      <c r="J42" s="68"/>
      <c r="K42" s="32"/>
      <c r="L42" s="75"/>
      <c r="M42" s="75"/>
      <c r="N42" s="70"/>
      <c r="O42" s="77" t="s">
        <v>225</v>
      </c>
      <c r="P42" s="79">
        <v>45139.481562499997</v>
      </c>
      <c r="Q42" s="77" t="s">
        <v>339</v>
      </c>
      <c r="R42" s="77">
        <v>0</v>
      </c>
      <c r="S42" s="77">
        <v>0</v>
      </c>
      <c r="T42" s="77">
        <v>0</v>
      </c>
      <c r="U42" s="77">
        <v>0</v>
      </c>
      <c r="V42" s="77">
        <v>16</v>
      </c>
      <c r="W42" s="81" t="s">
        <v>392</v>
      </c>
      <c r="X42" s="77"/>
      <c r="Y42" s="77"/>
      <c r="Z42" s="77"/>
      <c r="AA42" s="77"/>
      <c r="AB42" s="77"/>
      <c r="AC42" s="81" t="s">
        <v>399</v>
      </c>
      <c r="AD42" s="77" t="s">
        <v>400</v>
      </c>
      <c r="AE42" s="83" t="str">
        <f>HYPERLINK("https://twitter.com/economedicos/status/1686339356066230273")</f>
        <v>https://twitter.com/economedicos/status/1686339356066230273</v>
      </c>
      <c r="AF42" s="79">
        <v>45139.481562499997</v>
      </c>
      <c r="AG42" s="85">
        <v>45139</v>
      </c>
      <c r="AH42" s="81" t="s">
        <v>512</v>
      </c>
      <c r="AI42" s="77"/>
      <c r="AJ42" s="77"/>
      <c r="AK42" s="77"/>
      <c r="AL42" s="77"/>
      <c r="AM42" s="77"/>
      <c r="AN42" s="77"/>
      <c r="AO42" s="77"/>
      <c r="AP42" s="77"/>
      <c r="AQ42" s="77"/>
      <c r="AR42" s="77"/>
      <c r="AS42" s="77"/>
      <c r="AT42" s="77"/>
      <c r="AU42" s="77"/>
      <c r="AV42" s="83" t="str">
        <f>HYPERLINK("https://pbs.twimg.com/profile_images/1283576393662636034/EjgsMA_W_normal.jpg")</f>
        <v>https://pbs.twimg.com/profile_images/1283576393662636034/EjgsMA_W_normal.jpg</v>
      </c>
      <c r="AW42" s="81" t="s">
        <v>676</v>
      </c>
      <c r="AX42" s="81" t="s">
        <v>842</v>
      </c>
      <c r="AY42" s="81" t="s">
        <v>895</v>
      </c>
      <c r="AZ42" s="81" t="s">
        <v>1009</v>
      </c>
      <c r="BA42" s="81" t="s">
        <v>1061</v>
      </c>
      <c r="BB42" s="81" t="s">
        <v>1061</v>
      </c>
      <c r="BC42" s="81" t="s">
        <v>1009</v>
      </c>
      <c r="BD42" s="81" t="s">
        <v>895</v>
      </c>
      <c r="BE42" s="77"/>
      <c r="BF42" s="77"/>
      <c r="BG42" s="77"/>
      <c r="BH42" s="77"/>
      <c r="BI42" s="77"/>
    </row>
    <row r="43" spans="1:61" x14ac:dyDescent="0.25">
      <c r="A43" s="62" t="s">
        <v>224</v>
      </c>
      <c r="B43" s="62" t="s">
        <v>224</v>
      </c>
      <c r="C43" s="63"/>
      <c r="D43" s="64"/>
      <c r="E43" s="65"/>
      <c r="F43" s="66"/>
      <c r="G43" s="63"/>
      <c r="H43" s="67"/>
      <c r="I43" s="68"/>
      <c r="J43" s="68"/>
      <c r="K43" s="32"/>
      <c r="L43" s="75"/>
      <c r="M43" s="75"/>
      <c r="N43" s="70"/>
      <c r="O43" s="77" t="s">
        <v>225</v>
      </c>
      <c r="P43" s="79">
        <v>45133.437118055554</v>
      </c>
      <c r="Q43" s="77" t="s">
        <v>305</v>
      </c>
      <c r="R43" s="77">
        <v>0</v>
      </c>
      <c r="S43" s="77">
        <v>0</v>
      </c>
      <c r="T43" s="77">
        <v>0</v>
      </c>
      <c r="U43" s="77">
        <v>0</v>
      </c>
      <c r="V43" s="77">
        <v>15</v>
      </c>
      <c r="W43" s="81" t="s">
        <v>392</v>
      </c>
      <c r="X43" s="77"/>
      <c r="Y43" s="77"/>
      <c r="Z43" s="77"/>
      <c r="AA43" s="77"/>
      <c r="AB43" s="77"/>
      <c r="AC43" s="81" t="s">
        <v>399</v>
      </c>
      <c r="AD43" s="77" t="s">
        <v>400</v>
      </c>
      <c r="AE43" s="83" t="str">
        <f>HYPERLINK("https://twitter.com/economedicos/status/1684148922602897409")</f>
        <v>https://twitter.com/economedicos/status/1684148922602897409</v>
      </c>
      <c r="AF43" s="79">
        <v>45133.437118055554</v>
      </c>
      <c r="AG43" s="85">
        <v>45133</v>
      </c>
      <c r="AH43" s="81" t="s">
        <v>479</v>
      </c>
      <c r="AI43" s="77"/>
      <c r="AJ43" s="77"/>
      <c r="AK43" s="77"/>
      <c r="AL43" s="77"/>
      <c r="AM43" s="77"/>
      <c r="AN43" s="77"/>
      <c r="AO43" s="77"/>
      <c r="AP43" s="77"/>
      <c r="AQ43" s="77"/>
      <c r="AR43" s="77"/>
      <c r="AS43" s="77"/>
      <c r="AT43" s="77"/>
      <c r="AU43" s="77"/>
      <c r="AV43" s="83" t="str">
        <f>HYPERLINK("https://pbs.twimg.com/profile_images/1283576393662636034/EjgsMA_W_normal.jpg")</f>
        <v>https://pbs.twimg.com/profile_images/1283576393662636034/EjgsMA_W_normal.jpg</v>
      </c>
      <c r="AW43" s="81" t="s">
        <v>642</v>
      </c>
      <c r="AX43" s="81" t="s">
        <v>808</v>
      </c>
      <c r="AY43" s="81" t="s">
        <v>895</v>
      </c>
      <c r="AZ43" s="81" t="s">
        <v>975</v>
      </c>
      <c r="BA43" s="81" t="s">
        <v>1061</v>
      </c>
      <c r="BB43" s="81" t="s">
        <v>1061</v>
      </c>
      <c r="BC43" s="81" t="s">
        <v>975</v>
      </c>
      <c r="BD43" s="81" t="s">
        <v>895</v>
      </c>
      <c r="BE43" s="77"/>
      <c r="BF43" s="77"/>
      <c r="BG43" s="77"/>
      <c r="BH43" s="77"/>
      <c r="BI43" s="77"/>
    </row>
    <row r="44" spans="1:61" x14ac:dyDescent="0.25">
      <c r="A44" s="62" t="s">
        <v>224</v>
      </c>
      <c r="B44" s="62" t="s">
        <v>224</v>
      </c>
      <c r="C44" s="63"/>
      <c r="D44" s="64"/>
      <c r="E44" s="65"/>
      <c r="F44" s="66"/>
      <c r="G44" s="63"/>
      <c r="H44" s="67"/>
      <c r="I44" s="68"/>
      <c r="J44" s="68"/>
      <c r="K44" s="32"/>
      <c r="L44" s="75"/>
      <c r="M44" s="75"/>
      <c r="N44" s="70"/>
      <c r="O44" s="77" t="s">
        <v>225</v>
      </c>
      <c r="P44" s="79">
        <v>45114.449131944442</v>
      </c>
      <c r="Q44" s="77" t="s">
        <v>340</v>
      </c>
      <c r="R44" s="77">
        <v>0</v>
      </c>
      <c r="S44" s="77">
        <v>0</v>
      </c>
      <c r="T44" s="77">
        <v>0</v>
      </c>
      <c r="U44" s="77">
        <v>0</v>
      </c>
      <c r="V44" s="77">
        <v>4</v>
      </c>
      <c r="W44" s="81" t="s">
        <v>392</v>
      </c>
      <c r="X44" s="77"/>
      <c r="Y44" s="77"/>
      <c r="Z44" s="77"/>
      <c r="AA44" s="77"/>
      <c r="AB44" s="77"/>
      <c r="AC44" s="81" t="s">
        <v>399</v>
      </c>
      <c r="AD44" s="77" t="s">
        <v>400</v>
      </c>
      <c r="AE44" s="83" t="str">
        <f>HYPERLINK("https://twitter.com/economedicos/status/1677267905736585222")</f>
        <v>https://twitter.com/economedicos/status/1677267905736585222</v>
      </c>
      <c r="AF44" s="79">
        <v>45114.449131944442</v>
      </c>
      <c r="AG44" s="85">
        <v>45114</v>
      </c>
      <c r="AH44" s="81" t="s">
        <v>440</v>
      </c>
      <c r="AI44" s="77"/>
      <c r="AJ44" s="77"/>
      <c r="AK44" s="77"/>
      <c r="AL44" s="77"/>
      <c r="AM44" s="77"/>
      <c r="AN44" s="77"/>
      <c r="AO44" s="77"/>
      <c r="AP44" s="77"/>
      <c r="AQ44" s="77"/>
      <c r="AR44" s="77"/>
      <c r="AS44" s="77"/>
      <c r="AT44" s="77"/>
      <c r="AU44" s="77"/>
      <c r="AV44" s="83" t="str">
        <f>HYPERLINK("https://pbs.twimg.com/profile_images/1283576393662636034/EjgsMA_W_normal.jpg")</f>
        <v>https://pbs.twimg.com/profile_images/1283576393662636034/EjgsMA_W_normal.jpg</v>
      </c>
      <c r="AW44" s="81" t="s">
        <v>677</v>
      </c>
      <c r="AX44" s="81" t="s">
        <v>843</v>
      </c>
      <c r="AY44" s="81" t="s">
        <v>895</v>
      </c>
      <c r="AZ44" s="81" t="s">
        <v>1010</v>
      </c>
      <c r="BA44" s="81" t="s">
        <v>1061</v>
      </c>
      <c r="BB44" s="81" t="s">
        <v>1061</v>
      </c>
      <c r="BC44" s="81" t="s">
        <v>1010</v>
      </c>
      <c r="BD44" s="81" t="s">
        <v>895</v>
      </c>
      <c r="BE44" s="77"/>
      <c r="BF44" s="77"/>
      <c r="BG44" s="77"/>
      <c r="BH44" s="77"/>
      <c r="BI44" s="77"/>
    </row>
    <row r="45" spans="1:61" x14ac:dyDescent="0.25">
      <c r="A45" s="62" t="s">
        <v>224</v>
      </c>
      <c r="B45" s="62" t="s">
        <v>224</v>
      </c>
      <c r="C45" s="63"/>
      <c r="D45" s="64"/>
      <c r="E45" s="65"/>
      <c r="F45" s="66"/>
      <c r="G45" s="63"/>
      <c r="H45" s="67"/>
      <c r="I45" s="68"/>
      <c r="J45" s="68"/>
      <c r="K45" s="32"/>
      <c r="L45" s="75"/>
      <c r="M45" s="75"/>
      <c r="N45" s="70"/>
      <c r="O45" s="77" t="s">
        <v>225</v>
      </c>
      <c r="P45" s="79">
        <v>45100.475983796299</v>
      </c>
      <c r="Q45" s="77" t="s">
        <v>378</v>
      </c>
      <c r="R45" s="77">
        <v>0</v>
      </c>
      <c r="S45" s="77">
        <v>0</v>
      </c>
      <c r="T45" s="77">
        <v>0</v>
      </c>
      <c r="U45" s="77">
        <v>0</v>
      </c>
      <c r="V45" s="77">
        <v>12</v>
      </c>
      <c r="W45" s="81" t="s">
        <v>392</v>
      </c>
      <c r="X45" s="77"/>
      <c r="Y45" s="77"/>
      <c r="Z45" s="77"/>
      <c r="AA45" s="77"/>
      <c r="AB45" s="77"/>
      <c r="AC45" s="81" t="s">
        <v>399</v>
      </c>
      <c r="AD45" s="77" t="s">
        <v>400</v>
      </c>
      <c r="AE45" s="83" t="str">
        <f>HYPERLINK("https://twitter.com/economedicos/status/1672204207560990723")</f>
        <v>https://twitter.com/economedicos/status/1672204207560990723</v>
      </c>
      <c r="AF45" s="79">
        <v>45100.475983796299</v>
      </c>
      <c r="AG45" s="85">
        <v>45100</v>
      </c>
      <c r="AH45" s="81" t="s">
        <v>550</v>
      </c>
      <c r="AI45" s="77"/>
      <c r="AJ45" s="77"/>
      <c r="AK45" s="77"/>
      <c r="AL45" s="77"/>
      <c r="AM45" s="77"/>
      <c r="AN45" s="77"/>
      <c r="AO45" s="77"/>
      <c r="AP45" s="77"/>
      <c r="AQ45" s="77"/>
      <c r="AR45" s="77"/>
      <c r="AS45" s="77"/>
      <c r="AT45" s="77"/>
      <c r="AU45" s="77"/>
      <c r="AV45" s="83" t="str">
        <f>HYPERLINK("https://pbs.twimg.com/profile_images/1283576393662636034/EjgsMA_W_normal.jpg")</f>
        <v>https://pbs.twimg.com/profile_images/1283576393662636034/EjgsMA_W_normal.jpg</v>
      </c>
      <c r="AW45" s="81" t="s">
        <v>715</v>
      </c>
      <c r="AX45" s="81" t="s">
        <v>881</v>
      </c>
      <c r="AY45" s="81" t="s">
        <v>895</v>
      </c>
      <c r="AZ45" s="81" t="s">
        <v>1047</v>
      </c>
      <c r="BA45" s="81" t="s">
        <v>1061</v>
      </c>
      <c r="BB45" s="81" t="s">
        <v>1061</v>
      </c>
      <c r="BC45" s="81" t="s">
        <v>1047</v>
      </c>
      <c r="BD45" s="81" t="s">
        <v>895</v>
      </c>
      <c r="BE45" s="77"/>
      <c r="BF45" s="77"/>
      <c r="BG45" s="77"/>
      <c r="BH45" s="77"/>
      <c r="BI45" s="77"/>
    </row>
    <row r="46" spans="1:61" x14ac:dyDescent="0.25">
      <c r="A46" s="62" t="s">
        <v>224</v>
      </c>
      <c r="B46" s="62" t="s">
        <v>224</v>
      </c>
      <c r="C46" s="63"/>
      <c r="D46" s="64"/>
      <c r="E46" s="65"/>
      <c r="F46" s="66"/>
      <c r="G46" s="63"/>
      <c r="H46" s="67"/>
      <c r="I46" s="68"/>
      <c r="J46" s="68"/>
      <c r="K46" s="32"/>
      <c r="L46" s="75"/>
      <c r="M46" s="75"/>
      <c r="N46" s="70"/>
      <c r="O46" s="77" t="s">
        <v>225</v>
      </c>
      <c r="P46" s="79">
        <v>45099.413217592592</v>
      </c>
      <c r="Q46" s="77" t="s">
        <v>249</v>
      </c>
      <c r="R46" s="77">
        <v>0</v>
      </c>
      <c r="S46" s="77">
        <v>0</v>
      </c>
      <c r="T46" s="77">
        <v>0</v>
      </c>
      <c r="U46" s="77">
        <v>0</v>
      </c>
      <c r="V46" s="77">
        <v>7</v>
      </c>
      <c r="W46" s="81" t="s">
        <v>392</v>
      </c>
      <c r="X46" s="77"/>
      <c r="Y46" s="77"/>
      <c r="Z46" s="77"/>
      <c r="AA46" s="77"/>
      <c r="AB46" s="77"/>
      <c r="AC46" s="81" t="s">
        <v>399</v>
      </c>
      <c r="AD46" s="77" t="s">
        <v>400</v>
      </c>
      <c r="AE46" s="83" t="str">
        <f>HYPERLINK("https://twitter.com/economedicos/status/1671819074588868615")</f>
        <v>https://twitter.com/economedicos/status/1671819074588868615</v>
      </c>
      <c r="AF46" s="79">
        <v>45099.413217592592</v>
      </c>
      <c r="AG46" s="85">
        <v>45099</v>
      </c>
      <c r="AH46" s="81" t="s">
        <v>424</v>
      </c>
      <c r="AI46" s="77"/>
      <c r="AJ46" s="77"/>
      <c r="AK46" s="77"/>
      <c r="AL46" s="77"/>
      <c r="AM46" s="77"/>
      <c r="AN46" s="77"/>
      <c r="AO46" s="77"/>
      <c r="AP46" s="77"/>
      <c r="AQ46" s="77"/>
      <c r="AR46" s="77"/>
      <c r="AS46" s="77"/>
      <c r="AT46" s="77"/>
      <c r="AU46" s="77"/>
      <c r="AV46" s="83" t="str">
        <f>HYPERLINK("https://pbs.twimg.com/profile_images/1283576393662636034/EjgsMA_W_normal.jpg")</f>
        <v>https://pbs.twimg.com/profile_images/1283576393662636034/EjgsMA_W_normal.jpg</v>
      </c>
      <c r="AW46" s="81" t="s">
        <v>586</v>
      </c>
      <c r="AX46" s="81" t="s">
        <v>752</v>
      </c>
      <c r="AY46" s="81" t="s">
        <v>895</v>
      </c>
      <c r="AZ46" s="81" t="s">
        <v>919</v>
      </c>
      <c r="BA46" s="81" t="s">
        <v>1061</v>
      </c>
      <c r="BB46" s="81" t="s">
        <v>1061</v>
      </c>
      <c r="BC46" s="81" t="s">
        <v>919</v>
      </c>
      <c r="BD46" s="81" t="s">
        <v>895</v>
      </c>
      <c r="BE46" s="77"/>
      <c r="BF46" s="77"/>
      <c r="BG46" s="77"/>
      <c r="BH46" s="77"/>
      <c r="BI46" s="77"/>
    </row>
    <row r="47" spans="1:61" x14ac:dyDescent="0.25">
      <c r="A47" s="62" t="s">
        <v>224</v>
      </c>
      <c r="B47" s="62" t="s">
        <v>224</v>
      </c>
      <c r="C47" s="63"/>
      <c r="D47" s="64"/>
      <c r="E47" s="65"/>
      <c r="F47" s="66"/>
      <c r="G47" s="63"/>
      <c r="H47" s="67"/>
      <c r="I47" s="68"/>
      <c r="J47" s="68"/>
      <c r="K47" s="32"/>
      <c r="L47" s="75"/>
      <c r="M47" s="75"/>
      <c r="N47" s="70"/>
      <c r="O47" s="77" t="s">
        <v>225</v>
      </c>
      <c r="P47" s="79">
        <v>45078.443726851852</v>
      </c>
      <c r="Q47" s="77" t="s">
        <v>326</v>
      </c>
      <c r="R47" s="77">
        <v>0</v>
      </c>
      <c r="S47" s="77">
        <v>0</v>
      </c>
      <c r="T47" s="77">
        <v>0</v>
      </c>
      <c r="U47" s="77">
        <v>0</v>
      </c>
      <c r="V47" s="77">
        <v>5</v>
      </c>
      <c r="W47" s="81" t="s">
        <v>392</v>
      </c>
      <c r="X47" s="77"/>
      <c r="Y47" s="77"/>
      <c r="Z47" s="77"/>
      <c r="AA47" s="77"/>
      <c r="AB47" s="77"/>
      <c r="AC47" s="81" t="s">
        <v>399</v>
      </c>
      <c r="AD47" s="77" t="s">
        <v>400</v>
      </c>
      <c r="AE47" s="83" t="str">
        <f>HYPERLINK("https://twitter.com/economedicos/status/1664219985865068544")</f>
        <v>https://twitter.com/economedicos/status/1664219985865068544</v>
      </c>
      <c r="AF47" s="79">
        <v>45078.443726851852</v>
      </c>
      <c r="AG47" s="85">
        <v>45078</v>
      </c>
      <c r="AH47" s="81" t="s">
        <v>499</v>
      </c>
      <c r="AI47" s="77"/>
      <c r="AJ47" s="77"/>
      <c r="AK47" s="77"/>
      <c r="AL47" s="77"/>
      <c r="AM47" s="77"/>
      <c r="AN47" s="77"/>
      <c r="AO47" s="77"/>
      <c r="AP47" s="77"/>
      <c r="AQ47" s="77"/>
      <c r="AR47" s="77"/>
      <c r="AS47" s="77"/>
      <c r="AT47" s="77"/>
      <c r="AU47" s="77"/>
      <c r="AV47" s="83" t="str">
        <f>HYPERLINK("https://pbs.twimg.com/profile_images/1283576393662636034/EjgsMA_W_normal.jpg")</f>
        <v>https://pbs.twimg.com/profile_images/1283576393662636034/EjgsMA_W_normal.jpg</v>
      </c>
      <c r="AW47" s="81" t="s">
        <v>663</v>
      </c>
      <c r="AX47" s="81" t="s">
        <v>829</v>
      </c>
      <c r="AY47" s="81" t="s">
        <v>895</v>
      </c>
      <c r="AZ47" s="81" t="s">
        <v>996</v>
      </c>
      <c r="BA47" s="81" t="s">
        <v>1061</v>
      </c>
      <c r="BB47" s="81" t="s">
        <v>1061</v>
      </c>
      <c r="BC47" s="81" t="s">
        <v>996</v>
      </c>
      <c r="BD47" s="81" t="s">
        <v>895</v>
      </c>
      <c r="BE47" s="77"/>
      <c r="BF47" s="77"/>
      <c r="BG47" s="77"/>
      <c r="BH47" s="77"/>
      <c r="BI47" s="77"/>
    </row>
    <row r="48" spans="1:61" x14ac:dyDescent="0.25">
      <c r="A48" s="62" t="s">
        <v>224</v>
      </c>
      <c r="B48" s="62" t="s">
        <v>224</v>
      </c>
      <c r="C48" s="63"/>
      <c r="D48" s="64"/>
      <c r="E48" s="65"/>
      <c r="F48" s="66"/>
      <c r="G48" s="63"/>
      <c r="H48" s="67"/>
      <c r="I48" s="68"/>
      <c r="J48" s="68"/>
      <c r="K48" s="32"/>
      <c r="L48" s="75"/>
      <c r="M48" s="75"/>
      <c r="N48" s="70"/>
      <c r="O48" s="77" t="s">
        <v>225</v>
      </c>
      <c r="P48" s="79">
        <v>45077.45045138889</v>
      </c>
      <c r="Q48" s="77" t="s">
        <v>358</v>
      </c>
      <c r="R48" s="77">
        <v>0</v>
      </c>
      <c r="S48" s="77">
        <v>0</v>
      </c>
      <c r="T48" s="77">
        <v>0</v>
      </c>
      <c r="U48" s="77">
        <v>0</v>
      </c>
      <c r="V48" s="77">
        <v>16</v>
      </c>
      <c r="W48" s="81" t="s">
        <v>392</v>
      </c>
      <c r="X48" s="77"/>
      <c r="Y48" s="77"/>
      <c r="Z48" s="77"/>
      <c r="AA48" s="77"/>
      <c r="AB48" s="77"/>
      <c r="AC48" s="81" t="s">
        <v>399</v>
      </c>
      <c r="AD48" s="77" t="s">
        <v>400</v>
      </c>
      <c r="AE48" s="83" t="str">
        <f>HYPERLINK("https://twitter.com/economedicos/status/1663860032574726147")</f>
        <v>https://twitter.com/economedicos/status/1663860032574726147</v>
      </c>
      <c r="AF48" s="79">
        <v>45077.45045138889</v>
      </c>
      <c r="AG48" s="85">
        <v>45077</v>
      </c>
      <c r="AH48" s="81" t="s">
        <v>530</v>
      </c>
      <c r="AI48" s="77"/>
      <c r="AJ48" s="77"/>
      <c r="AK48" s="77"/>
      <c r="AL48" s="77"/>
      <c r="AM48" s="77"/>
      <c r="AN48" s="77"/>
      <c r="AO48" s="77"/>
      <c r="AP48" s="77"/>
      <c r="AQ48" s="77"/>
      <c r="AR48" s="77"/>
      <c r="AS48" s="77"/>
      <c r="AT48" s="77"/>
      <c r="AU48" s="77"/>
      <c r="AV48" s="83" t="str">
        <f>HYPERLINK("https://pbs.twimg.com/profile_images/1283576393662636034/EjgsMA_W_normal.jpg")</f>
        <v>https://pbs.twimg.com/profile_images/1283576393662636034/EjgsMA_W_normal.jpg</v>
      </c>
      <c r="AW48" s="81" t="s">
        <v>695</v>
      </c>
      <c r="AX48" s="81" t="s">
        <v>861</v>
      </c>
      <c r="AY48" s="81" t="s">
        <v>895</v>
      </c>
      <c r="AZ48" s="81" t="s">
        <v>1028</v>
      </c>
      <c r="BA48" s="81" t="s">
        <v>1061</v>
      </c>
      <c r="BB48" s="81" t="s">
        <v>1061</v>
      </c>
      <c r="BC48" s="81" t="s">
        <v>1028</v>
      </c>
      <c r="BD48" s="81" t="s">
        <v>895</v>
      </c>
      <c r="BE48" s="77"/>
      <c r="BF48" s="77"/>
      <c r="BG48" s="77"/>
      <c r="BH48" s="77"/>
      <c r="BI48" s="77"/>
    </row>
    <row r="49" spans="1:61" x14ac:dyDescent="0.25">
      <c r="A49" s="62" t="s">
        <v>224</v>
      </c>
      <c r="B49" s="62" t="s">
        <v>224</v>
      </c>
      <c r="C49" s="63"/>
      <c r="D49" s="64"/>
      <c r="E49" s="65"/>
      <c r="F49" s="66"/>
      <c r="G49" s="63"/>
      <c r="H49" s="67"/>
      <c r="I49" s="68"/>
      <c r="J49" s="68"/>
      <c r="K49" s="32"/>
      <c r="L49" s="75"/>
      <c r="M49" s="75"/>
      <c r="N49" s="70"/>
      <c r="O49" s="77" t="s">
        <v>225</v>
      </c>
      <c r="P49" s="79">
        <v>45030.442974537036</v>
      </c>
      <c r="Q49" s="77" t="s">
        <v>327</v>
      </c>
      <c r="R49" s="77">
        <v>0</v>
      </c>
      <c r="S49" s="77">
        <v>0</v>
      </c>
      <c r="T49" s="77">
        <v>0</v>
      </c>
      <c r="U49" s="77">
        <v>0</v>
      </c>
      <c r="V49" s="77">
        <v>11</v>
      </c>
      <c r="W49" s="81" t="s">
        <v>392</v>
      </c>
      <c r="X49" s="77"/>
      <c r="Y49" s="77"/>
      <c r="Z49" s="77"/>
      <c r="AA49" s="77"/>
      <c r="AB49" s="77"/>
      <c r="AC49" s="81" t="s">
        <v>399</v>
      </c>
      <c r="AD49" s="77" t="s">
        <v>400</v>
      </c>
      <c r="AE49" s="83" t="str">
        <f>HYPERLINK("https://twitter.com/economedicos/status/1646825094801416193")</f>
        <v>https://twitter.com/economedicos/status/1646825094801416193</v>
      </c>
      <c r="AF49" s="79">
        <v>45030.442974537036</v>
      </c>
      <c r="AG49" s="85">
        <v>45030</v>
      </c>
      <c r="AH49" s="81" t="s">
        <v>500</v>
      </c>
      <c r="AI49" s="77"/>
      <c r="AJ49" s="77"/>
      <c r="AK49" s="77"/>
      <c r="AL49" s="77"/>
      <c r="AM49" s="77"/>
      <c r="AN49" s="77"/>
      <c r="AO49" s="77"/>
      <c r="AP49" s="77"/>
      <c r="AQ49" s="77"/>
      <c r="AR49" s="77"/>
      <c r="AS49" s="77"/>
      <c r="AT49" s="77"/>
      <c r="AU49" s="77"/>
      <c r="AV49" s="83" t="str">
        <f>HYPERLINK("https://pbs.twimg.com/profile_images/1283576393662636034/EjgsMA_W_normal.jpg")</f>
        <v>https://pbs.twimg.com/profile_images/1283576393662636034/EjgsMA_W_normal.jpg</v>
      </c>
      <c r="AW49" s="81" t="s">
        <v>664</v>
      </c>
      <c r="AX49" s="81" t="s">
        <v>830</v>
      </c>
      <c r="AY49" s="81" t="s">
        <v>895</v>
      </c>
      <c r="AZ49" s="81" t="s">
        <v>997</v>
      </c>
      <c r="BA49" s="81" t="s">
        <v>1061</v>
      </c>
      <c r="BB49" s="81" t="s">
        <v>1061</v>
      </c>
      <c r="BC49" s="81" t="s">
        <v>997</v>
      </c>
      <c r="BD49" s="81" t="s">
        <v>895</v>
      </c>
      <c r="BE49" s="77"/>
      <c r="BF49" s="77"/>
      <c r="BG49" s="77"/>
      <c r="BH49" s="77"/>
      <c r="BI49" s="77"/>
    </row>
    <row r="50" spans="1:61" x14ac:dyDescent="0.25">
      <c r="A50" s="62" t="s">
        <v>224</v>
      </c>
      <c r="B50" s="62" t="s">
        <v>224</v>
      </c>
      <c r="C50" s="63"/>
      <c r="D50" s="64"/>
      <c r="E50" s="65"/>
      <c r="F50" s="66"/>
      <c r="G50" s="63"/>
      <c r="H50" s="67"/>
      <c r="I50" s="68"/>
      <c r="J50" s="68"/>
      <c r="K50" s="32"/>
      <c r="L50" s="75"/>
      <c r="M50" s="75"/>
      <c r="N50" s="70"/>
      <c r="O50" s="77" t="s">
        <v>225</v>
      </c>
      <c r="P50" s="79">
        <v>45029.431921296295</v>
      </c>
      <c r="Q50" s="77" t="s">
        <v>328</v>
      </c>
      <c r="R50" s="77">
        <v>0</v>
      </c>
      <c r="S50" s="77">
        <v>0</v>
      </c>
      <c r="T50" s="77">
        <v>0</v>
      </c>
      <c r="U50" s="77">
        <v>0</v>
      </c>
      <c r="V50" s="77">
        <v>14</v>
      </c>
      <c r="W50" s="81" t="s">
        <v>392</v>
      </c>
      <c r="X50" s="77"/>
      <c r="Y50" s="77"/>
      <c r="Z50" s="77"/>
      <c r="AA50" s="77"/>
      <c r="AB50" s="77"/>
      <c r="AC50" s="81" t="s">
        <v>399</v>
      </c>
      <c r="AD50" s="77" t="s">
        <v>400</v>
      </c>
      <c r="AE50" s="83" t="str">
        <f>HYPERLINK("https://twitter.com/economedicos/status/1646458698796023808")</f>
        <v>https://twitter.com/economedicos/status/1646458698796023808</v>
      </c>
      <c r="AF50" s="79">
        <v>45029.431921296295</v>
      </c>
      <c r="AG50" s="85">
        <v>45029</v>
      </c>
      <c r="AH50" s="81" t="s">
        <v>501</v>
      </c>
      <c r="AI50" s="77"/>
      <c r="AJ50" s="77"/>
      <c r="AK50" s="77"/>
      <c r="AL50" s="77"/>
      <c r="AM50" s="77"/>
      <c r="AN50" s="77"/>
      <c r="AO50" s="77"/>
      <c r="AP50" s="77"/>
      <c r="AQ50" s="77"/>
      <c r="AR50" s="77"/>
      <c r="AS50" s="77"/>
      <c r="AT50" s="77"/>
      <c r="AU50" s="77"/>
      <c r="AV50" s="83" t="str">
        <f>HYPERLINK("https://pbs.twimg.com/profile_images/1283576393662636034/EjgsMA_W_normal.jpg")</f>
        <v>https://pbs.twimg.com/profile_images/1283576393662636034/EjgsMA_W_normal.jpg</v>
      </c>
      <c r="AW50" s="81" t="s">
        <v>665</v>
      </c>
      <c r="AX50" s="81" t="s">
        <v>831</v>
      </c>
      <c r="AY50" s="81" t="s">
        <v>895</v>
      </c>
      <c r="AZ50" s="81" t="s">
        <v>998</v>
      </c>
      <c r="BA50" s="81" t="s">
        <v>1061</v>
      </c>
      <c r="BB50" s="81" t="s">
        <v>1061</v>
      </c>
      <c r="BC50" s="81" t="s">
        <v>998</v>
      </c>
      <c r="BD50" s="81" t="s">
        <v>895</v>
      </c>
      <c r="BE50" s="77"/>
      <c r="BF50" s="77"/>
      <c r="BG50" s="77"/>
      <c r="BH50" s="77"/>
      <c r="BI50" s="77"/>
    </row>
    <row r="51" spans="1:61" x14ac:dyDescent="0.25">
      <c r="A51" s="62" t="s">
        <v>224</v>
      </c>
      <c r="B51" s="62" t="s">
        <v>224</v>
      </c>
      <c r="C51" s="63"/>
      <c r="D51" s="64"/>
      <c r="E51" s="65"/>
      <c r="F51" s="66"/>
      <c r="G51" s="63"/>
      <c r="H51" s="67"/>
      <c r="I51" s="68"/>
      <c r="J51" s="68"/>
      <c r="K51" s="32"/>
      <c r="L51" s="75"/>
      <c r="M51" s="75"/>
      <c r="N51" s="70"/>
      <c r="O51" s="77" t="s">
        <v>225</v>
      </c>
      <c r="P51" s="79">
        <v>45015.506284722222</v>
      </c>
      <c r="Q51" s="77" t="s">
        <v>312</v>
      </c>
      <c r="R51" s="77">
        <v>0</v>
      </c>
      <c r="S51" s="77">
        <v>0</v>
      </c>
      <c r="T51" s="77">
        <v>0</v>
      </c>
      <c r="U51" s="77">
        <v>0</v>
      </c>
      <c r="V51" s="77">
        <v>4</v>
      </c>
      <c r="W51" s="81" t="s">
        <v>392</v>
      </c>
      <c r="X51" s="77"/>
      <c r="Y51" s="77"/>
      <c r="Z51" s="77"/>
      <c r="AA51" s="77"/>
      <c r="AB51" s="77"/>
      <c r="AC51" s="81" t="s">
        <v>399</v>
      </c>
      <c r="AD51" s="77" t="s">
        <v>400</v>
      </c>
      <c r="AE51" s="83" t="str">
        <f>HYPERLINK("https://twitter.com/economedicos/status/1641412220318806016")</f>
        <v>https://twitter.com/economedicos/status/1641412220318806016</v>
      </c>
      <c r="AF51" s="79">
        <v>45015.506284722222</v>
      </c>
      <c r="AG51" s="85">
        <v>45015</v>
      </c>
      <c r="AH51" s="81" t="s">
        <v>486</v>
      </c>
      <c r="AI51" s="77"/>
      <c r="AJ51" s="77"/>
      <c r="AK51" s="77"/>
      <c r="AL51" s="77"/>
      <c r="AM51" s="77"/>
      <c r="AN51" s="77"/>
      <c r="AO51" s="77"/>
      <c r="AP51" s="77"/>
      <c r="AQ51" s="77"/>
      <c r="AR51" s="77"/>
      <c r="AS51" s="77"/>
      <c r="AT51" s="77"/>
      <c r="AU51" s="77"/>
      <c r="AV51" s="83" t="str">
        <f>HYPERLINK("https://pbs.twimg.com/profile_images/1283576393662636034/EjgsMA_W_normal.jpg")</f>
        <v>https://pbs.twimg.com/profile_images/1283576393662636034/EjgsMA_W_normal.jpg</v>
      </c>
      <c r="AW51" s="81" t="s">
        <v>649</v>
      </c>
      <c r="AX51" s="81" t="s">
        <v>815</v>
      </c>
      <c r="AY51" s="81" t="s">
        <v>895</v>
      </c>
      <c r="AZ51" s="81" t="s">
        <v>982</v>
      </c>
      <c r="BA51" s="81" t="s">
        <v>1061</v>
      </c>
      <c r="BB51" s="81" t="s">
        <v>1061</v>
      </c>
      <c r="BC51" s="81" t="s">
        <v>982</v>
      </c>
      <c r="BD51" s="81" t="s">
        <v>895</v>
      </c>
      <c r="BE51" s="77"/>
      <c r="BF51" s="77"/>
      <c r="BG51" s="77"/>
      <c r="BH51" s="77"/>
      <c r="BI51" s="77"/>
    </row>
    <row r="52" spans="1:61" x14ac:dyDescent="0.25">
      <c r="A52" s="62" t="s">
        <v>224</v>
      </c>
      <c r="B52" s="62" t="s">
        <v>224</v>
      </c>
      <c r="C52" s="63"/>
      <c r="D52" s="64"/>
      <c r="E52" s="65"/>
      <c r="F52" s="66"/>
      <c r="G52" s="63"/>
      <c r="H52" s="67"/>
      <c r="I52" s="68"/>
      <c r="J52" s="68"/>
      <c r="K52" s="32"/>
      <c r="L52" s="75"/>
      <c r="M52" s="75"/>
      <c r="N52" s="70"/>
      <c r="O52" s="77" t="s">
        <v>225</v>
      </c>
      <c r="P52" s="79">
        <v>45014.455868055556</v>
      </c>
      <c r="Q52" s="77" t="s">
        <v>313</v>
      </c>
      <c r="R52" s="77">
        <v>0</v>
      </c>
      <c r="S52" s="77">
        <v>0</v>
      </c>
      <c r="T52" s="77">
        <v>0</v>
      </c>
      <c r="U52" s="77">
        <v>0</v>
      </c>
      <c r="V52" s="77">
        <v>4</v>
      </c>
      <c r="W52" s="81" t="s">
        <v>392</v>
      </c>
      <c r="X52" s="77"/>
      <c r="Y52" s="77"/>
      <c r="Z52" s="77"/>
      <c r="AA52" s="77"/>
      <c r="AB52" s="77"/>
      <c r="AC52" s="81" t="s">
        <v>399</v>
      </c>
      <c r="AD52" s="77" t="s">
        <v>400</v>
      </c>
      <c r="AE52" s="83" t="str">
        <f>HYPERLINK("https://twitter.com/economedicos/status/1641031561180053504")</f>
        <v>https://twitter.com/economedicos/status/1641031561180053504</v>
      </c>
      <c r="AF52" s="79">
        <v>45014.455868055556</v>
      </c>
      <c r="AG52" s="85">
        <v>45014</v>
      </c>
      <c r="AH52" s="81" t="s">
        <v>487</v>
      </c>
      <c r="AI52" s="77"/>
      <c r="AJ52" s="77"/>
      <c r="AK52" s="77"/>
      <c r="AL52" s="77"/>
      <c r="AM52" s="77"/>
      <c r="AN52" s="77"/>
      <c r="AO52" s="77"/>
      <c r="AP52" s="77"/>
      <c r="AQ52" s="77"/>
      <c r="AR52" s="77"/>
      <c r="AS52" s="77"/>
      <c r="AT52" s="77"/>
      <c r="AU52" s="77"/>
      <c r="AV52" s="83" t="str">
        <f>HYPERLINK("https://pbs.twimg.com/profile_images/1283576393662636034/EjgsMA_W_normal.jpg")</f>
        <v>https://pbs.twimg.com/profile_images/1283576393662636034/EjgsMA_W_normal.jpg</v>
      </c>
      <c r="AW52" s="81" t="s">
        <v>650</v>
      </c>
      <c r="AX52" s="81" t="s">
        <v>816</v>
      </c>
      <c r="AY52" s="81" t="s">
        <v>895</v>
      </c>
      <c r="AZ52" s="81" t="s">
        <v>983</v>
      </c>
      <c r="BA52" s="81" t="s">
        <v>1061</v>
      </c>
      <c r="BB52" s="81" t="s">
        <v>1061</v>
      </c>
      <c r="BC52" s="81" t="s">
        <v>983</v>
      </c>
      <c r="BD52" s="81" t="s">
        <v>895</v>
      </c>
      <c r="BE52" s="77"/>
      <c r="BF52" s="77"/>
      <c r="BG52" s="77"/>
      <c r="BH52" s="77"/>
      <c r="BI52" s="77"/>
    </row>
    <row r="53" spans="1:61" x14ac:dyDescent="0.25">
      <c r="A53" s="62" t="s">
        <v>224</v>
      </c>
      <c r="B53" s="62" t="s">
        <v>224</v>
      </c>
      <c r="C53" s="63"/>
      <c r="D53" s="64"/>
      <c r="E53" s="65"/>
      <c r="F53" s="66"/>
      <c r="G53" s="63"/>
      <c r="H53" s="67"/>
      <c r="I53" s="68"/>
      <c r="J53" s="68"/>
      <c r="K53" s="32"/>
      <c r="L53" s="75"/>
      <c r="M53" s="75"/>
      <c r="N53" s="70"/>
      <c r="O53" s="77" t="s">
        <v>225</v>
      </c>
      <c r="P53" s="79">
        <v>45013.463888888888</v>
      </c>
      <c r="Q53" s="77" t="s">
        <v>362</v>
      </c>
      <c r="R53" s="77">
        <v>0</v>
      </c>
      <c r="S53" s="77">
        <v>0</v>
      </c>
      <c r="T53" s="77">
        <v>0</v>
      </c>
      <c r="U53" s="77">
        <v>0</v>
      </c>
      <c r="V53" s="77">
        <v>2</v>
      </c>
      <c r="W53" s="81" t="s">
        <v>392</v>
      </c>
      <c r="X53" s="77"/>
      <c r="Y53" s="77"/>
      <c r="Z53" s="77"/>
      <c r="AA53" s="77"/>
      <c r="AB53" s="77"/>
      <c r="AC53" s="81" t="s">
        <v>399</v>
      </c>
      <c r="AD53" s="77" t="s">
        <v>400</v>
      </c>
      <c r="AE53" s="83" t="str">
        <f>HYPERLINK("https://twitter.com/economedicos/status/1640672078771761152")</f>
        <v>https://twitter.com/economedicos/status/1640672078771761152</v>
      </c>
      <c r="AF53" s="79">
        <v>45013.463888888888</v>
      </c>
      <c r="AG53" s="85">
        <v>45013</v>
      </c>
      <c r="AH53" s="81" t="s">
        <v>534</v>
      </c>
      <c r="AI53" s="77"/>
      <c r="AJ53" s="77"/>
      <c r="AK53" s="77"/>
      <c r="AL53" s="77"/>
      <c r="AM53" s="77"/>
      <c r="AN53" s="77"/>
      <c r="AO53" s="77"/>
      <c r="AP53" s="77"/>
      <c r="AQ53" s="77"/>
      <c r="AR53" s="77"/>
      <c r="AS53" s="77"/>
      <c r="AT53" s="77"/>
      <c r="AU53" s="77"/>
      <c r="AV53" s="83" t="str">
        <f>HYPERLINK("https://pbs.twimg.com/profile_images/1283576393662636034/EjgsMA_W_normal.jpg")</f>
        <v>https://pbs.twimg.com/profile_images/1283576393662636034/EjgsMA_W_normal.jpg</v>
      </c>
      <c r="AW53" s="81" t="s">
        <v>699</v>
      </c>
      <c r="AX53" s="81" t="s">
        <v>865</v>
      </c>
      <c r="AY53" s="81" t="s">
        <v>895</v>
      </c>
      <c r="AZ53" s="81" t="s">
        <v>1032</v>
      </c>
      <c r="BA53" s="81" t="s">
        <v>1061</v>
      </c>
      <c r="BB53" s="81" t="s">
        <v>1061</v>
      </c>
      <c r="BC53" s="81" t="s">
        <v>1032</v>
      </c>
      <c r="BD53" s="81" t="s">
        <v>895</v>
      </c>
      <c r="BE53" s="77"/>
      <c r="BF53" s="77"/>
      <c r="BG53" s="77"/>
      <c r="BH53" s="77"/>
      <c r="BI53" s="77"/>
    </row>
    <row r="54" spans="1:61" x14ac:dyDescent="0.25">
      <c r="A54" s="62" t="s">
        <v>224</v>
      </c>
      <c r="B54" s="62" t="s">
        <v>224</v>
      </c>
      <c r="C54" s="63"/>
      <c r="D54" s="64"/>
      <c r="E54" s="65"/>
      <c r="F54" s="66"/>
      <c r="G54" s="63"/>
      <c r="H54" s="67"/>
      <c r="I54" s="68"/>
      <c r="J54" s="68"/>
      <c r="K54" s="32"/>
      <c r="L54" s="75"/>
      <c r="M54" s="75"/>
      <c r="N54" s="70"/>
      <c r="O54" s="77" t="s">
        <v>225</v>
      </c>
      <c r="P54" s="79">
        <v>45009.462083333332</v>
      </c>
      <c r="Q54" s="77" t="s">
        <v>363</v>
      </c>
      <c r="R54" s="77">
        <v>0</v>
      </c>
      <c r="S54" s="77">
        <v>0</v>
      </c>
      <c r="T54" s="77">
        <v>0</v>
      </c>
      <c r="U54" s="77">
        <v>0</v>
      </c>
      <c r="V54" s="77">
        <v>3</v>
      </c>
      <c r="W54" s="81" t="s">
        <v>392</v>
      </c>
      <c r="X54" s="77"/>
      <c r="Y54" s="77"/>
      <c r="Z54" s="77"/>
      <c r="AA54" s="77"/>
      <c r="AB54" s="77"/>
      <c r="AC54" s="81" t="s">
        <v>399</v>
      </c>
      <c r="AD54" s="77" t="s">
        <v>400</v>
      </c>
      <c r="AE54" s="83" t="str">
        <f>HYPERLINK("https://twitter.com/economedicos/status/1639221874184912896")</f>
        <v>https://twitter.com/economedicos/status/1639221874184912896</v>
      </c>
      <c r="AF54" s="79">
        <v>45009.462083333332</v>
      </c>
      <c r="AG54" s="85">
        <v>45009</v>
      </c>
      <c r="AH54" s="81" t="s">
        <v>535</v>
      </c>
      <c r="AI54" s="77"/>
      <c r="AJ54" s="77"/>
      <c r="AK54" s="77"/>
      <c r="AL54" s="77"/>
      <c r="AM54" s="77"/>
      <c r="AN54" s="77"/>
      <c r="AO54" s="77"/>
      <c r="AP54" s="77"/>
      <c r="AQ54" s="77"/>
      <c r="AR54" s="77"/>
      <c r="AS54" s="77"/>
      <c r="AT54" s="77"/>
      <c r="AU54" s="77"/>
      <c r="AV54" s="83" t="str">
        <f>HYPERLINK("https://pbs.twimg.com/profile_images/1283576393662636034/EjgsMA_W_normal.jpg")</f>
        <v>https://pbs.twimg.com/profile_images/1283576393662636034/EjgsMA_W_normal.jpg</v>
      </c>
      <c r="AW54" s="81" t="s">
        <v>700</v>
      </c>
      <c r="AX54" s="81" t="s">
        <v>866</v>
      </c>
      <c r="AY54" s="81" t="s">
        <v>895</v>
      </c>
      <c r="AZ54" s="81" t="s">
        <v>1033</v>
      </c>
      <c r="BA54" s="81" t="s">
        <v>1061</v>
      </c>
      <c r="BB54" s="81" t="s">
        <v>1061</v>
      </c>
      <c r="BC54" s="81" t="s">
        <v>1033</v>
      </c>
      <c r="BD54" s="81" t="s">
        <v>895</v>
      </c>
      <c r="BE54" s="77"/>
      <c r="BF54" s="77"/>
      <c r="BG54" s="77"/>
      <c r="BH54" s="77"/>
      <c r="BI54" s="77"/>
    </row>
    <row r="55" spans="1:61" x14ac:dyDescent="0.25">
      <c r="A55" s="62" t="s">
        <v>224</v>
      </c>
      <c r="B55" s="62" t="s">
        <v>224</v>
      </c>
      <c r="C55" s="63"/>
      <c r="D55" s="64"/>
      <c r="E55" s="65"/>
      <c r="F55" s="66"/>
      <c r="G55" s="63"/>
      <c r="H55" s="67"/>
      <c r="I55" s="68"/>
      <c r="J55" s="68"/>
      <c r="K55" s="32"/>
      <c r="L55" s="75"/>
      <c r="M55" s="75"/>
      <c r="N55" s="70"/>
      <c r="O55" s="77" t="s">
        <v>225</v>
      </c>
      <c r="P55" s="79">
        <v>44942.561481481483</v>
      </c>
      <c r="Q55" s="77" t="s">
        <v>259</v>
      </c>
      <c r="R55" s="77">
        <v>0</v>
      </c>
      <c r="S55" s="77">
        <v>0</v>
      </c>
      <c r="T55" s="77">
        <v>0</v>
      </c>
      <c r="U55" s="77">
        <v>0</v>
      </c>
      <c r="V55" s="77">
        <v>10</v>
      </c>
      <c r="W55" s="81" t="s">
        <v>392</v>
      </c>
      <c r="X55" s="77"/>
      <c r="Y55" s="77"/>
      <c r="Z55" s="77"/>
      <c r="AA55" s="77"/>
      <c r="AB55" s="77"/>
      <c r="AC55" s="81" t="s">
        <v>399</v>
      </c>
      <c r="AD55" s="77" t="s">
        <v>400</v>
      </c>
      <c r="AE55" s="83" t="str">
        <f>HYPERLINK("https://twitter.com/economedicos/status/1614977905263534080")</f>
        <v>https://twitter.com/economedicos/status/1614977905263534080</v>
      </c>
      <c r="AF55" s="79">
        <v>44942.561481481483</v>
      </c>
      <c r="AG55" s="85">
        <v>44942</v>
      </c>
      <c r="AH55" s="81" t="s">
        <v>434</v>
      </c>
      <c r="AI55" s="77"/>
      <c r="AJ55" s="77"/>
      <c r="AK55" s="77"/>
      <c r="AL55" s="77"/>
      <c r="AM55" s="77"/>
      <c r="AN55" s="77"/>
      <c r="AO55" s="77"/>
      <c r="AP55" s="77"/>
      <c r="AQ55" s="77"/>
      <c r="AR55" s="77"/>
      <c r="AS55" s="77"/>
      <c r="AT55" s="77"/>
      <c r="AU55" s="77"/>
      <c r="AV55" s="83" t="str">
        <f>HYPERLINK("https://pbs.twimg.com/profile_images/1283576393662636034/EjgsMA_W_normal.jpg")</f>
        <v>https://pbs.twimg.com/profile_images/1283576393662636034/EjgsMA_W_normal.jpg</v>
      </c>
      <c r="AW55" s="81" t="s">
        <v>596</v>
      </c>
      <c r="AX55" s="81" t="s">
        <v>762</v>
      </c>
      <c r="AY55" s="81" t="s">
        <v>895</v>
      </c>
      <c r="AZ55" s="81" t="s">
        <v>929</v>
      </c>
      <c r="BA55" s="81" t="s">
        <v>1061</v>
      </c>
      <c r="BB55" s="81" t="s">
        <v>1061</v>
      </c>
      <c r="BC55" s="81" t="s">
        <v>929</v>
      </c>
      <c r="BD55" s="81" t="s">
        <v>895</v>
      </c>
      <c r="BE55" s="77"/>
      <c r="BF55" s="77"/>
      <c r="BG55" s="77"/>
      <c r="BH55" s="77"/>
      <c r="BI55" s="77"/>
    </row>
    <row r="56" spans="1:61" x14ac:dyDescent="0.25">
      <c r="A56" s="62" t="s">
        <v>224</v>
      </c>
      <c r="B56" s="62" t="s">
        <v>224</v>
      </c>
      <c r="C56" s="63"/>
      <c r="D56" s="64"/>
      <c r="E56" s="65"/>
      <c r="F56" s="66"/>
      <c r="G56" s="63"/>
      <c r="H56" s="67"/>
      <c r="I56" s="68"/>
      <c r="J56" s="68"/>
      <c r="K56" s="32"/>
      <c r="L56" s="75"/>
      <c r="M56" s="75"/>
      <c r="N56" s="70"/>
      <c r="O56" s="77" t="s">
        <v>225</v>
      </c>
      <c r="P56" s="79">
        <v>44939.466192129628</v>
      </c>
      <c r="Q56" s="77" t="s">
        <v>260</v>
      </c>
      <c r="R56" s="77">
        <v>0</v>
      </c>
      <c r="S56" s="77">
        <v>0</v>
      </c>
      <c r="T56" s="77">
        <v>0</v>
      </c>
      <c r="U56" s="77">
        <v>0</v>
      </c>
      <c r="V56" s="77">
        <v>26</v>
      </c>
      <c r="W56" s="81" t="s">
        <v>392</v>
      </c>
      <c r="X56" s="77"/>
      <c r="Y56" s="77"/>
      <c r="Z56" s="77"/>
      <c r="AA56" s="77"/>
      <c r="AB56" s="77"/>
      <c r="AC56" s="81" t="s">
        <v>399</v>
      </c>
      <c r="AD56" s="77" t="s">
        <v>400</v>
      </c>
      <c r="AE56" s="83" t="str">
        <f>HYPERLINK("https://twitter.com/economedicos/status/1613856211224461313")</f>
        <v>https://twitter.com/economedicos/status/1613856211224461313</v>
      </c>
      <c r="AF56" s="79">
        <v>44939.466192129628</v>
      </c>
      <c r="AG56" s="85">
        <v>44939</v>
      </c>
      <c r="AH56" s="81" t="s">
        <v>435</v>
      </c>
      <c r="AI56" s="77"/>
      <c r="AJ56" s="77"/>
      <c r="AK56" s="77"/>
      <c r="AL56" s="77"/>
      <c r="AM56" s="77"/>
      <c r="AN56" s="77"/>
      <c r="AO56" s="77"/>
      <c r="AP56" s="77"/>
      <c r="AQ56" s="77"/>
      <c r="AR56" s="77"/>
      <c r="AS56" s="77"/>
      <c r="AT56" s="77"/>
      <c r="AU56" s="77"/>
      <c r="AV56" s="83" t="str">
        <f>HYPERLINK("https://pbs.twimg.com/profile_images/1283576393662636034/EjgsMA_W_normal.jpg")</f>
        <v>https://pbs.twimg.com/profile_images/1283576393662636034/EjgsMA_W_normal.jpg</v>
      </c>
      <c r="AW56" s="81" t="s">
        <v>597</v>
      </c>
      <c r="AX56" s="81" t="s">
        <v>763</v>
      </c>
      <c r="AY56" s="81" t="s">
        <v>895</v>
      </c>
      <c r="AZ56" s="81" t="s">
        <v>930</v>
      </c>
      <c r="BA56" s="81" t="s">
        <v>1061</v>
      </c>
      <c r="BB56" s="81" t="s">
        <v>1061</v>
      </c>
      <c r="BC56" s="81" t="s">
        <v>930</v>
      </c>
      <c r="BD56" s="81" t="s">
        <v>895</v>
      </c>
      <c r="BE56" s="77"/>
      <c r="BF56" s="77"/>
      <c r="BG56" s="77"/>
      <c r="BH56" s="77"/>
      <c r="BI56" s="77"/>
    </row>
    <row r="57" spans="1:61" x14ac:dyDescent="0.25">
      <c r="A57" s="62" t="s">
        <v>224</v>
      </c>
      <c r="B57" s="62" t="s">
        <v>224</v>
      </c>
      <c r="C57" s="63"/>
      <c r="D57" s="64"/>
      <c r="E57" s="65"/>
      <c r="F57" s="66"/>
      <c r="G57" s="63"/>
      <c r="H57" s="67"/>
      <c r="I57" s="68"/>
      <c r="J57" s="68"/>
      <c r="K57" s="32"/>
      <c r="L57" s="75"/>
      <c r="M57" s="75"/>
      <c r="N57" s="70"/>
      <c r="O57" s="77" t="s">
        <v>225</v>
      </c>
      <c r="P57" s="79">
        <v>44938.426111111112</v>
      </c>
      <c r="Q57" s="77" t="s">
        <v>261</v>
      </c>
      <c r="R57" s="77">
        <v>0</v>
      </c>
      <c r="S57" s="77">
        <v>0</v>
      </c>
      <c r="T57" s="77">
        <v>0</v>
      </c>
      <c r="U57" s="77">
        <v>0</v>
      </c>
      <c r="V57" s="77">
        <v>28</v>
      </c>
      <c r="W57" s="81" t="s">
        <v>392</v>
      </c>
      <c r="X57" s="77"/>
      <c r="Y57" s="77"/>
      <c r="Z57" s="77"/>
      <c r="AA57" s="77"/>
      <c r="AB57" s="77"/>
      <c r="AC57" s="81" t="s">
        <v>399</v>
      </c>
      <c r="AD57" s="77" t="s">
        <v>400</v>
      </c>
      <c r="AE57" s="83" t="str">
        <f>HYPERLINK("https://twitter.com/economedicos/status/1613479296827260929")</f>
        <v>https://twitter.com/economedicos/status/1613479296827260929</v>
      </c>
      <c r="AF57" s="79">
        <v>44938.426111111112</v>
      </c>
      <c r="AG57" s="85">
        <v>44938</v>
      </c>
      <c r="AH57" s="81" t="s">
        <v>436</v>
      </c>
      <c r="AI57" s="77"/>
      <c r="AJ57" s="77"/>
      <c r="AK57" s="77"/>
      <c r="AL57" s="77"/>
      <c r="AM57" s="77"/>
      <c r="AN57" s="77"/>
      <c r="AO57" s="77"/>
      <c r="AP57" s="77"/>
      <c r="AQ57" s="77"/>
      <c r="AR57" s="77"/>
      <c r="AS57" s="77"/>
      <c r="AT57" s="77"/>
      <c r="AU57" s="77"/>
      <c r="AV57" s="83" t="str">
        <f>HYPERLINK("https://pbs.twimg.com/profile_images/1283576393662636034/EjgsMA_W_normal.jpg")</f>
        <v>https://pbs.twimg.com/profile_images/1283576393662636034/EjgsMA_W_normal.jpg</v>
      </c>
      <c r="AW57" s="81" t="s">
        <v>598</v>
      </c>
      <c r="AX57" s="81" t="s">
        <v>764</v>
      </c>
      <c r="AY57" s="81" t="s">
        <v>895</v>
      </c>
      <c r="AZ57" s="81" t="s">
        <v>931</v>
      </c>
      <c r="BA57" s="81" t="s">
        <v>1061</v>
      </c>
      <c r="BB57" s="81" t="s">
        <v>1061</v>
      </c>
      <c r="BC57" s="81" t="s">
        <v>931</v>
      </c>
      <c r="BD57" s="81" t="s">
        <v>895</v>
      </c>
      <c r="BE57" s="77"/>
      <c r="BF57" s="77"/>
      <c r="BG57" s="77"/>
      <c r="BH57" s="77"/>
      <c r="BI57" s="77"/>
    </row>
    <row r="58" spans="1:61" x14ac:dyDescent="0.25">
      <c r="A58" s="62" t="s">
        <v>224</v>
      </c>
      <c r="B58" s="62" t="s">
        <v>224</v>
      </c>
      <c r="C58" s="63"/>
      <c r="D58" s="64"/>
      <c r="E58" s="65"/>
      <c r="F58" s="66"/>
      <c r="G58" s="63"/>
      <c r="H58" s="67"/>
      <c r="I58" s="68"/>
      <c r="J58" s="68"/>
      <c r="K58" s="32"/>
      <c r="L58" s="75"/>
      <c r="M58" s="75"/>
      <c r="N58" s="70"/>
      <c r="O58" s="77" t="s">
        <v>225</v>
      </c>
      <c r="P58" s="79">
        <v>44937.468819444446</v>
      </c>
      <c r="Q58" s="77" t="s">
        <v>262</v>
      </c>
      <c r="R58" s="77">
        <v>0</v>
      </c>
      <c r="S58" s="77">
        <v>0</v>
      </c>
      <c r="T58" s="77">
        <v>0</v>
      </c>
      <c r="U58" s="77">
        <v>0</v>
      </c>
      <c r="V58" s="77">
        <v>17</v>
      </c>
      <c r="W58" s="81" t="s">
        <v>392</v>
      </c>
      <c r="X58" s="77"/>
      <c r="Y58" s="77"/>
      <c r="Z58" s="77"/>
      <c r="AA58" s="77"/>
      <c r="AB58" s="77"/>
      <c r="AC58" s="81" t="s">
        <v>399</v>
      </c>
      <c r="AD58" s="77" t="s">
        <v>400</v>
      </c>
      <c r="AE58" s="83" t="str">
        <f>HYPERLINK("https://twitter.com/economedicos/status/1613132389433200641")</f>
        <v>https://twitter.com/economedicos/status/1613132389433200641</v>
      </c>
      <c r="AF58" s="79">
        <v>44937.468819444446</v>
      </c>
      <c r="AG58" s="85">
        <v>44937</v>
      </c>
      <c r="AH58" s="81" t="s">
        <v>437</v>
      </c>
      <c r="AI58" s="77"/>
      <c r="AJ58" s="77"/>
      <c r="AK58" s="77"/>
      <c r="AL58" s="77"/>
      <c r="AM58" s="77"/>
      <c r="AN58" s="77"/>
      <c r="AO58" s="77"/>
      <c r="AP58" s="77"/>
      <c r="AQ58" s="77"/>
      <c r="AR58" s="77"/>
      <c r="AS58" s="77"/>
      <c r="AT58" s="77"/>
      <c r="AU58" s="77"/>
      <c r="AV58" s="83" t="str">
        <f>HYPERLINK("https://pbs.twimg.com/profile_images/1283576393662636034/EjgsMA_W_normal.jpg")</f>
        <v>https://pbs.twimg.com/profile_images/1283576393662636034/EjgsMA_W_normal.jpg</v>
      </c>
      <c r="AW58" s="81" t="s">
        <v>599</v>
      </c>
      <c r="AX58" s="81" t="s">
        <v>765</v>
      </c>
      <c r="AY58" s="81" t="s">
        <v>895</v>
      </c>
      <c r="AZ58" s="81" t="s">
        <v>932</v>
      </c>
      <c r="BA58" s="81" t="s">
        <v>1061</v>
      </c>
      <c r="BB58" s="81" t="s">
        <v>1061</v>
      </c>
      <c r="BC58" s="81" t="s">
        <v>932</v>
      </c>
      <c r="BD58" s="81" t="s">
        <v>895</v>
      </c>
      <c r="BE58" s="77"/>
      <c r="BF58" s="77"/>
      <c r="BG58" s="77"/>
      <c r="BH58" s="77"/>
      <c r="BI58" s="77"/>
    </row>
    <row r="59" spans="1:61" x14ac:dyDescent="0.25">
      <c r="A59" s="62" t="s">
        <v>224</v>
      </c>
      <c r="B59" s="62" t="s">
        <v>224</v>
      </c>
      <c r="C59" s="63"/>
      <c r="D59" s="64"/>
      <c r="E59" s="65"/>
      <c r="F59" s="66"/>
      <c r="G59" s="63"/>
      <c r="H59" s="67"/>
      <c r="I59" s="68"/>
      <c r="J59" s="68"/>
      <c r="K59" s="32"/>
      <c r="L59" s="75"/>
      <c r="M59" s="75"/>
      <c r="N59" s="70"/>
      <c r="O59" s="77" t="s">
        <v>225</v>
      </c>
      <c r="P59" s="79">
        <v>45149.451319444444</v>
      </c>
      <c r="Q59" s="77" t="s">
        <v>246</v>
      </c>
      <c r="R59" s="77">
        <v>0</v>
      </c>
      <c r="S59" s="77">
        <v>0</v>
      </c>
      <c r="T59" s="77">
        <v>0</v>
      </c>
      <c r="U59" s="77">
        <v>0</v>
      </c>
      <c r="V59" s="77">
        <v>8</v>
      </c>
      <c r="W59" s="81" t="s">
        <v>392</v>
      </c>
      <c r="X59" s="77"/>
      <c r="Y59" s="77"/>
      <c r="Z59" s="77"/>
      <c r="AA59" s="77"/>
      <c r="AB59" s="77"/>
      <c r="AC59" s="81" t="s">
        <v>399</v>
      </c>
      <c r="AD59" s="77" t="s">
        <v>400</v>
      </c>
      <c r="AE59" s="83" t="str">
        <f>HYPERLINK("https://twitter.com/economedicos/status/1689952272036311041")</f>
        <v>https://twitter.com/economedicos/status/1689952272036311041</v>
      </c>
      <c r="AF59" s="79">
        <v>45149.451319444444</v>
      </c>
      <c r="AG59" s="85">
        <v>45149</v>
      </c>
      <c r="AH59" s="81" t="s">
        <v>421</v>
      </c>
      <c r="AI59" s="77"/>
      <c r="AJ59" s="77"/>
      <c r="AK59" s="77"/>
      <c r="AL59" s="77"/>
      <c r="AM59" s="77"/>
      <c r="AN59" s="77"/>
      <c r="AO59" s="77"/>
      <c r="AP59" s="77"/>
      <c r="AQ59" s="77"/>
      <c r="AR59" s="77"/>
      <c r="AS59" s="77"/>
      <c r="AT59" s="77"/>
      <c r="AU59" s="77"/>
      <c r="AV59" s="83" t="str">
        <f>HYPERLINK("https://pbs.twimg.com/profile_images/1283576393662636034/EjgsMA_W_normal.jpg")</f>
        <v>https://pbs.twimg.com/profile_images/1283576393662636034/EjgsMA_W_normal.jpg</v>
      </c>
      <c r="AW59" s="81" t="s">
        <v>583</v>
      </c>
      <c r="AX59" s="81" t="s">
        <v>749</v>
      </c>
      <c r="AY59" s="81" t="s">
        <v>895</v>
      </c>
      <c r="AZ59" s="81" t="s">
        <v>916</v>
      </c>
      <c r="BA59" s="81" t="s">
        <v>1061</v>
      </c>
      <c r="BB59" s="81" t="s">
        <v>1061</v>
      </c>
      <c r="BC59" s="81" t="s">
        <v>916</v>
      </c>
      <c r="BD59" s="81" t="s">
        <v>895</v>
      </c>
      <c r="BE59" s="77"/>
      <c r="BF59" s="77"/>
      <c r="BG59" s="77"/>
      <c r="BH59" s="77"/>
      <c r="BI59" s="77"/>
    </row>
    <row r="60" spans="1:61" x14ac:dyDescent="0.25">
      <c r="A60" s="62" t="s">
        <v>224</v>
      </c>
      <c r="B60" s="62" t="s">
        <v>224</v>
      </c>
      <c r="C60" s="63"/>
      <c r="D60" s="64"/>
      <c r="E60" s="65"/>
      <c r="F60" s="66"/>
      <c r="G60" s="63"/>
      <c r="H60" s="67"/>
      <c r="I60" s="68"/>
      <c r="J60" s="68"/>
      <c r="K60" s="32"/>
      <c r="L60" s="75"/>
      <c r="M60" s="75"/>
      <c r="N60" s="70"/>
      <c r="O60" s="77" t="s">
        <v>225</v>
      </c>
      <c r="P60" s="79">
        <v>45145.494930555556</v>
      </c>
      <c r="Q60" s="77" t="s">
        <v>267</v>
      </c>
      <c r="R60" s="77">
        <v>0</v>
      </c>
      <c r="S60" s="77">
        <v>0</v>
      </c>
      <c r="T60" s="77">
        <v>0</v>
      </c>
      <c r="U60" s="77">
        <v>0</v>
      </c>
      <c r="V60" s="77">
        <v>17</v>
      </c>
      <c r="W60" s="81" t="s">
        <v>392</v>
      </c>
      <c r="X60" s="77"/>
      <c r="Y60" s="77"/>
      <c r="Z60" s="77"/>
      <c r="AA60" s="77"/>
      <c r="AB60" s="77"/>
      <c r="AC60" s="81" t="s">
        <v>399</v>
      </c>
      <c r="AD60" s="77" t="s">
        <v>400</v>
      </c>
      <c r="AE60" s="83" t="str">
        <f>HYPERLINK("https://twitter.com/economedicos/status/1688518527391559680")</f>
        <v>https://twitter.com/economedicos/status/1688518527391559680</v>
      </c>
      <c r="AF60" s="79">
        <v>45145.494930555556</v>
      </c>
      <c r="AG60" s="85">
        <v>45145</v>
      </c>
      <c r="AH60" s="81" t="s">
        <v>442</v>
      </c>
      <c r="AI60" s="77"/>
      <c r="AJ60" s="77"/>
      <c r="AK60" s="77"/>
      <c r="AL60" s="77"/>
      <c r="AM60" s="77"/>
      <c r="AN60" s="77"/>
      <c r="AO60" s="77"/>
      <c r="AP60" s="77"/>
      <c r="AQ60" s="77"/>
      <c r="AR60" s="77"/>
      <c r="AS60" s="77"/>
      <c r="AT60" s="77"/>
      <c r="AU60" s="77"/>
      <c r="AV60" s="83" t="str">
        <f>HYPERLINK("https://pbs.twimg.com/profile_images/1283576393662636034/EjgsMA_W_normal.jpg")</f>
        <v>https://pbs.twimg.com/profile_images/1283576393662636034/EjgsMA_W_normal.jpg</v>
      </c>
      <c r="AW60" s="81" t="s">
        <v>604</v>
      </c>
      <c r="AX60" s="81" t="s">
        <v>770</v>
      </c>
      <c r="AY60" s="81" t="s">
        <v>895</v>
      </c>
      <c r="AZ60" s="81" t="s">
        <v>937</v>
      </c>
      <c r="BA60" s="81" t="s">
        <v>1061</v>
      </c>
      <c r="BB60" s="81" t="s">
        <v>1061</v>
      </c>
      <c r="BC60" s="81" t="s">
        <v>937</v>
      </c>
      <c r="BD60" s="81" t="s">
        <v>895</v>
      </c>
      <c r="BE60" s="77"/>
      <c r="BF60" s="77"/>
      <c r="BG60" s="77"/>
      <c r="BH60" s="77"/>
      <c r="BI60" s="77"/>
    </row>
    <row r="61" spans="1:61" x14ac:dyDescent="0.25">
      <c r="A61" s="62" t="s">
        <v>224</v>
      </c>
      <c r="B61" s="62" t="s">
        <v>224</v>
      </c>
      <c r="C61" s="63"/>
      <c r="D61" s="64"/>
      <c r="E61" s="65"/>
      <c r="F61" s="66"/>
      <c r="G61" s="63"/>
      <c r="H61" s="67"/>
      <c r="I61" s="68"/>
      <c r="J61" s="68"/>
      <c r="K61" s="32"/>
      <c r="L61" s="75"/>
      <c r="M61" s="75"/>
      <c r="N61" s="70"/>
      <c r="O61" s="77" t="s">
        <v>225</v>
      </c>
      <c r="P61" s="79">
        <v>45138.553715277776</v>
      </c>
      <c r="Q61" s="77" t="s">
        <v>321</v>
      </c>
      <c r="R61" s="77">
        <v>0</v>
      </c>
      <c r="S61" s="77">
        <v>0</v>
      </c>
      <c r="T61" s="77">
        <v>0</v>
      </c>
      <c r="U61" s="77">
        <v>0</v>
      </c>
      <c r="V61" s="77">
        <v>11</v>
      </c>
      <c r="W61" s="81" t="s">
        <v>392</v>
      </c>
      <c r="X61" s="77"/>
      <c r="Y61" s="77"/>
      <c r="Z61" s="77"/>
      <c r="AA61" s="77"/>
      <c r="AB61" s="77"/>
      <c r="AC61" s="81" t="s">
        <v>399</v>
      </c>
      <c r="AD61" s="77" t="s">
        <v>400</v>
      </c>
      <c r="AE61" s="83" t="str">
        <f>HYPERLINK("https://twitter.com/economedicos/status/1686003115386875906")</f>
        <v>https://twitter.com/economedicos/status/1686003115386875906</v>
      </c>
      <c r="AF61" s="79">
        <v>45138.553715277776</v>
      </c>
      <c r="AG61" s="85">
        <v>45138</v>
      </c>
      <c r="AH61" s="81" t="s">
        <v>494</v>
      </c>
      <c r="AI61" s="77"/>
      <c r="AJ61" s="77"/>
      <c r="AK61" s="77"/>
      <c r="AL61" s="77"/>
      <c r="AM61" s="77"/>
      <c r="AN61" s="77"/>
      <c r="AO61" s="77"/>
      <c r="AP61" s="77"/>
      <c r="AQ61" s="77"/>
      <c r="AR61" s="77"/>
      <c r="AS61" s="77"/>
      <c r="AT61" s="77"/>
      <c r="AU61" s="77"/>
      <c r="AV61" s="83" t="str">
        <f>HYPERLINK("https://pbs.twimg.com/profile_images/1283576393662636034/EjgsMA_W_normal.jpg")</f>
        <v>https://pbs.twimg.com/profile_images/1283576393662636034/EjgsMA_W_normal.jpg</v>
      </c>
      <c r="AW61" s="81" t="s">
        <v>658</v>
      </c>
      <c r="AX61" s="81" t="s">
        <v>824</v>
      </c>
      <c r="AY61" s="81" t="s">
        <v>895</v>
      </c>
      <c r="AZ61" s="81" t="s">
        <v>991</v>
      </c>
      <c r="BA61" s="81" t="s">
        <v>1061</v>
      </c>
      <c r="BB61" s="81" t="s">
        <v>1061</v>
      </c>
      <c r="BC61" s="81" t="s">
        <v>991</v>
      </c>
      <c r="BD61" s="81" t="s">
        <v>895</v>
      </c>
      <c r="BE61" s="77"/>
      <c r="BF61" s="77"/>
      <c r="BG61" s="77"/>
      <c r="BH61" s="77"/>
      <c r="BI61" s="77"/>
    </row>
    <row r="62" spans="1:61" x14ac:dyDescent="0.25">
      <c r="A62" s="62" t="s">
        <v>224</v>
      </c>
      <c r="B62" s="62" t="s">
        <v>224</v>
      </c>
      <c r="C62" s="63"/>
      <c r="D62" s="64"/>
      <c r="E62" s="65"/>
      <c r="F62" s="66"/>
      <c r="G62" s="63"/>
      <c r="H62" s="67"/>
      <c r="I62" s="68"/>
      <c r="J62" s="68"/>
      <c r="K62" s="32"/>
      <c r="L62" s="75"/>
      <c r="M62" s="75"/>
      <c r="N62" s="70"/>
      <c r="O62" s="77" t="s">
        <v>225</v>
      </c>
      <c r="P62" s="79">
        <v>45132.460543981484</v>
      </c>
      <c r="Q62" s="77" t="s">
        <v>354</v>
      </c>
      <c r="R62" s="77">
        <v>0</v>
      </c>
      <c r="S62" s="77">
        <v>0</v>
      </c>
      <c r="T62" s="77">
        <v>0</v>
      </c>
      <c r="U62" s="77">
        <v>0</v>
      </c>
      <c r="V62" s="77">
        <v>18</v>
      </c>
      <c r="W62" s="81" t="s">
        <v>392</v>
      </c>
      <c r="X62" s="77"/>
      <c r="Y62" s="77"/>
      <c r="Z62" s="77"/>
      <c r="AA62" s="77"/>
      <c r="AB62" s="77"/>
      <c r="AC62" s="81" t="s">
        <v>399</v>
      </c>
      <c r="AD62" s="77" t="s">
        <v>400</v>
      </c>
      <c r="AE62" s="83" t="str">
        <f>HYPERLINK("https://twitter.com/economedicos/status/1683795022859079681")</f>
        <v>https://twitter.com/economedicos/status/1683795022859079681</v>
      </c>
      <c r="AF62" s="79">
        <v>45132.460543981484</v>
      </c>
      <c r="AG62" s="85">
        <v>45132</v>
      </c>
      <c r="AH62" s="81" t="s">
        <v>526</v>
      </c>
      <c r="AI62" s="77"/>
      <c r="AJ62" s="77"/>
      <c r="AK62" s="77"/>
      <c r="AL62" s="77"/>
      <c r="AM62" s="77"/>
      <c r="AN62" s="77"/>
      <c r="AO62" s="77"/>
      <c r="AP62" s="77"/>
      <c r="AQ62" s="77"/>
      <c r="AR62" s="77"/>
      <c r="AS62" s="77"/>
      <c r="AT62" s="77"/>
      <c r="AU62" s="77"/>
      <c r="AV62" s="83" t="str">
        <f>HYPERLINK("https://pbs.twimg.com/profile_images/1283576393662636034/EjgsMA_W_normal.jpg")</f>
        <v>https://pbs.twimg.com/profile_images/1283576393662636034/EjgsMA_W_normal.jpg</v>
      </c>
      <c r="AW62" s="81" t="s">
        <v>691</v>
      </c>
      <c r="AX62" s="81" t="s">
        <v>857</v>
      </c>
      <c r="AY62" s="81" t="s">
        <v>895</v>
      </c>
      <c r="AZ62" s="81" t="s">
        <v>1024</v>
      </c>
      <c r="BA62" s="81" t="s">
        <v>1061</v>
      </c>
      <c r="BB62" s="81" t="s">
        <v>1061</v>
      </c>
      <c r="BC62" s="81" t="s">
        <v>1024</v>
      </c>
      <c r="BD62" s="81" t="s">
        <v>895</v>
      </c>
      <c r="BE62" s="77"/>
      <c r="BF62" s="77"/>
      <c r="BG62" s="77"/>
      <c r="BH62" s="77"/>
      <c r="BI62" s="77"/>
    </row>
    <row r="63" spans="1:61" x14ac:dyDescent="0.25">
      <c r="A63" s="62" t="s">
        <v>224</v>
      </c>
      <c r="B63" s="62" t="s">
        <v>224</v>
      </c>
      <c r="C63" s="63"/>
      <c r="D63" s="64"/>
      <c r="E63" s="65"/>
      <c r="F63" s="66"/>
      <c r="G63" s="63"/>
      <c r="H63" s="67"/>
      <c r="I63" s="68"/>
      <c r="J63" s="68"/>
      <c r="K63" s="32"/>
      <c r="L63" s="75"/>
      <c r="M63" s="75"/>
      <c r="N63" s="70"/>
      <c r="O63" s="77" t="s">
        <v>225</v>
      </c>
      <c r="P63" s="79">
        <v>45131.453460648147</v>
      </c>
      <c r="Q63" s="77" t="s">
        <v>355</v>
      </c>
      <c r="R63" s="77">
        <v>0</v>
      </c>
      <c r="S63" s="77">
        <v>0</v>
      </c>
      <c r="T63" s="77">
        <v>0</v>
      </c>
      <c r="U63" s="77">
        <v>0</v>
      </c>
      <c r="V63" s="77">
        <v>18</v>
      </c>
      <c r="W63" s="81" t="s">
        <v>392</v>
      </c>
      <c r="X63" s="77"/>
      <c r="Y63" s="77"/>
      <c r="Z63" s="77"/>
      <c r="AA63" s="77"/>
      <c r="AB63" s="77"/>
      <c r="AC63" s="81" t="s">
        <v>399</v>
      </c>
      <c r="AD63" s="77" t="s">
        <v>400</v>
      </c>
      <c r="AE63" s="83" t="str">
        <f>HYPERLINK("https://twitter.com/economedicos/status/1683430067534274560")</f>
        <v>https://twitter.com/economedicos/status/1683430067534274560</v>
      </c>
      <c r="AF63" s="79">
        <v>45131.453460648147</v>
      </c>
      <c r="AG63" s="85">
        <v>45131</v>
      </c>
      <c r="AH63" s="81" t="s">
        <v>527</v>
      </c>
      <c r="AI63" s="77"/>
      <c r="AJ63" s="77"/>
      <c r="AK63" s="77"/>
      <c r="AL63" s="77"/>
      <c r="AM63" s="77"/>
      <c r="AN63" s="77"/>
      <c r="AO63" s="77"/>
      <c r="AP63" s="77"/>
      <c r="AQ63" s="77"/>
      <c r="AR63" s="77"/>
      <c r="AS63" s="77"/>
      <c r="AT63" s="77"/>
      <c r="AU63" s="77"/>
      <c r="AV63" s="83" t="str">
        <f>HYPERLINK("https://pbs.twimg.com/profile_images/1283576393662636034/EjgsMA_W_normal.jpg")</f>
        <v>https://pbs.twimg.com/profile_images/1283576393662636034/EjgsMA_W_normal.jpg</v>
      </c>
      <c r="AW63" s="81" t="s">
        <v>692</v>
      </c>
      <c r="AX63" s="81" t="s">
        <v>858</v>
      </c>
      <c r="AY63" s="81" t="s">
        <v>895</v>
      </c>
      <c r="AZ63" s="81" t="s">
        <v>1025</v>
      </c>
      <c r="BA63" s="81" t="s">
        <v>1061</v>
      </c>
      <c r="BB63" s="81" t="s">
        <v>1061</v>
      </c>
      <c r="BC63" s="81" t="s">
        <v>1025</v>
      </c>
      <c r="BD63" s="81" t="s">
        <v>895</v>
      </c>
      <c r="BE63" s="77"/>
      <c r="BF63" s="77"/>
      <c r="BG63" s="77"/>
      <c r="BH63" s="77"/>
      <c r="BI63" s="77"/>
    </row>
    <row r="64" spans="1:61" x14ac:dyDescent="0.25">
      <c r="A64" s="62" t="s">
        <v>224</v>
      </c>
      <c r="B64" s="62" t="s">
        <v>224</v>
      </c>
      <c r="C64" s="63"/>
      <c r="D64" s="64"/>
      <c r="E64" s="65"/>
      <c r="F64" s="66"/>
      <c r="G64" s="63"/>
      <c r="H64" s="67"/>
      <c r="I64" s="68"/>
      <c r="J64" s="68"/>
      <c r="K64" s="32"/>
      <c r="L64" s="75"/>
      <c r="M64" s="75"/>
      <c r="N64" s="70"/>
      <c r="O64" s="77" t="s">
        <v>225</v>
      </c>
      <c r="P64" s="79">
        <v>45111.45113425926</v>
      </c>
      <c r="Q64" s="77" t="s">
        <v>323</v>
      </c>
      <c r="R64" s="77">
        <v>0</v>
      </c>
      <c r="S64" s="77">
        <v>0</v>
      </c>
      <c r="T64" s="77">
        <v>0</v>
      </c>
      <c r="U64" s="77">
        <v>0</v>
      </c>
      <c r="V64" s="77">
        <v>6</v>
      </c>
      <c r="W64" s="81" t="s">
        <v>392</v>
      </c>
      <c r="X64" s="77"/>
      <c r="Y64" s="77"/>
      <c r="Z64" s="77"/>
      <c r="AA64" s="77"/>
      <c r="AB64" s="77"/>
      <c r="AC64" s="81" t="s">
        <v>399</v>
      </c>
      <c r="AD64" s="77" t="s">
        <v>400</v>
      </c>
      <c r="AE64" s="83" t="str">
        <f>HYPERLINK("https://twitter.com/economedicos/status/1676181466982539265")</f>
        <v>https://twitter.com/economedicos/status/1676181466982539265</v>
      </c>
      <c r="AF64" s="79">
        <v>45111.45113425926</v>
      </c>
      <c r="AG64" s="85">
        <v>45111</v>
      </c>
      <c r="AH64" s="81" t="s">
        <v>496</v>
      </c>
      <c r="AI64" s="77"/>
      <c r="AJ64" s="77"/>
      <c r="AK64" s="77"/>
      <c r="AL64" s="77"/>
      <c r="AM64" s="77"/>
      <c r="AN64" s="77"/>
      <c r="AO64" s="77"/>
      <c r="AP64" s="77"/>
      <c r="AQ64" s="77"/>
      <c r="AR64" s="77"/>
      <c r="AS64" s="77"/>
      <c r="AT64" s="77"/>
      <c r="AU64" s="77"/>
      <c r="AV64" s="83" t="str">
        <f>HYPERLINK("https://pbs.twimg.com/profile_images/1283576393662636034/EjgsMA_W_normal.jpg")</f>
        <v>https://pbs.twimg.com/profile_images/1283576393662636034/EjgsMA_W_normal.jpg</v>
      </c>
      <c r="AW64" s="81" t="s">
        <v>660</v>
      </c>
      <c r="AX64" s="81" t="s">
        <v>826</v>
      </c>
      <c r="AY64" s="81" t="s">
        <v>895</v>
      </c>
      <c r="AZ64" s="81" t="s">
        <v>993</v>
      </c>
      <c r="BA64" s="81" t="s">
        <v>1061</v>
      </c>
      <c r="BB64" s="81" t="s">
        <v>1061</v>
      </c>
      <c r="BC64" s="81" t="s">
        <v>993</v>
      </c>
      <c r="BD64" s="81" t="s">
        <v>895</v>
      </c>
      <c r="BE64" s="77"/>
      <c r="BF64" s="77"/>
      <c r="BG64" s="77"/>
      <c r="BH64" s="77"/>
      <c r="BI64" s="77"/>
    </row>
    <row r="65" spans="1:61" x14ac:dyDescent="0.25">
      <c r="A65" s="62" t="s">
        <v>224</v>
      </c>
      <c r="B65" s="62" t="s">
        <v>224</v>
      </c>
      <c r="C65" s="63"/>
      <c r="D65" s="64"/>
      <c r="E65" s="65"/>
      <c r="F65" s="66"/>
      <c r="G65" s="63"/>
      <c r="H65" s="67"/>
      <c r="I65" s="68"/>
      <c r="J65" s="68"/>
      <c r="K65" s="32"/>
      <c r="L65" s="75"/>
      <c r="M65" s="75"/>
      <c r="N65" s="70"/>
      <c r="O65" s="77" t="s">
        <v>225</v>
      </c>
      <c r="P65" s="79">
        <v>45110.446342592593</v>
      </c>
      <c r="Q65" s="77" t="s">
        <v>324</v>
      </c>
      <c r="R65" s="77">
        <v>0</v>
      </c>
      <c r="S65" s="77">
        <v>0</v>
      </c>
      <c r="T65" s="77">
        <v>0</v>
      </c>
      <c r="U65" s="77">
        <v>0</v>
      </c>
      <c r="V65" s="77">
        <v>8</v>
      </c>
      <c r="W65" s="81" t="s">
        <v>392</v>
      </c>
      <c r="X65" s="77"/>
      <c r="Y65" s="77"/>
      <c r="Z65" s="77"/>
      <c r="AA65" s="77"/>
      <c r="AB65" s="77"/>
      <c r="AC65" s="81" t="s">
        <v>399</v>
      </c>
      <c r="AD65" s="77" t="s">
        <v>400</v>
      </c>
      <c r="AE65" s="83" t="str">
        <f>HYPERLINK("https://twitter.com/economedicos/status/1675817344092733441")</f>
        <v>https://twitter.com/economedicos/status/1675817344092733441</v>
      </c>
      <c r="AF65" s="79">
        <v>45110.446342592593</v>
      </c>
      <c r="AG65" s="85">
        <v>45110</v>
      </c>
      <c r="AH65" s="81" t="s">
        <v>497</v>
      </c>
      <c r="AI65" s="77"/>
      <c r="AJ65" s="77"/>
      <c r="AK65" s="77"/>
      <c r="AL65" s="77"/>
      <c r="AM65" s="77"/>
      <c r="AN65" s="77"/>
      <c r="AO65" s="77"/>
      <c r="AP65" s="77"/>
      <c r="AQ65" s="77"/>
      <c r="AR65" s="77"/>
      <c r="AS65" s="77"/>
      <c r="AT65" s="77"/>
      <c r="AU65" s="77"/>
      <c r="AV65" s="83" t="str">
        <f>HYPERLINK("https://pbs.twimg.com/profile_images/1283576393662636034/EjgsMA_W_normal.jpg")</f>
        <v>https://pbs.twimg.com/profile_images/1283576393662636034/EjgsMA_W_normal.jpg</v>
      </c>
      <c r="AW65" s="81" t="s">
        <v>661</v>
      </c>
      <c r="AX65" s="81" t="s">
        <v>827</v>
      </c>
      <c r="AY65" s="81" t="s">
        <v>895</v>
      </c>
      <c r="AZ65" s="81" t="s">
        <v>994</v>
      </c>
      <c r="BA65" s="81" t="s">
        <v>1061</v>
      </c>
      <c r="BB65" s="81" t="s">
        <v>1061</v>
      </c>
      <c r="BC65" s="81" t="s">
        <v>994</v>
      </c>
      <c r="BD65" s="81" t="s">
        <v>895</v>
      </c>
      <c r="BE65" s="77"/>
      <c r="BF65" s="77"/>
      <c r="BG65" s="77"/>
      <c r="BH65" s="77"/>
      <c r="BI65" s="77"/>
    </row>
    <row r="66" spans="1:61" x14ac:dyDescent="0.25">
      <c r="A66" s="62" t="s">
        <v>224</v>
      </c>
      <c r="B66" s="62" t="s">
        <v>224</v>
      </c>
      <c r="C66" s="63"/>
      <c r="D66" s="64"/>
      <c r="E66" s="65"/>
      <c r="F66" s="66"/>
      <c r="G66" s="63"/>
      <c r="H66" s="67"/>
      <c r="I66" s="68"/>
      <c r="J66" s="68"/>
      <c r="K66" s="32"/>
      <c r="L66" s="75"/>
      <c r="M66" s="75"/>
      <c r="N66" s="70"/>
      <c r="O66" s="77" t="s">
        <v>225</v>
      </c>
      <c r="P66" s="79">
        <v>45089.451979166668</v>
      </c>
      <c r="Q66" s="77" t="s">
        <v>342</v>
      </c>
      <c r="R66" s="77">
        <v>0</v>
      </c>
      <c r="S66" s="77">
        <v>0</v>
      </c>
      <c r="T66" s="77">
        <v>0</v>
      </c>
      <c r="U66" s="77">
        <v>0</v>
      </c>
      <c r="V66" s="77">
        <v>3</v>
      </c>
      <c r="W66" s="81" t="s">
        <v>392</v>
      </c>
      <c r="X66" s="77"/>
      <c r="Y66" s="77"/>
      <c r="Z66" s="77"/>
      <c r="AA66" s="77"/>
      <c r="AB66" s="77"/>
      <c r="AC66" s="81" t="s">
        <v>399</v>
      </c>
      <c r="AD66" s="77" t="s">
        <v>400</v>
      </c>
      <c r="AE66" s="83" t="str">
        <f>HYPERLINK("https://twitter.com/economedicos/status/1668209241113460736")</f>
        <v>https://twitter.com/economedicos/status/1668209241113460736</v>
      </c>
      <c r="AF66" s="79">
        <v>45089.451979166668</v>
      </c>
      <c r="AG66" s="85">
        <v>45089</v>
      </c>
      <c r="AH66" s="81" t="s">
        <v>514</v>
      </c>
      <c r="AI66" s="77"/>
      <c r="AJ66" s="77"/>
      <c r="AK66" s="77"/>
      <c r="AL66" s="77"/>
      <c r="AM66" s="77"/>
      <c r="AN66" s="77"/>
      <c r="AO66" s="77"/>
      <c r="AP66" s="77"/>
      <c r="AQ66" s="77"/>
      <c r="AR66" s="77"/>
      <c r="AS66" s="77"/>
      <c r="AT66" s="77"/>
      <c r="AU66" s="77"/>
      <c r="AV66" s="83" t="str">
        <f>HYPERLINK("https://pbs.twimg.com/profile_images/1283576393662636034/EjgsMA_W_normal.jpg")</f>
        <v>https://pbs.twimg.com/profile_images/1283576393662636034/EjgsMA_W_normal.jpg</v>
      </c>
      <c r="AW66" s="81" t="s">
        <v>679</v>
      </c>
      <c r="AX66" s="81" t="s">
        <v>845</v>
      </c>
      <c r="AY66" s="81" t="s">
        <v>895</v>
      </c>
      <c r="AZ66" s="81" t="s">
        <v>1012</v>
      </c>
      <c r="BA66" s="81" t="s">
        <v>1061</v>
      </c>
      <c r="BB66" s="81" t="s">
        <v>1061</v>
      </c>
      <c r="BC66" s="81" t="s">
        <v>1012</v>
      </c>
      <c r="BD66" s="81" t="s">
        <v>895</v>
      </c>
      <c r="BE66" s="77"/>
      <c r="BF66" s="77"/>
      <c r="BG66" s="77"/>
      <c r="BH66" s="77"/>
      <c r="BI66" s="77"/>
    </row>
    <row r="67" spans="1:61" x14ac:dyDescent="0.25">
      <c r="A67" s="62" t="s">
        <v>224</v>
      </c>
      <c r="B67" s="62" t="s">
        <v>224</v>
      </c>
      <c r="C67" s="63"/>
      <c r="D67" s="64"/>
      <c r="E67" s="65"/>
      <c r="F67" s="66"/>
      <c r="G67" s="63"/>
      <c r="H67" s="67"/>
      <c r="I67" s="68"/>
      <c r="J67" s="68"/>
      <c r="K67" s="32"/>
      <c r="L67" s="75"/>
      <c r="M67" s="75"/>
      <c r="N67" s="70"/>
      <c r="O67" s="77" t="s">
        <v>225</v>
      </c>
      <c r="P67" s="79">
        <v>45086.575972222221</v>
      </c>
      <c r="Q67" s="77" t="s">
        <v>343</v>
      </c>
      <c r="R67" s="77">
        <v>0</v>
      </c>
      <c r="S67" s="77">
        <v>0</v>
      </c>
      <c r="T67" s="77">
        <v>0</v>
      </c>
      <c r="U67" s="77">
        <v>0</v>
      </c>
      <c r="V67" s="77">
        <v>1</v>
      </c>
      <c r="W67" s="81" t="s">
        <v>392</v>
      </c>
      <c r="X67" s="77"/>
      <c r="Y67" s="77"/>
      <c r="Z67" s="77"/>
      <c r="AA67" s="77"/>
      <c r="AB67" s="77"/>
      <c r="AC67" s="81" t="s">
        <v>399</v>
      </c>
      <c r="AD67" s="77" t="s">
        <v>400</v>
      </c>
      <c r="AE67" s="83" t="str">
        <f>HYPERLINK("https://twitter.com/economedicos/status/1667167009270816769")</f>
        <v>https://twitter.com/economedicos/status/1667167009270816769</v>
      </c>
      <c r="AF67" s="79">
        <v>45086.575972222221</v>
      </c>
      <c r="AG67" s="85">
        <v>45086</v>
      </c>
      <c r="AH67" s="81" t="s">
        <v>515</v>
      </c>
      <c r="AI67" s="77"/>
      <c r="AJ67" s="77"/>
      <c r="AK67" s="77"/>
      <c r="AL67" s="77"/>
      <c r="AM67" s="77"/>
      <c r="AN67" s="77"/>
      <c r="AO67" s="77"/>
      <c r="AP67" s="77"/>
      <c r="AQ67" s="77"/>
      <c r="AR67" s="77"/>
      <c r="AS67" s="77"/>
      <c r="AT67" s="77"/>
      <c r="AU67" s="77"/>
      <c r="AV67" s="83" t="str">
        <f>HYPERLINK("https://pbs.twimg.com/profile_images/1283576393662636034/EjgsMA_W_normal.jpg")</f>
        <v>https://pbs.twimg.com/profile_images/1283576393662636034/EjgsMA_W_normal.jpg</v>
      </c>
      <c r="AW67" s="81" t="s">
        <v>680</v>
      </c>
      <c r="AX67" s="81" t="s">
        <v>846</v>
      </c>
      <c r="AY67" s="81" t="s">
        <v>895</v>
      </c>
      <c r="AZ67" s="81" t="s">
        <v>1013</v>
      </c>
      <c r="BA67" s="81" t="s">
        <v>1061</v>
      </c>
      <c r="BB67" s="81" t="s">
        <v>1061</v>
      </c>
      <c r="BC67" s="81" t="s">
        <v>1013</v>
      </c>
      <c r="BD67" s="81" t="s">
        <v>895</v>
      </c>
      <c r="BE67" s="77"/>
      <c r="BF67" s="77"/>
      <c r="BG67" s="77"/>
      <c r="BH67" s="77"/>
      <c r="BI67" s="77"/>
    </row>
    <row r="68" spans="1:61" x14ac:dyDescent="0.25">
      <c r="A68" s="62" t="s">
        <v>224</v>
      </c>
      <c r="B68" s="62" t="s">
        <v>224</v>
      </c>
      <c r="C68" s="63"/>
      <c r="D68" s="64"/>
      <c r="E68" s="65"/>
      <c r="F68" s="66"/>
      <c r="G68" s="63"/>
      <c r="H68" s="67"/>
      <c r="I68" s="68"/>
      <c r="J68" s="68"/>
      <c r="K68" s="32"/>
      <c r="L68" s="75"/>
      <c r="M68" s="75"/>
      <c r="N68" s="70"/>
      <c r="O68" s="77" t="s">
        <v>225</v>
      </c>
      <c r="P68" s="79">
        <v>45056.46298611111</v>
      </c>
      <c r="Q68" s="77" t="s">
        <v>291</v>
      </c>
      <c r="R68" s="77">
        <v>0</v>
      </c>
      <c r="S68" s="77">
        <v>0</v>
      </c>
      <c r="T68" s="77">
        <v>0</v>
      </c>
      <c r="U68" s="77">
        <v>0</v>
      </c>
      <c r="V68" s="77">
        <v>10</v>
      </c>
      <c r="W68" s="81" t="s">
        <v>392</v>
      </c>
      <c r="X68" s="77"/>
      <c r="Y68" s="77"/>
      <c r="Z68" s="77"/>
      <c r="AA68" s="77"/>
      <c r="AB68" s="77"/>
      <c r="AC68" s="81" t="s">
        <v>399</v>
      </c>
      <c r="AD68" s="77" t="s">
        <v>400</v>
      </c>
      <c r="AE68" s="83" t="str">
        <f>HYPERLINK("https://twitter.com/economedicos/status/1656254429606076417")</f>
        <v>https://twitter.com/economedicos/status/1656254429606076417</v>
      </c>
      <c r="AF68" s="79">
        <v>45056.46298611111</v>
      </c>
      <c r="AG68" s="85">
        <v>45056</v>
      </c>
      <c r="AH68" s="81" t="s">
        <v>466</v>
      </c>
      <c r="AI68" s="77"/>
      <c r="AJ68" s="77"/>
      <c r="AK68" s="77"/>
      <c r="AL68" s="77"/>
      <c r="AM68" s="77"/>
      <c r="AN68" s="77"/>
      <c r="AO68" s="77"/>
      <c r="AP68" s="77"/>
      <c r="AQ68" s="77"/>
      <c r="AR68" s="77"/>
      <c r="AS68" s="77"/>
      <c r="AT68" s="77"/>
      <c r="AU68" s="77"/>
      <c r="AV68" s="83" t="str">
        <f>HYPERLINK("https://pbs.twimg.com/profile_images/1283576393662636034/EjgsMA_W_normal.jpg")</f>
        <v>https://pbs.twimg.com/profile_images/1283576393662636034/EjgsMA_W_normal.jpg</v>
      </c>
      <c r="AW68" s="81" t="s">
        <v>628</v>
      </c>
      <c r="AX68" s="81" t="s">
        <v>794</v>
      </c>
      <c r="AY68" s="81" t="s">
        <v>895</v>
      </c>
      <c r="AZ68" s="81" t="s">
        <v>961</v>
      </c>
      <c r="BA68" s="81" t="s">
        <v>1061</v>
      </c>
      <c r="BB68" s="81" t="s">
        <v>1061</v>
      </c>
      <c r="BC68" s="81" t="s">
        <v>961</v>
      </c>
      <c r="BD68" s="81" t="s">
        <v>895</v>
      </c>
      <c r="BE68" s="77"/>
      <c r="BF68" s="77"/>
      <c r="BG68" s="77"/>
      <c r="BH68" s="77"/>
      <c r="BI68" s="77"/>
    </row>
    <row r="69" spans="1:61" x14ac:dyDescent="0.25">
      <c r="A69" s="62" t="s">
        <v>224</v>
      </c>
      <c r="B69" s="62" t="s">
        <v>224</v>
      </c>
      <c r="C69" s="63"/>
      <c r="D69" s="64"/>
      <c r="E69" s="65"/>
      <c r="F69" s="66"/>
      <c r="G69" s="63"/>
      <c r="H69" s="67"/>
      <c r="I69" s="68"/>
      <c r="J69" s="68"/>
      <c r="K69" s="32"/>
      <c r="L69" s="75"/>
      <c r="M69" s="75"/>
      <c r="N69" s="70"/>
      <c r="O69" s="77" t="s">
        <v>225</v>
      </c>
      <c r="P69" s="79">
        <v>45055.458749999998</v>
      </c>
      <c r="Q69" s="77" t="s">
        <v>292</v>
      </c>
      <c r="R69" s="77">
        <v>0</v>
      </c>
      <c r="S69" s="77">
        <v>0</v>
      </c>
      <c r="T69" s="77">
        <v>0</v>
      </c>
      <c r="U69" s="77">
        <v>0</v>
      </c>
      <c r="V69" s="77">
        <v>5</v>
      </c>
      <c r="W69" s="81" t="s">
        <v>392</v>
      </c>
      <c r="X69" s="77"/>
      <c r="Y69" s="77"/>
      <c r="Z69" s="77"/>
      <c r="AA69" s="77"/>
      <c r="AB69" s="77"/>
      <c r="AC69" s="81" t="s">
        <v>399</v>
      </c>
      <c r="AD69" s="77" t="s">
        <v>400</v>
      </c>
      <c r="AE69" s="83" t="str">
        <f>HYPERLINK("https://twitter.com/economedicos/status/1655890508114194434")</f>
        <v>https://twitter.com/economedicos/status/1655890508114194434</v>
      </c>
      <c r="AF69" s="79">
        <v>45055.458749999998</v>
      </c>
      <c r="AG69" s="85">
        <v>45055</v>
      </c>
      <c r="AH69" s="81" t="s">
        <v>467</v>
      </c>
      <c r="AI69" s="77"/>
      <c r="AJ69" s="77"/>
      <c r="AK69" s="77"/>
      <c r="AL69" s="77"/>
      <c r="AM69" s="77"/>
      <c r="AN69" s="77"/>
      <c r="AO69" s="77"/>
      <c r="AP69" s="77"/>
      <c r="AQ69" s="77"/>
      <c r="AR69" s="77"/>
      <c r="AS69" s="77"/>
      <c r="AT69" s="77"/>
      <c r="AU69" s="77"/>
      <c r="AV69" s="83" t="str">
        <f>HYPERLINK("https://pbs.twimg.com/profile_images/1283576393662636034/EjgsMA_W_normal.jpg")</f>
        <v>https://pbs.twimg.com/profile_images/1283576393662636034/EjgsMA_W_normal.jpg</v>
      </c>
      <c r="AW69" s="81" t="s">
        <v>629</v>
      </c>
      <c r="AX69" s="81" t="s">
        <v>795</v>
      </c>
      <c r="AY69" s="81" t="s">
        <v>895</v>
      </c>
      <c r="AZ69" s="81" t="s">
        <v>962</v>
      </c>
      <c r="BA69" s="81" t="s">
        <v>1061</v>
      </c>
      <c r="BB69" s="81" t="s">
        <v>1061</v>
      </c>
      <c r="BC69" s="81" t="s">
        <v>962</v>
      </c>
      <c r="BD69" s="81" t="s">
        <v>895</v>
      </c>
      <c r="BE69" s="77"/>
      <c r="BF69" s="77"/>
      <c r="BG69" s="77"/>
      <c r="BH69" s="77"/>
      <c r="BI69" s="77"/>
    </row>
    <row r="70" spans="1:61" x14ac:dyDescent="0.25">
      <c r="A70" s="62" t="s">
        <v>224</v>
      </c>
      <c r="B70" s="62" t="s">
        <v>224</v>
      </c>
      <c r="C70" s="63"/>
      <c r="D70" s="64"/>
      <c r="E70" s="65"/>
      <c r="F70" s="66"/>
      <c r="G70" s="63"/>
      <c r="H70" s="67"/>
      <c r="I70" s="68"/>
      <c r="J70" s="68"/>
      <c r="K70" s="32"/>
      <c r="L70" s="75"/>
      <c r="M70" s="75"/>
      <c r="N70" s="70"/>
      <c r="O70" s="77" t="s">
        <v>225</v>
      </c>
      <c r="P70" s="79">
        <v>45054.461643518516</v>
      </c>
      <c r="Q70" s="77" t="s">
        <v>272</v>
      </c>
      <c r="R70" s="77">
        <v>0</v>
      </c>
      <c r="S70" s="77">
        <v>0</v>
      </c>
      <c r="T70" s="77">
        <v>0</v>
      </c>
      <c r="U70" s="77">
        <v>0</v>
      </c>
      <c r="V70" s="77">
        <v>4</v>
      </c>
      <c r="W70" s="81" t="s">
        <v>392</v>
      </c>
      <c r="X70" s="77"/>
      <c r="Y70" s="77"/>
      <c r="Z70" s="77"/>
      <c r="AA70" s="77"/>
      <c r="AB70" s="77"/>
      <c r="AC70" s="81" t="s">
        <v>399</v>
      </c>
      <c r="AD70" s="77" t="s">
        <v>400</v>
      </c>
      <c r="AE70" s="83" t="str">
        <f>HYPERLINK("https://twitter.com/economedicos/status/1655529166530387969")</f>
        <v>https://twitter.com/economedicos/status/1655529166530387969</v>
      </c>
      <c r="AF70" s="79">
        <v>45054.461643518516</v>
      </c>
      <c r="AG70" s="85">
        <v>45054</v>
      </c>
      <c r="AH70" s="81" t="s">
        <v>447</v>
      </c>
      <c r="AI70" s="77"/>
      <c r="AJ70" s="77"/>
      <c r="AK70" s="77"/>
      <c r="AL70" s="77"/>
      <c r="AM70" s="77"/>
      <c r="AN70" s="77"/>
      <c r="AO70" s="77"/>
      <c r="AP70" s="77"/>
      <c r="AQ70" s="77"/>
      <c r="AR70" s="77"/>
      <c r="AS70" s="77"/>
      <c r="AT70" s="77"/>
      <c r="AU70" s="77"/>
      <c r="AV70" s="83" t="str">
        <f>HYPERLINK("https://pbs.twimg.com/profile_images/1283576393662636034/EjgsMA_W_normal.jpg")</f>
        <v>https://pbs.twimg.com/profile_images/1283576393662636034/EjgsMA_W_normal.jpg</v>
      </c>
      <c r="AW70" s="81" t="s">
        <v>609</v>
      </c>
      <c r="AX70" s="81" t="s">
        <v>775</v>
      </c>
      <c r="AY70" s="81" t="s">
        <v>895</v>
      </c>
      <c r="AZ70" s="81" t="s">
        <v>942</v>
      </c>
      <c r="BA70" s="81" t="s">
        <v>1061</v>
      </c>
      <c r="BB70" s="81" t="s">
        <v>1061</v>
      </c>
      <c r="BC70" s="81" t="s">
        <v>942</v>
      </c>
      <c r="BD70" s="81" t="s">
        <v>895</v>
      </c>
      <c r="BE70" s="77"/>
      <c r="BF70" s="77"/>
      <c r="BG70" s="77"/>
      <c r="BH70" s="77"/>
      <c r="BI70" s="77"/>
    </row>
    <row r="71" spans="1:61" x14ac:dyDescent="0.25">
      <c r="A71" s="62" t="s">
        <v>224</v>
      </c>
      <c r="B71" s="62" t="s">
        <v>224</v>
      </c>
      <c r="C71" s="63"/>
      <c r="D71" s="64"/>
      <c r="E71" s="65"/>
      <c r="F71" s="66"/>
      <c r="G71" s="63"/>
      <c r="H71" s="67"/>
      <c r="I71" s="68"/>
      <c r="J71" s="68"/>
      <c r="K71" s="32"/>
      <c r="L71" s="75"/>
      <c r="M71" s="75"/>
      <c r="N71" s="70"/>
      <c r="O71" s="77" t="s">
        <v>225</v>
      </c>
      <c r="P71" s="79">
        <v>45051.597280092596</v>
      </c>
      <c r="Q71" s="77" t="s">
        <v>273</v>
      </c>
      <c r="R71" s="77">
        <v>0</v>
      </c>
      <c r="S71" s="77">
        <v>0</v>
      </c>
      <c r="T71" s="77">
        <v>0</v>
      </c>
      <c r="U71" s="77">
        <v>0</v>
      </c>
      <c r="V71" s="77">
        <v>6</v>
      </c>
      <c r="W71" s="81" t="s">
        <v>392</v>
      </c>
      <c r="X71" s="77"/>
      <c r="Y71" s="77"/>
      <c r="Z71" s="77"/>
      <c r="AA71" s="77"/>
      <c r="AB71" s="77"/>
      <c r="AC71" s="81" t="s">
        <v>399</v>
      </c>
      <c r="AD71" s="77" t="s">
        <v>400</v>
      </c>
      <c r="AE71" s="83" t="str">
        <f>HYPERLINK("https://twitter.com/economedicos/status/1654491156556783619")</f>
        <v>https://twitter.com/economedicos/status/1654491156556783619</v>
      </c>
      <c r="AF71" s="79">
        <v>45051.597280092596</v>
      </c>
      <c r="AG71" s="85">
        <v>45051</v>
      </c>
      <c r="AH71" s="81" t="s">
        <v>448</v>
      </c>
      <c r="AI71" s="77"/>
      <c r="AJ71" s="77"/>
      <c r="AK71" s="77"/>
      <c r="AL71" s="77"/>
      <c r="AM71" s="77"/>
      <c r="AN71" s="77"/>
      <c r="AO71" s="77"/>
      <c r="AP71" s="77"/>
      <c r="AQ71" s="77"/>
      <c r="AR71" s="77"/>
      <c r="AS71" s="77"/>
      <c r="AT71" s="77"/>
      <c r="AU71" s="77"/>
      <c r="AV71" s="83" t="str">
        <f>HYPERLINK("https://pbs.twimg.com/profile_images/1283576393662636034/EjgsMA_W_normal.jpg")</f>
        <v>https://pbs.twimg.com/profile_images/1283576393662636034/EjgsMA_W_normal.jpg</v>
      </c>
      <c r="AW71" s="81" t="s">
        <v>610</v>
      </c>
      <c r="AX71" s="81" t="s">
        <v>776</v>
      </c>
      <c r="AY71" s="81" t="s">
        <v>895</v>
      </c>
      <c r="AZ71" s="81" t="s">
        <v>943</v>
      </c>
      <c r="BA71" s="81" t="s">
        <v>1061</v>
      </c>
      <c r="BB71" s="81" t="s">
        <v>1061</v>
      </c>
      <c r="BC71" s="81" t="s">
        <v>943</v>
      </c>
      <c r="BD71" s="81" t="s">
        <v>895</v>
      </c>
      <c r="BE71" s="77"/>
      <c r="BF71" s="77"/>
      <c r="BG71" s="77"/>
      <c r="BH71" s="77"/>
      <c r="BI71" s="77"/>
    </row>
    <row r="72" spans="1:61" x14ac:dyDescent="0.25">
      <c r="A72" s="62" t="s">
        <v>224</v>
      </c>
      <c r="B72" s="62" t="s">
        <v>224</v>
      </c>
      <c r="C72" s="63"/>
      <c r="D72" s="64"/>
      <c r="E72" s="65"/>
      <c r="F72" s="66"/>
      <c r="G72" s="63"/>
      <c r="H72" s="67"/>
      <c r="I72" s="68"/>
      <c r="J72" s="68"/>
      <c r="K72" s="32"/>
      <c r="L72" s="75"/>
      <c r="M72" s="75"/>
      <c r="N72" s="70"/>
      <c r="O72" s="77" t="s">
        <v>225</v>
      </c>
      <c r="P72" s="79">
        <v>44985.496296296296</v>
      </c>
      <c r="Q72" s="77" t="s">
        <v>278</v>
      </c>
      <c r="R72" s="77">
        <v>0</v>
      </c>
      <c r="S72" s="77">
        <v>0</v>
      </c>
      <c r="T72" s="77">
        <v>0</v>
      </c>
      <c r="U72" s="77">
        <v>0</v>
      </c>
      <c r="V72" s="77">
        <v>4</v>
      </c>
      <c r="W72" s="81" t="s">
        <v>392</v>
      </c>
      <c r="X72" s="77"/>
      <c r="Y72" s="77"/>
      <c r="Z72" s="77"/>
      <c r="AA72" s="77"/>
      <c r="AB72" s="77"/>
      <c r="AC72" s="81" t="s">
        <v>399</v>
      </c>
      <c r="AD72" s="77" t="s">
        <v>400</v>
      </c>
      <c r="AE72" s="83" t="str">
        <f>HYPERLINK("https://twitter.com/economedicos/status/1630536961352933377")</f>
        <v>https://twitter.com/economedicos/status/1630536961352933377</v>
      </c>
      <c r="AF72" s="79">
        <v>44985.496296296296</v>
      </c>
      <c r="AG72" s="85">
        <v>44985</v>
      </c>
      <c r="AH72" s="81" t="s">
        <v>453</v>
      </c>
      <c r="AI72" s="77"/>
      <c r="AJ72" s="77"/>
      <c r="AK72" s="77"/>
      <c r="AL72" s="77"/>
      <c r="AM72" s="77"/>
      <c r="AN72" s="77"/>
      <c r="AO72" s="77"/>
      <c r="AP72" s="77"/>
      <c r="AQ72" s="77"/>
      <c r="AR72" s="77"/>
      <c r="AS72" s="77"/>
      <c r="AT72" s="77"/>
      <c r="AU72" s="77"/>
      <c r="AV72" s="83" t="str">
        <f>HYPERLINK("https://pbs.twimg.com/profile_images/1283576393662636034/EjgsMA_W_normal.jpg")</f>
        <v>https://pbs.twimg.com/profile_images/1283576393662636034/EjgsMA_W_normal.jpg</v>
      </c>
      <c r="AW72" s="81" t="s">
        <v>615</v>
      </c>
      <c r="AX72" s="81" t="s">
        <v>781</v>
      </c>
      <c r="AY72" s="81" t="s">
        <v>895</v>
      </c>
      <c r="AZ72" s="81" t="s">
        <v>948</v>
      </c>
      <c r="BA72" s="81" t="s">
        <v>1061</v>
      </c>
      <c r="BB72" s="81" t="s">
        <v>1061</v>
      </c>
      <c r="BC72" s="81" t="s">
        <v>948</v>
      </c>
      <c r="BD72" s="81" t="s">
        <v>895</v>
      </c>
      <c r="BE72" s="77"/>
      <c r="BF72" s="77"/>
      <c r="BG72" s="77"/>
      <c r="BH72" s="77"/>
      <c r="BI72" s="77"/>
    </row>
    <row r="73" spans="1:61" x14ac:dyDescent="0.25">
      <c r="A73" s="62" t="s">
        <v>224</v>
      </c>
      <c r="B73" s="62" t="s">
        <v>224</v>
      </c>
      <c r="C73" s="63"/>
      <c r="D73" s="64"/>
      <c r="E73" s="65"/>
      <c r="F73" s="66"/>
      <c r="G73" s="63"/>
      <c r="H73" s="67"/>
      <c r="I73" s="68"/>
      <c r="J73" s="68"/>
      <c r="K73" s="32"/>
      <c r="L73" s="75"/>
      <c r="M73" s="75"/>
      <c r="N73" s="70"/>
      <c r="O73" s="77" t="s">
        <v>225</v>
      </c>
      <c r="P73" s="79">
        <v>44984.470879629633</v>
      </c>
      <c r="Q73" s="77" t="s">
        <v>279</v>
      </c>
      <c r="R73" s="77">
        <v>0</v>
      </c>
      <c r="S73" s="77">
        <v>0</v>
      </c>
      <c r="T73" s="77">
        <v>0</v>
      </c>
      <c r="U73" s="77">
        <v>0</v>
      </c>
      <c r="V73" s="77">
        <v>17</v>
      </c>
      <c r="W73" s="81" t="s">
        <v>392</v>
      </c>
      <c r="X73" s="77"/>
      <c r="Y73" s="77"/>
      <c r="Z73" s="77"/>
      <c r="AA73" s="77"/>
      <c r="AB73" s="77"/>
      <c r="AC73" s="81" t="s">
        <v>399</v>
      </c>
      <c r="AD73" s="77" t="s">
        <v>400</v>
      </c>
      <c r="AE73" s="83" t="str">
        <f>HYPERLINK("https://twitter.com/economedicos/status/1630165366293815296")</f>
        <v>https://twitter.com/economedicos/status/1630165366293815296</v>
      </c>
      <c r="AF73" s="79">
        <v>44984.470879629633</v>
      </c>
      <c r="AG73" s="85">
        <v>44984</v>
      </c>
      <c r="AH73" s="81" t="s">
        <v>454</v>
      </c>
      <c r="AI73" s="77"/>
      <c r="AJ73" s="77"/>
      <c r="AK73" s="77"/>
      <c r="AL73" s="77"/>
      <c r="AM73" s="77"/>
      <c r="AN73" s="77"/>
      <c r="AO73" s="77"/>
      <c r="AP73" s="77"/>
      <c r="AQ73" s="77"/>
      <c r="AR73" s="77"/>
      <c r="AS73" s="77"/>
      <c r="AT73" s="77"/>
      <c r="AU73" s="77"/>
      <c r="AV73" s="83" t="str">
        <f>HYPERLINK("https://pbs.twimg.com/profile_images/1283576393662636034/EjgsMA_W_normal.jpg")</f>
        <v>https://pbs.twimg.com/profile_images/1283576393662636034/EjgsMA_W_normal.jpg</v>
      </c>
      <c r="AW73" s="81" t="s">
        <v>616</v>
      </c>
      <c r="AX73" s="81" t="s">
        <v>782</v>
      </c>
      <c r="AY73" s="81" t="s">
        <v>895</v>
      </c>
      <c r="AZ73" s="81" t="s">
        <v>949</v>
      </c>
      <c r="BA73" s="81" t="s">
        <v>1061</v>
      </c>
      <c r="BB73" s="81" t="s">
        <v>1061</v>
      </c>
      <c r="BC73" s="81" t="s">
        <v>949</v>
      </c>
      <c r="BD73" s="81" t="s">
        <v>895</v>
      </c>
      <c r="BE73" s="77"/>
      <c r="BF73" s="77"/>
      <c r="BG73" s="77"/>
      <c r="BH73" s="77"/>
      <c r="BI73" s="77"/>
    </row>
    <row r="74" spans="1:61" x14ac:dyDescent="0.25">
      <c r="A74" s="62" t="s">
        <v>224</v>
      </c>
      <c r="B74" s="62" t="s">
        <v>224</v>
      </c>
      <c r="C74" s="63"/>
      <c r="D74" s="64"/>
      <c r="E74" s="65"/>
      <c r="F74" s="66"/>
      <c r="G74" s="63"/>
      <c r="H74" s="67"/>
      <c r="I74" s="68"/>
      <c r="J74" s="68"/>
      <c r="K74" s="32"/>
      <c r="L74" s="75"/>
      <c r="M74" s="75"/>
      <c r="N74" s="70"/>
      <c r="O74" s="77" t="s">
        <v>225</v>
      </c>
      <c r="P74" s="79">
        <v>44981.475277777776</v>
      </c>
      <c r="Q74" s="77" t="s">
        <v>348</v>
      </c>
      <c r="R74" s="77">
        <v>0</v>
      </c>
      <c r="S74" s="77">
        <v>0</v>
      </c>
      <c r="T74" s="77">
        <v>0</v>
      </c>
      <c r="U74" s="77">
        <v>0</v>
      </c>
      <c r="V74" s="77">
        <v>12</v>
      </c>
      <c r="W74" s="81" t="s">
        <v>392</v>
      </c>
      <c r="X74" s="77"/>
      <c r="Y74" s="77"/>
      <c r="Z74" s="77"/>
      <c r="AA74" s="77"/>
      <c r="AB74" s="77"/>
      <c r="AC74" s="81" t="s">
        <v>399</v>
      </c>
      <c r="AD74" s="77" t="s">
        <v>400</v>
      </c>
      <c r="AE74" s="83" t="str">
        <f>HYPERLINK("https://twitter.com/economedicos/status/1629079796150939649")</f>
        <v>https://twitter.com/economedicos/status/1629079796150939649</v>
      </c>
      <c r="AF74" s="79">
        <v>44981.475277777776</v>
      </c>
      <c r="AG74" s="85">
        <v>44981</v>
      </c>
      <c r="AH74" s="81" t="s">
        <v>520</v>
      </c>
      <c r="AI74" s="77"/>
      <c r="AJ74" s="77"/>
      <c r="AK74" s="77"/>
      <c r="AL74" s="77"/>
      <c r="AM74" s="77"/>
      <c r="AN74" s="77"/>
      <c r="AO74" s="77"/>
      <c r="AP74" s="77"/>
      <c r="AQ74" s="77"/>
      <c r="AR74" s="77"/>
      <c r="AS74" s="77"/>
      <c r="AT74" s="77"/>
      <c r="AU74" s="77"/>
      <c r="AV74" s="83" t="str">
        <f>HYPERLINK("https://pbs.twimg.com/profile_images/1283576393662636034/EjgsMA_W_normal.jpg")</f>
        <v>https://pbs.twimg.com/profile_images/1283576393662636034/EjgsMA_W_normal.jpg</v>
      </c>
      <c r="AW74" s="81" t="s">
        <v>685</v>
      </c>
      <c r="AX74" s="81" t="s">
        <v>851</v>
      </c>
      <c r="AY74" s="81" t="s">
        <v>895</v>
      </c>
      <c r="AZ74" s="81" t="s">
        <v>1018</v>
      </c>
      <c r="BA74" s="81" t="s">
        <v>1061</v>
      </c>
      <c r="BB74" s="81" t="s">
        <v>1061</v>
      </c>
      <c r="BC74" s="81" t="s">
        <v>1018</v>
      </c>
      <c r="BD74" s="81" t="s">
        <v>895</v>
      </c>
      <c r="BE74" s="77"/>
      <c r="BF74" s="77"/>
      <c r="BG74" s="77"/>
      <c r="BH74" s="77"/>
      <c r="BI74" s="77"/>
    </row>
    <row r="75" spans="1:61" x14ac:dyDescent="0.25">
      <c r="A75" s="62" t="s">
        <v>224</v>
      </c>
      <c r="B75" s="62" t="s">
        <v>224</v>
      </c>
      <c r="C75" s="63"/>
      <c r="D75" s="64"/>
      <c r="E75" s="65"/>
      <c r="F75" s="66"/>
      <c r="G75" s="63"/>
      <c r="H75" s="67"/>
      <c r="I75" s="68"/>
      <c r="J75" s="68"/>
      <c r="K75" s="32"/>
      <c r="L75" s="75"/>
      <c r="M75" s="75"/>
      <c r="N75" s="70"/>
      <c r="O75" s="77" t="s">
        <v>225</v>
      </c>
      <c r="P75" s="79">
        <v>44980.476307870369</v>
      </c>
      <c r="Q75" s="77" t="s">
        <v>349</v>
      </c>
      <c r="R75" s="77">
        <v>0</v>
      </c>
      <c r="S75" s="77">
        <v>0</v>
      </c>
      <c r="T75" s="77">
        <v>0</v>
      </c>
      <c r="U75" s="77">
        <v>0</v>
      </c>
      <c r="V75" s="77">
        <v>20</v>
      </c>
      <c r="W75" s="81" t="s">
        <v>392</v>
      </c>
      <c r="X75" s="77"/>
      <c r="Y75" s="77"/>
      <c r="Z75" s="77"/>
      <c r="AA75" s="77"/>
      <c r="AB75" s="77"/>
      <c r="AC75" s="81" t="s">
        <v>399</v>
      </c>
      <c r="AD75" s="77" t="s">
        <v>400</v>
      </c>
      <c r="AE75" s="83" t="str">
        <f>HYPERLINK("https://twitter.com/economedicos/status/1628717781808979973")</f>
        <v>https://twitter.com/economedicos/status/1628717781808979973</v>
      </c>
      <c r="AF75" s="79">
        <v>44980.476307870369</v>
      </c>
      <c r="AG75" s="85">
        <v>44980</v>
      </c>
      <c r="AH75" s="81" t="s">
        <v>521</v>
      </c>
      <c r="AI75" s="77"/>
      <c r="AJ75" s="77"/>
      <c r="AK75" s="77"/>
      <c r="AL75" s="77"/>
      <c r="AM75" s="77"/>
      <c r="AN75" s="77"/>
      <c r="AO75" s="77"/>
      <c r="AP75" s="77"/>
      <c r="AQ75" s="77"/>
      <c r="AR75" s="77"/>
      <c r="AS75" s="77"/>
      <c r="AT75" s="77"/>
      <c r="AU75" s="77"/>
      <c r="AV75" s="83" t="str">
        <f>HYPERLINK("https://pbs.twimg.com/profile_images/1283576393662636034/EjgsMA_W_normal.jpg")</f>
        <v>https://pbs.twimg.com/profile_images/1283576393662636034/EjgsMA_W_normal.jpg</v>
      </c>
      <c r="AW75" s="81" t="s">
        <v>686</v>
      </c>
      <c r="AX75" s="81" t="s">
        <v>852</v>
      </c>
      <c r="AY75" s="81" t="s">
        <v>895</v>
      </c>
      <c r="AZ75" s="81" t="s">
        <v>1019</v>
      </c>
      <c r="BA75" s="81" t="s">
        <v>1061</v>
      </c>
      <c r="BB75" s="81" t="s">
        <v>1061</v>
      </c>
      <c r="BC75" s="81" t="s">
        <v>1019</v>
      </c>
      <c r="BD75" s="81" t="s">
        <v>895</v>
      </c>
      <c r="BE75" s="77"/>
      <c r="BF75" s="77"/>
      <c r="BG75" s="77"/>
      <c r="BH75" s="77"/>
      <c r="BI75" s="77"/>
    </row>
    <row r="76" spans="1:61" x14ac:dyDescent="0.25">
      <c r="A76" s="62" t="s">
        <v>224</v>
      </c>
      <c r="B76" s="62" t="s">
        <v>224</v>
      </c>
      <c r="C76" s="63"/>
      <c r="D76" s="64"/>
      <c r="E76" s="65"/>
      <c r="F76" s="66"/>
      <c r="G76" s="63"/>
      <c r="H76" s="67"/>
      <c r="I76" s="68"/>
      <c r="J76" s="68"/>
      <c r="K76" s="32"/>
      <c r="L76" s="75"/>
      <c r="M76" s="75"/>
      <c r="N76" s="70"/>
      <c r="O76" s="77" t="s">
        <v>225</v>
      </c>
      <c r="P76" s="79">
        <v>44929.519560185188</v>
      </c>
      <c r="Q76" s="77" t="s">
        <v>352</v>
      </c>
      <c r="R76" s="77">
        <v>0</v>
      </c>
      <c r="S76" s="77">
        <v>0</v>
      </c>
      <c r="T76" s="77">
        <v>0</v>
      </c>
      <c r="U76" s="77">
        <v>0</v>
      </c>
      <c r="V76" s="77">
        <v>7</v>
      </c>
      <c r="W76" s="81" t="s">
        <v>392</v>
      </c>
      <c r="X76" s="77"/>
      <c r="Y76" s="77"/>
      <c r="Z76" s="77"/>
      <c r="AA76" s="77"/>
      <c r="AB76" s="77"/>
      <c r="AC76" s="81" t="s">
        <v>399</v>
      </c>
      <c r="AD76" s="77" t="s">
        <v>400</v>
      </c>
      <c r="AE76" s="83" t="str">
        <f>HYPERLINK("https://twitter.com/economedicos/status/1610251671480815617")</f>
        <v>https://twitter.com/economedicos/status/1610251671480815617</v>
      </c>
      <c r="AF76" s="79">
        <v>44929.519560185188</v>
      </c>
      <c r="AG76" s="85">
        <v>44929</v>
      </c>
      <c r="AH76" s="81" t="s">
        <v>524</v>
      </c>
      <c r="AI76" s="77"/>
      <c r="AJ76" s="77"/>
      <c r="AK76" s="77"/>
      <c r="AL76" s="77"/>
      <c r="AM76" s="77"/>
      <c r="AN76" s="77"/>
      <c r="AO76" s="77"/>
      <c r="AP76" s="77"/>
      <c r="AQ76" s="77"/>
      <c r="AR76" s="77"/>
      <c r="AS76" s="77"/>
      <c r="AT76" s="77"/>
      <c r="AU76" s="77"/>
      <c r="AV76" s="83" t="str">
        <f>HYPERLINK("https://pbs.twimg.com/profile_images/1283576393662636034/EjgsMA_W_normal.jpg")</f>
        <v>https://pbs.twimg.com/profile_images/1283576393662636034/EjgsMA_W_normal.jpg</v>
      </c>
      <c r="AW76" s="81" t="s">
        <v>689</v>
      </c>
      <c r="AX76" s="81" t="s">
        <v>855</v>
      </c>
      <c r="AY76" s="81" t="s">
        <v>895</v>
      </c>
      <c r="AZ76" s="81" t="s">
        <v>1022</v>
      </c>
      <c r="BA76" s="81" t="s">
        <v>1061</v>
      </c>
      <c r="BB76" s="81" t="s">
        <v>1061</v>
      </c>
      <c r="BC76" s="81" t="s">
        <v>1022</v>
      </c>
      <c r="BD76" s="81" t="s">
        <v>895</v>
      </c>
      <c r="BE76" s="77"/>
      <c r="BF76" s="77"/>
      <c r="BG76" s="77"/>
      <c r="BH76" s="77"/>
      <c r="BI76" s="77"/>
    </row>
    <row r="77" spans="1:61" x14ac:dyDescent="0.25">
      <c r="A77" s="62" t="s">
        <v>224</v>
      </c>
      <c r="B77" s="62" t="s">
        <v>224</v>
      </c>
      <c r="C77" s="63"/>
      <c r="D77" s="64"/>
      <c r="E77" s="65"/>
      <c r="F77" s="66"/>
      <c r="G77" s="63"/>
      <c r="H77" s="67"/>
      <c r="I77" s="68"/>
      <c r="J77" s="68"/>
      <c r="K77" s="32"/>
      <c r="L77" s="75"/>
      <c r="M77" s="75"/>
      <c r="N77" s="70"/>
      <c r="O77" s="77" t="s">
        <v>225</v>
      </c>
      <c r="P77" s="79">
        <v>45160.449131944442</v>
      </c>
      <c r="Q77" s="77" t="s">
        <v>265</v>
      </c>
      <c r="R77" s="77">
        <v>0</v>
      </c>
      <c r="S77" s="77">
        <v>0</v>
      </c>
      <c r="T77" s="77">
        <v>0</v>
      </c>
      <c r="U77" s="77">
        <v>0</v>
      </c>
      <c r="V77" s="77">
        <v>3</v>
      </c>
      <c r="W77" s="81" t="s">
        <v>392</v>
      </c>
      <c r="X77" s="77"/>
      <c r="Y77" s="77"/>
      <c r="Z77" s="77"/>
      <c r="AA77" s="77"/>
      <c r="AB77" s="77"/>
      <c r="AC77" s="81" t="s">
        <v>399</v>
      </c>
      <c r="AD77" s="77" t="s">
        <v>400</v>
      </c>
      <c r="AE77" s="83" t="str">
        <f>HYPERLINK("https://twitter.com/economedicos/status/1693937747713544694")</f>
        <v>https://twitter.com/economedicos/status/1693937747713544694</v>
      </c>
      <c r="AF77" s="79">
        <v>45160.449131944442</v>
      </c>
      <c r="AG77" s="85">
        <v>45160</v>
      </c>
      <c r="AH77" s="81" t="s">
        <v>440</v>
      </c>
      <c r="AI77" s="77"/>
      <c r="AJ77" s="77"/>
      <c r="AK77" s="77"/>
      <c r="AL77" s="77"/>
      <c r="AM77" s="77"/>
      <c r="AN77" s="77"/>
      <c r="AO77" s="77"/>
      <c r="AP77" s="77"/>
      <c r="AQ77" s="77"/>
      <c r="AR77" s="77"/>
      <c r="AS77" s="77"/>
      <c r="AT77" s="77"/>
      <c r="AU77" s="77"/>
      <c r="AV77" s="83" t="str">
        <f>HYPERLINK("https://pbs.twimg.com/profile_images/1283576393662636034/EjgsMA_W_normal.jpg")</f>
        <v>https://pbs.twimg.com/profile_images/1283576393662636034/EjgsMA_W_normal.jpg</v>
      </c>
      <c r="AW77" s="81" t="s">
        <v>602</v>
      </c>
      <c r="AX77" s="81" t="s">
        <v>768</v>
      </c>
      <c r="AY77" s="81" t="s">
        <v>895</v>
      </c>
      <c r="AZ77" s="81" t="s">
        <v>935</v>
      </c>
      <c r="BA77" s="81" t="s">
        <v>1061</v>
      </c>
      <c r="BB77" s="81" t="s">
        <v>1061</v>
      </c>
      <c r="BC77" s="81" t="s">
        <v>935</v>
      </c>
      <c r="BD77" s="81" t="s">
        <v>895</v>
      </c>
      <c r="BE77" s="77"/>
      <c r="BF77" s="77"/>
      <c r="BG77" s="77"/>
      <c r="BH77" s="77"/>
      <c r="BI77" s="77"/>
    </row>
    <row r="78" spans="1:61" x14ac:dyDescent="0.25">
      <c r="A78" s="62" t="s">
        <v>224</v>
      </c>
      <c r="B78" s="62" t="s">
        <v>224</v>
      </c>
      <c r="C78" s="63"/>
      <c r="D78" s="64"/>
      <c r="E78" s="65"/>
      <c r="F78" s="66"/>
      <c r="G78" s="63"/>
      <c r="H78" s="67"/>
      <c r="I78" s="68"/>
      <c r="J78" s="68"/>
      <c r="K78" s="32"/>
      <c r="L78" s="75"/>
      <c r="M78" s="75"/>
      <c r="N78" s="70"/>
      <c r="O78" s="77" t="s">
        <v>225</v>
      </c>
      <c r="P78" s="79">
        <v>45148.443530092591</v>
      </c>
      <c r="Q78" s="77" t="s">
        <v>283</v>
      </c>
      <c r="R78" s="77">
        <v>0</v>
      </c>
      <c r="S78" s="77">
        <v>0</v>
      </c>
      <c r="T78" s="77">
        <v>0</v>
      </c>
      <c r="U78" s="77">
        <v>0</v>
      </c>
      <c r="V78" s="77">
        <v>7</v>
      </c>
      <c r="W78" s="81" t="s">
        <v>392</v>
      </c>
      <c r="X78" s="77"/>
      <c r="Y78" s="77"/>
      <c r="Z78" s="77"/>
      <c r="AA78" s="77"/>
      <c r="AB78" s="77"/>
      <c r="AC78" s="81" t="s">
        <v>399</v>
      </c>
      <c r="AD78" s="77" t="s">
        <v>400</v>
      </c>
      <c r="AE78" s="83" t="str">
        <f>HYPERLINK("https://twitter.com/economedicos/status/1689587062993793025")</f>
        <v>https://twitter.com/economedicos/status/1689587062993793025</v>
      </c>
      <c r="AF78" s="79">
        <v>45148.443530092591</v>
      </c>
      <c r="AG78" s="85">
        <v>45148</v>
      </c>
      <c r="AH78" s="81" t="s">
        <v>458</v>
      </c>
      <c r="AI78" s="77"/>
      <c r="AJ78" s="77"/>
      <c r="AK78" s="77"/>
      <c r="AL78" s="77"/>
      <c r="AM78" s="77"/>
      <c r="AN78" s="77"/>
      <c r="AO78" s="77"/>
      <c r="AP78" s="77"/>
      <c r="AQ78" s="77"/>
      <c r="AR78" s="77"/>
      <c r="AS78" s="77"/>
      <c r="AT78" s="77"/>
      <c r="AU78" s="77"/>
      <c r="AV78" s="83" t="str">
        <f>HYPERLINK("https://pbs.twimg.com/profile_images/1283576393662636034/EjgsMA_W_normal.jpg")</f>
        <v>https://pbs.twimg.com/profile_images/1283576393662636034/EjgsMA_W_normal.jpg</v>
      </c>
      <c r="AW78" s="81" t="s">
        <v>620</v>
      </c>
      <c r="AX78" s="81" t="s">
        <v>786</v>
      </c>
      <c r="AY78" s="81" t="s">
        <v>895</v>
      </c>
      <c r="AZ78" s="81" t="s">
        <v>953</v>
      </c>
      <c r="BA78" s="81" t="s">
        <v>1061</v>
      </c>
      <c r="BB78" s="81" t="s">
        <v>1061</v>
      </c>
      <c r="BC78" s="81" t="s">
        <v>953</v>
      </c>
      <c r="BD78" s="81" t="s">
        <v>895</v>
      </c>
      <c r="BE78" s="77"/>
      <c r="BF78" s="77"/>
      <c r="BG78" s="77"/>
      <c r="BH78" s="77"/>
      <c r="BI78" s="77"/>
    </row>
    <row r="79" spans="1:61" x14ac:dyDescent="0.25">
      <c r="A79" s="62" t="s">
        <v>224</v>
      </c>
      <c r="B79" s="62" t="s">
        <v>224</v>
      </c>
      <c r="C79" s="63"/>
      <c r="D79" s="64"/>
      <c r="E79" s="65"/>
      <c r="F79" s="66"/>
      <c r="G79" s="63"/>
      <c r="H79" s="67"/>
      <c r="I79" s="68"/>
      <c r="J79" s="68"/>
      <c r="K79" s="32"/>
      <c r="L79" s="75"/>
      <c r="M79" s="75"/>
      <c r="N79" s="70"/>
      <c r="O79" s="77" t="s">
        <v>225</v>
      </c>
      <c r="P79" s="79">
        <v>45142.546157407407</v>
      </c>
      <c r="Q79" s="77" t="s">
        <v>228</v>
      </c>
      <c r="R79" s="77">
        <v>0</v>
      </c>
      <c r="S79" s="77">
        <v>0</v>
      </c>
      <c r="T79" s="77">
        <v>0</v>
      </c>
      <c r="U79" s="77">
        <v>0</v>
      </c>
      <c r="V79" s="77">
        <v>18</v>
      </c>
      <c r="W79" s="81" t="s">
        <v>392</v>
      </c>
      <c r="X79" s="77"/>
      <c r="Y79" s="77"/>
      <c r="Z79" s="77"/>
      <c r="AA79" s="77"/>
      <c r="AB79" s="77"/>
      <c r="AC79" s="81" t="s">
        <v>399</v>
      </c>
      <c r="AD79" s="77" t="s">
        <v>400</v>
      </c>
      <c r="AE79" s="83" t="str">
        <f>HYPERLINK("https://twitter.com/economedicos/status/1687449926559576064")</f>
        <v>https://twitter.com/economedicos/status/1687449926559576064</v>
      </c>
      <c r="AF79" s="79">
        <v>45142.546157407407</v>
      </c>
      <c r="AG79" s="85">
        <v>45142</v>
      </c>
      <c r="AH79" s="81" t="s">
        <v>403</v>
      </c>
      <c r="AI79" s="77"/>
      <c r="AJ79" s="77"/>
      <c r="AK79" s="77"/>
      <c r="AL79" s="77"/>
      <c r="AM79" s="77"/>
      <c r="AN79" s="77"/>
      <c r="AO79" s="77"/>
      <c r="AP79" s="77"/>
      <c r="AQ79" s="77"/>
      <c r="AR79" s="77"/>
      <c r="AS79" s="77"/>
      <c r="AT79" s="77"/>
      <c r="AU79" s="77"/>
      <c r="AV79" s="83" t="str">
        <f>HYPERLINK("https://pbs.twimg.com/profile_images/1283576393662636034/EjgsMA_W_normal.jpg")</f>
        <v>https://pbs.twimg.com/profile_images/1283576393662636034/EjgsMA_W_normal.jpg</v>
      </c>
      <c r="AW79" s="81" t="s">
        <v>565</v>
      </c>
      <c r="AX79" s="81" t="s">
        <v>731</v>
      </c>
      <c r="AY79" s="81" t="s">
        <v>895</v>
      </c>
      <c r="AZ79" s="81" t="s">
        <v>898</v>
      </c>
      <c r="BA79" s="81" t="s">
        <v>1061</v>
      </c>
      <c r="BB79" s="81" t="s">
        <v>1061</v>
      </c>
      <c r="BC79" s="81" t="s">
        <v>898</v>
      </c>
      <c r="BD79" s="81" t="s">
        <v>895</v>
      </c>
      <c r="BE79" s="77"/>
      <c r="BF79" s="77"/>
      <c r="BG79" s="77"/>
      <c r="BH79" s="77"/>
      <c r="BI79" s="77"/>
    </row>
    <row r="80" spans="1:61" x14ac:dyDescent="0.25">
      <c r="A80" s="62" t="s">
        <v>224</v>
      </c>
      <c r="B80" s="62" t="s">
        <v>224</v>
      </c>
      <c r="C80" s="63"/>
      <c r="D80" s="64"/>
      <c r="E80" s="65"/>
      <c r="F80" s="66"/>
      <c r="G80" s="63"/>
      <c r="H80" s="67"/>
      <c r="I80" s="68"/>
      <c r="J80" s="68"/>
      <c r="K80" s="32"/>
      <c r="L80" s="75"/>
      <c r="M80" s="75"/>
      <c r="N80" s="70"/>
      <c r="O80" s="77" t="s">
        <v>225</v>
      </c>
      <c r="P80" s="79">
        <v>45135.511458333334</v>
      </c>
      <c r="Q80" s="77" t="s">
        <v>322</v>
      </c>
      <c r="R80" s="77">
        <v>0</v>
      </c>
      <c r="S80" s="77">
        <v>0</v>
      </c>
      <c r="T80" s="77">
        <v>0</v>
      </c>
      <c r="U80" s="77">
        <v>0</v>
      </c>
      <c r="V80" s="77">
        <v>14</v>
      </c>
      <c r="W80" s="81" t="s">
        <v>395</v>
      </c>
      <c r="X80" s="77"/>
      <c r="Y80" s="77"/>
      <c r="Z80" s="77"/>
      <c r="AA80" s="77"/>
      <c r="AB80" s="77"/>
      <c r="AC80" s="81" t="s">
        <v>399</v>
      </c>
      <c r="AD80" s="77" t="s">
        <v>400</v>
      </c>
      <c r="AE80" s="83" t="str">
        <f>HYPERLINK("https://twitter.com/economedicos/status/1684900636633059328")</f>
        <v>https://twitter.com/economedicos/status/1684900636633059328</v>
      </c>
      <c r="AF80" s="79">
        <v>45135.511458333334</v>
      </c>
      <c r="AG80" s="85">
        <v>45135</v>
      </c>
      <c r="AH80" s="81" t="s">
        <v>495</v>
      </c>
      <c r="AI80" s="77"/>
      <c r="AJ80" s="77"/>
      <c r="AK80" s="77"/>
      <c r="AL80" s="77"/>
      <c r="AM80" s="77"/>
      <c r="AN80" s="77"/>
      <c r="AO80" s="77"/>
      <c r="AP80" s="77"/>
      <c r="AQ80" s="77"/>
      <c r="AR80" s="77"/>
      <c r="AS80" s="77"/>
      <c r="AT80" s="77"/>
      <c r="AU80" s="77"/>
      <c r="AV80" s="83" t="str">
        <f>HYPERLINK("https://pbs.twimg.com/profile_images/1283576393662636034/EjgsMA_W_normal.jpg")</f>
        <v>https://pbs.twimg.com/profile_images/1283576393662636034/EjgsMA_W_normal.jpg</v>
      </c>
      <c r="AW80" s="81" t="s">
        <v>659</v>
      </c>
      <c r="AX80" s="81" t="s">
        <v>825</v>
      </c>
      <c r="AY80" s="81" t="s">
        <v>895</v>
      </c>
      <c r="AZ80" s="81" t="s">
        <v>992</v>
      </c>
      <c r="BA80" s="81" t="s">
        <v>1061</v>
      </c>
      <c r="BB80" s="81" t="s">
        <v>1061</v>
      </c>
      <c r="BC80" s="81" t="s">
        <v>992</v>
      </c>
      <c r="BD80" s="81" t="s">
        <v>895</v>
      </c>
      <c r="BE80" s="77"/>
      <c r="BF80" s="77"/>
      <c r="BG80" s="77"/>
      <c r="BH80" s="77"/>
      <c r="BI80" s="77"/>
    </row>
    <row r="81" spans="1:61" x14ac:dyDescent="0.25">
      <c r="A81" s="62" t="s">
        <v>224</v>
      </c>
      <c r="B81" s="62" t="s">
        <v>224</v>
      </c>
      <c r="C81" s="63"/>
      <c r="D81" s="64"/>
      <c r="E81" s="65"/>
      <c r="F81" s="66"/>
      <c r="G81" s="63"/>
      <c r="H81" s="67"/>
      <c r="I81" s="68"/>
      <c r="J81" s="68"/>
      <c r="K81" s="32"/>
      <c r="L81" s="75"/>
      <c r="M81" s="75"/>
      <c r="N81" s="70"/>
      <c r="O81" s="77" t="s">
        <v>225</v>
      </c>
      <c r="P81" s="79">
        <v>45134.515104166669</v>
      </c>
      <c r="Q81" s="77" t="s">
        <v>304</v>
      </c>
      <c r="R81" s="77">
        <v>0</v>
      </c>
      <c r="S81" s="77">
        <v>0</v>
      </c>
      <c r="T81" s="77">
        <v>0</v>
      </c>
      <c r="U81" s="77">
        <v>0</v>
      </c>
      <c r="V81" s="77">
        <v>11</v>
      </c>
      <c r="W81" s="81" t="s">
        <v>392</v>
      </c>
      <c r="X81" s="77"/>
      <c r="Y81" s="77"/>
      <c r="Z81" s="77"/>
      <c r="AA81" s="77"/>
      <c r="AB81" s="77"/>
      <c r="AC81" s="81" t="s">
        <v>399</v>
      </c>
      <c r="AD81" s="77" t="s">
        <v>400</v>
      </c>
      <c r="AE81" s="83" t="str">
        <f>HYPERLINK("https://twitter.com/economedicos/status/1684539572292550656")</f>
        <v>https://twitter.com/economedicos/status/1684539572292550656</v>
      </c>
      <c r="AF81" s="79">
        <v>45134.515104166669</v>
      </c>
      <c r="AG81" s="85">
        <v>45134</v>
      </c>
      <c r="AH81" s="81" t="s">
        <v>478</v>
      </c>
      <c r="AI81" s="77"/>
      <c r="AJ81" s="77"/>
      <c r="AK81" s="77"/>
      <c r="AL81" s="77"/>
      <c r="AM81" s="77"/>
      <c r="AN81" s="77"/>
      <c r="AO81" s="77"/>
      <c r="AP81" s="77"/>
      <c r="AQ81" s="77"/>
      <c r="AR81" s="77"/>
      <c r="AS81" s="77"/>
      <c r="AT81" s="77"/>
      <c r="AU81" s="77"/>
      <c r="AV81" s="83" t="str">
        <f>HYPERLINK("https://pbs.twimg.com/profile_images/1283576393662636034/EjgsMA_W_normal.jpg")</f>
        <v>https://pbs.twimg.com/profile_images/1283576393662636034/EjgsMA_W_normal.jpg</v>
      </c>
      <c r="AW81" s="81" t="s">
        <v>641</v>
      </c>
      <c r="AX81" s="81" t="s">
        <v>807</v>
      </c>
      <c r="AY81" s="81" t="s">
        <v>895</v>
      </c>
      <c r="AZ81" s="81" t="s">
        <v>974</v>
      </c>
      <c r="BA81" s="81" t="s">
        <v>1061</v>
      </c>
      <c r="BB81" s="81" t="s">
        <v>1061</v>
      </c>
      <c r="BC81" s="81" t="s">
        <v>974</v>
      </c>
      <c r="BD81" s="81" t="s">
        <v>895</v>
      </c>
      <c r="BE81" s="77"/>
      <c r="BF81" s="77"/>
      <c r="BG81" s="77"/>
      <c r="BH81" s="77"/>
      <c r="BI81" s="77"/>
    </row>
    <row r="82" spans="1:61" x14ac:dyDescent="0.25">
      <c r="A82" s="62" t="s">
        <v>224</v>
      </c>
      <c r="B82" s="62" t="s">
        <v>224</v>
      </c>
      <c r="C82" s="63"/>
      <c r="D82" s="64"/>
      <c r="E82" s="65"/>
      <c r="F82" s="66"/>
      <c r="G82" s="63"/>
      <c r="H82" s="67"/>
      <c r="I82" s="68"/>
      <c r="J82" s="68"/>
      <c r="K82" s="32"/>
      <c r="L82" s="75"/>
      <c r="M82" s="75"/>
      <c r="N82" s="70"/>
      <c r="O82" s="77" t="s">
        <v>225</v>
      </c>
      <c r="P82" s="79">
        <v>45118.461817129632</v>
      </c>
      <c r="Q82" s="77" t="s">
        <v>230</v>
      </c>
      <c r="R82" s="77">
        <v>0</v>
      </c>
      <c r="S82" s="77">
        <v>0</v>
      </c>
      <c r="T82" s="77">
        <v>0</v>
      </c>
      <c r="U82" s="77">
        <v>0</v>
      </c>
      <c r="V82" s="77">
        <v>7</v>
      </c>
      <c r="W82" s="81" t="s">
        <v>392</v>
      </c>
      <c r="X82" s="77"/>
      <c r="Y82" s="77"/>
      <c r="Z82" s="77"/>
      <c r="AA82" s="77"/>
      <c r="AB82" s="77"/>
      <c r="AC82" s="81" t="s">
        <v>399</v>
      </c>
      <c r="AD82" s="77" t="s">
        <v>400</v>
      </c>
      <c r="AE82" s="83" t="str">
        <f>HYPERLINK("https://twitter.com/economedicos/status/1678722053732552706")</f>
        <v>https://twitter.com/economedicos/status/1678722053732552706</v>
      </c>
      <c r="AF82" s="79">
        <v>45118.461817129632</v>
      </c>
      <c r="AG82" s="85">
        <v>45118</v>
      </c>
      <c r="AH82" s="81" t="s">
        <v>405</v>
      </c>
      <c r="AI82" s="77"/>
      <c r="AJ82" s="77"/>
      <c r="AK82" s="77"/>
      <c r="AL82" s="77"/>
      <c r="AM82" s="77"/>
      <c r="AN82" s="77"/>
      <c r="AO82" s="77"/>
      <c r="AP82" s="77"/>
      <c r="AQ82" s="77"/>
      <c r="AR82" s="77"/>
      <c r="AS82" s="77"/>
      <c r="AT82" s="77"/>
      <c r="AU82" s="77"/>
      <c r="AV82" s="83" t="str">
        <f>HYPERLINK("https://pbs.twimg.com/profile_images/1283576393662636034/EjgsMA_W_normal.jpg")</f>
        <v>https://pbs.twimg.com/profile_images/1283576393662636034/EjgsMA_W_normal.jpg</v>
      </c>
      <c r="AW82" s="81" t="s">
        <v>567</v>
      </c>
      <c r="AX82" s="81" t="s">
        <v>733</v>
      </c>
      <c r="AY82" s="81" t="s">
        <v>895</v>
      </c>
      <c r="AZ82" s="81" t="s">
        <v>900</v>
      </c>
      <c r="BA82" s="81" t="s">
        <v>1061</v>
      </c>
      <c r="BB82" s="81" t="s">
        <v>1061</v>
      </c>
      <c r="BC82" s="81" t="s">
        <v>900</v>
      </c>
      <c r="BD82" s="81" t="s">
        <v>895</v>
      </c>
      <c r="BE82" s="77"/>
      <c r="BF82" s="77"/>
      <c r="BG82" s="77"/>
      <c r="BH82" s="77"/>
      <c r="BI82" s="77"/>
    </row>
    <row r="83" spans="1:61" x14ac:dyDescent="0.25">
      <c r="A83" s="62" t="s">
        <v>224</v>
      </c>
      <c r="B83" s="62" t="s">
        <v>224</v>
      </c>
      <c r="C83" s="63"/>
      <c r="D83" s="64"/>
      <c r="E83" s="65"/>
      <c r="F83" s="66"/>
      <c r="G83" s="63"/>
      <c r="H83" s="67"/>
      <c r="I83" s="68"/>
      <c r="J83" s="68"/>
      <c r="K83" s="32"/>
      <c r="L83" s="75"/>
      <c r="M83" s="75"/>
      <c r="N83" s="70"/>
      <c r="O83" s="77" t="s">
        <v>225</v>
      </c>
      <c r="P83" s="79">
        <v>45117.471018518518</v>
      </c>
      <c r="Q83" s="77" t="s">
        <v>231</v>
      </c>
      <c r="R83" s="77">
        <v>0</v>
      </c>
      <c r="S83" s="77">
        <v>0</v>
      </c>
      <c r="T83" s="77">
        <v>0</v>
      </c>
      <c r="U83" s="77">
        <v>0</v>
      </c>
      <c r="V83" s="77">
        <v>10</v>
      </c>
      <c r="W83" s="81" t="s">
        <v>392</v>
      </c>
      <c r="X83" s="77"/>
      <c r="Y83" s="77"/>
      <c r="Z83" s="77"/>
      <c r="AA83" s="77"/>
      <c r="AB83" s="77"/>
      <c r="AC83" s="81" t="s">
        <v>399</v>
      </c>
      <c r="AD83" s="77" t="s">
        <v>400</v>
      </c>
      <c r="AE83" s="83" t="str">
        <f>HYPERLINK("https://twitter.com/economedicos/status/1678362999566786561")</f>
        <v>https://twitter.com/economedicos/status/1678362999566786561</v>
      </c>
      <c r="AF83" s="79">
        <v>45117.471018518518</v>
      </c>
      <c r="AG83" s="85">
        <v>45117</v>
      </c>
      <c r="AH83" s="81" t="s">
        <v>406</v>
      </c>
      <c r="AI83" s="77"/>
      <c r="AJ83" s="77"/>
      <c r="AK83" s="77"/>
      <c r="AL83" s="77"/>
      <c r="AM83" s="77"/>
      <c r="AN83" s="77"/>
      <c r="AO83" s="77"/>
      <c r="AP83" s="77"/>
      <c r="AQ83" s="77"/>
      <c r="AR83" s="77"/>
      <c r="AS83" s="77"/>
      <c r="AT83" s="77"/>
      <c r="AU83" s="77"/>
      <c r="AV83" s="83" t="str">
        <f>HYPERLINK("https://pbs.twimg.com/profile_images/1283576393662636034/EjgsMA_W_normal.jpg")</f>
        <v>https://pbs.twimg.com/profile_images/1283576393662636034/EjgsMA_W_normal.jpg</v>
      </c>
      <c r="AW83" s="81" t="s">
        <v>568</v>
      </c>
      <c r="AX83" s="81" t="s">
        <v>734</v>
      </c>
      <c r="AY83" s="81" t="s">
        <v>895</v>
      </c>
      <c r="AZ83" s="81" t="s">
        <v>901</v>
      </c>
      <c r="BA83" s="81" t="s">
        <v>1061</v>
      </c>
      <c r="BB83" s="81" t="s">
        <v>1061</v>
      </c>
      <c r="BC83" s="81" t="s">
        <v>901</v>
      </c>
      <c r="BD83" s="81" t="s">
        <v>895</v>
      </c>
      <c r="BE83" s="77"/>
      <c r="BF83" s="77"/>
      <c r="BG83" s="77"/>
      <c r="BH83" s="77"/>
      <c r="BI83" s="77"/>
    </row>
    <row r="84" spans="1:61" x14ac:dyDescent="0.25">
      <c r="A84" s="62" t="s">
        <v>224</v>
      </c>
      <c r="B84" s="62" t="s">
        <v>224</v>
      </c>
      <c r="C84" s="63"/>
      <c r="D84" s="64"/>
      <c r="E84" s="65"/>
      <c r="F84" s="66"/>
      <c r="G84" s="63"/>
      <c r="H84" s="67"/>
      <c r="I84" s="68"/>
      <c r="J84" s="68"/>
      <c r="K84" s="32"/>
      <c r="L84" s="75"/>
      <c r="M84" s="75"/>
      <c r="N84" s="70"/>
      <c r="O84" s="77" t="s">
        <v>225</v>
      </c>
      <c r="P84" s="79">
        <v>45092.508009259262</v>
      </c>
      <c r="Q84" s="77" t="s">
        <v>270</v>
      </c>
      <c r="R84" s="77">
        <v>0</v>
      </c>
      <c r="S84" s="77">
        <v>0</v>
      </c>
      <c r="T84" s="77">
        <v>0</v>
      </c>
      <c r="U84" s="77">
        <v>0</v>
      </c>
      <c r="V84" s="77">
        <v>19</v>
      </c>
      <c r="W84" s="81" t="s">
        <v>392</v>
      </c>
      <c r="X84" s="77"/>
      <c r="Y84" s="77"/>
      <c r="Z84" s="77"/>
      <c r="AA84" s="77"/>
      <c r="AB84" s="77"/>
      <c r="AC84" s="81" t="s">
        <v>399</v>
      </c>
      <c r="AD84" s="77" t="s">
        <v>400</v>
      </c>
      <c r="AE84" s="83" t="str">
        <f>HYPERLINK("https://twitter.com/economedicos/status/1669316707108659200")</f>
        <v>https://twitter.com/economedicos/status/1669316707108659200</v>
      </c>
      <c r="AF84" s="79">
        <v>45092.508009259262</v>
      </c>
      <c r="AG84" s="85">
        <v>45092</v>
      </c>
      <c r="AH84" s="81" t="s">
        <v>445</v>
      </c>
      <c r="AI84" s="77"/>
      <c r="AJ84" s="77"/>
      <c r="AK84" s="77"/>
      <c r="AL84" s="77"/>
      <c r="AM84" s="77"/>
      <c r="AN84" s="77"/>
      <c r="AO84" s="77"/>
      <c r="AP84" s="77"/>
      <c r="AQ84" s="77"/>
      <c r="AR84" s="77"/>
      <c r="AS84" s="77"/>
      <c r="AT84" s="77"/>
      <c r="AU84" s="77"/>
      <c r="AV84" s="83" t="str">
        <f>HYPERLINK("https://pbs.twimg.com/profile_images/1283576393662636034/EjgsMA_W_normal.jpg")</f>
        <v>https://pbs.twimg.com/profile_images/1283576393662636034/EjgsMA_W_normal.jpg</v>
      </c>
      <c r="AW84" s="81" t="s">
        <v>607</v>
      </c>
      <c r="AX84" s="81" t="s">
        <v>773</v>
      </c>
      <c r="AY84" s="81" t="s">
        <v>895</v>
      </c>
      <c r="AZ84" s="81" t="s">
        <v>940</v>
      </c>
      <c r="BA84" s="81" t="s">
        <v>1061</v>
      </c>
      <c r="BB84" s="81" t="s">
        <v>1061</v>
      </c>
      <c r="BC84" s="81" t="s">
        <v>940</v>
      </c>
      <c r="BD84" s="81" t="s">
        <v>895</v>
      </c>
      <c r="BE84" s="77"/>
      <c r="BF84" s="77"/>
      <c r="BG84" s="77"/>
      <c r="BH84" s="77"/>
      <c r="BI84" s="77"/>
    </row>
    <row r="85" spans="1:61" x14ac:dyDescent="0.25">
      <c r="A85" s="62" t="s">
        <v>224</v>
      </c>
      <c r="B85" s="62" t="s">
        <v>224</v>
      </c>
      <c r="C85" s="63"/>
      <c r="D85" s="64"/>
      <c r="E85" s="65"/>
      <c r="F85" s="66"/>
      <c r="G85" s="63"/>
      <c r="H85" s="67"/>
      <c r="I85" s="68"/>
      <c r="J85" s="68"/>
      <c r="K85" s="32"/>
      <c r="L85" s="75"/>
      <c r="M85" s="75"/>
      <c r="N85" s="70"/>
      <c r="O85" s="77" t="s">
        <v>225</v>
      </c>
      <c r="P85" s="79">
        <v>45091.449270833335</v>
      </c>
      <c r="Q85" s="77" t="s">
        <v>271</v>
      </c>
      <c r="R85" s="77">
        <v>0</v>
      </c>
      <c r="S85" s="77">
        <v>0</v>
      </c>
      <c r="T85" s="77">
        <v>0</v>
      </c>
      <c r="U85" s="77">
        <v>0</v>
      </c>
      <c r="V85" s="77">
        <v>4</v>
      </c>
      <c r="W85" s="81" t="s">
        <v>392</v>
      </c>
      <c r="X85" s="77"/>
      <c r="Y85" s="77"/>
      <c r="Z85" s="77"/>
      <c r="AA85" s="77"/>
      <c r="AB85" s="77"/>
      <c r="AC85" s="81" t="s">
        <v>399</v>
      </c>
      <c r="AD85" s="77" t="s">
        <v>400</v>
      </c>
      <c r="AE85" s="83" t="str">
        <f>HYPERLINK("https://twitter.com/economedicos/status/1668933033783709698")</f>
        <v>https://twitter.com/economedicos/status/1668933033783709698</v>
      </c>
      <c r="AF85" s="79">
        <v>45091.449270833335</v>
      </c>
      <c r="AG85" s="85">
        <v>45091</v>
      </c>
      <c r="AH85" s="81" t="s">
        <v>446</v>
      </c>
      <c r="AI85" s="77"/>
      <c r="AJ85" s="77"/>
      <c r="AK85" s="77"/>
      <c r="AL85" s="77"/>
      <c r="AM85" s="77"/>
      <c r="AN85" s="77"/>
      <c r="AO85" s="77"/>
      <c r="AP85" s="77"/>
      <c r="AQ85" s="77"/>
      <c r="AR85" s="77"/>
      <c r="AS85" s="77"/>
      <c r="AT85" s="77"/>
      <c r="AU85" s="77"/>
      <c r="AV85" s="83" t="str">
        <f>HYPERLINK("https://pbs.twimg.com/profile_images/1283576393662636034/EjgsMA_W_normal.jpg")</f>
        <v>https://pbs.twimg.com/profile_images/1283576393662636034/EjgsMA_W_normal.jpg</v>
      </c>
      <c r="AW85" s="81" t="s">
        <v>608</v>
      </c>
      <c r="AX85" s="81" t="s">
        <v>774</v>
      </c>
      <c r="AY85" s="81" t="s">
        <v>895</v>
      </c>
      <c r="AZ85" s="81" t="s">
        <v>941</v>
      </c>
      <c r="BA85" s="81" t="s">
        <v>1061</v>
      </c>
      <c r="BB85" s="81" t="s">
        <v>1061</v>
      </c>
      <c r="BC85" s="81" t="s">
        <v>941</v>
      </c>
      <c r="BD85" s="81" t="s">
        <v>895</v>
      </c>
      <c r="BE85" s="77"/>
      <c r="BF85" s="77"/>
      <c r="BG85" s="77"/>
      <c r="BH85" s="77"/>
      <c r="BI85" s="77"/>
    </row>
    <row r="86" spans="1:61" x14ac:dyDescent="0.25">
      <c r="A86" s="62" t="s">
        <v>224</v>
      </c>
      <c r="B86" s="62" t="s">
        <v>224</v>
      </c>
      <c r="C86" s="63"/>
      <c r="D86" s="64"/>
      <c r="E86" s="65"/>
      <c r="F86" s="66"/>
      <c r="G86" s="63"/>
      <c r="H86" s="67"/>
      <c r="I86" s="68"/>
      <c r="J86" s="68"/>
      <c r="K86" s="32"/>
      <c r="L86" s="75"/>
      <c r="M86" s="75"/>
      <c r="N86" s="70"/>
      <c r="O86" s="77" t="s">
        <v>225</v>
      </c>
      <c r="P86" s="79">
        <v>45062.451539351852</v>
      </c>
      <c r="Q86" s="77" t="s">
        <v>253</v>
      </c>
      <c r="R86" s="77">
        <v>0</v>
      </c>
      <c r="S86" s="77">
        <v>0</v>
      </c>
      <c r="T86" s="77">
        <v>0</v>
      </c>
      <c r="U86" s="77">
        <v>0</v>
      </c>
      <c r="V86" s="77">
        <v>3</v>
      </c>
      <c r="W86" s="81" t="s">
        <v>392</v>
      </c>
      <c r="X86" s="77"/>
      <c r="Y86" s="77"/>
      <c r="Z86" s="77"/>
      <c r="AA86" s="77"/>
      <c r="AB86" s="77"/>
      <c r="AC86" s="81" t="s">
        <v>399</v>
      </c>
      <c r="AD86" s="77" t="s">
        <v>400</v>
      </c>
      <c r="AE86" s="83" t="str">
        <f>HYPERLINK("https://twitter.com/economedicos/status/1658424610327494656")</f>
        <v>https://twitter.com/economedicos/status/1658424610327494656</v>
      </c>
      <c r="AF86" s="79">
        <v>45062.451539351852</v>
      </c>
      <c r="AG86" s="85">
        <v>45062</v>
      </c>
      <c r="AH86" s="81" t="s">
        <v>428</v>
      </c>
      <c r="AI86" s="77"/>
      <c r="AJ86" s="77"/>
      <c r="AK86" s="77"/>
      <c r="AL86" s="77"/>
      <c r="AM86" s="77"/>
      <c r="AN86" s="77"/>
      <c r="AO86" s="77"/>
      <c r="AP86" s="77"/>
      <c r="AQ86" s="77"/>
      <c r="AR86" s="77"/>
      <c r="AS86" s="77"/>
      <c r="AT86" s="77"/>
      <c r="AU86" s="77"/>
      <c r="AV86" s="83" t="str">
        <f>HYPERLINK("https://pbs.twimg.com/profile_images/1283576393662636034/EjgsMA_W_normal.jpg")</f>
        <v>https://pbs.twimg.com/profile_images/1283576393662636034/EjgsMA_W_normal.jpg</v>
      </c>
      <c r="AW86" s="81" t="s">
        <v>590</v>
      </c>
      <c r="AX86" s="81" t="s">
        <v>756</v>
      </c>
      <c r="AY86" s="81" t="s">
        <v>895</v>
      </c>
      <c r="AZ86" s="81" t="s">
        <v>923</v>
      </c>
      <c r="BA86" s="81" t="s">
        <v>1061</v>
      </c>
      <c r="BB86" s="81" t="s">
        <v>1061</v>
      </c>
      <c r="BC86" s="81" t="s">
        <v>923</v>
      </c>
      <c r="BD86" s="81" t="s">
        <v>895</v>
      </c>
      <c r="BE86" s="77"/>
      <c r="BF86" s="77"/>
      <c r="BG86" s="77"/>
      <c r="BH86" s="77"/>
      <c r="BI86" s="77"/>
    </row>
    <row r="87" spans="1:61" x14ac:dyDescent="0.25">
      <c r="A87" s="62" t="s">
        <v>224</v>
      </c>
      <c r="B87" s="62" t="s">
        <v>224</v>
      </c>
      <c r="C87" s="63"/>
      <c r="D87" s="64"/>
      <c r="E87" s="65"/>
      <c r="F87" s="66"/>
      <c r="G87" s="63"/>
      <c r="H87" s="67"/>
      <c r="I87" s="68"/>
      <c r="J87" s="68"/>
      <c r="K87" s="32"/>
      <c r="L87" s="75"/>
      <c r="M87" s="75"/>
      <c r="N87" s="70"/>
      <c r="O87" s="77" t="s">
        <v>225</v>
      </c>
      <c r="P87" s="79">
        <v>45061.464756944442</v>
      </c>
      <c r="Q87" s="77" t="s">
        <v>254</v>
      </c>
      <c r="R87" s="77">
        <v>0</v>
      </c>
      <c r="S87" s="77">
        <v>0</v>
      </c>
      <c r="T87" s="77">
        <v>0</v>
      </c>
      <c r="U87" s="77">
        <v>0</v>
      </c>
      <c r="V87" s="77">
        <v>7</v>
      </c>
      <c r="W87" s="81" t="s">
        <v>392</v>
      </c>
      <c r="X87" s="77"/>
      <c r="Y87" s="77"/>
      <c r="Z87" s="77"/>
      <c r="AA87" s="77"/>
      <c r="AB87" s="77"/>
      <c r="AC87" s="81" t="s">
        <v>399</v>
      </c>
      <c r="AD87" s="77" t="s">
        <v>400</v>
      </c>
      <c r="AE87" s="83" t="str">
        <f>HYPERLINK("https://twitter.com/economedicos/status/1658067009182089219")</f>
        <v>https://twitter.com/economedicos/status/1658067009182089219</v>
      </c>
      <c r="AF87" s="79">
        <v>45061.464756944442</v>
      </c>
      <c r="AG87" s="85">
        <v>45061</v>
      </c>
      <c r="AH87" s="81" t="s">
        <v>429</v>
      </c>
      <c r="AI87" s="77"/>
      <c r="AJ87" s="77"/>
      <c r="AK87" s="77"/>
      <c r="AL87" s="77"/>
      <c r="AM87" s="77"/>
      <c r="AN87" s="77"/>
      <c r="AO87" s="77"/>
      <c r="AP87" s="77"/>
      <c r="AQ87" s="77"/>
      <c r="AR87" s="77"/>
      <c r="AS87" s="77"/>
      <c r="AT87" s="77"/>
      <c r="AU87" s="77"/>
      <c r="AV87" s="83" t="str">
        <f>HYPERLINK("https://pbs.twimg.com/profile_images/1283576393662636034/EjgsMA_W_normal.jpg")</f>
        <v>https://pbs.twimg.com/profile_images/1283576393662636034/EjgsMA_W_normal.jpg</v>
      </c>
      <c r="AW87" s="81" t="s">
        <v>591</v>
      </c>
      <c r="AX87" s="81" t="s">
        <v>757</v>
      </c>
      <c r="AY87" s="81" t="s">
        <v>895</v>
      </c>
      <c r="AZ87" s="81" t="s">
        <v>924</v>
      </c>
      <c r="BA87" s="81" t="s">
        <v>1061</v>
      </c>
      <c r="BB87" s="81" t="s">
        <v>1061</v>
      </c>
      <c r="BC87" s="81" t="s">
        <v>924</v>
      </c>
      <c r="BD87" s="81" t="s">
        <v>895</v>
      </c>
      <c r="BE87" s="77"/>
      <c r="BF87" s="77"/>
      <c r="BG87" s="77"/>
      <c r="BH87" s="77"/>
      <c r="BI87" s="77"/>
    </row>
    <row r="88" spans="1:61" x14ac:dyDescent="0.25">
      <c r="A88" s="62" t="s">
        <v>224</v>
      </c>
      <c r="B88" s="62" t="s">
        <v>224</v>
      </c>
      <c r="C88" s="63"/>
      <c r="D88" s="64"/>
      <c r="E88" s="65"/>
      <c r="F88" s="66"/>
      <c r="G88" s="63"/>
      <c r="H88" s="67"/>
      <c r="I88" s="68"/>
      <c r="J88" s="68"/>
      <c r="K88" s="32"/>
      <c r="L88" s="75"/>
      <c r="M88" s="75"/>
      <c r="N88" s="70"/>
      <c r="O88" s="77" t="s">
        <v>225</v>
      </c>
      <c r="P88" s="79">
        <v>45058.434756944444</v>
      </c>
      <c r="Q88" s="77" t="s">
        <v>289</v>
      </c>
      <c r="R88" s="77">
        <v>0</v>
      </c>
      <c r="S88" s="77">
        <v>0</v>
      </c>
      <c r="T88" s="77">
        <v>0</v>
      </c>
      <c r="U88" s="77">
        <v>0</v>
      </c>
      <c r="V88" s="77">
        <v>6</v>
      </c>
      <c r="W88" s="81" t="s">
        <v>392</v>
      </c>
      <c r="X88" s="77"/>
      <c r="Y88" s="77"/>
      <c r="Z88" s="77"/>
      <c r="AA88" s="77"/>
      <c r="AB88" s="77"/>
      <c r="AC88" s="81" t="s">
        <v>399</v>
      </c>
      <c r="AD88" s="77" t="s">
        <v>400</v>
      </c>
      <c r="AE88" s="83" t="str">
        <f>HYPERLINK("https://twitter.com/economedicos/status/1656968976088399872")</f>
        <v>https://twitter.com/economedicos/status/1656968976088399872</v>
      </c>
      <c r="AF88" s="79">
        <v>45058.434756944444</v>
      </c>
      <c r="AG88" s="85">
        <v>45058</v>
      </c>
      <c r="AH88" s="81" t="s">
        <v>464</v>
      </c>
      <c r="AI88" s="77"/>
      <c r="AJ88" s="77"/>
      <c r="AK88" s="77"/>
      <c r="AL88" s="77"/>
      <c r="AM88" s="77"/>
      <c r="AN88" s="77"/>
      <c r="AO88" s="77"/>
      <c r="AP88" s="77"/>
      <c r="AQ88" s="77"/>
      <c r="AR88" s="77"/>
      <c r="AS88" s="77"/>
      <c r="AT88" s="77"/>
      <c r="AU88" s="77"/>
      <c r="AV88" s="83" t="str">
        <f>HYPERLINK("https://pbs.twimg.com/profile_images/1283576393662636034/EjgsMA_W_normal.jpg")</f>
        <v>https://pbs.twimg.com/profile_images/1283576393662636034/EjgsMA_W_normal.jpg</v>
      </c>
      <c r="AW88" s="81" t="s">
        <v>626</v>
      </c>
      <c r="AX88" s="81" t="s">
        <v>792</v>
      </c>
      <c r="AY88" s="81" t="s">
        <v>895</v>
      </c>
      <c r="AZ88" s="81" t="s">
        <v>959</v>
      </c>
      <c r="BA88" s="81" t="s">
        <v>1061</v>
      </c>
      <c r="BB88" s="81" t="s">
        <v>1061</v>
      </c>
      <c r="BC88" s="81" t="s">
        <v>959</v>
      </c>
      <c r="BD88" s="81" t="s">
        <v>895</v>
      </c>
      <c r="BE88" s="77"/>
      <c r="BF88" s="77"/>
      <c r="BG88" s="77"/>
      <c r="BH88" s="77"/>
      <c r="BI88" s="77"/>
    </row>
    <row r="89" spans="1:61" x14ac:dyDescent="0.25">
      <c r="A89" s="62" t="s">
        <v>224</v>
      </c>
      <c r="B89" s="62" t="s">
        <v>224</v>
      </c>
      <c r="C89" s="63"/>
      <c r="D89" s="64"/>
      <c r="E89" s="65"/>
      <c r="F89" s="66"/>
      <c r="G89" s="63"/>
      <c r="H89" s="67"/>
      <c r="I89" s="68"/>
      <c r="J89" s="68"/>
      <c r="K89" s="32"/>
      <c r="L89" s="75"/>
      <c r="M89" s="75"/>
      <c r="N89" s="70"/>
      <c r="O89" s="77" t="s">
        <v>225</v>
      </c>
      <c r="P89" s="79">
        <v>45057.44085648148</v>
      </c>
      <c r="Q89" s="77" t="s">
        <v>290</v>
      </c>
      <c r="R89" s="77">
        <v>0</v>
      </c>
      <c r="S89" s="77">
        <v>0</v>
      </c>
      <c r="T89" s="77">
        <v>0</v>
      </c>
      <c r="U89" s="77">
        <v>0</v>
      </c>
      <c r="V89" s="77">
        <v>7</v>
      </c>
      <c r="W89" s="81" t="s">
        <v>392</v>
      </c>
      <c r="X89" s="77"/>
      <c r="Y89" s="77"/>
      <c r="Z89" s="77"/>
      <c r="AA89" s="77"/>
      <c r="AB89" s="77"/>
      <c r="AC89" s="81" t="s">
        <v>399</v>
      </c>
      <c r="AD89" s="77" t="s">
        <v>400</v>
      </c>
      <c r="AE89" s="83" t="str">
        <f>HYPERLINK("https://twitter.com/economedicos/status/1656608800495812608")</f>
        <v>https://twitter.com/economedicos/status/1656608800495812608</v>
      </c>
      <c r="AF89" s="79">
        <v>45057.44085648148</v>
      </c>
      <c r="AG89" s="85">
        <v>45057</v>
      </c>
      <c r="AH89" s="81" t="s">
        <v>465</v>
      </c>
      <c r="AI89" s="77"/>
      <c r="AJ89" s="77"/>
      <c r="AK89" s="77"/>
      <c r="AL89" s="77"/>
      <c r="AM89" s="77"/>
      <c r="AN89" s="77"/>
      <c r="AO89" s="77"/>
      <c r="AP89" s="77"/>
      <c r="AQ89" s="77"/>
      <c r="AR89" s="77"/>
      <c r="AS89" s="77"/>
      <c r="AT89" s="77"/>
      <c r="AU89" s="77"/>
      <c r="AV89" s="83" t="str">
        <f>HYPERLINK("https://pbs.twimg.com/profile_images/1283576393662636034/EjgsMA_W_normal.jpg")</f>
        <v>https://pbs.twimg.com/profile_images/1283576393662636034/EjgsMA_W_normal.jpg</v>
      </c>
      <c r="AW89" s="81" t="s">
        <v>627</v>
      </c>
      <c r="AX89" s="81" t="s">
        <v>793</v>
      </c>
      <c r="AY89" s="81" t="s">
        <v>895</v>
      </c>
      <c r="AZ89" s="81" t="s">
        <v>960</v>
      </c>
      <c r="BA89" s="81" t="s">
        <v>1061</v>
      </c>
      <c r="BB89" s="81" t="s">
        <v>1061</v>
      </c>
      <c r="BC89" s="81" t="s">
        <v>960</v>
      </c>
      <c r="BD89" s="81" t="s">
        <v>895</v>
      </c>
      <c r="BE89" s="77"/>
      <c r="BF89" s="77"/>
      <c r="BG89" s="77"/>
      <c r="BH89" s="77"/>
      <c r="BI89" s="77"/>
    </row>
    <row r="90" spans="1:61" x14ac:dyDescent="0.25">
      <c r="A90" s="62" t="s">
        <v>224</v>
      </c>
      <c r="B90" s="62" t="s">
        <v>224</v>
      </c>
      <c r="C90" s="63"/>
      <c r="D90" s="64"/>
      <c r="E90" s="65"/>
      <c r="F90" s="66"/>
      <c r="G90" s="63"/>
      <c r="H90" s="67"/>
      <c r="I90" s="68"/>
      <c r="J90" s="68"/>
      <c r="K90" s="32"/>
      <c r="L90" s="75"/>
      <c r="M90" s="75"/>
      <c r="N90" s="70"/>
      <c r="O90" s="77" t="s">
        <v>225</v>
      </c>
      <c r="P90" s="79">
        <v>44991.448796296296</v>
      </c>
      <c r="Q90" s="77" t="s">
        <v>295</v>
      </c>
      <c r="R90" s="77">
        <v>0</v>
      </c>
      <c r="S90" s="77">
        <v>0</v>
      </c>
      <c r="T90" s="77">
        <v>0</v>
      </c>
      <c r="U90" s="77">
        <v>0</v>
      </c>
      <c r="V90" s="77">
        <v>21</v>
      </c>
      <c r="W90" s="81" t="s">
        <v>392</v>
      </c>
      <c r="X90" s="77"/>
      <c r="Y90" s="77"/>
      <c r="Z90" s="77"/>
      <c r="AA90" s="77"/>
      <c r="AB90" s="77"/>
      <c r="AC90" s="81" t="s">
        <v>399</v>
      </c>
      <c r="AD90" s="77" t="s">
        <v>400</v>
      </c>
      <c r="AE90" s="83" t="str">
        <f>HYPERLINK("https://twitter.com/economedicos/status/1632694077475913728")</f>
        <v>https://twitter.com/economedicos/status/1632694077475913728</v>
      </c>
      <c r="AF90" s="79">
        <v>44991.448796296296</v>
      </c>
      <c r="AG90" s="85">
        <v>44991</v>
      </c>
      <c r="AH90" s="81" t="s">
        <v>469</v>
      </c>
      <c r="AI90" s="77"/>
      <c r="AJ90" s="77"/>
      <c r="AK90" s="77"/>
      <c r="AL90" s="77"/>
      <c r="AM90" s="77"/>
      <c r="AN90" s="77"/>
      <c r="AO90" s="77"/>
      <c r="AP90" s="77"/>
      <c r="AQ90" s="77"/>
      <c r="AR90" s="77"/>
      <c r="AS90" s="77"/>
      <c r="AT90" s="77"/>
      <c r="AU90" s="77"/>
      <c r="AV90" s="83" t="str">
        <f>HYPERLINK("https://pbs.twimg.com/profile_images/1283576393662636034/EjgsMA_W_normal.jpg")</f>
        <v>https://pbs.twimg.com/profile_images/1283576393662636034/EjgsMA_W_normal.jpg</v>
      </c>
      <c r="AW90" s="81" t="s">
        <v>632</v>
      </c>
      <c r="AX90" s="81" t="s">
        <v>798</v>
      </c>
      <c r="AY90" s="81" t="s">
        <v>895</v>
      </c>
      <c r="AZ90" s="81" t="s">
        <v>965</v>
      </c>
      <c r="BA90" s="81" t="s">
        <v>1061</v>
      </c>
      <c r="BB90" s="81" t="s">
        <v>1061</v>
      </c>
      <c r="BC90" s="81" t="s">
        <v>965</v>
      </c>
      <c r="BD90" s="81" t="s">
        <v>895</v>
      </c>
      <c r="BE90" s="77"/>
      <c r="BF90" s="77"/>
      <c r="BG90" s="77"/>
      <c r="BH90" s="77"/>
      <c r="BI90" s="77"/>
    </row>
    <row r="91" spans="1:61" x14ac:dyDescent="0.25">
      <c r="A91" s="62" t="s">
        <v>224</v>
      </c>
      <c r="B91" s="62" t="s">
        <v>224</v>
      </c>
      <c r="C91" s="63"/>
      <c r="D91" s="64"/>
      <c r="E91" s="65"/>
      <c r="F91" s="66"/>
      <c r="G91" s="63"/>
      <c r="H91" s="67"/>
      <c r="I91" s="68"/>
      <c r="J91" s="68"/>
      <c r="K91" s="32"/>
      <c r="L91" s="75"/>
      <c r="M91" s="75"/>
      <c r="N91" s="70"/>
      <c r="O91" s="77" t="s">
        <v>225</v>
      </c>
      <c r="P91" s="79">
        <v>44988.464861111112</v>
      </c>
      <c r="Q91" s="77" t="s">
        <v>296</v>
      </c>
      <c r="R91" s="77">
        <v>0</v>
      </c>
      <c r="S91" s="77">
        <v>0</v>
      </c>
      <c r="T91" s="77">
        <v>0</v>
      </c>
      <c r="U91" s="77">
        <v>0</v>
      </c>
      <c r="V91" s="77">
        <v>5</v>
      </c>
      <c r="W91" s="81" t="s">
        <v>392</v>
      </c>
      <c r="X91" s="77"/>
      <c r="Y91" s="77"/>
      <c r="Z91" s="77"/>
      <c r="AA91" s="77"/>
      <c r="AB91" s="77"/>
      <c r="AC91" s="81" t="s">
        <v>399</v>
      </c>
      <c r="AD91" s="77" t="s">
        <v>400</v>
      </c>
      <c r="AE91" s="83" t="str">
        <f>HYPERLINK("https://twitter.com/economedicos/status/1631612732997763072")</f>
        <v>https://twitter.com/economedicos/status/1631612732997763072</v>
      </c>
      <c r="AF91" s="79">
        <v>44988.464861111112</v>
      </c>
      <c r="AG91" s="85">
        <v>44988</v>
      </c>
      <c r="AH91" s="81" t="s">
        <v>470</v>
      </c>
      <c r="AI91" s="77"/>
      <c r="AJ91" s="77"/>
      <c r="AK91" s="77"/>
      <c r="AL91" s="77"/>
      <c r="AM91" s="77"/>
      <c r="AN91" s="77"/>
      <c r="AO91" s="77"/>
      <c r="AP91" s="77"/>
      <c r="AQ91" s="77"/>
      <c r="AR91" s="77"/>
      <c r="AS91" s="77"/>
      <c r="AT91" s="77"/>
      <c r="AU91" s="77"/>
      <c r="AV91" s="83" t="str">
        <f>HYPERLINK("https://pbs.twimg.com/profile_images/1283576393662636034/EjgsMA_W_normal.jpg")</f>
        <v>https://pbs.twimg.com/profile_images/1283576393662636034/EjgsMA_W_normal.jpg</v>
      </c>
      <c r="AW91" s="81" t="s">
        <v>633</v>
      </c>
      <c r="AX91" s="81" t="s">
        <v>799</v>
      </c>
      <c r="AY91" s="81" t="s">
        <v>895</v>
      </c>
      <c r="AZ91" s="81" t="s">
        <v>966</v>
      </c>
      <c r="BA91" s="81" t="s">
        <v>1061</v>
      </c>
      <c r="BB91" s="81" t="s">
        <v>1061</v>
      </c>
      <c r="BC91" s="81" t="s">
        <v>966</v>
      </c>
      <c r="BD91" s="81" t="s">
        <v>895</v>
      </c>
      <c r="BE91" s="77"/>
      <c r="BF91" s="77"/>
      <c r="BG91" s="77"/>
      <c r="BH91" s="77"/>
      <c r="BI91" s="77"/>
    </row>
    <row r="92" spans="1:61" x14ac:dyDescent="0.25">
      <c r="A92" s="62" t="s">
        <v>224</v>
      </c>
      <c r="B92" s="62" t="s">
        <v>224</v>
      </c>
      <c r="C92" s="63"/>
      <c r="D92" s="64"/>
      <c r="E92" s="65"/>
      <c r="F92" s="66"/>
      <c r="G92" s="63"/>
      <c r="H92" s="67"/>
      <c r="I92" s="68"/>
      <c r="J92" s="68"/>
      <c r="K92" s="32"/>
      <c r="L92" s="75"/>
      <c r="M92" s="75"/>
      <c r="N92" s="70"/>
      <c r="O92" s="77" t="s">
        <v>225</v>
      </c>
      <c r="P92" s="79">
        <v>44987.510335648149</v>
      </c>
      <c r="Q92" s="77" t="s">
        <v>276</v>
      </c>
      <c r="R92" s="77">
        <v>0</v>
      </c>
      <c r="S92" s="77">
        <v>0</v>
      </c>
      <c r="T92" s="77">
        <v>0</v>
      </c>
      <c r="U92" s="77">
        <v>0</v>
      </c>
      <c r="V92" s="77">
        <v>2</v>
      </c>
      <c r="W92" s="81" t="s">
        <v>392</v>
      </c>
      <c r="X92" s="77"/>
      <c r="Y92" s="77"/>
      <c r="Z92" s="77"/>
      <c r="AA92" s="77"/>
      <c r="AB92" s="77"/>
      <c r="AC92" s="81" t="s">
        <v>399</v>
      </c>
      <c r="AD92" s="77" t="s">
        <v>400</v>
      </c>
      <c r="AE92" s="83" t="str">
        <f>HYPERLINK("https://twitter.com/economedicos/status/1631266827064991745")</f>
        <v>https://twitter.com/economedicos/status/1631266827064991745</v>
      </c>
      <c r="AF92" s="79">
        <v>44987.510335648149</v>
      </c>
      <c r="AG92" s="85">
        <v>44987</v>
      </c>
      <c r="AH92" s="81" t="s">
        <v>451</v>
      </c>
      <c r="AI92" s="77"/>
      <c r="AJ92" s="77"/>
      <c r="AK92" s="77"/>
      <c r="AL92" s="77"/>
      <c r="AM92" s="77"/>
      <c r="AN92" s="77"/>
      <c r="AO92" s="77"/>
      <c r="AP92" s="77"/>
      <c r="AQ92" s="77"/>
      <c r="AR92" s="77"/>
      <c r="AS92" s="77"/>
      <c r="AT92" s="77"/>
      <c r="AU92" s="77"/>
      <c r="AV92" s="83" t="str">
        <f>HYPERLINK("https://pbs.twimg.com/profile_images/1283576393662636034/EjgsMA_W_normal.jpg")</f>
        <v>https://pbs.twimg.com/profile_images/1283576393662636034/EjgsMA_W_normal.jpg</v>
      </c>
      <c r="AW92" s="81" t="s">
        <v>613</v>
      </c>
      <c r="AX92" s="81" t="s">
        <v>779</v>
      </c>
      <c r="AY92" s="81" t="s">
        <v>895</v>
      </c>
      <c r="AZ92" s="81" t="s">
        <v>946</v>
      </c>
      <c r="BA92" s="81" t="s">
        <v>1061</v>
      </c>
      <c r="BB92" s="81" t="s">
        <v>1061</v>
      </c>
      <c r="BC92" s="81" t="s">
        <v>946</v>
      </c>
      <c r="BD92" s="81" t="s">
        <v>895</v>
      </c>
      <c r="BE92" s="77"/>
      <c r="BF92" s="77"/>
      <c r="BG92" s="77"/>
      <c r="BH92" s="77"/>
      <c r="BI92" s="77"/>
    </row>
    <row r="93" spans="1:61" x14ac:dyDescent="0.25">
      <c r="A93" s="62" t="s">
        <v>224</v>
      </c>
      <c r="B93" s="62" t="s">
        <v>224</v>
      </c>
      <c r="C93" s="63"/>
      <c r="D93" s="64"/>
      <c r="E93" s="65"/>
      <c r="F93" s="66"/>
      <c r="G93" s="63"/>
      <c r="H93" s="67"/>
      <c r="I93" s="68"/>
      <c r="J93" s="68"/>
      <c r="K93" s="32"/>
      <c r="L93" s="75"/>
      <c r="M93" s="75"/>
      <c r="N93" s="70"/>
      <c r="O93" s="77" t="s">
        <v>225</v>
      </c>
      <c r="P93" s="79">
        <v>44986.448182870372</v>
      </c>
      <c r="Q93" s="77" t="s">
        <v>277</v>
      </c>
      <c r="R93" s="77">
        <v>0</v>
      </c>
      <c r="S93" s="77">
        <v>0</v>
      </c>
      <c r="T93" s="77">
        <v>0</v>
      </c>
      <c r="U93" s="77">
        <v>0</v>
      </c>
      <c r="V93" s="77">
        <v>4</v>
      </c>
      <c r="W93" s="81" t="s">
        <v>392</v>
      </c>
      <c r="X93" s="77"/>
      <c r="Y93" s="77"/>
      <c r="Z93" s="77"/>
      <c r="AA93" s="77"/>
      <c r="AB93" s="77"/>
      <c r="AC93" s="81" t="s">
        <v>399</v>
      </c>
      <c r="AD93" s="77" t="s">
        <v>400</v>
      </c>
      <c r="AE93" s="83" t="str">
        <f>HYPERLINK("https://twitter.com/economedicos/status/1630881916516720641")</f>
        <v>https://twitter.com/economedicos/status/1630881916516720641</v>
      </c>
      <c r="AF93" s="79">
        <v>44986.448182870372</v>
      </c>
      <c r="AG93" s="85">
        <v>44986</v>
      </c>
      <c r="AH93" s="81" t="s">
        <v>452</v>
      </c>
      <c r="AI93" s="77"/>
      <c r="AJ93" s="77"/>
      <c r="AK93" s="77"/>
      <c r="AL93" s="77"/>
      <c r="AM93" s="77"/>
      <c r="AN93" s="77"/>
      <c r="AO93" s="77"/>
      <c r="AP93" s="77"/>
      <c r="AQ93" s="77"/>
      <c r="AR93" s="77"/>
      <c r="AS93" s="77"/>
      <c r="AT93" s="77"/>
      <c r="AU93" s="77"/>
      <c r="AV93" s="83" t="str">
        <f>HYPERLINK("https://pbs.twimg.com/profile_images/1283576393662636034/EjgsMA_W_normal.jpg")</f>
        <v>https://pbs.twimg.com/profile_images/1283576393662636034/EjgsMA_W_normal.jpg</v>
      </c>
      <c r="AW93" s="81" t="s">
        <v>614</v>
      </c>
      <c r="AX93" s="81" t="s">
        <v>780</v>
      </c>
      <c r="AY93" s="81" t="s">
        <v>895</v>
      </c>
      <c r="AZ93" s="81" t="s">
        <v>947</v>
      </c>
      <c r="BA93" s="81" t="s">
        <v>1061</v>
      </c>
      <c r="BB93" s="81" t="s">
        <v>1061</v>
      </c>
      <c r="BC93" s="81" t="s">
        <v>947</v>
      </c>
      <c r="BD93" s="81" t="s">
        <v>895</v>
      </c>
      <c r="BE93" s="77"/>
      <c r="BF93" s="77"/>
      <c r="BG93" s="77"/>
      <c r="BH93" s="77"/>
      <c r="BI93" s="77"/>
    </row>
    <row r="94" spans="1:61" x14ac:dyDescent="0.25">
      <c r="A94" s="62" t="s">
        <v>224</v>
      </c>
      <c r="B94" s="62" t="s">
        <v>224</v>
      </c>
      <c r="C94" s="63"/>
      <c r="D94" s="64"/>
      <c r="E94" s="65"/>
      <c r="F94" s="66"/>
      <c r="G94" s="63"/>
      <c r="H94" s="67"/>
      <c r="I94" s="68"/>
      <c r="J94" s="68"/>
      <c r="K94" s="32"/>
      <c r="L94" s="75"/>
      <c r="M94" s="75"/>
      <c r="N94" s="70"/>
      <c r="O94" s="77" t="s">
        <v>225</v>
      </c>
      <c r="P94" s="79">
        <v>44935.509340277778</v>
      </c>
      <c r="Q94" s="77" t="s">
        <v>297</v>
      </c>
      <c r="R94" s="77">
        <v>0</v>
      </c>
      <c r="S94" s="77">
        <v>0</v>
      </c>
      <c r="T94" s="77">
        <v>0</v>
      </c>
      <c r="U94" s="77">
        <v>0</v>
      </c>
      <c r="V94" s="77">
        <v>58</v>
      </c>
      <c r="W94" s="81" t="s">
        <v>392</v>
      </c>
      <c r="X94" s="77"/>
      <c r="Y94" s="77"/>
      <c r="Z94" s="77"/>
      <c r="AA94" s="77"/>
      <c r="AB94" s="77"/>
      <c r="AC94" s="81" t="s">
        <v>399</v>
      </c>
      <c r="AD94" s="77" t="s">
        <v>400</v>
      </c>
      <c r="AE94" s="83" t="str">
        <f>HYPERLINK("https://twitter.com/economedicos/status/1612422296400023552")</f>
        <v>https://twitter.com/economedicos/status/1612422296400023552</v>
      </c>
      <c r="AF94" s="79">
        <v>44935.509340277778</v>
      </c>
      <c r="AG94" s="85">
        <v>44935</v>
      </c>
      <c r="AH94" s="81" t="s">
        <v>471</v>
      </c>
      <c r="AI94" s="77"/>
      <c r="AJ94" s="77"/>
      <c r="AK94" s="77"/>
      <c r="AL94" s="77"/>
      <c r="AM94" s="77"/>
      <c r="AN94" s="77"/>
      <c r="AO94" s="77"/>
      <c r="AP94" s="77"/>
      <c r="AQ94" s="77"/>
      <c r="AR94" s="77"/>
      <c r="AS94" s="77"/>
      <c r="AT94" s="77"/>
      <c r="AU94" s="77"/>
      <c r="AV94" s="83" t="str">
        <f>HYPERLINK("https://pbs.twimg.com/profile_images/1283576393662636034/EjgsMA_W_normal.jpg")</f>
        <v>https://pbs.twimg.com/profile_images/1283576393662636034/EjgsMA_W_normal.jpg</v>
      </c>
      <c r="AW94" s="81" t="s">
        <v>634</v>
      </c>
      <c r="AX94" s="81" t="s">
        <v>800</v>
      </c>
      <c r="AY94" s="81" t="s">
        <v>895</v>
      </c>
      <c r="AZ94" s="81" t="s">
        <v>967</v>
      </c>
      <c r="BA94" s="81" t="s">
        <v>1061</v>
      </c>
      <c r="BB94" s="81" t="s">
        <v>1061</v>
      </c>
      <c r="BC94" s="81" t="s">
        <v>967</v>
      </c>
      <c r="BD94" s="81" t="s">
        <v>895</v>
      </c>
      <c r="BE94" s="77"/>
      <c r="BF94" s="77"/>
      <c r="BG94" s="77"/>
      <c r="BH94" s="77"/>
      <c r="BI94" s="77"/>
    </row>
    <row r="95" spans="1:61" x14ac:dyDescent="0.25">
      <c r="A95" s="62" t="s">
        <v>224</v>
      </c>
      <c r="B95" s="62" t="s">
        <v>224</v>
      </c>
      <c r="C95" s="63"/>
      <c r="D95" s="64"/>
      <c r="E95" s="65"/>
      <c r="F95" s="66"/>
      <c r="G95" s="63"/>
      <c r="H95" s="67"/>
      <c r="I95" s="68"/>
      <c r="J95" s="68"/>
      <c r="K95" s="32"/>
      <c r="L95" s="75"/>
      <c r="M95" s="75"/>
      <c r="N95" s="70"/>
      <c r="O95" s="77" t="s">
        <v>225</v>
      </c>
      <c r="P95" s="79">
        <v>44932.433171296296</v>
      </c>
      <c r="Q95" s="77" t="s">
        <v>298</v>
      </c>
      <c r="R95" s="77">
        <v>0</v>
      </c>
      <c r="S95" s="77">
        <v>0</v>
      </c>
      <c r="T95" s="77">
        <v>0</v>
      </c>
      <c r="U95" s="77">
        <v>0</v>
      </c>
      <c r="V95" s="77">
        <v>5</v>
      </c>
      <c r="W95" s="81" t="s">
        <v>392</v>
      </c>
      <c r="X95" s="77"/>
      <c r="Y95" s="77"/>
      <c r="Z95" s="77"/>
      <c r="AA95" s="77"/>
      <c r="AB95" s="77"/>
      <c r="AC95" s="81" t="s">
        <v>399</v>
      </c>
      <c r="AD95" s="77" t="s">
        <v>400</v>
      </c>
      <c r="AE95" s="83" t="str">
        <f>HYPERLINK("https://twitter.com/economedicos/status/1611307531908923392")</f>
        <v>https://twitter.com/economedicos/status/1611307531908923392</v>
      </c>
      <c r="AF95" s="79">
        <v>44932.433171296296</v>
      </c>
      <c r="AG95" s="85">
        <v>44932</v>
      </c>
      <c r="AH95" s="81" t="s">
        <v>472</v>
      </c>
      <c r="AI95" s="77"/>
      <c r="AJ95" s="77"/>
      <c r="AK95" s="77"/>
      <c r="AL95" s="77"/>
      <c r="AM95" s="77"/>
      <c r="AN95" s="77"/>
      <c r="AO95" s="77"/>
      <c r="AP95" s="77"/>
      <c r="AQ95" s="77"/>
      <c r="AR95" s="77"/>
      <c r="AS95" s="77"/>
      <c r="AT95" s="77"/>
      <c r="AU95" s="77"/>
      <c r="AV95" s="83" t="str">
        <f>HYPERLINK("https://pbs.twimg.com/profile_images/1283576393662636034/EjgsMA_W_normal.jpg")</f>
        <v>https://pbs.twimg.com/profile_images/1283576393662636034/EjgsMA_W_normal.jpg</v>
      </c>
      <c r="AW95" s="81" t="s">
        <v>635</v>
      </c>
      <c r="AX95" s="81" t="s">
        <v>801</v>
      </c>
      <c r="AY95" s="81" t="s">
        <v>895</v>
      </c>
      <c r="AZ95" s="81" t="s">
        <v>968</v>
      </c>
      <c r="BA95" s="81" t="s">
        <v>1061</v>
      </c>
      <c r="BB95" s="81" t="s">
        <v>1061</v>
      </c>
      <c r="BC95" s="81" t="s">
        <v>968</v>
      </c>
      <c r="BD95" s="81" t="s">
        <v>895</v>
      </c>
      <c r="BE95" s="77"/>
      <c r="BF95" s="77"/>
      <c r="BG95" s="77"/>
      <c r="BH95" s="77"/>
      <c r="BI95" s="77"/>
    </row>
    <row r="96" spans="1:61" x14ac:dyDescent="0.25">
      <c r="A96" s="62" t="s">
        <v>224</v>
      </c>
      <c r="B96" s="62" t="s">
        <v>224</v>
      </c>
      <c r="C96" s="63"/>
      <c r="D96" s="64"/>
      <c r="E96" s="65"/>
      <c r="F96" s="66"/>
      <c r="G96" s="63"/>
      <c r="H96" s="67"/>
      <c r="I96" s="68"/>
      <c r="J96" s="68"/>
      <c r="K96" s="32"/>
      <c r="L96" s="75"/>
      <c r="M96" s="75"/>
      <c r="N96" s="70"/>
      <c r="O96" s="77" t="s">
        <v>225</v>
      </c>
      <c r="P96" s="79">
        <v>44931.461527777778</v>
      </c>
      <c r="Q96" s="77" t="s">
        <v>299</v>
      </c>
      <c r="R96" s="77">
        <v>0</v>
      </c>
      <c r="S96" s="77">
        <v>0</v>
      </c>
      <c r="T96" s="77">
        <v>0</v>
      </c>
      <c r="U96" s="77">
        <v>0</v>
      </c>
      <c r="V96" s="77">
        <v>5</v>
      </c>
      <c r="W96" s="81" t="s">
        <v>394</v>
      </c>
      <c r="X96" s="77"/>
      <c r="Y96" s="77"/>
      <c r="Z96" s="77"/>
      <c r="AA96" s="77"/>
      <c r="AB96" s="77"/>
      <c r="AC96" s="81" t="s">
        <v>399</v>
      </c>
      <c r="AD96" s="77" t="s">
        <v>400</v>
      </c>
      <c r="AE96" s="83" t="str">
        <f>HYPERLINK("https://twitter.com/economedicos/status/1610955417022271488")</f>
        <v>https://twitter.com/economedicos/status/1610955417022271488</v>
      </c>
      <c r="AF96" s="79">
        <v>44931.461527777778</v>
      </c>
      <c r="AG96" s="85">
        <v>44931</v>
      </c>
      <c r="AH96" s="81" t="s">
        <v>473</v>
      </c>
      <c r="AI96" s="77"/>
      <c r="AJ96" s="77"/>
      <c r="AK96" s="77"/>
      <c r="AL96" s="77"/>
      <c r="AM96" s="77"/>
      <c r="AN96" s="77"/>
      <c r="AO96" s="77"/>
      <c r="AP96" s="77"/>
      <c r="AQ96" s="77"/>
      <c r="AR96" s="77"/>
      <c r="AS96" s="77"/>
      <c r="AT96" s="77"/>
      <c r="AU96" s="77"/>
      <c r="AV96" s="83" t="str">
        <f>HYPERLINK("https://pbs.twimg.com/profile_images/1283576393662636034/EjgsMA_W_normal.jpg")</f>
        <v>https://pbs.twimg.com/profile_images/1283576393662636034/EjgsMA_W_normal.jpg</v>
      </c>
      <c r="AW96" s="81" t="s">
        <v>636</v>
      </c>
      <c r="AX96" s="81" t="s">
        <v>802</v>
      </c>
      <c r="AY96" s="81" t="s">
        <v>895</v>
      </c>
      <c r="AZ96" s="81" t="s">
        <v>969</v>
      </c>
      <c r="BA96" s="81" t="s">
        <v>1061</v>
      </c>
      <c r="BB96" s="81" t="s">
        <v>1061</v>
      </c>
      <c r="BC96" s="81" t="s">
        <v>969</v>
      </c>
      <c r="BD96" s="81" t="s">
        <v>895</v>
      </c>
      <c r="BE96" s="77"/>
      <c r="BF96" s="77"/>
      <c r="BG96" s="77"/>
      <c r="BH96" s="77"/>
      <c r="BI96" s="77"/>
    </row>
    <row r="97" spans="1:61" x14ac:dyDescent="0.25">
      <c r="A97" s="62" t="s">
        <v>224</v>
      </c>
      <c r="B97" s="62" t="s">
        <v>224</v>
      </c>
      <c r="C97" s="63"/>
      <c r="D97" s="64"/>
      <c r="E97" s="65"/>
      <c r="F97" s="66"/>
      <c r="G97" s="63"/>
      <c r="H97" s="67"/>
      <c r="I97" s="68"/>
      <c r="J97" s="68"/>
      <c r="K97" s="32"/>
      <c r="L97" s="75"/>
      <c r="M97" s="75"/>
      <c r="N97" s="70"/>
      <c r="O97" s="77" t="s">
        <v>225</v>
      </c>
      <c r="P97" s="79">
        <v>44930.443692129629</v>
      </c>
      <c r="Q97" s="77" t="s">
        <v>300</v>
      </c>
      <c r="R97" s="77">
        <v>0</v>
      </c>
      <c r="S97" s="77">
        <v>0</v>
      </c>
      <c r="T97" s="77">
        <v>0</v>
      </c>
      <c r="U97" s="77">
        <v>0</v>
      </c>
      <c r="V97" s="77">
        <v>8</v>
      </c>
      <c r="W97" s="81" t="s">
        <v>395</v>
      </c>
      <c r="X97" s="77"/>
      <c r="Y97" s="77"/>
      <c r="Z97" s="77"/>
      <c r="AA97" s="77"/>
      <c r="AB97" s="77"/>
      <c r="AC97" s="81" t="s">
        <v>399</v>
      </c>
      <c r="AD97" s="77" t="s">
        <v>400</v>
      </c>
      <c r="AE97" s="83" t="str">
        <f>HYPERLINK("https://twitter.com/economedicos/status/1610586568615464960")</f>
        <v>https://twitter.com/economedicos/status/1610586568615464960</v>
      </c>
      <c r="AF97" s="79">
        <v>44930.443692129629</v>
      </c>
      <c r="AG97" s="85">
        <v>44930</v>
      </c>
      <c r="AH97" s="81" t="s">
        <v>474</v>
      </c>
      <c r="AI97" s="77"/>
      <c r="AJ97" s="77"/>
      <c r="AK97" s="77"/>
      <c r="AL97" s="77"/>
      <c r="AM97" s="77"/>
      <c r="AN97" s="77"/>
      <c r="AO97" s="77"/>
      <c r="AP97" s="77"/>
      <c r="AQ97" s="77"/>
      <c r="AR97" s="77"/>
      <c r="AS97" s="77"/>
      <c r="AT97" s="77"/>
      <c r="AU97" s="77"/>
      <c r="AV97" s="83" t="str">
        <f>HYPERLINK("https://pbs.twimg.com/profile_images/1283576393662636034/EjgsMA_W_normal.jpg")</f>
        <v>https://pbs.twimg.com/profile_images/1283576393662636034/EjgsMA_W_normal.jpg</v>
      </c>
      <c r="AW97" s="81" t="s">
        <v>637</v>
      </c>
      <c r="AX97" s="81" t="s">
        <v>803</v>
      </c>
      <c r="AY97" s="81" t="s">
        <v>895</v>
      </c>
      <c r="AZ97" s="81" t="s">
        <v>970</v>
      </c>
      <c r="BA97" s="81" t="s">
        <v>1061</v>
      </c>
      <c r="BB97" s="81" t="s">
        <v>1061</v>
      </c>
      <c r="BC97" s="81" t="s">
        <v>970</v>
      </c>
      <c r="BD97" s="81" t="s">
        <v>895</v>
      </c>
      <c r="BE97" s="77"/>
      <c r="BF97" s="77"/>
      <c r="BG97" s="77"/>
      <c r="BH97" s="77"/>
      <c r="BI97" s="77"/>
    </row>
    <row r="98" spans="1:61" x14ac:dyDescent="0.25">
      <c r="A98" s="62" t="s">
        <v>224</v>
      </c>
      <c r="B98" s="62" t="s">
        <v>224</v>
      </c>
      <c r="C98" s="63"/>
      <c r="D98" s="64"/>
      <c r="E98" s="65"/>
      <c r="F98" s="66"/>
      <c r="G98" s="63"/>
      <c r="H98" s="67"/>
      <c r="I98" s="68"/>
      <c r="J98" s="68"/>
      <c r="K98" s="32"/>
      <c r="L98" s="75"/>
      <c r="M98" s="75"/>
      <c r="N98" s="70"/>
      <c r="O98" s="77" t="s">
        <v>225</v>
      </c>
      <c r="P98" s="79">
        <v>45188.453761574077</v>
      </c>
      <c r="Q98" s="77" t="s">
        <v>390</v>
      </c>
      <c r="R98" s="77">
        <v>0</v>
      </c>
      <c r="S98" s="77">
        <v>0</v>
      </c>
      <c r="T98" s="77">
        <v>0</v>
      </c>
      <c r="U98" s="77">
        <v>0</v>
      </c>
      <c r="V98" s="77">
        <v>8</v>
      </c>
      <c r="W98" s="81" t="s">
        <v>392</v>
      </c>
      <c r="X98" s="77"/>
      <c r="Y98" s="77"/>
      <c r="Z98" s="77"/>
      <c r="AA98" s="77"/>
      <c r="AB98" s="77"/>
      <c r="AC98" s="81" t="s">
        <v>399</v>
      </c>
      <c r="AD98" s="77" t="s">
        <v>400</v>
      </c>
      <c r="AE98" s="83" t="str">
        <f>HYPERLINK("https://twitter.com/economedicos/status/1704086285428650221")</f>
        <v>https://twitter.com/economedicos/status/1704086285428650221</v>
      </c>
      <c r="AF98" s="79">
        <v>45188.453761574077</v>
      </c>
      <c r="AG98" s="85">
        <v>45188</v>
      </c>
      <c r="AH98" s="81" t="s">
        <v>562</v>
      </c>
      <c r="AI98" s="77"/>
      <c r="AJ98" s="77"/>
      <c r="AK98" s="77"/>
      <c r="AL98" s="77"/>
      <c r="AM98" s="77"/>
      <c r="AN98" s="77"/>
      <c r="AO98" s="77"/>
      <c r="AP98" s="77"/>
      <c r="AQ98" s="77"/>
      <c r="AR98" s="77"/>
      <c r="AS98" s="77"/>
      <c r="AT98" s="77"/>
      <c r="AU98" s="77"/>
      <c r="AV98" s="83" t="str">
        <f>HYPERLINK("https://pbs.twimg.com/profile_images/1283576393662636034/EjgsMA_W_normal.jpg")</f>
        <v>https://pbs.twimg.com/profile_images/1283576393662636034/EjgsMA_W_normal.jpg</v>
      </c>
      <c r="AW98" s="81" t="s">
        <v>728</v>
      </c>
      <c r="AX98" s="81" t="s">
        <v>894</v>
      </c>
      <c r="AY98" s="81" t="s">
        <v>895</v>
      </c>
      <c r="AZ98" s="81" t="s">
        <v>1060</v>
      </c>
      <c r="BA98" s="81" t="s">
        <v>1061</v>
      </c>
      <c r="BB98" s="81" t="s">
        <v>1061</v>
      </c>
      <c r="BC98" s="81" t="s">
        <v>1060</v>
      </c>
      <c r="BD98" s="81" t="s">
        <v>895</v>
      </c>
      <c r="BE98" s="77"/>
      <c r="BF98" s="77"/>
      <c r="BG98" s="77"/>
      <c r="BH98" s="77"/>
      <c r="BI98" s="77"/>
    </row>
    <row r="99" spans="1:61" x14ac:dyDescent="0.25">
      <c r="A99" s="62" t="s">
        <v>224</v>
      </c>
      <c r="B99" s="62" t="s">
        <v>224</v>
      </c>
      <c r="C99" s="63"/>
      <c r="D99" s="64"/>
      <c r="E99" s="65"/>
      <c r="F99" s="66"/>
      <c r="G99" s="63"/>
      <c r="H99" s="67"/>
      <c r="I99" s="68"/>
      <c r="J99" s="68"/>
      <c r="K99" s="32"/>
      <c r="L99" s="75"/>
      <c r="M99" s="75"/>
      <c r="N99" s="70"/>
      <c r="O99" s="77" t="s">
        <v>225</v>
      </c>
      <c r="P99" s="79">
        <v>45181.471134259256</v>
      </c>
      <c r="Q99" s="77" t="s">
        <v>301</v>
      </c>
      <c r="R99" s="77">
        <v>0</v>
      </c>
      <c r="S99" s="77">
        <v>0</v>
      </c>
      <c r="T99" s="77">
        <v>0</v>
      </c>
      <c r="U99" s="77">
        <v>0</v>
      </c>
      <c r="V99" s="77">
        <v>13</v>
      </c>
      <c r="W99" s="81" t="s">
        <v>392</v>
      </c>
      <c r="X99" s="77"/>
      <c r="Y99" s="77"/>
      <c r="Z99" s="77"/>
      <c r="AA99" s="77"/>
      <c r="AB99" s="77"/>
      <c r="AC99" s="81" t="s">
        <v>399</v>
      </c>
      <c r="AD99" s="77" t="s">
        <v>400</v>
      </c>
      <c r="AE99" s="83" t="str">
        <f>HYPERLINK("https://twitter.com/economedicos/status/1701555865596150198")</f>
        <v>https://twitter.com/economedicos/status/1701555865596150198</v>
      </c>
      <c r="AF99" s="79">
        <v>45181.471134259256</v>
      </c>
      <c r="AG99" s="85">
        <v>45181</v>
      </c>
      <c r="AH99" s="81" t="s">
        <v>475</v>
      </c>
      <c r="AI99" s="77"/>
      <c r="AJ99" s="77"/>
      <c r="AK99" s="77"/>
      <c r="AL99" s="77"/>
      <c r="AM99" s="77"/>
      <c r="AN99" s="77"/>
      <c r="AO99" s="77"/>
      <c r="AP99" s="77"/>
      <c r="AQ99" s="77"/>
      <c r="AR99" s="77"/>
      <c r="AS99" s="77"/>
      <c r="AT99" s="77"/>
      <c r="AU99" s="77"/>
      <c r="AV99" s="83" t="str">
        <f>HYPERLINK("https://pbs.twimg.com/profile_images/1283576393662636034/EjgsMA_W_normal.jpg")</f>
        <v>https://pbs.twimg.com/profile_images/1283576393662636034/EjgsMA_W_normal.jpg</v>
      </c>
      <c r="AW99" s="81" t="s">
        <v>638</v>
      </c>
      <c r="AX99" s="81" t="s">
        <v>804</v>
      </c>
      <c r="AY99" s="81" t="s">
        <v>895</v>
      </c>
      <c r="AZ99" s="81" t="s">
        <v>971</v>
      </c>
      <c r="BA99" s="81" t="s">
        <v>1061</v>
      </c>
      <c r="BB99" s="81" t="s">
        <v>1061</v>
      </c>
      <c r="BC99" s="81" t="s">
        <v>971</v>
      </c>
      <c r="BD99" s="81" t="s">
        <v>895</v>
      </c>
      <c r="BE99" s="77"/>
      <c r="BF99" s="77"/>
      <c r="BG99" s="77"/>
      <c r="BH99" s="77"/>
      <c r="BI99" s="77"/>
    </row>
    <row r="100" spans="1:61" x14ac:dyDescent="0.25">
      <c r="A100" s="62" t="s">
        <v>224</v>
      </c>
      <c r="B100" s="62" t="s">
        <v>224</v>
      </c>
      <c r="C100" s="63"/>
      <c r="D100" s="64"/>
      <c r="E100" s="65"/>
      <c r="F100" s="66"/>
      <c r="G100" s="63"/>
      <c r="H100" s="67"/>
      <c r="I100" s="68"/>
      <c r="J100" s="68"/>
      <c r="K100" s="32"/>
      <c r="L100" s="75"/>
      <c r="M100" s="75"/>
      <c r="N100" s="70"/>
      <c r="O100" s="77" t="s">
        <v>225</v>
      </c>
      <c r="P100" s="79">
        <v>45173.496620370373</v>
      </c>
      <c r="Q100" s="77" t="s">
        <v>226</v>
      </c>
      <c r="R100" s="77">
        <v>0</v>
      </c>
      <c r="S100" s="77">
        <v>0</v>
      </c>
      <c r="T100" s="77">
        <v>0</v>
      </c>
      <c r="U100" s="77">
        <v>0</v>
      </c>
      <c r="V100" s="77">
        <v>15</v>
      </c>
      <c r="W100" s="81" t="s">
        <v>391</v>
      </c>
      <c r="X100" s="77"/>
      <c r="Y100" s="77"/>
      <c r="Z100" s="77"/>
      <c r="AA100" s="77"/>
      <c r="AB100" s="77"/>
      <c r="AC100" s="81" t="s">
        <v>399</v>
      </c>
      <c r="AD100" s="77" t="s">
        <v>400</v>
      </c>
      <c r="AE100" s="83" t="str">
        <f>HYPERLINK("https://twitter.com/economedicos/status/1698665998868475996")</f>
        <v>https://twitter.com/economedicos/status/1698665998868475996</v>
      </c>
      <c r="AF100" s="79">
        <v>45173.496620370373</v>
      </c>
      <c r="AG100" s="85">
        <v>45173</v>
      </c>
      <c r="AH100" s="81" t="s">
        <v>401</v>
      </c>
      <c r="AI100" s="77"/>
      <c r="AJ100" s="77"/>
      <c r="AK100" s="77"/>
      <c r="AL100" s="77"/>
      <c r="AM100" s="77"/>
      <c r="AN100" s="77"/>
      <c r="AO100" s="77"/>
      <c r="AP100" s="77"/>
      <c r="AQ100" s="77"/>
      <c r="AR100" s="77"/>
      <c r="AS100" s="77"/>
      <c r="AT100" s="77"/>
      <c r="AU100" s="77"/>
      <c r="AV100" s="83" t="str">
        <f>HYPERLINK("https://pbs.twimg.com/profile_images/1283576393662636034/EjgsMA_W_normal.jpg")</f>
        <v>https://pbs.twimg.com/profile_images/1283576393662636034/EjgsMA_W_normal.jpg</v>
      </c>
      <c r="AW100" s="81" t="s">
        <v>563</v>
      </c>
      <c r="AX100" s="81" t="s">
        <v>729</v>
      </c>
      <c r="AY100" s="81" t="s">
        <v>895</v>
      </c>
      <c r="AZ100" s="81" t="s">
        <v>896</v>
      </c>
      <c r="BA100" s="81" t="s">
        <v>1061</v>
      </c>
      <c r="BB100" s="81" t="s">
        <v>1061</v>
      </c>
      <c r="BC100" s="81" t="s">
        <v>896</v>
      </c>
      <c r="BD100" s="81" t="s">
        <v>895</v>
      </c>
      <c r="BE100" s="77"/>
      <c r="BF100" s="77"/>
      <c r="BG100" s="77"/>
      <c r="BH100" s="77"/>
      <c r="BI100" s="77"/>
    </row>
    <row r="101" spans="1:61" x14ac:dyDescent="0.25">
      <c r="A101" s="62" t="s">
        <v>224</v>
      </c>
      <c r="B101" s="62" t="s">
        <v>224</v>
      </c>
      <c r="C101" s="63"/>
      <c r="D101" s="64"/>
      <c r="E101" s="65"/>
      <c r="F101" s="66"/>
      <c r="G101" s="63"/>
      <c r="H101" s="67"/>
      <c r="I101" s="68"/>
      <c r="J101" s="68"/>
      <c r="K101" s="32"/>
      <c r="L101" s="75"/>
      <c r="M101" s="75"/>
      <c r="N101" s="70"/>
      <c r="O101" s="77" t="s">
        <v>225</v>
      </c>
      <c r="P101" s="79">
        <v>45168.452245370368</v>
      </c>
      <c r="Q101" s="77" t="s">
        <v>319</v>
      </c>
      <c r="R101" s="77">
        <v>0</v>
      </c>
      <c r="S101" s="77">
        <v>0</v>
      </c>
      <c r="T101" s="77">
        <v>0</v>
      </c>
      <c r="U101" s="77">
        <v>0</v>
      </c>
      <c r="V101" s="77">
        <v>8</v>
      </c>
      <c r="W101" s="81" t="s">
        <v>392</v>
      </c>
      <c r="X101" s="77"/>
      <c r="Y101" s="77"/>
      <c r="Z101" s="77"/>
      <c r="AA101" s="77"/>
      <c r="AB101" s="77"/>
      <c r="AC101" s="81" t="s">
        <v>399</v>
      </c>
      <c r="AD101" s="77" t="s">
        <v>400</v>
      </c>
      <c r="AE101" s="83" t="str">
        <f>HYPERLINK("https://twitter.com/economedicos/status/1696837978239168748")</f>
        <v>https://twitter.com/economedicos/status/1696837978239168748</v>
      </c>
      <c r="AF101" s="79">
        <v>45168.452245370368</v>
      </c>
      <c r="AG101" s="85">
        <v>45168</v>
      </c>
      <c r="AH101" s="81" t="s">
        <v>492</v>
      </c>
      <c r="AI101" s="77"/>
      <c r="AJ101" s="77"/>
      <c r="AK101" s="77"/>
      <c r="AL101" s="77"/>
      <c r="AM101" s="77"/>
      <c r="AN101" s="77"/>
      <c r="AO101" s="77"/>
      <c r="AP101" s="77"/>
      <c r="AQ101" s="77"/>
      <c r="AR101" s="77"/>
      <c r="AS101" s="77"/>
      <c r="AT101" s="77"/>
      <c r="AU101" s="77"/>
      <c r="AV101" s="83" t="str">
        <f>HYPERLINK("https://pbs.twimg.com/profile_images/1283576393662636034/EjgsMA_W_normal.jpg")</f>
        <v>https://pbs.twimg.com/profile_images/1283576393662636034/EjgsMA_W_normal.jpg</v>
      </c>
      <c r="AW101" s="81" t="s">
        <v>656</v>
      </c>
      <c r="AX101" s="81" t="s">
        <v>822</v>
      </c>
      <c r="AY101" s="81" t="s">
        <v>895</v>
      </c>
      <c r="AZ101" s="81" t="s">
        <v>989</v>
      </c>
      <c r="BA101" s="81" t="s">
        <v>1061</v>
      </c>
      <c r="BB101" s="81" t="s">
        <v>1061</v>
      </c>
      <c r="BC101" s="81" t="s">
        <v>989</v>
      </c>
      <c r="BD101" s="81" t="s">
        <v>895</v>
      </c>
      <c r="BE101" s="77"/>
      <c r="BF101" s="77"/>
      <c r="BG101" s="77"/>
      <c r="BH101" s="77"/>
      <c r="BI101" s="77"/>
    </row>
    <row r="102" spans="1:61" x14ac:dyDescent="0.25">
      <c r="A102" s="62" t="s">
        <v>224</v>
      </c>
      <c r="B102" s="62" t="s">
        <v>224</v>
      </c>
      <c r="C102" s="63"/>
      <c r="D102" s="64"/>
      <c r="E102" s="65"/>
      <c r="F102" s="66"/>
      <c r="G102" s="63"/>
      <c r="H102" s="67"/>
      <c r="I102" s="68"/>
      <c r="J102" s="68"/>
      <c r="K102" s="32"/>
      <c r="L102" s="75"/>
      <c r="M102" s="75"/>
      <c r="N102" s="70"/>
      <c r="O102" s="77" t="s">
        <v>225</v>
      </c>
      <c r="P102" s="79">
        <v>45167.452905092592</v>
      </c>
      <c r="Q102" s="77" t="s">
        <v>302</v>
      </c>
      <c r="R102" s="77">
        <v>0</v>
      </c>
      <c r="S102" s="77">
        <v>0</v>
      </c>
      <c r="T102" s="77">
        <v>0</v>
      </c>
      <c r="U102" s="77">
        <v>0</v>
      </c>
      <c r="V102" s="77">
        <v>10</v>
      </c>
      <c r="W102" s="81" t="s">
        <v>392</v>
      </c>
      <c r="X102" s="77"/>
      <c r="Y102" s="77"/>
      <c r="Z102" s="77"/>
      <c r="AA102" s="77"/>
      <c r="AB102" s="77"/>
      <c r="AC102" s="81" t="s">
        <v>399</v>
      </c>
      <c r="AD102" s="77" t="s">
        <v>400</v>
      </c>
      <c r="AE102" s="83" t="str">
        <f>HYPERLINK("https://twitter.com/economedicos/status/1696475828081590297")</f>
        <v>https://twitter.com/economedicos/status/1696475828081590297</v>
      </c>
      <c r="AF102" s="79">
        <v>45167.452905092592</v>
      </c>
      <c r="AG102" s="85">
        <v>45167</v>
      </c>
      <c r="AH102" s="81" t="s">
        <v>476</v>
      </c>
      <c r="AI102" s="77"/>
      <c r="AJ102" s="77"/>
      <c r="AK102" s="77"/>
      <c r="AL102" s="77"/>
      <c r="AM102" s="77"/>
      <c r="AN102" s="77"/>
      <c r="AO102" s="77"/>
      <c r="AP102" s="77"/>
      <c r="AQ102" s="77"/>
      <c r="AR102" s="77"/>
      <c r="AS102" s="77"/>
      <c r="AT102" s="77"/>
      <c r="AU102" s="77"/>
      <c r="AV102" s="83" t="str">
        <f>HYPERLINK("https://pbs.twimg.com/profile_images/1283576393662636034/EjgsMA_W_normal.jpg")</f>
        <v>https://pbs.twimg.com/profile_images/1283576393662636034/EjgsMA_W_normal.jpg</v>
      </c>
      <c r="AW102" s="81" t="s">
        <v>639</v>
      </c>
      <c r="AX102" s="81" t="s">
        <v>805</v>
      </c>
      <c r="AY102" s="81" t="s">
        <v>895</v>
      </c>
      <c r="AZ102" s="81" t="s">
        <v>972</v>
      </c>
      <c r="BA102" s="81" t="s">
        <v>1061</v>
      </c>
      <c r="BB102" s="81" t="s">
        <v>1061</v>
      </c>
      <c r="BC102" s="81" t="s">
        <v>972</v>
      </c>
      <c r="BD102" s="81" t="s">
        <v>895</v>
      </c>
      <c r="BE102" s="77"/>
      <c r="BF102" s="77"/>
      <c r="BG102" s="77"/>
      <c r="BH102" s="77"/>
      <c r="BI102" s="77"/>
    </row>
    <row r="103" spans="1:61" x14ac:dyDescent="0.25">
      <c r="A103" s="62" t="s">
        <v>224</v>
      </c>
      <c r="B103" s="62" t="s">
        <v>224</v>
      </c>
      <c r="C103" s="63"/>
      <c r="D103" s="64"/>
      <c r="E103" s="65"/>
      <c r="F103" s="66"/>
      <c r="G103" s="63"/>
      <c r="H103" s="67"/>
      <c r="I103" s="68"/>
      <c r="J103" s="68"/>
      <c r="K103" s="32"/>
      <c r="L103" s="75"/>
      <c r="M103" s="75"/>
      <c r="N103" s="70"/>
      <c r="O103" s="77" t="s">
        <v>225</v>
      </c>
      <c r="P103" s="79">
        <v>45159.491932870369</v>
      </c>
      <c r="Q103" s="77" t="s">
        <v>337</v>
      </c>
      <c r="R103" s="77">
        <v>0</v>
      </c>
      <c r="S103" s="77">
        <v>0</v>
      </c>
      <c r="T103" s="77">
        <v>0</v>
      </c>
      <c r="U103" s="77">
        <v>0</v>
      </c>
      <c r="V103" s="77">
        <v>6</v>
      </c>
      <c r="W103" s="81" t="s">
        <v>392</v>
      </c>
      <c r="X103" s="77"/>
      <c r="Y103" s="77"/>
      <c r="Z103" s="77"/>
      <c r="AA103" s="77"/>
      <c r="AB103" s="77"/>
      <c r="AC103" s="81" t="s">
        <v>399</v>
      </c>
      <c r="AD103" s="77" t="s">
        <v>400</v>
      </c>
      <c r="AE103" s="83" t="str">
        <f>HYPERLINK("https://twitter.com/economedicos/status/1693590870367330647")</f>
        <v>https://twitter.com/economedicos/status/1693590870367330647</v>
      </c>
      <c r="AF103" s="79">
        <v>45159.491932870369</v>
      </c>
      <c r="AG103" s="85">
        <v>45159</v>
      </c>
      <c r="AH103" s="81" t="s">
        <v>510</v>
      </c>
      <c r="AI103" s="77"/>
      <c r="AJ103" s="77"/>
      <c r="AK103" s="77"/>
      <c r="AL103" s="77"/>
      <c r="AM103" s="77"/>
      <c r="AN103" s="77"/>
      <c r="AO103" s="77"/>
      <c r="AP103" s="77"/>
      <c r="AQ103" s="77"/>
      <c r="AR103" s="77"/>
      <c r="AS103" s="77"/>
      <c r="AT103" s="77"/>
      <c r="AU103" s="77"/>
      <c r="AV103" s="83" t="str">
        <f>HYPERLINK("https://pbs.twimg.com/profile_images/1283576393662636034/EjgsMA_W_normal.jpg")</f>
        <v>https://pbs.twimg.com/profile_images/1283576393662636034/EjgsMA_W_normal.jpg</v>
      </c>
      <c r="AW103" s="81" t="s">
        <v>674</v>
      </c>
      <c r="AX103" s="81" t="s">
        <v>840</v>
      </c>
      <c r="AY103" s="81" t="s">
        <v>895</v>
      </c>
      <c r="AZ103" s="81" t="s">
        <v>1007</v>
      </c>
      <c r="BA103" s="81" t="s">
        <v>1061</v>
      </c>
      <c r="BB103" s="81" t="s">
        <v>1061</v>
      </c>
      <c r="BC103" s="81" t="s">
        <v>1007</v>
      </c>
      <c r="BD103" s="81" t="s">
        <v>895</v>
      </c>
      <c r="BE103" s="77"/>
      <c r="BF103" s="77"/>
      <c r="BG103" s="77"/>
      <c r="BH103" s="77"/>
      <c r="BI103" s="77"/>
    </row>
    <row r="104" spans="1:61" x14ac:dyDescent="0.25">
      <c r="A104" s="62" t="s">
        <v>224</v>
      </c>
      <c r="B104" s="62" t="s">
        <v>224</v>
      </c>
      <c r="C104" s="63"/>
      <c r="D104" s="64"/>
      <c r="E104" s="65"/>
      <c r="F104" s="66"/>
      <c r="G104" s="63"/>
      <c r="H104" s="67"/>
      <c r="I104" s="68"/>
      <c r="J104" s="68"/>
      <c r="K104" s="32"/>
      <c r="L104" s="75"/>
      <c r="M104" s="75"/>
      <c r="N104" s="70"/>
      <c r="O104" s="77" t="s">
        <v>225</v>
      </c>
      <c r="P104" s="79">
        <v>45156.464444444442</v>
      </c>
      <c r="Q104" s="77" t="s">
        <v>320</v>
      </c>
      <c r="R104" s="77">
        <v>0</v>
      </c>
      <c r="S104" s="77">
        <v>0</v>
      </c>
      <c r="T104" s="77">
        <v>0</v>
      </c>
      <c r="U104" s="77">
        <v>0</v>
      </c>
      <c r="V104" s="77">
        <v>10</v>
      </c>
      <c r="W104" s="81" t="s">
        <v>392</v>
      </c>
      <c r="X104" s="77"/>
      <c r="Y104" s="77"/>
      <c r="Z104" s="77"/>
      <c r="AA104" s="77"/>
      <c r="AB104" s="77"/>
      <c r="AC104" s="81" t="s">
        <v>399</v>
      </c>
      <c r="AD104" s="77" t="s">
        <v>400</v>
      </c>
      <c r="AE104" s="83" t="str">
        <f>HYPERLINK("https://twitter.com/economedicos/status/1692493744400994716")</f>
        <v>https://twitter.com/economedicos/status/1692493744400994716</v>
      </c>
      <c r="AF104" s="79">
        <v>45156.464444444442</v>
      </c>
      <c r="AG104" s="85">
        <v>45156</v>
      </c>
      <c r="AH104" s="81" t="s">
        <v>493</v>
      </c>
      <c r="AI104" s="77"/>
      <c r="AJ104" s="77"/>
      <c r="AK104" s="77"/>
      <c r="AL104" s="77"/>
      <c r="AM104" s="77"/>
      <c r="AN104" s="77"/>
      <c r="AO104" s="77"/>
      <c r="AP104" s="77"/>
      <c r="AQ104" s="77"/>
      <c r="AR104" s="77"/>
      <c r="AS104" s="77"/>
      <c r="AT104" s="77"/>
      <c r="AU104" s="77"/>
      <c r="AV104" s="83" t="str">
        <f>HYPERLINK("https://pbs.twimg.com/profile_images/1283576393662636034/EjgsMA_W_normal.jpg")</f>
        <v>https://pbs.twimg.com/profile_images/1283576393662636034/EjgsMA_W_normal.jpg</v>
      </c>
      <c r="AW104" s="81" t="s">
        <v>657</v>
      </c>
      <c r="AX104" s="81" t="s">
        <v>823</v>
      </c>
      <c r="AY104" s="81" t="s">
        <v>895</v>
      </c>
      <c r="AZ104" s="81" t="s">
        <v>990</v>
      </c>
      <c r="BA104" s="81" t="s">
        <v>1061</v>
      </c>
      <c r="BB104" s="81" t="s">
        <v>1061</v>
      </c>
      <c r="BC104" s="81" t="s">
        <v>990</v>
      </c>
      <c r="BD104" s="81" t="s">
        <v>895</v>
      </c>
      <c r="BE104" s="77"/>
      <c r="BF104" s="77"/>
      <c r="BG104" s="77"/>
      <c r="BH104" s="77"/>
      <c r="BI104" s="77"/>
    </row>
    <row r="105" spans="1:61" x14ac:dyDescent="0.25">
      <c r="A105" s="62" t="s">
        <v>224</v>
      </c>
      <c r="B105" s="62" t="s">
        <v>224</v>
      </c>
      <c r="C105" s="63"/>
      <c r="D105" s="64"/>
      <c r="E105" s="65"/>
      <c r="F105" s="66"/>
      <c r="G105" s="63"/>
      <c r="H105" s="67"/>
      <c r="I105" s="68"/>
      <c r="J105" s="68"/>
      <c r="K105" s="32"/>
      <c r="L105" s="75"/>
      <c r="M105" s="75"/>
      <c r="N105" s="70"/>
      <c r="O105" s="77" t="s">
        <v>225</v>
      </c>
      <c r="P105" s="79">
        <v>45141.447384259256</v>
      </c>
      <c r="Q105" s="77" t="s">
        <v>229</v>
      </c>
      <c r="R105" s="77">
        <v>0</v>
      </c>
      <c r="S105" s="77">
        <v>0</v>
      </c>
      <c r="T105" s="77">
        <v>0</v>
      </c>
      <c r="U105" s="77">
        <v>0</v>
      </c>
      <c r="V105" s="77">
        <v>14</v>
      </c>
      <c r="W105" s="81" t="s">
        <v>392</v>
      </c>
      <c r="X105" s="77"/>
      <c r="Y105" s="77"/>
      <c r="Z105" s="77"/>
      <c r="AA105" s="77"/>
      <c r="AB105" s="77"/>
      <c r="AC105" s="81" t="s">
        <v>399</v>
      </c>
      <c r="AD105" s="77" t="s">
        <v>400</v>
      </c>
      <c r="AE105" s="83" t="str">
        <f>HYPERLINK("https://twitter.com/economedicos/status/1687051743165657088")</f>
        <v>https://twitter.com/economedicos/status/1687051743165657088</v>
      </c>
      <c r="AF105" s="79">
        <v>45141.447384259256</v>
      </c>
      <c r="AG105" s="85">
        <v>45141</v>
      </c>
      <c r="AH105" s="81" t="s">
        <v>404</v>
      </c>
      <c r="AI105" s="77"/>
      <c r="AJ105" s="77"/>
      <c r="AK105" s="77"/>
      <c r="AL105" s="77"/>
      <c r="AM105" s="77"/>
      <c r="AN105" s="77"/>
      <c r="AO105" s="77"/>
      <c r="AP105" s="77"/>
      <c r="AQ105" s="77"/>
      <c r="AR105" s="77"/>
      <c r="AS105" s="77"/>
      <c r="AT105" s="77"/>
      <c r="AU105" s="77"/>
      <c r="AV105" s="83" t="str">
        <f>HYPERLINK("https://pbs.twimg.com/profile_images/1283576393662636034/EjgsMA_W_normal.jpg")</f>
        <v>https://pbs.twimg.com/profile_images/1283576393662636034/EjgsMA_W_normal.jpg</v>
      </c>
      <c r="AW105" s="81" t="s">
        <v>566</v>
      </c>
      <c r="AX105" s="81" t="s">
        <v>732</v>
      </c>
      <c r="AY105" s="81" t="s">
        <v>895</v>
      </c>
      <c r="AZ105" s="81" t="s">
        <v>899</v>
      </c>
      <c r="BA105" s="81" t="s">
        <v>1061</v>
      </c>
      <c r="BB105" s="81" t="s">
        <v>1061</v>
      </c>
      <c r="BC105" s="81" t="s">
        <v>899</v>
      </c>
      <c r="BD105" s="81" t="s">
        <v>895</v>
      </c>
      <c r="BE105" s="77"/>
      <c r="BF105" s="77"/>
      <c r="BG105" s="77"/>
      <c r="BH105" s="77"/>
      <c r="BI105" s="77"/>
    </row>
    <row r="106" spans="1:61" x14ac:dyDescent="0.25">
      <c r="A106" s="62" t="s">
        <v>224</v>
      </c>
      <c r="B106" s="62" t="s">
        <v>224</v>
      </c>
      <c r="C106" s="63"/>
      <c r="D106" s="64"/>
      <c r="E106" s="65"/>
      <c r="F106" s="66"/>
      <c r="G106" s="63"/>
      <c r="H106" s="67"/>
      <c r="I106" s="68"/>
      <c r="J106" s="68"/>
      <c r="K106" s="32"/>
      <c r="L106" s="75"/>
      <c r="M106" s="75"/>
      <c r="N106" s="70"/>
      <c r="O106" s="77" t="s">
        <v>225</v>
      </c>
      <c r="P106" s="79">
        <v>45140.449618055558</v>
      </c>
      <c r="Q106" s="77" t="s">
        <v>338</v>
      </c>
      <c r="R106" s="77">
        <v>0</v>
      </c>
      <c r="S106" s="77">
        <v>0</v>
      </c>
      <c r="T106" s="77">
        <v>0</v>
      </c>
      <c r="U106" s="77">
        <v>0</v>
      </c>
      <c r="V106" s="77">
        <v>27</v>
      </c>
      <c r="W106" s="81" t="s">
        <v>392</v>
      </c>
      <c r="X106" s="77"/>
      <c r="Y106" s="77"/>
      <c r="Z106" s="77"/>
      <c r="AA106" s="77"/>
      <c r="AB106" s="77"/>
      <c r="AC106" s="81" t="s">
        <v>399</v>
      </c>
      <c r="AD106" s="77" t="s">
        <v>400</v>
      </c>
      <c r="AE106" s="83" t="str">
        <f>HYPERLINK("https://twitter.com/economedicos/status/1686690164242882562")</f>
        <v>https://twitter.com/economedicos/status/1686690164242882562</v>
      </c>
      <c r="AF106" s="79">
        <v>45140.449618055558</v>
      </c>
      <c r="AG106" s="85">
        <v>45140</v>
      </c>
      <c r="AH106" s="81" t="s">
        <v>511</v>
      </c>
      <c r="AI106" s="77"/>
      <c r="AJ106" s="77"/>
      <c r="AK106" s="77"/>
      <c r="AL106" s="77"/>
      <c r="AM106" s="77"/>
      <c r="AN106" s="77"/>
      <c r="AO106" s="77"/>
      <c r="AP106" s="77"/>
      <c r="AQ106" s="77"/>
      <c r="AR106" s="77"/>
      <c r="AS106" s="77"/>
      <c r="AT106" s="77"/>
      <c r="AU106" s="77"/>
      <c r="AV106" s="83" t="str">
        <f>HYPERLINK("https://pbs.twimg.com/profile_images/1283576393662636034/EjgsMA_W_normal.jpg")</f>
        <v>https://pbs.twimg.com/profile_images/1283576393662636034/EjgsMA_W_normal.jpg</v>
      </c>
      <c r="AW106" s="81" t="s">
        <v>675</v>
      </c>
      <c r="AX106" s="81" t="s">
        <v>841</v>
      </c>
      <c r="AY106" s="81" t="s">
        <v>895</v>
      </c>
      <c r="AZ106" s="81" t="s">
        <v>1008</v>
      </c>
      <c r="BA106" s="81" t="s">
        <v>1061</v>
      </c>
      <c r="BB106" s="81" t="s">
        <v>1061</v>
      </c>
      <c r="BC106" s="81" t="s">
        <v>1008</v>
      </c>
      <c r="BD106" s="81" t="s">
        <v>895</v>
      </c>
      <c r="BE106" s="77"/>
      <c r="BF106" s="77"/>
      <c r="BG106" s="77"/>
      <c r="BH106" s="77"/>
      <c r="BI106" s="77"/>
    </row>
    <row r="107" spans="1:61" x14ac:dyDescent="0.25">
      <c r="A107" s="62" t="s">
        <v>224</v>
      </c>
      <c r="B107" s="62" t="s">
        <v>224</v>
      </c>
      <c r="C107" s="63"/>
      <c r="D107" s="64"/>
      <c r="E107" s="65"/>
      <c r="F107" s="66"/>
      <c r="G107" s="63"/>
      <c r="H107" s="67"/>
      <c r="I107" s="68"/>
      <c r="J107" s="68"/>
      <c r="K107" s="32"/>
      <c r="L107" s="75"/>
      <c r="M107" s="75"/>
      <c r="N107" s="70"/>
      <c r="O107" s="77" t="s">
        <v>225</v>
      </c>
      <c r="P107" s="79">
        <v>45106.44902777778</v>
      </c>
      <c r="Q107" s="77" t="s">
        <v>357</v>
      </c>
      <c r="R107" s="77">
        <v>0</v>
      </c>
      <c r="S107" s="77">
        <v>0</v>
      </c>
      <c r="T107" s="77">
        <v>0</v>
      </c>
      <c r="U107" s="77">
        <v>0</v>
      </c>
      <c r="V107" s="77">
        <v>8</v>
      </c>
      <c r="W107" s="81" t="s">
        <v>392</v>
      </c>
      <c r="X107" s="77"/>
      <c r="Y107" s="77"/>
      <c r="Z107" s="77"/>
      <c r="AA107" s="77"/>
      <c r="AB107" s="77"/>
      <c r="AC107" s="81" t="s">
        <v>399</v>
      </c>
      <c r="AD107" s="77" t="s">
        <v>400</v>
      </c>
      <c r="AE107" s="83" t="str">
        <f>HYPERLINK("https://twitter.com/economedicos/status/1674368763267895297")</f>
        <v>https://twitter.com/economedicos/status/1674368763267895297</v>
      </c>
      <c r="AF107" s="79">
        <v>45106.44902777778</v>
      </c>
      <c r="AG107" s="85">
        <v>45106</v>
      </c>
      <c r="AH107" s="81" t="s">
        <v>529</v>
      </c>
      <c r="AI107" s="77"/>
      <c r="AJ107" s="77"/>
      <c r="AK107" s="77"/>
      <c r="AL107" s="77"/>
      <c r="AM107" s="77"/>
      <c r="AN107" s="77"/>
      <c r="AO107" s="77"/>
      <c r="AP107" s="77"/>
      <c r="AQ107" s="77"/>
      <c r="AR107" s="77"/>
      <c r="AS107" s="77"/>
      <c r="AT107" s="77"/>
      <c r="AU107" s="77"/>
      <c r="AV107" s="83" t="str">
        <f>HYPERLINK("https://pbs.twimg.com/profile_images/1283576393662636034/EjgsMA_W_normal.jpg")</f>
        <v>https://pbs.twimg.com/profile_images/1283576393662636034/EjgsMA_W_normal.jpg</v>
      </c>
      <c r="AW107" s="81" t="s">
        <v>694</v>
      </c>
      <c r="AX107" s="81" t="s">
        <v>860</v>
      </c>
      <c r="AY107" s="81" t="s">
        <v>895</v>
      </c>
      <c r="AZ107" s="81" t="s">
        <v>1027</v>
      </c>
      <c r="BA107" s="81" t="s">
        <v>1061</v>
      </c>
      <c r="BB107" s="81" t="s">
        <v>1061</v>
      </c>
      <c r="BC107" s="81" t="s">
        <v>1027</v>
      </c>
      <c r="BD107" s="81" t="s">
        <v>895</v>
      </c>
      <c r="BE107" s="77"/>
      <c r="BF107" s="77"/>
      <c r="BG107" s="77"/>
      <c r="BH107" s="77"/>
      <c r="BI107" s="77"/>
    </row>
    <row r="108" spans="1:61" x14ac:dyDescent="0.25">
      <c r="A108" s="62" t="s">
        <v>224</v>
      </c>
      <c r="B108" s="62" t="s">
        <v>224</v>
      </c>
      <c r="C108" s="63"/>
      <c r="D108" s="64"/>
      <c r="E108" s="65"/>
      <c r="F108" s="66"/>
      <c r="G108" s="63"/>
      <c r="H108" s="67"/>
      <c r="I108" s="68"/>
      <c r="J108" s="68"/>
      <c r="K108" s="32"/>
      <c r="L108" s="75"/>
      <c r="M108" s="75"/>
      <c r="N108" s="70"/>
      <c r="O108" s="77" t="s">
        <v>225</v>
      </c>
      <c r="P108" s="79">
        <v>45105.443541666667</v>
      </c>
      <c r="Q108" s="77" t="s">
        <v>306</v>
      </c>
      <c r="R108" s="77">
        <v>0</v>
      </c>
      <c r="S108" s="77">
        <v>0</v>
      </c>
      <c r="T108" s="77">
        <v>0</v>
      </c>
      <c r="U108" s="77">
        <v>0</v>
      </c>
      <c r="V108" s="77">
        <v>10</v>
      </c>
      <c r="W108" s="81" t="s">
        <v>392</v>
      </c>
      <c r="X108" s="77"/>
      <c r="Y108" s="77"/>
      <c r="Z108" s="77"/>
      <c r="AA108" s="77"/>
      <c r="AB108" s="77"/>
      <c r="AC108" s="81" t="s">
        <v>399</v>
      </c>
      <c r="AD108" s="77" t="s">
        <v>400</v>
      </c>
      <c r="AE108" s="83" t="str">
        <f>HYPERLINK("https://twitter.com/economedicos/status/1674004389739077632")</f>
        <v>https://twitter.com/economedicos/status/1674004389739077632</v>
      </c>
      <c r="AF108" s="79">
        <v>45105.443541666667</v>
      </c>
      <c r="AG108" s="85">
        <v>45105</v>
      </c>
      <c r="AH108" s="81" t="s">
        <v>480</v>
      </c>
      <c r="AI108" s="77"/>
      <c r="AJ108" s="77"/>
      <c r="AK108" s="77"/>
      <c r="AL108" s="77"/>
      <c r="AM108" s="77"/>
      <c r="AN108" s="77"/>
      <c r="AO108" s="77"/>
      <c r="AP108" s="77"/>
      <c r="AQ108" s="77"/>
      <c r="AR108" s="77"/>
      <c r="AS108" s="77"/>
      <c r="AT108" s="77"/>
      <c r="AU108" s="77"/>
      <c r="AV108" s="83" t="str">
        <f>HYPERLINK("https://pbs.twimg.com/profile_images/1283576393662636034/EjgsMA_W_normal.jpg")</f>
        <v>https://pbs.twimg.com/profile_images/1283576393662636034/EjgsMA_W_normal.jpg</v>
      </c>
      <c r="AW108" s="81" t="s">
        <v>643</v>
      </c>
      <c r="AX108" s="81" t="s">
        <v>809</v>
      </c>
      <c r="AY108" s="81" t="s">
        <v>895</v>
      </c>
      <c r="AZ108" s="81" t="s">
        <v>976</v>
      </c>
      <c r="BA108" s="81" t="s">
        <v>1061</v>
      </c>
      <c r="BB108" s="81" t="s">
        <v>1061</v>
      </c>
      <c r="BC108" s="81" t="s">
        <v>976</v>
      </c>
      <c r="BD108" s="81" t="s">
        <v>895</v>
      </c>
      <c r="BE108" s="77"/>
      <c r="BF108" s="77"/>
      <c r="BG108" s="77"/>
      <c r="BH108" s="77"/>
      <c r="BI108" s="77"/>
    </row>
    <row r="109" spans="1:61" x14ac:dyDescent="0.25">
      <c r="A109" s="62" t="s">
        <v>224</v>
      </c>
      <c r="B109" s="62" t="s">
        <v>224</v>
      </c>
      <c r="C109" s="63"/>
      <c r="D109" s="64"/>
      <c r="E109" s="65"/>
      <c r="F109" s="66"/>
      <c r="G109" s="63"/>
      <c r="H109" s="67"/>
      <c r="I109" s="68"/>
      <c r="J109" s="68"/>
      <c r="K109" s="32"/>
      <c r="L109" s="75"/>
      <c r="M109" s="75"/>
      <c r="N109" s="70"/>
      <c r="O109" s="77" t="s">
        <v>225</v>
      </c>
      <c r="P109" s="79">
        <v>45104.364374999997</v>
      </c>
      <c r="Q109" s="77" t="s">
        <v>307</v>
      </c>
      <c r="R109" s="77">
        <v>0</v>
      </c>
      <c r="S109" s="77">
        <v>0</v>
      </c>
      <c r="T109" s="77">
        <v>0</v>
      </c>
      <c r="U109" s="77">
        <v>0</v>
      </c>
      <c r="V109" s="77">
        <v>10</v>
      </c>
      <c r="W109" s="81" t="s">
        <v>392</v>
      </c>
      <c r="X109" s="77"/>
      <c r="Y109" s="77"/>
      <c r="Z109" s="77"/>
      <c r="AA109" s="77"/>
      <c r="AB109" s="77"/>
      <c r="AC109" s="81" t="s">
        <v>399</v>
      </c>
      <c r="AD109" s="77" t="s">
        <v>400</v>
      </c>
      <c r="AE109" s="83" t="str">
        <f>HYPERLINK("https://twitter.com/economedicos/status/1673613313438109696")</f>
        <v>https://twitter.com/economedicos/status/1673613313438109696</v>
      </c>
      <c r="AF109" s="79">
        <v>45104.364374999997</v>
      </c>
      <c r="AG109" s="85">
        <v>45104</v>
      </c>
      <c r="AH109" s="81" t="s">
        <v>481</v>
      </c>
      <c r="AI109" s="77"/>
      <c r="AJ109" s="77"/>
      <c r="AK109" s="77"/>
      <c r="AL109" s="77"/>
      <c r="AM109" s="77"/>
      <c r="AN109" s="77"/>
      <c r="AO109" s="77"/>
      <c r="AP109" s="77"/>
      <c r="AQ109" s="77"/>
      <c r="AR109" s="77"/>
      <c r="AS109" s="77"/>
      <c r="AT109" s="77"/>
      <c r="AU109" s="77"/>
      <c r="AV109" s="83" t="str">
        <f>HYPERLINK("https://pbs.twimg.com/profile_images/1283576393662636034/EjgsMA_W_normal.jpg")</f>
        <v>https://pbs.twimg.com/profile_images/1283576393662636034/EjgsMA_W_normal.jpg</v>
      </c>
      <c r="AW109" s="81" t="s">
        <v>644</v>
      </c>
      <c r="AX109" s="81" t="s">
        <v>810</v>
      </c>
      <c r="AY109" s="81" t="s">
        <v>895</v>
      </c>
      <c r="AZ109" s="81" t="s">
        <v>977</v>
      </c>
      <c r="BA109" s="81" t="s">
        <v>1061</v>
      </c>
      <c r="BB109" s="81" t="s">
        <v>1061</v>
      </c>
      <c r="BC109" s="81" t="s">
        <v>977</v>
      </c>
      <c r="BD109" s="81" t="s">
        <v>895</v>
      </c>
      <c r="BE109" s="77"/>
      <c r="BF109" s="77"/>
      <c r="BG109" s="77"/>
      <c r="BH109" s="77"/>
      <c r="BI109" s="77"/>
    </row>
    <row r="110" spans="1:61" x14ac:dyDescent="0.25">
      <c r="A110" s="62" t="s">
        <v>224</v>
      </c>
      <c r="B110" s="62" t="s">
        <v>224</v>
      </c>
      <c r="C110" s="63"/>
      <c r="D110" s="64"/>
      <c r="E110" s="65"/>
      <c r="F110" s="66"/>
      <c r="G110" s="63"/>
      <c r="H110" s="67"/>
      <c r="I110" s="68"/>
      <c r="J110" s="68"/>
      <c r="K110" s="32"/>
      <c r="L110" s="75"/>
      <c r="M110" s="75"/>
      <c r="N110" s="70"/>
      <c r="O110" s="77" t="s">
        <v>225</v>
      </c>
      <c r="P110" s="79">
        <v>45103.395983796298</v>
      </c>
      <c r="Q110" s="77" t="s">
        <v>377</v>
      </c>
      <c r="R110" s="77">
        <v>0</v>
      </c>
      <c r="S110" s="77">
        <v>0</v>
      </c>
      <c r="T110" s="77">
        <v>0</v>
      </c>
      <c r="U110" s="77">
        <v>0</v>
      </c>
      <c r="V110" s="77">
        <v>17</v>
      </c>
      <c r="W110" s="81" t="s">
        <v>392</v>
      </c>
      <c r="X110" s="77"/>
      <c r="Y110" s="77"/>
      <c r="Z110" s="77"/>
      <c r="AA110" s="77"/>
      <c r="AB110" s="77"/>
      <c r="AC110" s="81" t="s">
        <v>399</v>
      </c>
      <c r="AD110" s="77" t="s">
        <v>400</v>
      </c>
      <c r="AE110" s="83" t="str">
        <f>HYPERLINK("https://twitter.com/economedicos/status/1673262377498812417")</f>
        <v>https://twitter.com/economedicos/status/1673262377498812417</v>
      </c>
      <c r="AF110" s="79">
        <v>45103.395983796298</v>
      </c>
      <c r="AG110" s="85">
        <v>45103</v>
      </c>
      <c r="AH110" s="81" t="s">
        <v>549</v>
      </c>
      <c r="AI110" s="77"/>
      <c r="AJ110" s="77"/>
      <c r="AK110" s="77"/>
      <c r="AL110" s="77"/>
      <c r="AM110" s="77"/>
      <c r="AN110" s="77"/>
      <c r="AO110" s="77"/>
      <c r="AP110" s="77"/>
      <c r="AQ110" s="77"/>
      <c r="AR110" s="77"/>
      <c r="AS110" s="77"/>
      <c r="AT110" s="77"/>
      <c r="AU110" s="77"/>
      <c r="AV110" s="83" t="str">
        <f>HYPERLINK("https://pbs.twimg.com/profile_images/1283576393662636034/EjgsMA_W_normal.jpg")</f>
        <v>https://pbs.twimg.com/profile_images/1283576393662636034/EjgsMA_W_normal.jpg</v>
      </c>
      <c r="AW110" s="81" t="s">
        <v>714</v>
      </c>
      <c r="AX110" s="81" t="s">
        <v>880</v>
      </c>
      <c r="AY110" s="81" t="s">
        <v>895</v>
      </c>
      <c r="AZ110" s="81" t="s">
        <v>1046</v>
      </c>
      <c r="BA110" s="81" t="s">
        <v>1061</v>
      </c>
      <c r="BB110" s="81" t="s">
        <v>1061</v>
      </c>
      <c r="BC110" s="81" t="s">
        <v>1046</v>
      </c>
      <c r="BD110" s="81" t="s">
        <v>895</v>
      </c>
      <c r="BE110" s="77"/>
      <c r="BF110" s="77"/>
      <c r="BG110" s="77"/>
      <c r="BH110" s="77"/>
      <c r="BI110" s="77"/>
    </row>
    <row r="111" spans="1:61" x14ac:dyDescent="0.25">
      <c r="A111" s="62" t="s">
        <v>224</v>
      </c>
      <c r="B111" s="62" t="s">
        <v>224</v>
      </c>
      <c r="C111" s="63"/>
      <c r="D111" s="64"/>
      <c r="E111" s="65"/>
      <c r="F111" s="66"/>
      <c r="G111" s="63"/>
      <c r="H111" s="67"/>
      <c r="I111" s="68"/>
      <c r="J111" s="68"/>
      <c r="K111" s="32"/>
      <c r="L111" s="75"/>
      <c r="M111" s="75"/>
      <c r="N111" s="70"/>
      <c r="O111" s="77" t="s">
        <v>225</v>
      </c>
      <c r="P111" s="79">
        <v>45043.483668981484</v>
      </c>
      <c r="Q111" s="77" t="s">
        <v>346</v>
      </c>
      <c r="R111" s="77">
        <v>0</v>
      </c>
      <c r="S111" s="77">
        <v>0</v>
      </c>
      <c r="T111" s="77">
        <v>0</v>
      </c>
      <c r="U111" s="77">
        <v>0</v>
      </c>
      <c r="V111" s="77">
        <v>6</v>
      </c>
      <c r="W111" s="81" t="s">
        <v>392</v>
      </c>
      <c r="X111" s="77"/>
      <c r="Y111" s="77"/>
      <c r="Z111" s="77"/>
      <c r="AA111" s="77"/>
      <c r="AB111" s="77"/>
      <c r="AC111" s="81" t="s">
        <v>399</v>
      </c>
      <c r="AD111" s="77" t="s">
        <v>400</v>
      </c>
      <c r="AE111" s="83" t="str">
        <f>HYPERLINK("https://twitter.com/economedicos/status/1651550884973748227")</f>
        <v>https://twitter.com/economedicos/status/1651550884973748227</v>
      </c>
      <c r="AF111" s="79">
        <v>45043.483668981484</v>
      </c>
      <c r="AG111" s="85">
        <v>45043</v>
      </c>
      <c r="AH111" s="81" t="s">
        <v>518</v>
      </c>
      <c r="AI111" s="77"/>
      <c r="AJ111" s="77"/>
      <c r="AK111" s="77"/>
      <c r="AL111" s="77"/>
      <c r="AM111" s="77"/>
      <c r="AN111" s="77"/>
      <c r="AO111" s="77"/>
      <c r="AP111" s="77"/>
      <c r="AQ111" s="77"/>
      <c r="AR111" s="77"/>
      <c r="AS111" s="77"/>
      <c r="AT111" s="77"/>
      <c r="AU111" s="77"/>
      <c r="AV111" s="83" t="str">
        <f>HYPERLINK("https://pbs.twimg.com/profile_images/1283576393662636034/EjgsMA_W_normal.jpg")</f>
        <v>https://pbs.twimg.com/profile_images/1283576393662636034/EjgsMA_W_normal.jpg</v>
      </c>
      <c r="AW111" s="81" t="s">
        <v>683</v>
      </c>
      <c r="AX111" s="81" t="s">
        <v>849</v>
      </c>
      <c r="AY111" s="81" t="s">
        <v>895</v>
      </c>
      <c r="AZ111" s="81" t="s">
        <v>1016</v>
      </c>
      <c r="BA111" s="81" t="s">
        <v>1061</v>
      </c>
      <c r="BB111" s="81" t="s">
        <v>1061</v>
      </c>
      <c r="BC111" s="81" t="s">
        <v>1016</v>
      </c>
      <c r="BD111" s="81" t="s">
        <v>895</v>
      </c>
      <c r="BE111" s="77"/>
      <c r="BF111" s="77"/>
      <c r="BG111" s="77"/>
      <c r="BH111" s="77"/>
      <c r="BI111" s="77"/>
    </row>
    <row r="112" spans="1:61" x14ac:dyDescent="0.25">
      <c r="A112" s="62" t="s">
        <v>224</v>
      </c>
      <c r="B112" s="62" t="s">
        <v>224</v>
      </c>
      <c r="C112" s="63"/>
      <c r="D112" s="64"/>
      <c r="E112" s="65"/>
      <c r="F112" s="66"/>
      <c r="G112" s="63"/>
      <c r="H112" s="67"/>
      <c r="I112" s="68"/>
      <c r="J112" s="68"/>
      <c r="K112" s="32"/>
      <c r="L112" s="75"/>
      <c r="M112" s="75"/>
      <c r="N112" s="70"/>
      <c r="O112" s="77" t="s">
        <v>225</v>
      </c>
      <c r="P112" s="79">
        <v>45042.459756944445</v>
      </c>
      <c r="Q112" s="77" t="s">
        <v>347</v>
      </c>
      <c r="R112" s="77">
        <v>0</v>
      </c>
      <c r="S112" s="77">
        <v>0</v>
      </c>
      <c r="T112" s="77">
        <v>0</v>
      </c>
      <c r="U112" s="77">
        <v>0</v>
      </c>
      <c r="V112" s="77">
        <v>9</v>
      </c>
      <c r="W112" s="81" t="s">
        <v>392</v>
      </c>
      <c r="X112" s="77"/>
      <c r="Y112" s="77"/>
      <c r="Z112" s="77"/>
      <c r="AA112" s="77"/>
      <c r="AB112" s="77"/>
      <c r="AC112" s="81" t="s">
        <v>399</v>
      </c>
      <c r="AD112" s="77" t="s">
        <v>400</v>
      </c>
      <c r="AE112" s="83" t="str">
        <f>HYPERLINK("https://twitter.com/economedicos/status/1651179830266699776")</f>
        <v>https://twitter.com/economedicos/status/1651179830266699776</v>
      </c>
      <c r="AF112" s="79">
        <v>45042.459756944445</v>
      </c>
      <c r="AG112" s="85">
        <v>45042</v>
      </c>
      <c r="AH112" s="81" t="s">
        <v>519</v>
      </c>
      <c r="AI112" s="77"/>
      <c r="AJ112" s="77"/>
      <c r="AK112" s="77"/>
      <c r="AL112" s="77"/>
      <c r="AM112" s="77"/>
      <c r="AN112" s="77"/>
      <c r="AO112" s="77"/>
      <c r="AP112" s="77"/>
      <c r="AQ112" s="77"/>
      <c r="AR112" s="77"/>
      <c r="AS112" s="77"/>
      <c r="AT112" s="77"/>
      <c r="AU112" s="77"/>
      <c r="AV112" s="83" t="str">
        <f>HYPERLINK("https://pbs.twimg.com/profile_images/1283576393662636034/EjgsMA_W_normal.jpg")</f>
        <v>https://pbs.twimg.com/profile_images/1283576393662636034/EjgsMA_W_normal.jpg</v>
      </c>
      <c r="AW112" s="81" t="s">
        <v>684</v>
      </c>
      <c r="AX112" s="81" t="s">
        <v>850</v>
      </c>
      <c r="AY112" s="81" t="s">
        <v>895</v>
      </c>
      <c r="AZ112" s="81" t="s">
        <v>1017</v>
      </c>
      <c r="BA112" s="81" t="s">
        <v>1061</v>
      </c>
      <c r="BB112" s="81" t="s">
        <v>1061</v>
      </c>
      <c r="BC112" s="81" t="s">
        <v>1017</v>
      </c>
      <c r="BD112" s="81" t="s">
        <v>895</v>
      </c>
      <c r="BE112" s="77"/>
      <c r="BF112" s="77"/>
      <c r="BG112" s="77"/>
      <c r="BH112" s="77"/>
      <c r="BI112" s="77"/>
    </row>
    <row r="113" spans="1:61" x14ac:dyDescent="0.25">
      <c r="A113" s="62" t="s">
        <v>224</v>
      </c>
      <c r="B113" s="62" t="s">
        <v>224</v>
      </c>
      <c r="C113" s="63"/>
      <c r="D113" s="64"/>
      <c r="E113" s="65"/>
      <c r="F113" s="66"/>
      <c r="G113" s="63"/>
      <c r="H113" s="67"/>
      <c r="I113" s="68"/>
      <c r="J113" s="68"/>
      <c r="K113" s="32"/>
      <c r="L113" s="75"/>
      <c r="M113" s="75"/>
      <c r="N113" s="70"/>
      <c r="O113" s="77" t="s">
        <v>225</v>
      </c>
      <c r="P113" s="79">
        <v>45040.4453125</v>
      </c>
      <c r="Q113" s="77" t="s">
        <v>234</v>
      </c>
      <c r="R113" s="77">
        <v>0</v>
      </c>
      <c r="S113" s="77">
        <v>0</v>
      </c>
      <c r="T113" s="77">
        <v>0</v>
      </c>
      <c r="U113" s="77">
        <v>0</v>
      </c>
      <c r="V113" s="77">
        <v>2</v>
      </c>
      <c r="W113" s="81" t="s">
        <v>392</v>
      </c>
      <c r="X113" s="77"/>
      <c r="Y113" s="77"/>
      <c r="Z113" s="77"/>
      <c r="AA113" s="77"/>
      <c r="AB113" s="77"/>
      <c r="AC113" s="81" t="s">
        <v>399</v>
      </c>
      <c r="AD113" s="77" t="s">
        <v>400</v>
      </c>
      <c r="AE113" s="83" t="str">
        <f>HYPERLINK("https://twitter.com/economedicos/status/1650449818123223040")</f>
        <v>https://twitter.com/economedicos/status/1650449818123223040</v>
      </c>
      <c r="AF113" s="79">
        <v>45040.4453125</v>
      </c>
      <c r="AG113" s="85">
        <v>45040</v>
      </c>
      <c r="AH113" s="81" t="s">
        <v>409</v>
      </c>
      <c r="AI113" s="77"/>
      <c r="AJ113" s="77"/>
      <c r="AK113" s="77"/>
      <c r="AL113" s="77"/>
      <c r="AM113" s="77"/>
      <c r="AN113" s="77"/>
      <c r="AO113" s="77"/>
      <c r="AP113" s="77"/>
      <c r="AQ113" s="77"/>
      <c r="AR113" s="77"/>
      <c r="AS113" s="77"/>
      <c r="AT113" s="77"/>
      <c r="AU113" s="77"/>
      <c r="AV113" s="83" t="str">
        <f>HYPERLINK("https://pbs.twimg.com/profile_images/1283576393662636034/EjgsMA_W_normal.jpg")</f>
        <v>https://pbs.twimg.com/profile_images/1283576393662636034/EjgsMA_W_normal.jpg</v>
      </c>
      <c r="AW113" s="81" t="s">
        <v>571</v>
      </c>
      <c r="AX113" s="81" t="s">
        <v>737</v>
      </c>
      <c r="AY113" s="81" t="s">
        <v>895</v>
      </c>
      <c r="AZ113" s="81" t="s">
        <v>904</v>
      </c>
      <c r="BA113" s="81" t="s">
        <v>1061</v>
      </c>
      <c r="BB113" s="81" t="s">
        <v>1061</v>
      </c>
      <c r="BC113" s="81" t="s">
        <v>904</v>
      </c>
      <c r="BD113" s="81" t="s">
        <v>895</v>
      </c>
      <c r="BE113" s="77"/>
      <c r="BF113" s="77"/>
      <c r="BG113" s="77"/>
      <c r="BH113" s="77"/>
      <c r="BI113" s="77"/>
    </row>
    <row r="114" spans="1:61" x14ac:dyDescent="0.25">
      <c r="A114" s="62" t="s">
        <v>224</v>
      </c>
      <c r="B114" s="62" t="s">
        <v>224</v>
      </c>
      <c r="C114" s="63"/>
      <c r="D114" s="64"/>
      <c r="E114" s="65"/>
      <c r="F114" s="66"/>
      <c r="G114" s="63"/>
      <c r="H114" s="67"/>
      <c r="I114" s="68"/>
      <c r="J114" s="68"/>
      <c r="K114" s="32"/>
      <c r="L114" s="75"/>
      <c r="M114" s="75"/>
      <c r="N114" s="70"/>
      <c r="O114" s="77" t="s">
        <v>225</v>
      </c>
      <c r="P114" s="79">
        <v>45036.460312499999</v>
      </c>
      <c r="Q114" s="77" t="s">
        <v>235</v>
      </c>
      <c r="R114" s="77">
        <v>0</v>
      </c>
      <c r="S114" s="77">
        <v>0</v>
      </c>
      <c r="T114" s="77">
        <v>0</v>
      </c>
      <c r="U114" s="77">
        <v>0</v>
      </c>
      <c r="V114" s="77">
        <v>5</v>
      </c>
      <c r="W114" s="81" t="s">
        <v>392</v>
      </c>
      <c r="X114" s="77"/>
      <c r="Y114" s="77"/>
      <c r="Z114" s="77"/>
      <c r="AA114" s="77"/>
      <c r="AB114" s="77"/>
      <c r="AC114" s="81" t="s">
        <v>399</v>
      </c>
      <c r="AD114" s="77" t="s">
        <v>400</v>
      </c>
      <c r="AE114" s="83" t="str">
        <f>HYPERLINK("https://twitter.com/economedicos/status/1649005705796501504")</f>
        <v>https://twitter.com/economedicos/status/1649005705796501504</v>
      </c>
      <c r="AF114" s="79">
        <v>45036.460312499999</v>
      </c>
      <c r="AG114" s="85">
        <v>45036</v>
      </c>
      <c r="AH114" s="81" t="s">
        <v>410</v>
      </c>
      <c r="AI114" s="77"/>
      <c r="AJ114" s="77"/>
      <c r="AK114" s="77"/>
      <c r="AL114" s="77"/>
      <c r="AM114" s="77"/>
      <c r="AN114" s="77"/>
      <c r="AO114" s="77"/>
      <c r="AP114" s="77"/>
      <c r="AQ114" s="77"/>
      <c r="AR114" s="77"/>
      <c r="AS114" s="77"/>
      <c r="AT114" s="77"/>
      <c r="AU114" s="77"/>
      <c r="AV114" s="83" t="str">
        <f>HYPERLINK("https://pbs.twimg.com/profile_images/1283576393662636034/EjgsMA_W_normal.jpg")</f>
        <v>https://pbs.twimg.com/profile_images/1283576393662636034/EjgsMA_W_normal.jpg</v>
      </c>
      <c r="AW114" s="81" t="s">
        <v>572</v>
      </c>
      <c r="AX114" s="81" t="s">
        <v>738</v>
      </c>
      <c r="AY114" s="81" t="s">
        <v>895</v>
      </c>
      <c r="AZ114" s="81" t="s">
        <v>905</v>
      </c>
      <c r="BA114" s="81" t="s">
        <v>1061</v>
      </c>
      <c r="BB114" s="81" t="s">
        <v>1061</v>
      </c>
      <c r="BC114" s="81" t="s">
        <v>905</v>
      </c>
      <c r="BD114" s="81" t="s">
        <v>895</v>
      </c>
      <c r="BE114" s="77"/>
      <c r="BF114" s="77"/>
      <c r="BG114" s="77"/>
      <c r="BH114" s="77"/>
      <c r="BI114" s="77"/>
    </row>
    <row r="115" spans="1:61" x14ac:dyDescent="0.25">
      <c r="A115" s="62" t="s">
        <v>224</v>
      </c>
      <c r="B115" s="62" t="s">
        <v>224</v>
      </c>
      <c r="C115" s="63"/>
      <c r="D115" s="64"/>
      <c r="E115" s="65"/>
      <c r="F115" s="66"/>
      <c r="G115" s="63"/>
      <c r="H115" s="67"/>
      <c r="I115" s="68"/>
      <c r="J115" s="68"/>
      <c r="K115" s="32"/>
      <c r="L115" s="75"/>
      <c r="M115" s="75"/>
      <c r="N115" s="70"/>
      <c r="O115" s="77" t="s">
        <v>225</v>
      </c>
      <c r="P115" s="79">
        <v>44971.438391203701</v>
      </c>
      <c r="Q115" s="77" t="s">
        <v>240</v>
      </c>
      <c r="R115" s="77">
        <v>0</v>
      </c>
      <c r="S115" s="77">
        <v>0</v>
      </c>
      <c r="T115" s="77">
        <v>0</v>
      </c>
      <c r="U115" s="77">
        <v>0</v>
      </c>
      <c r="V115" s="77">
        <v>13</v>
      </c>
      <c r="W115" s="81" t="s">
        <v>392</v>
      </c>
      <c r="X115" s="77"/>
      <c r="Y115" s="77"/>
      <c r="Z115" s="77"/>
      <c r="AA115" s="77"/>
      <c r="AB115" s="77"/>
      <c r="AC115" s="81" t="s">
        <v>399</v>
      </c>
      <c r="AD115" s="77" t="s">
        <v>400</v>
      </c>
      <c r="AE115" s="83" t="str">
        <f>HYPERLINK("https://twitter.com/economedicos/status/1625442547043540993")</f>
        <v>https://twitter.com/economedicos/status/1625442547043540993</v>
      </c>
      <c r="AF115" s="79">
        <v>44971.438391203701</v>
      </c>
      <c r="AG115" s="85">
        <v>44971</v>
      </c>
      <c r="AH115" s="81" t="s">
        <v>415</v>
      </c>
      <c r="AI115" s="77"/>
      <c r="AJ115" s="77"/>
      <c r="AK115" s="77"/>
      <c r="AL115" s="77"/>
      <c r="AM115" s="77"/>
      <c r="AN115" s="77"/>
      <c r="AO115" s="77"/>
      <c r="AP115" s="77"/>
      <c r="AQ115" s="77"/>
      <c r="AR115" s="77"/>
      <c r="AS115" s="77"/>
      <c r="AT115" s="77"/>
      <c r="AU115" s="77"/>
      <c r="AV115" s="83" t="str">
        <f>HYPERLINK("https://pbs.twimg.com/profile_images/1283576393662636034/EjgsMA_W_normal.jpg")</f>
        <v>https://pbs.twimg.com/profile_images/1283576393662636034/EjgsMA_W_normal.jpg</v>
      </c>
      <c r="AW115" s="81" t="s">
        <v>577</v>
      </c>
      <c r="AX115" s="81" t="s">
        <v>743</v>
      </c>
      <c r="AY115" s="81" t="s">
        <v>895</v>
      </c>
      <c r="AZ115" s="81" t="s">
        <v>910</v>
      </c>
      <c r="BA115" s="81" t="s">
        <v>1061</v>
      </c>
      <c r="BB115" s="81" t="s">
        <v>1061</v>
      </c>
      <c r="BC115" s="81" t="s">
        <v>910</v>
      </c>
      <c r="BD115" s="81" t="s">
        <v>895</v>
      </c>
      <c r="BE115" s="77"/>
      <c r="BF115" s="77"/>
      <c r="BG115" s="77"/>
      <c r="BH115" s="77"/>
      <c r="BI115" s="77"/>
    </row>
    <row r="116" spans="1:61" x14ac:dyDescent="0.25">
      <c r="A116" s="62" t="s">
        <v>224</v>
      </c>
      <c r="B116" s="62" t="s">
        <v>224</v>
      </c>
      <c r="C116" s="63"/>
      <c r="D116" s="64"/>
      <c r="E116" s="65"/>
      <c r="F116" s="66"/>
      <c r="G116" s="63"/>
      <c r="H116" s="67"/>
      <c r="I116" s="68"/>
      <c r="J116" s="68"/>
      <c r="K116" s="32"/>
      <c r="L116" s="75"/>
      <c r="M116" s="75"/>
      <c r="N116" s="70"/>
      <c r="O116" s="77" t="s">
        <v>225</v>
      </c>
      <c r="P116" s="79">
        <v>44967.431851851848</v>
      </c>
      <c r="Q116" s="77" t="s">
        <v>241</v>
      </c>
      <c r="R116" s="77">
        <v>0</v>
      </c>
      <c r="S116" s="77">
        <v>0</v>
      </c>
      <c r="T116" s="77">
        <v>0</v>
      </c>
      <c r="U116" s="77">
        <v>0</v>
      </c>
      <c r="V116" s="77">
        <v>8</v>
      </c>
      <c r="W116" s="81" t="s">
        <v>392</v>
      </c>
      <c r="X116" s="77"/>
      <c r="Y116" s="77"/>
      <c r="Z116" s="77"/>
      <c r="AA116" s="77"/>
      <c r="AB116" s="77"/>
      <c r="AC116" s="81" t="s">
        <v>399</v>
      </c>
      <c r="AD116" s="77" t="s">
        <v>400</v>
      </c>
      <c r="AE116" s="83" t="str">
        <f>HYPERLINK("https://twitter.com/economedicos/status/1623990628135714816")</f>
        <v>https://twitter.com/economedicos/status/1623990628135714816</v>
      </c>
      <c r="AF116" s="79">
        <v>44967.431851851848</v>
      </c>
      <c r="AG116" s="85">
        <v>44967</v>
      </c>
      <c r="AH116" s="81" t="s">
        <v>416</v>
      </c>
      <c r="AI116" s="77"/>
      <c r="AJ116" s="77"/>
      <c r="AK116" s="77"/>
      <c r="AL116" s="77"/>
      <c r="AM116" s="77"/>
      <c r="AN116" s="77"/>
      <c r="AO116" s="77"/>
      <c r="AP116" s="77"/>
      <c r="AQ116" s="77"/>
      <c r="AR116" s="77"/>
      <c r="AS116" s="77"/>
      <c r="AT116" s="77"/>
      <c r="AU116" s="77"/>
      <c r="AV116" s="83" t="str">
        <f>HYPERLINK("https://pbs.twimg.com/profile_images/1283576393662636034/EjgsMA_W_normal.jpg")</f>
        <v>https://pbs.twimg.com/profile_images/1283576393662636034/EjgsMA_W_normal.jpg</v>
      </c>
      <c r="AW116" s="81" t="s">
        <v>578</v>
      </c>
      <c r="AX116" s="81" t="s">
        <v>744</v>
      </c>
      <c r="AY116" s="81" t="s">
        <v>895</v>
      </c>
      <c r="AZ116" s="81" t="s">
        <v>911</v>
      </c>
      <c r="BA116" s="81" t="s">
        <v>1061</v>
      </c>
      <c r="BB116" s="81" t="s">
        <v>1061</v>
      </c>
      <c r="BC116" s="81" t="s">
        <v>911</v>
      </c>
      <c r="BD116" s="81" t="s">
        <v>895</v>
      </c>
      <c r="BE116" s="77"/>
      <c r="BF116" s="77"/>
      <c r="BG116" s="77"/>
      <c r="BH116" s="77"/>
      <c r="BI116" s="77"/>
    </row>
    <row r="117" spans="1:61" x14ac:dyDescent="0.25">
      <c r="A117" s="62" t="s">
        <v>224</v>
      </c>
      <c r="B117" s="62" t="s">
        <v>224</v>
      </c>
      <c r="C117" s="63"/>
      <c r="D117" s="64"/>
      <c r="E117" s="65"/>
      <c r="F117" s="66"/>
      <c r="G117" s="63"/>
      <c r="H117" s="67"/>
      <c r="I117" s="68"/>
      <c r="J117" s="68"/>
      <c r="K117" s="32"/>
      <c r="L117" s="75"/>
      <c r="M117" s="75"/>
      <c r="N117" s="70"/>
      <c r="O117" s="77" t="s">
        <v>225</v>
      </c>
      <c r="P117" s="79">
        <v>44966.442962962959</v>
      </c>
      <c r="Q117" s="77" t="s">
        <v>331</v>
      </c>
      <c r="R117" s="77">
        <v>0</v>
      </c>
      <c r="S117" s="77">
        <v>0</v>
      </c>
      <c r="T117" s="77">
        <v>0</v>
      </c>
      <c r="U117" s="77">
        <v>0</v>
      </c>
      <c r="V117" s="77">
        <v>5</v>
      </c>
      <c r="W117" s="81" t="s">
        <v>392</v>
      </c>
      <c r="X117" s="77"/>
      <c r="Y117" s="77"/>
      <c r="Z117" s="77"/>
      <c r="AA117" s="77"/>
      <c r="AB117" s="77"/>
      <c r="AC117" s="81" t="s">
        <v>399</v>
      </c>
      <c r="AD117" s="77" t="s">
        <v>400</v>
      </c>
      <c r="AE117" s="83" t="str">
        <f>HYPERLINK("https://twitter.com/economedicos/status/1623632264679546885")</f>
        <v>https://twitter.com/economedicos/status/1623632264679546885</v>
      </c>
      <c r="AF117" s="79">
        <v>44966.442962962959</v>
      </c>
      <c r="AG117" s="85">
        <v>44966</v>
      </c>
      <c r="AH117" s="81" t="s">
        <v>504</v>
      </c>
      <c r="AI117" s="77"/>
      <c r="AJ117" s="77"/>
      <c r="AK117" s="77"/>
      <c r="AL117" s="77"/>
      <c r="AM117" s="77"/>
      <c r="AN117" s="77"/>
      <c r="AO117" s="77"/>
      <c r="AP117" s="77"/>
      <c r="AQ117" s="77"/>
      <c r="AR117" s="77"/>
      <c r="AS117" s="77"/>
      <c r="AT117" s="77"/>
      <c r="AU117" s="77"/>
      <c r="AV117" s="83" t="str">
        <f>HYPERLINK("https://pbs.twimg.com/profile_images/1283576393662636034/EjgsMA_W_normal.jpg")</f>
        <v>https://pbs.twimg.com/profile_images/1283576393662636034/EjgsMA_W_normal.jpg</v>
      </c>
      <c r="AW117" s="81" t="s">
        <v>668</v>
      </c>
      <c r="AX117" s="81" t="s">
        <v>834</v>
      </c>
      <c r="AY117" s="81" t="s">
        <v>895</v>
      </c>
      <c r="AZ117" s="81" t="s">
        <v>1001</v>
      </c>
      <c r="BA117" s="81" t="s">
        <v>1061</v>
      </c>
      <c r="BB117" s="81" t="s">
        <v>1061</v>
      </c>
      <c r="BC117" s="81" t="s">
        <v>1001</v>
      </c>
      <c r="BD117" s="81" t="s">
        <v>895</v>
      </c>
      <c r="BE117" s="77"/>
      <c r="BF117" s="77"/>
      <c r="BG117" s="77"/>
      <c r="BH117" s="77"/>
      <c r="BI117" s="77"/>
    </row>
    <row r="118" spans="1:61" x14ac:dyDescent="0.25">
      <c r="A118" s="62" t="s">
        <v>224</v>
      </c>
      <c r="B118" s="62" t="s">
        <v>224</v>
      </c>
      <c r="C118" s="63"/>
      <c r="D118" s="64"/>
      <c r="E118" s="65"/>
      <c r="F118" s="66"/>
      <c r="G118" s="63"/>
      <c r="H118" s="67"/>
      <c r="I118" s="68"/>
      <c r="J118" s="68"/>
      <c r="K118" s="32"/>
      <c r="L118" s="75"/>
      <c r="M118" s="75"/>
      <c r="N118" s="70"/>
      <c r="O118" s="77" t="s">
        <v>225</v>
      </c>
      <c r="P118" s="79">
        <v>44965.453969907408</v>
      </c>
      <c r="Q118" s="77" t="s">
        <v>332</v>
      </c>
      <c r="R118" s="77">
        <v>0</v>
      </c>
      <c r="S118" s="77">
        <v>0</v>
      </c>
      <c r="T118" s="77">
        <v>0</v>
      </c>
      <c r="U118" s="77">
        <v>0</v>
      </c>
      <c r="V118" s="77">
        <v>9</v>
      </c>
      <c r="W118" s="81" t="s">
        <v>397</v>
      </c>
      <c r="X118" s="77"/>
      <c r="Y118" s="77"/>
      <c r="Z118" s="77"/>
      <c r="AA118" s="77"/>
      <c r="AB118" s="77"/>
      <c r="AC118" s="81" t="s">
        <v>399</v>
      </c>
      <c r="AD118" s="77" t="s">
        <v>400</v>
      </c>
      <c r="AE118" s="83" t="str">
        <f>HYPERLINK("https://twitter.com/economedicos/status/1623273867090317314")</f>
        <v>https://twitter.com/economedicos/status/1623273867090317314</v>
      </c>
      <c r="AF118" s="79">
        <v>44965.453969907408</v>
      </c>
      <c r="AG118" s="85">
        <v>44965</v>
      </c>
      <c r="AH118" s="81" t="s">
        <v>505</v>
      </c>
      <c r="AI118" s="77"/>
      <c r="AJ118" s="77"/>
      <c r="AK118" s="77"/>
      <c r="AL118" s="77"/>
      <c r="AM118" s="77"/>
      <c r="AN118" s="77"/>
      <c r="AO118" s="77"/>
      <c r="AP118" s="77"/>
      <c r="AQ118" s="77"/>
      <c r="AR118" s="77"/>
      <c r="AS118" s="77"/>
      <c r="AT118" s="77"/>
      <c r="AU118" s="77"/>
      <c r="AV118" s="83" t="str">
        <f>HYPERLINK("https://pbs.twimg.com/profile_images/1283576393662636034/EjgsMA_W_normal.jpg")</f>
        <v>https://pbs.twimg.com/profile_images/1283576393662636034/EjgsMA_W_normal.jpg</v>
      </c>
      <c r="AW118" s="81" t="s">
        <v>669</v>
      </c>
      <c r="AX118" s="81" t="s">
        <v>835</v>
      </c>
      <c r="AY118" s="81" t="s">
        <v>895</v>
      </c>
      <c r="AZ118" s="81" t="s">
        <v>1002</v>
      </c>
      <c r="BA118" s="81" t="s">
        <v>1061</v>
      </c>
      <c r="BB118" s="81" t="s">
        <v>1061</v>
      </c>
      <c r="BC118" s="81" t="s">
        <v>1002</v>
      </c>
      <c r="BD118" s="81" t="s">
        <v>895</v>
      </c>
      <c r="BE118" s="77"/>
      <c r="BF118" s="77"/>
      <c r="BG118" s="77"/>
      <c r="BH118" s="77"/>
      <c r="BI118" s="77"/>
    </row>
    <row r="119" spans="1:61" x14ac:dyDescent="0.25">
      <c r="A119" s="62" t="s">
        <v>224</v>
      </c>
      <c r="B119" s="62" t="s">
        <v>224</v>
      </c>
      <c r="C119" s="63"/>
      <c r="D119" s="64"/>
      <c r="E119" s="65"/>
      <c r="F119" s="66"/>
      <c r="G119" s="63"/>
      <c r="H119" s="67"/>
      <c r="I119" s="68"/>
      <c r="J119" s="68"/>
      <c r="K119" s="32"/>
      <c r="L119" s="75"/>
      <c r="M119" s="75"/>
      <c r="N119" s="70"/>
      <c r="O119" s="77" t="s">
        <v>225</v>
      </c>
      <c r="P119" s="79">
        <v>45191.482627314814</v>
      </c>
      <c r="Q119" s="77" t="s">
        <v>370</v>
      </c>
      <c r="R119" s="77">
        <v>0</v>
      </c>
      <c r="S119" s="77">
        <v>0</v>
      </c>
      <c r="T119" s="77">
        <v>0</v>
      </c>
      <c r="U119" s="77">
        <v>0</v>
      </c>
      <c r="V119" s="77">
        <v>1</v>
      </c>
      <c r="W119" s="81" t="s">
        <v>397</v>
      </c>
      <c r="X119" s="77"/>
      <c r="Y119" s="77"/>
      <c r="Z119" s="77"/>
      <c r="AA119" s="77"/>
      <c r="AB119" s="77"/>
      <c r="AC119" s="81" t="s">
        <v>399</v>
      </c>
      <c r="AD119" s="77" t="s">
        <v>400</v>
      </c>
      <c r="AE119" s="83" t="str">
        <f>HYPERLINK("https://twitter.com/economedicos/status/1705183907883221406")</f>
        <v>https://twitter.com/economedicos/status/1705183907883221406</v>
      </c>
      <c r="AF119" s="79">
        <v>45191.482627314814</v>
      </c>
      <c r="AG119" s="85">
        <v>45191</v>
      </c>
      <c r="AH119" s="81" t="s">
        <v>542</v>
      </c>
      <c r="AI119" s="77"/>
      <c r="AJ119" s="77"/>
      <c r="AK119" s="77"/>
      <c r="AL119" s="77"/>
      <c r="AM119" s="77"/>
      <c r="AN119" s="77"/>
      <c r="AO119" s="77"/>
      <c r="AP119" s="77"/>
      <c r="AQ119" s="77"/>
      <c r="AR119" s="77"/>
      <c r="AS119" s="77"/>
      <c r="AT119" s="77"/>
      <c r="AU119" s="77"/>
      <c r="AV119" s="83" t="str">
        <f>HYPERLINK("https://pbs.twimg.com/profile_images/1283576393662636034/EjgsMA_W_normal.jpg")</f>
        <v>https://pbs.twimg.com/profile_images/1283576393662636034/EjgsMA_W_normal.jpg</v>
      </c>
      <c r="AW119" s="81" t="s">
        <v>707</v>
      </c>
      <c r="AX119" s="81" t="s">
        <v>873</v>
      </c>
      <c r="AY119" s="81" t="s">
        <v>895</v>
      </c>
      <c r="AZ119" s="81" t="s">
        <v>873</v>
      </c>
      <c r="BA119" s="81" t="s">
        <v>1061</v>
      </c>
      <c r="BB119" s="81" t="s">
        <v>1061</v>
      </c>
      <c r="BC119" s="81" t="s">
        <v>873</v>
      </c>
      <c r="BD119" s="81" t="s">
        <v>895</v>
      </c>
      <c r="BE119" s="77"/>
      <c r="BF119" s="77"/>
      <c r="BG119" s="77"/>
      <c r="BH119" s="77"/>
      <c r="BI119" s="77"/>
    </row>
    <row r="120" spans="1:61" x14ac:dyDescent="0.25">
      <c r="A120" s="62" t="s">
        <v>224</v>
      </c>
      <c r="B120" s="62" t="s">
        <v>224</v>
      </c>
      <c r="C120" s="63"/>
      <c r="D120" s="64"/>
      <c r="E120" s="65"/>
      <c r="F120" s="66"/>
      <c r="G120" s="63"/>
      <c r="H120" s="67"/>
      <c r="I120" s="68"/>
      <c r="J120" s="68"/>
      <c r="K120" s="32"/>
      <c r="L120" s="75"/>
      <c r="M120" s="75"/>
      <c r="N120" s="70"/>
      <c r="O120" s="77" t="s">
        <v>225</v>
      </c>
      <c r="P120" s="79">
        <v>45187.460555555554</v>
      </c>
      <c r="Q120" s="77" t="s">
        <v>353</v>
      </c>
      <c r="R120" s="77">
        <v>0</v>
      </c>
      <c r="S120" s="77">
        <v>0</v>
      </c>
      <c r="T120" s="77">
        <v>0</v>
      </c>
      <c r="U120" s="77">
        <v>0</v>
      </c>
      <c r="V120" s="77">
        <v>21</v>
      </c>
      <c r="W120" s="81" t="s">
        <v>392</v>
      </c>
      <c r="X120" s="77"/>
      <c r="Y120" s="77"/>
      <c r="Z120" s="77"/>
      <c r="AA120" s="77"/>
      <c r="AB120" s="77"/>
      <c r="AC120" s="81" t="s">
        <v>399</v>
      </c>
      <c r="AD120" s="77" t="s">
        <v>400</v>
      </c>
      <c r="AE120" s="83" t="str">
        <f>HYPERLINK("https://twitter.com/economedicos/status/1703726359619498435")</f>
        <v>https://twitter.com/economedicos/status/1703726359619498435</v>
      </c>
      <c r="AF120" s="79">
        <v>45187.460555555554</v>
      </c>
      <c r="AG120" s="85">
        <v>45187</v>
      </c>
      <c r="AH120" s="81" t="s">
        <v>525</v>
      </c>
      <c r="AI120" s="77"/>
      <c r="AJ120" s="77"/>
      <c r="AK120" s="77"/>
      <c r="AL120" s="77"/>
      <c r="AM120" s="77"/>
      <c r="AN120" s="77"/>
      <c r="AO120" s="77"/>
      <c r="AP120" s="77"/>
      <c r="AQ120" s="77"/>
      <c r="AR120" s="77"/>
      <c r="AS120" s="77"/>
      <c r="AT120" s="77"/>
      <c r="AU120" s="77"/>
      <c r="AV120" s="83" t="str">
        <f>HYPERLINK("https://pbs.twimg.com/profile_images/1283576393662636034/EjgsMA_W_normal.jpg")</f>
        <v>https://pbs.twimg.com/profile_images/1283576393662636034/EjgsMA_W_normal.jpg</v>
      </c>
      <c r="AW120" s="81" t="s">
        <v>690</v>
      </c>
      <c r="AX120" s="81" t="s">
        <v>856</v>
      </c>
      <c r="AY120" s="81" t="s">
        <v>895</v>
      </c>
      <c r="AZ120" s="81" t="s">
        <v>1023</v>
      </c>
      <c r="BA120" s="81" t="s">
        <v>1061</v>
      </c>
      <c r="BB120" s="81" t="s">
        <v>1061</v>
      </c>
      <c r="BC120" s="81" t="s">
        <v>1023</v>
      </c>
      <c r="BD120" s="81" t="s">
        <v>895</v>
      </c>
      <c r="BE120" s="77"/>
      <c r="BF120" s="77"/>
      <c r="BG120" s="77"/>
      <c r="BH120" s="77"/>
      <c r="BI120" s="77"/>
    </row>
    <row r="121" spans="1:61" x14ac:dyDescent="0.25">
      <c r="A121" s="62" t="s">
        <v>224</v>
      </c>
      <c r="B121" s="62" t="s">
        <v>224</v>
      </c>
      <c r="C121" s="63"/>
      <c r="D121" s="64"/>
      <c r="E121" s="65"/>
      <c r="F121" s="66"/>
      <c r="G121" s="63"/>
      <c r="H121" s="67"/>
      <c r="I121" s="68"/>
      <c r="J121" s="68"/>
      <c r="K121" s="32"/>
      <c r="L121" s="75"/>
      <c r="M121" s="75"/>
      <c r="N121" s="70"/>
      <c r="O121" s="77" t="s">
        <v>225</v>
      </c>
      <c r="P121" s="79">
        <v>45180.479907407411</v>
      </c>
      <c r="Q121" s="77" t="s">
        <v>371</v>
      </c>
      <c r="R121" s="77">
        <v>0</v>
      </c>
      <c r="S121" s="77">
        <v>0</v>
      </c>
      <c r="T121" s="77">
        <v>0</v>
      </c>
      <c r="U121" s="77">
        <v>0</v>
      </c>
      <c r="V121" s="77">
        <v>16</v>
      </c>
      <c r="W121" s="81" t="s">
        <v>392</v>
      </c>
      <c r="X121" s="77"/>
      <c r="Y121" s="77"/>
      <c r="Z121" s="77"/>
      <c r="AA121" s="77"/>
      <c r="AB121" s="77"/>
      <c r="AC121" s="81" t="s">
        <v>399</v>
      </c>
      <c r="AD121" s="77" t="s">
        <v>400</v>
      </c>
      <c r="AE121" s="83" t="str">
        <f>HYPERLINK("https://twitter.com/economedicos/status/1701196657059131475")</f>
        <v>https://twitter.com/economedicos/status/1701196657059131475</v>
      </c>
      <c r="AF121" s="79">
        <v>45180.479907407411</v>
      </c>
      <c r="AG121" s="85">
        <v>45180</v>
      </c>
      <c r="AH121" s="81" t="s">
        <v>543</v>
      </c>
      <c r="AI121" s="77"/>
      <c r="AJ121" s="77"/>
      <c r="AK121" s="77"/>
      <c r="AL121" s="77"/>
      <c r="AM121" s="77"/>
      <c r="AN121" s="77"/>
      <c r="AO121" s="77"/>
      <c r="AP121" s="77"/>
      <c r="AQ121" s="77"/>
      <c r="AR121" s="77"/>
      <c r="AS121" s="77"/>
      <c r="AT121" s="77"/>
      <c r="AU121" s="77"/>
      <c r="AV121" s="83" t="str">
        <f>HYPERLINK("https://pbs.twimg.com/profile_images/1283576393662636034/EjgsMA_W_normal.jpg")</f>
        <v>https://pbs.twimg.com/profile_images/1283576393662636034/EjgsMA_W_normal.jpg</v>
      </c>
      <c r="AW121" s="81" t="s">
        <v>708</v>
      </c>
      <c r="AX121" s="81" t="s">
        <v>874</v>
      </c>
      <c r="AY121" s="81" t="s">
        <v>895</v>
      </c>
      <c r="AZ121" s="81" t="s">
        <v>1040</v>
      </c>
      <c r="BA121" s="81" t="s">
        <v>1061</v>
      </c>
      <c r="BB121" s="81" t="s">
        <v>1061</v>
      </c>
      <c r="BC121" s="81" t="s">
        <v>1040</v>
      </c>
      <c r="BD121" s="81" t="s">
        <v>895</v>
      </c>
      <c r="BE121" s="77"/>
      <c r="BF121" s="77"/>
      <c r="BG121" s="77"/>
      <c r="BH121" s="77"/>
      <c r="BI121" s="77"/>
    </row>
    <row r="122" spans="1:61" x14ac:dyDescent="0.25">
      <c r="A122" s="62" t="s">
        <v>224</v>
      </c>
      <c r="B122" s="62" t="s">
        <v>224</v>
      </c>
      <c r="C122" s="63"/>
      <c r="D122" s="64"/>
      <c r="E122" s="65"/>
      <c r="F122" s="66"/>
      <c r="G122" s="63"/>
      <c r="H122" s="67"/>
      <c r="I122" s="68"/>
      <c r="J122" s="68"/>
      <c r="K122" s="32"/>
      <c r="L122" s="75"/>
      <c r="M122" s="75"/>
      <c r="N122" s="70"/>
      <c r="O122" s="77" t="s">
        <v>225</v>
      </c>
      <c r="P122" s="79">
        <v>45170.435520833336</v>
      </c>
      <c r="Q122" s="77" t="s">
        <v>264</v>
      </c>
      <c r="R122" s="77">
        <v>0</v>
      </c>
      <c r="S122" s="77">
        <v>0</v>
      </c>
      <c r="T122" s="77">
        <v>0</v>
      </c>
      <c r="U122" s="77">
        <v>0</v>
      </c>
      <c r="V122" s="77">
        <v>22</v>
      </c>
      <c r="W122" s="81" t="s">
        <v>392</v>
      </c>
      <c r="X122" s="77"/>
      <c r="Y122" s="77"/>
      <c r="Z122" s="77"/>
      <c r="AA122" s="77"/>
      <c r="AB122" s="77"/>
      <c r="AC122" s="81" t="s">
        <v>399</v>
      </c>
      <c r="AD122" s="77" t="s">
        <v>400</v>
      </c>
      <c r="AE122" s="83" t="str">
        <f>HYPERLINK("https://twitter.com/economedicos/status/1697556693373046959")</f>
        <v>https://twitter.com/economedicos/status/1697556693373046959</v>
      </c>
      <c r="AF122" s="79">
        <v>45170.435520833336</v>
      </c>
      <c r="AG122" s="85">
        <v>45170</v>
      </c>
      <c r="AH122" s="81" t="s">
        <v>439</v>
      </c>
      <c r="AI122" s="77"/>
      <c r="AJ122" s="77"/>
      <c r="AK122" s="77"/>
      <c r="AL122" s="77"/>
      <c r="AM122" s="77"/>
      <c r="AN122" s="77"/>
      <c r="AO122" s="77"/>
      <c r="AP122" s="77"/>
      <c r="AQ122" s="77"/>
      <c r="AR122" s="77"/>
      <c r="AS122" s="77"/>
      <c r="AT122" s="77"/>
      <c r="AU122" s="77"/>
      <c r="AV122" s="83" t="str">
        <f>HYPERLINK("https://pbs.twimg.com/profile_images/1283576393662636034/EjgsMA_W_normal.jpg")</f>
        <v>https://pbs.twimg.com/profile_images/1283576393662636034/EjgsMA_W_normal.jpg</v>
      </c>
      <c r="AW122" s="81" t="s">
        <v>601</v>
      </c>
      <c r="AX122" s="81" t="s">
        <v>767</v>
      </c>
      <c r="AY122" s="81" t="s">
        <v>895</v>
      </c>
      <c r="AZ122" s="81" t="s">
        <v>934</v>
      </c>
      <c r="BA122" s="81" t="s">
        <v>1061</v>
      </c>
      <c r="BB122" s="81" t="s">
        <v>1061</v>
      </c>
      <c r="BC122" s="81" t="s">
        <v>934</v>
      </c>
      <c r="BD122" s="81" t="s">
        <v>895</v>
      </c>
      <c r="BE122" s="77"/>
      <c r="BF122" s="77"/>
      <c r="BG122" s="77"/>
      <c r="BH122" s="77"/>
      <c r="BI122" s="77"/>
    </row>
    <row r="123" spans="1:61" x14ac:dyDescent="0.25">
      <c r="A123" s="62" t="s">
        <v>224</v>
      </c>
      <c r="B123" s="62" t="s">
        <v>224</v>
      </c>
      <c r="C123" s="63"/>
      <c r="D123" s="64"/>
      <c r="E123" s="65"/>
      <c r="F123" s="66"/>
      <c r="G123" s="63"/>
      <c r="H123" s="67"/>
      <c r="I123" s="68"/>
      <c r="J123" s="68"/>
      <c r="K123" s="32"/>
      <c r="L123" s="75"/>
      <c r="M123" s="75"/>
      <c r="N123" s="70"/>
      <c r="O123" s="77" t="s">
        <v>225</v>
      </c>
      <c r="P123" s="79">
        <v>45169.525347222225</v>
      </c>
      <c r="Q123" s="77" t="s">
        <v>336</v>
      </c>
      <c r="R123" s="77">
        <v>0</v>
      </c>
      <c r="S123" s="77">
        <v>0</v>
      </c>
      <c r="T123" s="77">
        <v>0</v>
      </c>
      <c r="U123" s="77">
        <v>0</v>
      </c>
      <c r="V123" s="77">
        <v>15</v>
      </c>
      <c r="W123" s="81" t="s">
        <v>392</v>
      </c>
      <c r="X123" s="77"/>
      <c r="Y123" s="77"/>
      <c r="Z123" s="77"/>
      <c r="AA123" s="77"/>
      <c r="AB123" s="77"/>
      <c r="AC123" s="81" t="s">
        <v>399</v>
      </c>
      <c r="AD123" s="77" t="s">
        <v>400</v>
      </c>
      <c r="AE123" s="83" t="str">
        <f>HYPERLINK("https://twitter.com/economedicos/status/1697226858943729689")</f>
        <v>https://twitter.com/economedicos/status/1697226858943729689</v>
      </c>
      <c r="AF123" s="79">
        <v>45169.525347222225</v>
      </c>
      <c r="AG123" s="85">
        <v>45169</v>
      </c>
      <c r="AH123" s="81" t="s">
        <v>509</v>
      </c>
      <c r="AI123" s="77"/>
      <c r="AJ123" s="77"/>
      <c r="AK123" s="77"/>
      <c r="AL123" s="77"/>
      <c r="AM123" s="77"/>
      <c r="AN123" s="77"/>
      <c r="AO123" s="77"/>
      <c r="AP123" s="77"/>
      <c r="AQ123" s="77"/>
      <c r="AR123" s="77"/>
      <c r="AS123" s="77"/>
      <c r="AT123" s="77"/>
      <c r="AU123" s="77"/>
      <c r="AV123" s="83" t="str">
        <f>HYPERLINK("https://pbs.twimg.com/profile_images/1283576393662636034/EjgsMA_W_normal.jpg")</f>
        <v>https://pbs.twimg.com/profile_images/1283576393662636034/EjgsMA_W_normal.jpg</v>
      </c>
      <c r="AW123" s="81" t="s">
        <v>673</v>
      </c>
      <c r="AX123" s="81" t="s">
        <v>839</v>
      </c>
      <c r="AY123" s="81" t="s">
        <v>895</v>
      </c>
      <c r="AZ123" s="81" t="s">
        <v>1006</v>
      </c>
      <c r="BA123" s="81" t="s">
        <v>1061</v>
      </c>
      <c r="BB123" s="81" t="s">
        <v>1061</v>
      </c>
      <c r="BC123" s="81" t="s">
        <v>1006</v>
      </c>
      <c r="BD123" s="81" t="s">
        <v>895</v>
      </c>
      <c r="BE123" s="77"/>
      <c r="BF123" s="77"/>
      <c r="BG123" s="77"/>
      <c r="BH123" s="77"/>
      <c r="BI123" s="77"/>
    </row>
    <row r="124" spans="1:61" x14ac:dyDescent="0.25">
      <c r="A124" s="62" t="s">
        <v>224</v>
      </c>
      <c r="B124" s="62" t="s">
        <v>224</v>
      </c>
      <c r="C124" s="63"/>
      <c r="D124" s="64"/>
      <c r="E124" s="65"/>
      <c r="F124" s="66"/>
      <c r="G124" s="63"/>
      <c r="H124" s="67"/>
      <c r="I124" s="68"/>
      <c r="J124" s="68"/>
      <c r="K124" s="32"/>
      <c r="L124" s="75"/>
      <c r="M124" s="75"/>
      <c r="N124" s="70"/>
      <c r="O124" s="77" t="s">
        <v>225</v>
      </c>
      <c r="P124" s="79">
        <v>45162.453229166669</v>
      </c>
      <c r="Q124" s="77" t="s">
        <v>282</v>
      </c>
      <c r="R124" s="77">
        <v>0</v>
      </c>
      <c r="S124" s="77">
        <v>0</v>
      </c>
      <c r="T124" s="77">
        <v>0</v>
      </c>
      <c r="U124" s="77">
        <v>0</v>
      </c>
      <c r="V124" s="77">
        <v>17</v>
      </c>
      <c r="W124" s="81" t="s">
        <v>392</v>
      </c>
      <c r="X124" s="77"/>
      <c r="Y124" s="77"/>
      <c r="Z124" s="77"/>
      <c r="AA124" s="77"/>
      <c r="AB124" s="77"/>
      <c r="AC124" s="81" t="s">
        <v>399</v>
      </c>
      <c r="AD124" s="77" t="s">
        <v>400</v>
      </c>
      <c r="AE124" s="83" t="str">
        <f>HYPERLINK("https://twitter.com/economedicos/status/1694664006127013962")</f>
        <v>https://twitter.com/economedicos/status/1694664006127013962</v>
      </c>
      <c r="AF124" s="79">
        <v>45162.453229166669</v>
      </c>
      <c r="AG124" s="85">
        <v>45162</v>
      </c>
      <c r="AH124" s="81" t="s">
        <v>457</v>
      </c>
      <c r="AI124" s="77"/>
      <c r="AJ124" s="77"/>
      <c r="AK124" s="77"/>
      <c r="AL124" s="77"/>
      <c r="AM124" s="77"/>
      <c r="AN124" s="77"/>
      <c r="AO124" s="77"/>
      <c r="AP124" s="77"/>
      <c r="AQ124" s="77"/>
      <c r="AR124" s="77"/>
      <c r="AS124" s="77"/>
      <c r="AT124" s="77"/>
      <c r="AU124" s="77"/>
      <c r="AV124" s="83" t="str">
        <f>HYPERLINK("https://pbs.twimg.com/profile_images/1283576393662636034/EjgsMA_W_normal.jpg")</f>
        <v>https://pbs.twimg.com/profile_images/1283576393662636034/EjgsMA_W_normal.jpg</v>
      </c>
      <c r="AW124" s="81" t="s">
        <v>619</v>
      </c>
      <c r="AX124" s="81" t="s">
        <v>785</v>
      </c>
      <c r="AY124" s="81" t="s">
        <v>895</v>
      </c>
      <c r="AZ124" s="81" t="s">
        <v>952</v>
      </c>
      <c r="BA124" s="81" t="s">
        <v>1061</v>
      </c>
      <c r="BB124" s="81" t="s">
        <v>1061</v>
      </c>
      <c r="BC124" s="81" t="s">
        <v>952</v>
      </c>
      <c r="BD124" s="81" t="s">
        <v>895</v>
      </c>
      <c r="BE124" s="77"/>
      <c r="BF124" s="77"/>
      <c r="BG124" s="77"/>
      <c r="BH124" s="77"/>
      <c r="BI124" s="77"/>
    </row>
    <row r="125" spans="1:61" x14ac:dyDescent="0.25">
      <c r="A125" s="62" t="s">
        <v>224</v>
      </c>
      <c r="B125" s="62" t="s">
        <v>224</v>
      </c>
      <c r="C125" s="63"/>
      <c r="D125" s="64"/>
      <c r="E125" s="65"/>
      <c r="F125" s="66"/>
      <c r="G125" s="63"/>
      <c r="H125" s="67"/>
      <c r="I125" s="68"/>
      <c r="J125" s="68"/>
      <c r="K125" s="32"/>
      <c r="L125" s="75"/>
      <c r="M125" s="75"/>
      <c r="N125" s="70"/>
      <c r="O125" s="77" t="s">
        <v>225</v>
      </c>
      <c r="P125" s="79">
        <v>45161.395555555559</v>
      </c>
      <c r="Q125" s="77" t="s">
        <v>227</v>
      </c>
      <c r="R125" s="77">
        <v>0</v>
      </c>
      <c r="S125" s="77">
        <v>0</v>
      </c>
      <c r="T125" s="77">
        <v>0</v>
      </c>
      <c r="U125" s="77">
        <v>0</v>
      </c>
      <c r="V125" s="77">
        <v>17</v>
      </c>
      <c r="W125" s="81" t="s">
        <v>392</v>
      </c>
      <c r="X125" s="77"/>
      <c r="Y125" s="77"/>
      <c r="Z125" s="77"/>
      <c r="AA125" s="77"/>
      <c r="AB125" s="77"/>
      <c r="AC125" s="81" t="s">
        <v>399</v>
      </c>
      <c r="AD125" s="77" t="s">
        <v>400</v>
      </c>
      <c r="AE125" s="83" t="str">
        <f>HYPERLINK("https://twitter.com/economedicos/status/1694280721584799760")</f>
        <v>https://twitter.com/economedicos/status/1694280721584799760</v>
      </c>
      <c r="AF125" s="79">
        <v>45161.395555555559</v>
      </c>
      <c r="AG125" s="85">
        <v>45161</v>
      </c>
      <c r="AH125" s="81" t="s">
        <v>402</v>
      </c>
      <c r="AI125" s="77"/>
      <c r="AJ125" s="77"/>
      <c r="AK125" s="77"/>
      <c r="AL125" s="77"/>
      <c r="AM125" s="77"/>
      <c r="AN125" s="77"/>
      <c r="AO125" s="77"/>
      <c r="AP125" s="77"/>
      <c r="AQ125" s="77"/>
      <c r="AR125" s="77"/>
      <c r="AS125" s="77"/>
      <c r="AT125" s="77"/>
      <c r="AU125" s="77"/>
      <c r="AV125" s="83" t="str">
        <f>HYPERLINK("https://pbs.twimg.com/profile_images/1283576393662636034/EjgsMA_W_normal.jpg")</f>
        <v>https://pbs.twimg.com/profile_images/1283576393662636034/EjgsMA_W_normal.jpg</v>
      </c>
      <c r="AW125" s="81" t="s">
        <v>564</v>
      </c>
      <c r="AX125" s="81" t="s">
        <v>730</v>
      </c>
      <c r="AY125" s="81" t="s">
        <v>895</v>
      </c>
      <c r="AZ125" s="81" t="s">
        <v>897</v>
      </c>
      <c r="BA125" s="81" t="s">
        <v>1061</v>
      </c>
      <c r="BB125" s="81" t="s">
        <v>1061</v>
      </c>
      <c r="BC125" s="81" t="s">
        <v>897</v>
      </c>
      <c r="BD125" s="81" t="s">
        <v>895</v>
      </c>
      <c r="BE125" s="77"/>
      <c r="BF125" s="77"/>
      <c r="BG125" s="77"/>
      <c r="BH125" s="77"/>
      <c r="BI125" s="77"/>
    </row>
    <row r="126" spans="1:61" x14ac:dyDescent="0.25">
      <c r="A126" s="62" t="s">
        <v>224</v>
      </c>
      <c r="B126" s="62" t="s">
        <v>224</v>
      </c>
      <c r="C126" s="63"/>
      <c r="D126" s="64"/>
      <c r="E126" s="65"/>
      <c r="F126" s="66"/>
      <c r="G126" s="63"/>
      <c r="H126" s="67"/>
      <c r="I126" s="68"/>
      <c r="J126" s="68"/>
      <c r="K126" s="32"/>
      <c r="L126" s="75"/>
      <c r="M126" s="75"/>
      <c r="N126" s="70"/>
      <c r="O126" s="77" t="s">
        <v>225</v>
      </c>
      <c r="P126" s="79">
        <v>45147.453379629631</v>
      </c>
      <c r="Q126" s="77" t="s">
        <v>284</v>
      </c>
      <c r="R126" s="77">
        <v>0</v>
      </c>
      <c r="S126" s="77">
        <v>0</v>
      </c>
      <c r="T126" s="77">
        <v>0</v>
      </c>
      <c r="U126" s="77">
        <v>0</v>
      </c>
      <c r="V126" s="77">
        <v>21</v>
      </c>
      <c r="W126" s="81" t="s">
        <v>392</v>
      </c>
      <c r="X126" s="77"/>
      <c r="Y126" s="77"/>
      <c r="Z126" s="77"/>
      <c r="AA126" s="77"/>
      <c r="AB126" s="77"/>
      <c r="AC126" s="81" t="s">
        <v>399</v>
      </c>
      <c r="AD126" s="77" t="s">
        <v>400</v>
      </c>
      <c r="AE126" s="83" t="str">
        <f>HYPERLINK("https://twitter.com/economedicos/status/1689228245495918592")</f>
        <v>https://twitter.com/economedicos/status/1689228245495918592</v>
      </c>
      <c r="AF126" s="79">
        <v>45147.453379629631</v>
      </c>
      <c r="AG126" s="85">
        <v>45147</v>
      </c>
      <c r="AH126" s="81" t="s">
        <v>459</v>
      </c>
      <c r="AI126" s="77"/>
      <c r="AJ126" s="77"/>
      <c r="AK126" s="77"/>
      <c r="AL126" s="77"/>
      <c r="AM126" s="77"/>
      <c r="AN126" s="77"/>
      <c r="AO126" s="77"/>
      <c r="AP126" s="77"/>
      <c r="AQ126" s="77"/>
      <c r="AR126" s="77"/>
      <c r="AS126" s="77"/>
      <c r="AT126" s="77"/>
      <c r="AU126" s="77"/>
      <c r="AV126" s="83" t="str">
        <f>HYPERLINK("https://pbs.twimg.com/profile_images/1283576393662636034/EjgsMA_W_normal.jpg")</f>
        <v>https://pbs.twimg.com/profile_images/1283576393662636034/EjgsMA_W_normal.jpg</v>
      </c>
      <c r="AW126" s="81" t="s">
        <v>621</v>
      </c>
      <c r="AX126" s="81" t="s">
        <v>787</v>
      </c>
      <c r="AY126" s="81" t="s">
        <v>895</v>
      </c>
      <c r="AZ126" s="81" t="s">
        <v>954</v>
      </c>
      <c r="BA126" s="81" t="s">
        <v>1061</v>
      </c>
      <c r="BB126" s="81" t="s">
        <v>1061</v>
      </c>
      <c r="BC126" s="81" t="s">
        <v>954</v>
      </c>
      <c r="BD126" s="81" t="s">
        <v>895</v>
      </c>
      <c r="BE126" s="77"/>
      <c r="BF126" s="77"/>
      <c r="BG126" s="77"/>
      <c r="BH126" s="77"/>
      <c r="BI126" s="77"/>
    </row>
    <row r="127" spans="1:61" x14ac:dyDescent="0.25">
      <c r="A127" s="62" t="s">
        <v>224</v>
      </c>
      <c r="B127" s="62" t="s">
        <v>224</v>
      </c>
      <c r="C127" s="63"/>
      <c r="D127" s="64"/>
      <c r="E127" s="65"/>
      <c r="F127" s="66"/>
      <c r="G127" s="63"/>
      <c r="H127" s="67"/>
      <c r="I127" s="68"/>
      <c r="J127" s="68"/>
      <c r="K127" s="32"/>
      <c r="L127" s="75"/>
      <c r="M127" s="75"/>
      <c r="N127" s="70"/>
      <c r="O127" s="77" t="s">
        <v>225</v>
      </c>
      <c r="P127" s="79">
        <v>45146.46329861111</v>
      </c>
      <c r="Q127" s="77" t="s">
        <v>266</v>
      </c>
      <c r="R127" s="77">
        <v>0</v>
      </c>
      <c r="S127" s="77">
        <v>0</v>
      </c>
      <c r="T127" s="77">
        <v>0</v>
      </c>
      <c r="U127" s="77">
        <v>0</v>
      </c>
      <c r="V127" s="77">
        <v>17</v>
      </c>
      <c r="W127" s="81" t="s">
        <v>392</v>
      </c>
      <c r="X127" s="77"/>
      <c r="Y127" s="77"/>
      <c r="Z127" s="77"/>
      <c r="AA127" s="77"/>
      <c r="AB127" s="77"/>
      <c r="AC127" s="81" t="s">
        <v>399</v>
      </c>
      <c r="AD127" s="77" t="s">
        <v>400</v>
      </c>
      <c r="AE127" s="83" t="str">
        <f>HYPERLINK("https://twitter.com/economedicos/status/1688869450689269760")</f>
        <v>https://twitter.com/economedicos/status/1688869450689269760</v>
      </c>
      <c r="AF127" s="79">
        <v>45146.46329861111</v>
      </c>
      <c r="AG127" s="85">
        <v>45146</v>
      </c>
      <c r="AH127" s="81" t="s">
        <v>441</v>
      </c>
      <c r="AI127" s="77"/>
      <c r="AJ127" s="77"/>
      <c r="AK127" s="77"/>
      <c r="AL127" s="77"/>
      <c r="AM127" s="77"/>
      <c r="AN127" s="77"/>
      <c r="AO127" s="77"/>
      <c r="AP127" s="77"/>
      <c r="AQ127" s="77"/>
      <c r="AR127" s="77"/>
      <c r="AS127" s="77"/>
      <c r="AT127" s="77"/>
      <c r="AU127" s="77"/>
      <c r="AV127" s="83" t="str">
        <f>HYPERLINK("https://pbs.twimg.com/profile_images/1283576393662636034/EjgsMA_W_normal.jpg")</f>
        <v>https://pbs.twimg.com/profile_images/1283576393662636034/EjgsMA_W_normal.jpg</v>
      </c>
      <c r="AW127" s="81" t="s">
        <v>603</v>
      </c>
      <c r="AX127" s="81" t="s">
        <v>769</v>
      </c>
      <c r="AY127" s="81" t="s">
        <v>895</v>
      </c>
      <c r="AZ127" s="81" t="s">
        <v>936</v>
      </c>
      <c r="BA127" s="81" t="s">
        <v>1061</v>
      </c>
      <c r="BB127" s="81" t="s">
        <v>1061</v>
      </c>
      <c r="BC127" s="81" t="s">
        <v>936</v>
      </c>
      <c r="BD127" s="81" t="s">
        <v>895</v>
      </c>
      <c r="BE127" s="77"/>
      <c r="BF127" s="77"/>
      <c r="BG127" s="77"/>
      <c r="BH127" s="77"/>
      <c r="BI127" s="77"/>
    </row>
    <row r="128" spans="1:61" x14ac:dyDescent="0.25">
      <c r="A128" s="62" t="s">
        <v>224</v>
      </c>
      <c r="B128" s="62" t="s">
        <v>224</v>
      </c>
      <c r="C128" s="63"/>
      <c r="D128" s="64"/>
      <c r="E128" s="65"/>
      <c r="F128" s="66"/>
      <c r="G128" s="63"/>
      <c r="H128" s="67"/>
      <c r="I128" s="68"/>
      <c r="J128" s="68"/>
      <c r="K128" s="32"/>
      <c r="L128" s="75"/>
      <c r="M128" s="75"/>
      <c r="N128" s="70"/>
      <c r="O128" s="77" t="s">
        <v>225</v>
      </c>
      <c r="P128" s="79">
        <v>45128.464432870373</v>
      </c>
      <c r="Q128" s="77" t="s">
        <v>375</v>
      </c>
      <c r="R128" s="77">
        <v>0</v>
      </c>
      <c r="S128" s="77">
        <v>0</v>
      </c>
      <c r="T128" s="77">
        <v>0</v>
      </c>
      <c r="U128" s="77">
        <v>0</v>
      </c>
      <c r="V128" s="77">
        <v>3</v>
      </c>
      <c r="W128" s="81" t="s">
        <v>392</v>
      </c>
      <c r="X128" s="77"/>
      <c r="Y128" s="77"/>
      <c r="Z128" s="77"/>
      <c r="AA128" s="77"/>
      <c r="AB128" s="77"/>
      <c r="AC128" s="81" t="s">
        <v>399</v>
      </c>
      <c r="AD128" s="77" t="s">
        <v>400</v>
      </c>
      <c r="AE128" s="83" t="str">
        <f>HYPERLINK("https://twitter.com/economedicos/status/1682346878807973890")</f>
        <v>https://twitter.com/economedicos/status/1682346878807973890</v>
      </c>
      <c r="AF128" s="79">
        <v>45128.464432870373</v>
      </c>
      <c r="AG128" s="85">
        <v>45128</v>
      </c>
      <c r="AH128" s="81" t="s">
        <v>547</v>
      </c>
      <c r="AI128" s="77"/>
      <c r="AJ128" s="77"/>
      <c r="AK128" s="77"/>
      <c r="AL128" s="77"/>
      <c r="AM128" s="77"/>
      <c r="AN128" s="77"/>
      <c r="AO128" s="77"/>
      <c r="AP128" s="77"/>
      <c r="AQ128" s="77"/>
      <c r="AR128" s="77"/>
      <c r="AS128" s="77"/>
      <c r="AT128" s="77"/>
      <c r="AU128" s="77"/>
      <c r="AV128" s="83" t="str">
        <f>HYPERLINK("https://pbs.twimg.com/profile_images/1283576393662636034/EjgsMA_W_normal.jpg")</f>
        <v>https://pbs.twimg.com/profile_images/1283576393662636034/EjgsMA_W_normal.jpg</v>
      </c>
      <c r="AW128" s="81" t="s">
        <v>712</v>
      </c>
      <c r="AX128" s="81" t="s">
        <v>878</v>
      </c>
      <c r="AY128" s="81" t="s">
        <v>895</v>
      </c>
      <c r="AZ128" s="81" t="s">
        <v>1044</v>
      </c>
      <c r="BA128" s="81" t="s">
        <v>1061</v>
      </c>
      <c r="BB128" s="81" t="s">
        <v>1061</v>
      </c>
      <c r="BC128" s="81" t="s">
        <v>1044</v>
      </c>
      <c r="BD128" s="81" t="s">
        <v>895</v>
      </c>
      <c r="BE128" s="77"/>
      <c r="BF128" s="77"/>
      <c r="BG128" s="77"/>
      <c r="BH128" s="77"/>
      <c r="BI128" s="77"/>
    </row>
    <row r="129" spans="1:61" x14ac:dyDescent="0.25">
      <c r="A129" s="62" t="s">
        <v>224</v>
      </c>
      <c r="B129" s="62" t="s">
        <v>224</v>
      </c>
      <c r="C129" s="63"/>
      <c r="D129" s="64"/>
      <c r="E129" s="65"/>
      <c r="F129" s="66"/>
      <c r="G129" s="63"/>
      <c r="H129" s="67"/>
      <c r="I129" s="68"/>
      <c r="J129" s="68"/>
      <c r="K129" s="32"/>
      <c r="L129" s="75"/>
      <c r="M129" s="75"/>
      <c r="N129" s="70"/>
      <c r="O129" s="77" t="s">
        <v>225</v>
      </c>
      <c r="P129" s="79">
        <v>45127.469780092593</v>
      </c>
      <c r="Q129" s="77" t="s">
        <v>376</v>
      </c>
      <c r="R129" s="77">
        <v>0</v>
      </c>
      <c r="S129" s="77">
        <v>0</v>
      </c>
      <c r="T129" s="77">
        <v>0</v>
      </c>
      <c r="U129" s="77">
        <v>0</v>
      </c>
      <c r="V129" s="77">
        <v>19</v>
      </c>
      <c r="W129" s="81" t="s">
        <v>392</v>
      </c>
      <c r="X129" s="77"/>
      <c r="Y129" s="77"/>
      <c r="Z129" s="77"/>
      <c r="AA129" s="77"/>
      <c r="AB129" s="77"/>
      <c r="AC129" s="81" t="s">
        <v>399</v>
      </c>
      <c r="AD129" s="77" t="s">
        <v>400</v>
      </c>
      <c r="AE129" s="83" t="str">
        <f>HYPERLINK("https://twitter.com/economedicos/status/1681986431827300352")</f>
        <v>https://twitter.com/economedicos/status/1681986431827300352</v>
      </c>
      <c r="AF129" s="79">
        <v>45127.469780092593</v>
      </c>
      <c r="AG129" s="85">
        <v>45127</v>
      </c>
      <c r="AH129" s="81" t="s">
        <v>548</v>
      </c>
      <c r="AI129" s="77"/>
      <c r="AJ129" s="77"/>
      <c r="AK129" s="77"/>
      <c r="AL129" s="77"/>
      <c r="AM129" s="77"/>
      <c r="AN129" s="77"/>
      <c r="AO129" s="77"/>
      <c r="AP129" s="77"/>
      <c r="AQ129" s="77"/>
      <c r="AR129" s="77"/>
      <c r="AS129" s="77"/>
      <c r="AT129" s="77"/>
      <c r="AU129" s="77"/>
      <c r="AV129" s="83" t="str">
        <f>HYPERLINK("https://pbs.twimg.com/profile_images/1283576393662636034/EjgsMA_W_normal.jpg")</f>
        <v>https://pbs.twimg.com/profile_images/1283576393662636034/EjgsMA_W_normal.jpg</v>
      </c>
      <c r="AW129" s="81" t="s">
        <v>713</v>
      </c>
      <c r="AX129" s="81" t="s">
        <v>879</v>
      </c>
      <c r="AY129" s="81" t="s">
        <v>895</v>
      </c>
      <c r="AZ129" s="81" t="s">
        <v>1045</v>
      </c>
      <c r="BA129" s="81" t="s">
        <v>1061</v>
      </c>
      <c r="BB129" s="81" t="s">
        <v>1061</v>
      </c>
      <c r="BC129" s="81" t="s">
        <v>1045</v>
      </c>
      <c r="BD129" s="81" t="s">
        <v>895</v>
      </c>
      <c r="BE129" s="77"/>
      <c r="BF129" s="77"/>
      <c r="BG129" s="77"/>
      <c r="BH129" s="77"/>
      <c r="BI129" s="77"/>
    </row>
    <row r="130" spans="1:61" x14ac:dyDescent="0.25">
      <c r="A130" s="62" t="s">
        <v>224</v>
      </c>
      <c r="B130" s="62" t="s">
        <v>224</v>
      </c>
      <c r="C130" s="63"/>
      <c r="D130" s="64"/>
      <c r="E130" s="65"/>
      <c r="F130" s="66"/>
      <c r="G130" s="63"/>
      <c r="H130" s="67"/>
      <c r="I130" s="68"/>
      <c r="J130" s="68"/>
      <c r="K130" s="32"/>
      <c r="L130" s="75"/>
      <c r="M130" s="75"/>
      <c r="N130" s="70"/>
      <c r="O130" s="77" t="s">
        <v>225</v>
      </c>
      <c r="P130" s="79">
        <v>45126.458310185182</v>
      </c>
      <c r="Q130" s="77" t="s">
        <v>285</v>
      </c>
      <c r="R130" s="77">
        <v>0</v>
      </c>
      <c r="S130" s="77">
        <v>0</v>
      </c>
      <c r="T130" s="77">
        <v>0</v>
      </c>
      <c r="U130" s="77">
        <v>0</v>
      </c>
      <c r="V130" s="77">
        <v>12</v>
      </c>
      <c r="W130" s="81" t="s">
        <v>392</v>
      </c>
      <c r="X130" s="77"/>
      <c r="Y130" s="77"/>
      <c r="Z130" s="77"/>
      <c r="AA130" s="77"/>
      <c r="AB130" s="77"/>
      <c r="AC130" s="81" t="s">
        <v>399</v>
      </c>
      <c r="AD130" s="77" t="s">
        <v>400</v>
      </c>
      <c r="AE130" s="83" t="str">
        <f>HYPERLINK("https://twitter.com/economedicos/status/1681619885779042306")</f>
        <v>https://twitter.com/economedicos/status/1681619885779042306</v>
      </c>
      <c r="AF130" s="79">
        <v>45126.458310185182</v>
      </c>
      <c r="AG130" s="85">
        <v>45126</v>
      </c>
      <c r="AH130" s="81" t="s">
        <v>460</v>
      </c>
      <c r="AI130" s="77"/>
      <c r="AJ130" s="77"/>
      <c r="AK130" s="77"/>
      <c r="AL130" s="77"/>
      <c r="AM130" s="77"/>
      <c r="AN130" s="77"/>
      <c r="AO130" s="77"/>
      <c r="AP130" s="77"/>
      <c r="AQ130" s="77"/>
      <c r="AR130" s="77"/>
      <c r="AS130" s="77"/>
      <c r="AT130" s="77"/>
      <c r="AU130" s="77"/>
      <c r="AV130" s="83" t="str">
        <f>HYPERLINK("https://pbs.twimg.com/profile_images/1283576393662636034/EjgsMA_W_normal.jpg")</f>
        <v>https://pbs.twimg.com/profile_images/1283576393662636034/EjgsMA_W_normal.jpg</v>
      </c>
      <c r="AW130" s="81" t="s">
        <v>622</v>
      </c>
      <c r="AX130" s="81" t="s">
        <v>788</v>
      </c>
      <c r="AY130" s="81" t="s">
        <v>895</v>
      </c>
      <c r="AZ130" s="81" t="s">
        <v>955</v>
      </c>
      <c r="BA130" s="81" t="s">
        <v>1061</v>
      </c>
      <c r="BB130" s="81" t="s">
        <v>1061</v>
      </c>
      <c r="BC130" s="81" t="s">
        <v>955</v>
      </c>
      <c r="BD130" s="81" t="s">
        <v>895</v>
      </c>
      <c r="BE130" s="77"/>
      <c r="BF130" s="77"/>
      <c r="BG130" s="77"/>
      <c r="BH130" s="77"/>
      <c r="BI130" s="77"/>
    </row>
    <row r="131" spans="1:61" x14ac:dyDescent="0.25">
      <c r="A131" s="62" t="s">
        <v>224</v>
      </c>
      <c r="B131" s="62" t="s">
        <v>224</v>
      </c>
      <c r="C131" s="63"/>
      <c r="D131" s="64"/>
      <c r="E131" s="65"/>
      <c r="F131" s="66"/>
      <c r="G131" s="63"/>
      <c r="H131" s="67"/>
      <c r="I131" s="68"/>
      <c r="J131" s="68"/>
      <c r="K131" s="32"/>
      <c r="L131" s="75"/>
      <c r="M131" s="75"/>
      <c r="N131" s="70"/>
      <c r="O131" s="77" t="s">
        <v>225</v>
      </c>
      <c r="P131" s="79">
        <v>45125.437442129631</v>
      </c>
      <c r="Q131" s="77" t="s">
        <v>286</v>
      </c>
      <c r="R131" s="77">
        <v>0</v>
      </c>
      <c r="S131" s="77">
        <v>0</v>
      </c>
      <c r="T131" s="77">
        <v>0</v>
      </c>
      <c r="U131" s="77">
        <v>0</v>
      </c>
      <c r="V131" s="77">
        <v>6</v>
      </c>
      <c r="W131" s="81" t="s">
        <v>394</v>
      </c>
      <c r="X131" s="77"/>
      <c r="Y131" s="77"/>
      <c r="Z131" s="77"/>
      <c r="AA131" s="77"/>
      <c r="AB131" s="77"/>
      <c r="AC131" s="81" t="s">
        <v>399</v>
      </c>
      <c r="AD131" s="77" t="s">
        <v>400</v>
      </c>
      <c r="AE131" s="83" t="str">
        <f>HYPERLINK("https://twitter.com/economedicos/status/1681249935985967105")</f>
        <v>https://twitter.com/economedicos/status/1681249935985967105</v>
      </c>
      <c r="AF131" s="79">
        <v>45125.437442129631</v>
      </c>
      <c r="AG131" s="85">
        <v>45125</v>
      </c>
      <c r="AH131" s="81" t="s">
        <v>461</v>
      </c>
      <c r="AI131" s="77"/>
      <c r="AJ131" s="77"/>
      <c r="AK131" s="77"/>
      <c r="AL131" s="77"/>
      <c r="AM131" s="77"/>
      <c r="AN131" s="77"/>
      <c r="AO131" s="77"/>
      <c r="AP131" s="77"/>
      <c r="AQ131" s="77"/>
      <c r="AR131" s="77"/>
      <c r="AS131" s="77"/>
      <c r="AT131" s="77"/>
      <c r="AU131" s="77"/>
      <c r="AV131" s="83" t="str">
        <f>HYPERLINK("https://pbs.twimg.com/profile_images/1283576393662636034/EjgsMA_W_normal.jpg")</f>
        <v>https://pbs.twimg.com/profile_images/1283576393662636034/EjgsMA_W_normal.jpg</v>
      </c>
      <c r="AW131" s="81" t="s">
        <v>623</v>
      </c>
      <c r="AX131" s="81" t="s">
        <v>789</v>
      </c>
      <c r="AY131" s="81" t="s">
        <v>895</v>
      </c>
      <c r="AZ131" s="81" t="s">
        <v>956</v>
      </c>
      <c r="BA131" s="81" t="s">
        <v>1061</v>
      </c>
      <c r="BB131" s="81" t="s">
        <v>1061</v>
      </c>
      <c r="BC131" s="81" t="s">
        <v>956</v>
      </c>
      <c r="BD131" s="81" t="s">
        <v>895</v>
      </c>
      <c r="BE131" s="77"/>
      <c r="BF131" s="77"/>
      <c r="BG131" s="77"/>
      <c r="BH131" s="77"/>
      <c r="BI131" s="77"/>
    </row>
    <row r="132" spans="1:61" x14ac:dyDescent="0.25">
      <c r="A132" s="62" t="s">
        <v>224</v>
      </c>
      <c r="B132" s="62" t="s">
        <v>224</v>
      </c>
      <c r="C132" s="63"/>
      <c r="D132" s="64"/>
      <c r="E132" s="65"/>
      <c r="F132" s="66"/>
      <c r="G132" s="63"/>
      <c r="H132" s="67"/>
      <c r="I132" s="68"/>
      <c r="J132" s="68"/>
      <c r="K132" s="32"/>
      <c r="L132" s="75"/>
      <c r="M132" s="75"/>
      <c r="N132" s="70"/>
      <c r="O132" s="77" t="s">
        <v>225</v>
      </c>
      <c r="P132" s="79">
        <v>45050.455891203703</v>
      </c>
      <c r="Q132" s="77" t="s">
        <v>274</v>
      </c>
      <c r="R132" s="77">
        <v>0</v>
      </c>
      <c r="S132" s="77">
        <v>0</v>
      </c>
      <c r="T132" s="77">
        <v>0</v>
      </c>
      <c r="U132" s="77">
        <v>0</v>
      </c>
      <c r="V132" s="77">
        <v>4</v>
      </c>
      <c r="W132" s="81" t="s">
        <v>392</v>
      </c>
      <c r="X132" s="77"/>
      <c r="Y132" s="77"/>
      <c r="Z132" s="77"/>
      <c r="AA132" s="77"/>
      <c r="AB132" s="77"/>
      <c r="AC132" s="81" t="s">
        <v>399</v>
      </c>
      <c r="AD132" s="77" t="s">
        <v>400</v>
      </c>
      <c r="AE132" s="83" t="str">
        <f>HYPERLINK("https://twitter.com/economedicos/status/1654077532742856705")</f>
        <v>https://twitter.com/economedicos/status/1654077532742856705</v>
      </c>
      <c r="AF132" s="79">
        <v>45050.455891203703</v>
      </c>
      <c r="AG132" s="85">
        <v>45050</v>
      </c>
      <c r="AH132" s="81" t="s">
        <v>449</v>
      </c>
      <c r="AI132" s="77"/>
      <c r="AJ132" s="77"/>
      <c r="AK132" s="77"/>
      <c r="AL132" s="77"/>
      <c r="AM132" s="77"/>
      <c r="AN132" s="77"/>
      <c r="AO132" s="77"/>
      <c r="AP132" s="77"/>
      <c r="AQ132" s="77"/>
      <c r="AR132" s="77"/>
      <c r="AS132" s="77"/>
      <c r="AT132" s="77"/>
      <c r="AU132" s="77"/>
      <c r="AV132" s="83" t="str">
        <f>HYPERLINK("https://pbs.twimg.com/profile_images/1283576393662636034/EjgsMA_W_normal.jpg")</f>
        <v>https://pbs.twimg.com/profile_images/1283576393662636034/EjgsMA_W_normal.jpg</v>
      </c>
      <c r="AW132" s="81" t="s">
        <v>611</v>
      </c>
      <c r="AX132" s="81" t="s">
        <v>777</v>
      </c>
      <c r="AY132" s="81" t="s">
        <v>895</v>
      </c>
      <c r="AZ132" s="81" t="s">
        <v>944</v>
      </c>
      <c r="BA132" s="81" t="s">
        <v>1061</v>
      </c>
      <c r="BB132" s="81" t="s">
        <v>1061</v>
      </c>
      <c r="BC132" s="81" t="s">
        <v>944</v>
      </c>
      <c r="BD132" s="81" t="s">
        <v>895</v>
      </c>
      <c r="BE132" s="77"/>
      <c r="BF132" s="77"/>
      <c r="BG132" s="77"/>
      <c r="BH132" s="77"/>
      <c r="BI132" s="77"/>
    </row>
    <row r="133" spans="1:61" x14ac:dyDescent="0.25">
      <c r="A133" s="62" t="s">
        <v>224</v>
      </c>
      <c r="B133" s="62" t="s">
        <v>224</v>
      </c>
      <c r="C133" s="63"/>
      <c r="D133" s="64"/>
      <c r="E133" s="65"/>
      <c r="F133" s="66"/>
      <c r="G133" s="63"/>
      <c r="H133" s="67"/>
      <c r="I133" s="68"/>
      <c r="J133" s="68"/>
      <c r="K133" s="32"/>
      <c r="L133" s="75"/>
      <c r="M133" s="75"/>
      <c r="N133" s="70"/>
      <c r="O133" s="77" t="s">
        <v>225</v>
      </c>
      <c r="P133" s="79">
        <v>45049.477592592593</v>
      </c>
      <c r="Q133" s="77" t="s">
        <v>275</v>
      </c>
      <c r="R133" s="77">
        <v>0</v>
      </c>
      <c r="S133" s="77">
        <v>0</v>
      </c>
      <c r="T133" s="77">
        <v>0</v>
      </c>
      <c r="U133" s="77">
        <v>0</v>
      </c>
      <c r="V133" s="77">
        <v>5</v>
      </c>
      <c r="W133" s="81" t="s">
        <v>392</v>
      </c>
      <c r="X133" s="77"/>
      <c r="Y133" s="77"/>
      <c r="Z133" s="77"/>
      <c r="AA133" s="77"/>
      <c r="AB133" s="77"/>
      <c r="AC133" s="81" t="s">
        <v>399</v>
      </c>
      <c r="AD133" s="77" t="s">
        <v>400</v>
      </c>
      <c r="AE133" s="83" t="str">
        <f>HYPERLINK("https://twitter.com/economedicos/status/1653723009046261763")</f>
        <v>https://twitter.com/economedicos/status/1653723009046261763</v>
      </c>
      <c r="AF133" s="79">
        <v>45049.477592592593</v>
      </c>
      <c r="AG133" s="85">
        <v>45049</v>
      </c>
      <c r="AH133" s="81" t="s">
        <v>450</v>
      </c>
      <c r="AI133" s="77"/>
      <c r="AJ133" s="77"/>
      <c r="AK133" s="77"/>
      <c r="AL133" s="77"/>
      <c r="AM133" s="77"/>
      <c r="AN133" s="77"/>
      <c r="AO133" s="77"/>
      <c r="AP133" s="77"/>
      <c r="AQ133" s="77"/>
      <c r="AR133" s="77"/>
      <c r="AS133" s="77"/>
      <c r="AT133" s="77"/>
      <c r="AU133" s="77"/>
      <c r="AV133" s="83" t="str">
        <f>HYPERLINK("https://pbs.twimg.com/profile_images/1283576393662636034/EjgsMA_W_normal.jpg")</f>
        <v>https://pbs.twimg.com/profile_images/1283576393662636034/EjgsMA_W_normal.jpg</v>
      </c>
      <c r="AW133" s="81" t="s">
        <v>612</v>
      </c>
      <c r="AX133" s="81" t="s">
        <v>778</v>
      </c>
      <c r="AY133" s="81" t="s">
        <v>895</v>
      </c>
      <c r="AZ133" s="81" t="s">
        <v>945</v>
      </c>
      <c r="BA133" s="81" t="s">
        <v>1061</v>
      </c>
      <c r="BB133" s="81" t="s">
        <v>1061</v>
      </c>
      <c r="BC133" s="81" t="s">
        <v>945</v>
      </c>
      <c r="BD133" s="81" t="s">
        <v>895</v>
      </c>
      <c r="BE133" s="77"/>
      <c r="BF133" s="77"/>
      <c r="BG133" s="77"/>
      <c r="BH133" s="77"/>
      <c r="BI133" s="77"/>
    </row>
    <row r="134" spans="1:61" x14ac:dyDescent="0.25">
      <c r="A134" s="62" t="s">
        <v>224</v>
      </c>
      <c r="B134" s="62" t="s">
        <v>224</v>
      </c>
      <c r="C134" s="63"/>
      <c r="D134" s="64"/>
      <c r="E134" s="65"/>
      <c r="F134" s="66"/>
      <c r="G134" s="63"/>
      <c r="H134" s="67"/>
      <c r="I134" s="68"/>
      <c r="J134" s="68"/>
      <c r="K134" s="32"/>
      <c r="L134" s="75"/>
      <c r="M134" s="75"/>
      <c r="N134" s="70"/>
      <c r="O134" s="77" t="s">
        <v>225</v>
      </c>
      <c r="P134" s="79">
        <v>45048.466053240743</v>
      </c>
      <c r="Q134" s="77" t="s">
        <v>344</v>
      </c>
      <c r="R134" s="77">
        <v>0</v>
      </c>
      <c r="S134" s="77">
        <v>0</v>
      </c>
      <c r="T134" s="77">
        <v>0</v>
      </c>
      <c r="U134" s="77">
        <v>0</v>
      </c>
      <c r="V134" s="77">
        <v>3</v>
      </c>
      <c r="W134" s="81" t="s">
        <v>392</v>
      </c>
      <c r="X134" s="77"/>
      <c r="Y134" s="77"/>
      <c r="Z134" s="77"/>
      <c r="AA134" s="77"/>
      <c r="AB134" s="77"/>
      <c r="AC134" s="81" t="s">
        <v>399</v>
      </c>
      <c r="AD134" s="77" t="s">
        <v>400</v>
      </c>
      <c r="AE134" s="83" t="str">
        <f>HYPERLINK("https://twitter.com/economedicos/status/1653356439614701568")</f>
        <v>https://twitter.com/economedicos/status/1653356439614701568</v>
      </c>
      <c r="AF134" s="79">
        <v>45048.466053240743</v>
      </c>
      <c r="AG134" s="85">
        <v>45048</v>
      </c>
      <c r="AH134" s="81" t="s">
        <v>516</v>
      </c>
      <c r="AI134" s="77"/>
      <c r="AJ134" s="77"/>
      <c r="AK134" s="77"/>
      <c r="AL134" s="77"/>
      <c r="AM134" s="77"/>
      <c r="AN134" s="77"/>
      <c r="AO134" s="77"/>
      <c r="AP134" s="77"/>
      <c r="AQ134" s="77"/>
      <c r="AR134" s="77"/>
      <c r="AS134" s="77"/>
      <c r="AT134" s="77"/>
      <c r="AU134" s="77"/>
      <c r="AV134" s="83" t="str">
        <f>HYPERLINK("https://pbs.twimg.com/profile_images/1283576393662636034/EjgsMA_W_normal.jpg")</f>
        <v>https://pbs.twimg.com/profile_images/1283576393662636034/EjgsMA_W_normal.jpg</v>
      </c>
      <c r="AW134" s="81" t="s">
        <v>681</v>
      </c>
      <c r="AX134" s="81" t="s">
        <v>847</v>
      </c>
      <c r="AY134" s="81" t="s">
        <v>895</v>
      </c>
      <c r="AZ134" s="81" t="s">
        <v>1014</v>
      </c>
      <c r="BA134" s="81" t="s">
        <v>1061</v>
      </c>
      <c r="BB134" s="81" t="s">
        <v>1061</v>
      </c>
      <c r="BC134" s="81" t="s">
        <v>1014</v>
      </c>
      <c r="BD134" s="81" t="s">
        <v>895</v>
      </c>
      <c r="BE134" s="77"/>
      <c r="BF134" s="77"/>
      <c r="BG134" s="77"/>
      <c r="BH134" s="77"/>
      <c r="BI134" s="77"/>
    </row>
    <row r="135" spans="1:61" x14ac:dyDescent="0.25">
      <c r="A135" s="62" t="s">
        <v>224</v>
      </c>
      <c r="B135" s="62" t="s">
        <v>224</v>
      </c>
      <c r="C135" s="63"/>
      <c r="D135" s="64"/>
      <c r="E135" s="65"/>
      <c r="F135" s="66"/>
      <c r="G135" s="63"/>
      <c r="H135" s="67"/>
      <c r="I135" s="68"/>
      <c r="J135" s="68"/>
      <c r="K135" s="32"/>
      <c r="L135" s="75"/>
      <c r="M135" s="75"/>
      <c r="N135" s="70"/>
      <c r="O135" s="77" t="s">
        <v>225</v>
      </c>
      <c r="P135" s="79">
        <v>45044.430266203701</v>
      </c>
      <c r="Q135" s="77" t="s">
        <v>345</v>
      </c>
      <c r="R135" s="77">
        <v>0</v>
      </c>
      <c r="S135" s="77">
        <v>0</v>
      </c>
      <c r="T135" s="77">
        <v>0</v>
      </c>
      <c r="U135" s="77">
        <v>0</v>
      </c>
      <c r="V135" s="77">
        <v>8</v>
      </c>
      <c r="W135" s="81" t="s">
        <v>392</v>
      </c>
      <c r="X135" s="77"/>
      <c r="Y135" s="77"/>
      <c r="Z135" s="77"/>
      <c r="AA135" s="77"/>
      <c r="AB135" s="77"/>
      <c r="AC135" s="81" t="s">
        <v>399</v>
      </c>
      <c r="AD135" s="77" t="s">
        <v>400</v>
      </c>
      <c r="AE135" s="83" t="str">
        <f>HYPERLINK("https://twitter.com/economedicos/status/1651893917657231360")</f>
        <v>https://twitter.com/economedicos/status/1651893917657231360</v>
      </c>
      <c r="AF135" s="79">
        <v>45044.430266203701</v>
      </c>
      <c r="AG135" s="85">
        <v>45044</v>
      </c>
      <c r="AH135" s="81" t="s">
        <v>517</v>
      </c>
      <c r="AI135" s="77"/>
      <c r="AJ135" s="77"/>
      <c r="AK135" s="77"/>
      <c r="AL135" s="77"/>
      <c r="AM135" s="77"/>
      <c r="AN135" s="77"/>
      <c r="AO135" s="77"/>
      <c r="AP135" s="77"/>
      <c r="AQ135" s="77"/>
      <c r="AR135" s="77"/>
      <c r="AS135" s="77"/>
      <c r="AT135" s="77"/>
      <c r="AU135" s="77"/>
      <c r="AV135" s="83" t="str">
        <f>HYPERLINK("https://pbs.twimg.com/profile_images/1283576393662636034/EjgsMA_W_normal.jpg")</f>
        <v>https://pbs.twimg.com/profile_images/1283576393662636034/EjgsMA_W_normal.jpg</v>
      </c>
      <c r="AW135" s="81" t="s">
        <v>682</v>
      </c>
      <c r="AX135" s="81" t="s">
        <v>848</v>
      </c>
      <c r="AY135" s="81" t="s">
        <v>895</v>
      </c>
      <c r="AZ135" s="81" t="s">
        <v>1015</v>
      </c>
      <c r="BA135" s="81" t="s">
        <v>1061</v>
      </c>
      <c r="BB135" s="81" t="s">
        <v>1061</v>
      </c>
      <c r="BC135" s="81" t="s">
        <v>1015</v>
      </c>
      <c r="BD135" s="81" t="s">
        <v>895</v>
      </c>
      <c r="BE135" s="77"/>
      <c r="BF135" s="77"/>
      <c r="BG135" s="77"/>
      <c r="BH135" s="77"/>
      <c r="BI135" s="77"/>
    </row>
    <row r="136" spans="1:61" x14ac:dyDescent="0.25">
      <c r="A136" s="62" t="s">
        <v>224</v>
      </c>
      <c r="B136" s="62" t="s">
        <v>224</v>
      </c>
      <c r="C136" s="63"/>
      <c r="D136" s="64"/>
      <c r="E136" s="65"/>
      <c r="F136" s="66"/>
      <c r="G136" s="63"/>
      <c r="H136" s="67"/>
      <c r="I136" s="68"/>
      <c r="J136" s="68"/>
      <c r="K136" s="32"/>
      <c r="L136" s="75"/>
      <c r="M136" s="75"/>
      <c r="N136" s="70"/>
      <c r="O136" s="77" t="s">
        <v>225</v>
      </c>
      <c r="P136" s="79">
        <v>44979.496388888889</v>
      </c>
      <c r="Q136" s="77" t="s">
        <v>350</v>
      </c>
      <c r="R136" s="77">
        <v>0</v>
      </c>
      <c r="S136" s="77">
        <v>0</v>
      </c>
      <c r="T136" s="77">
        <v>0</v>
      </c>
      <c r="U136" s="77">
        <v>0</v>
      </c>
      <c r="V136" s="77">
        <v>11</v>
      </c>
      <c r="W136" s="81" t="s">
        <v>394</v>
      </c>
      <c r="X136" s="77"/>
      <c r="Y136" s="77"/>
      <c r="Z136" s="77"/>
      <c r="AA136" s="77"/>
      <c r="AB136" s="77"/>
      <c r="AC136" s="81" t="s">
        <v>399</v>
      </c>
      <c r="AD136" s="77" t="s">
        <v>400</v>
      </c>
      <c r="AE136" s="83" t="str">
        <f>HYPERLINK("https://twitter.com/economedicos/status/1628362667848089600")</f>
        <v>https://twitter.com/economedicos/status/1628362667848089600</v>
      </c>
      <c r="AF136" s="79">
        <v>44979.496388888889</v>
      </c>
      <c r="AG136" s="85">
        <v>44979</v>
      </c>
      <c r="AH136" s="81" t="s">
        <v>522</v>
      </c>
      <c r="AI136" s="77"/>
      <c r="AJ136" s="77"/>
      <c r="AK136" s="77"/>
      <c r="AL136" s="77"/>
      <c r="AM136" s="77"/>
      <c r="AN136" s="77"/>
      <c r="AO136" s="77"/>
      <c r="AP136" s="77"/>
      <c r="AQ136" s="77"/>
      <c r="AR136" s="77"/>
      <c r="AS136" s="77"/>
      <c r="AT136" s="77"/>
      <c r="AU136" s="77"/>
      <c r="AV136" s="83" t="str">
        <f>HYPERLINK("https://pbs.twimg.com/profile_images/1283576393662636034/EjgsMA_W_normal.jpg")</f>
        <v>https://pbs.twimg.com/profile_images/1283576393662636034/EjgsMA_W_normal.jpg</v>
      </c>
      <c r="AW136" s="81" t="s">
        <v>687</v>
      </c>
      <c r="AX136" s="81" t="s">
        <v>853</v>
      </c>
      <c r="AY136" s="81" t="s">
        <v>895</v>
      </c>
      <c r="AZ136" s="81" t="s">
        <v>1020</v>
      </c>
      <c r="BA136" s="81" t="s">
        <v>1061</v>
      </c>
      <c r="BB136" s="81" t="s">
        <v>1061</v>
      </c>
      <c r="BC136" s="81" t="s">
        <v>1020</v>
      </c>
      <c r="BD136" s="81" t="s">
        <v>895</v>
      </c>
      <c r="BE136" s="77"/>
      <c r="BF136" s="77"/>
      <c r="BG136" s="77"/>
      <c r="BH136" s="77"/>
      <c r="BI136" s="77"/>
    </row>
    <row r="137" spans="1:61" x14ac:dyDescent="0.25">
      <c r="A137" s="62" t="s">
        <v>224</v>
      </c>
      <c r="B137" s="62" t="s">
        <v>224</v>
      </c>
      <c r="C137" s="63"/>
      <c r="D137" s="64"/>
      <c r="E137" s="65"/>
      <c r="F137" s="66"/>
      <c r="G137" s="63"/>
      <c r="H137" s="67"/>
      <c r="I137" s="68"/>
      <c r="J137" s="68"/>
      <c r="K137" s="32"/>
      <c r="L137" s="75"/>
      <c r="M137" s="75"/>
      <c r="N137" s="70"/>
      <c r="O137" s="77" t="s">
        <v>225</v>
      </c>
      <c r="P137" s="79">
        <v>44974.466736111113</v>
      </c>
      <c r="Q137" s="77" t="s">
        <v>351</v>
      </c>
      <c r="R137" s="77">
        <v>0</v>
      </c>
      <c r="S137" s="77">
        <v>0</v>
      </c>
      <c r="T137" s="77">
        <v>0</v>
      </c>
      <c r="U137" s="77">
        <v>0</v>
      </c>
      <c r="V137" s="77">
        <v>10</v>
      </c>
      <c r="W137" s="81" t="s">
        <v>392</v>
      </c>
      <c r="X137" s="77"/>
      <c r="Y137" s="77"/>
      <c r="Z137" s="77"/>
      <c r="AA137" s="77"/>
      <c r="AB137" s="77"/>
      <c r="AC137" s="81" t="s">
        <v>399</v>
      </c>
      <c r="AD137" s="77" t="s">
        <v>400</v>
      </c>
      <c r="AE137" s="83" t="str">
        <f>HYPERLINK("https://twitter.com/economedicos/status/1626539982700654592")</f>
        <v>https://twitter.com/economedicos/status/1626539982700654592</v>
      </c>
      <c r="AF137" s="79">
        <v>44974.466736111113</v>
      </c>
      <c r="AG137" s="85">
        <v>44974</v>
      </c>
      <c r="AH137" s="81" t="s">
        <v>523</v>
      </c>
      <c r="AI137" s="77"/>
      <c r="AJ137" s="77"/>
      <c r="AK137" s="77"/>
      <c r="AL137" s="77"/>
      <c r="AM137" s="77"/>
      <c r="AN137" s="77"/>
      <c r="AO137" s="77"/>
      <c r="AP137" s="77"/>
      <c r="AQ137" s="77"/>
      <c r="AR137" s="77"/>
      <c r="AS137" s="77"/>
      <c r="AT137" s="77"/>
      <c r="AU137" s="77"/>
      <c r="AV137" s="83" t="str">
        <f>HYPERLINK("https://pbs.twimg.com/profile_images/1283576393662636034/EjgsMA_W_normal.jpg")</f>
        <v>https://pbs.twimg.com/profile_images/1283576393662636034/EjgsMA_W_normal.jpg</v>
      </c>
      <c r="AW137" s="81" t="s">
        <v>688</v>
      </c>
      <c r="AX137" s="81" t="s">
        <v>854</v>
      </c>
      <c r="AY137" s="81" t="s">
        <v>895</v>
      </c>
      <c r="AZ137" s="81" t="s">
        <v>1021</v>
      </c>
      <c r="BA137" s="81" t="s">
        <v>1061</v>
      </c>
      <c r="BB137" s="81" t="s">
        <v>1061</v>
      </c>
      <c r="BC137" s="81" t="s">
        <v>1021</v>
      </c>
      <c r="BD137" s="81" t="s">
        <v>895</v>
      </c>
      <c r="BE137" s="77"/>
      <c r="BF137" s="77"/>
      <c r="BG137" s="77"/>
      <c r="BH137" s="77"/>
      <c r="BI137" s="77"/>
    </row>
    <row r="138" spans="1:61" x14ac:dyDescent="0.25">
      <c r="A138" s="62" t="s">
        <v>224</v>
      </c>
      <c r="B138" s="62" t="s">
        <v>224</v>
      </c>
      <c r="C138" s="63"/>
      <c r="D138" s="64"/>
      <c r="E138" s="65"/>
      <c r="F138" s="66"/>
      <c r="G138" s="63"/>
      <c r="H138" s="67"/>
      <c r="I138" s="68"/>
      <c r="J138" s="68"/>
      <c r="K138" s="32"/>
      <c r="L138" s="75"/>
      <c r="M138" s="75"/>
      <c r="N138" s="70"/>
      <c r="O138" s="77" t="s">
        <v>225</v>
      </c>
      <c r="P138" s="79">
        <v>44973.486620370371</v>
      </c>
      <c r="Q138" s="77" t="s">
        <v>238</v>
      </c>
      <c r="R138" s="77">
        <v>0</v>
      </c>
      <c r="S138" s="77">
        <v>0</v>
      </c>
      <c r="T138" s="77">
        <v>0</v>
      </c>
      <c r="U138" s="77">
        <v>0</v>
      </c>
      <c r="V138" s="77">
        <v>7</v>
      </c>
      <c r="W138" s="81" t="s">
        <v>392</v>
      </c>
      <c r="X138" s="77"/>
      <c r="Y138" s="77"/>
      <c r="Z138" s="77"/>
      <c r="AA138" s="77"/>
      <c r="AB138" s="77"/>
      <c r="AC138" s="81" t="s">
        <v>399</v>
      </c>
      <c r="AD138" s="77" t="s">
        <v>400</v>
      </c>
      <c r="AE138" s="83" t="str">
        <f>HYPERLINK("https://twitter.com/economedicos/status/1626184803518144512")</f>
        <v>https://twitter.com/economedicos/status/1626184803518144512</v>
      </c>
      <c r="AF138" s="79">
        <v>44973.486620370371</v>
      </c>
      <c r="AG138" s="85">
        <v>44973</v>
      </c>
      <c r="AH138" s="81" t="s">
        <v>413</v>
      </c>
      <c r="AI138" s="77"/>
      <c r="AJ138" s="77"/>
      <c r="AK138" s="77"/>
      <c r="AL138" s="77"/>
      <c r="AM138" s="77"/>
      <c r="AN138" s="77"/>
      <c r="AO138" s="77"/>
      <c r="AP138" s="77"/>
      <c r="AQ138" s="77"/>
      <c r="AR138" s="77"/>
      <c r="AS138" s="77"/>
      <c r="AT138" s="77"/>
      <c r="AU138" s="77"/>
      <c r="AV138" s="83" t="str">
        <f>HYPERLINK("https://pbs.twimg.com/profile_images/1283576393662636034/EjgsMA_W_normal.jpg")</f>
        <v>https://pbs.twimg.com/profile_images/1283576393662636034/EjgsMA_W_normal.jpg</v>
      </c>
      <c r="AW138" s="81" t="s">
        <v>575</v>
      </c>
      <c r="AX138" s="81" t="s">
        <v>741</v>
      </c>
      <c r="AY138" s="81" t="s">
        <v>895</v>
      </c>
      <c r="AZ138" s="81" t="s">
        <v>908</v>
      </c>
      <c r="BA138" s="81" t="s">
        <v>1061</v>
      </c>
      <c r="BB138" s="81" t="s">
        <v>1061</v>
      </c>
      <c r="BC138" s="81" t="s">
        <v>908</v>
      </c>
      <c r="BD138" s="81" t="s">
        <v>895</v>
      </c>
      <c r="BE138" s="77"/>
      <c r="BF138" s="77"/>
      <c r="BG138" s="77"/>
      <c r="BH138" s="77"/>
      <c r="BI138" s="77"/>
    </row>
    <row r="139" spans="1:61" x14ac:dyDescent="0.25">
      <c r="A139" s="62" t="s">
        <v>224</v>
      </c>
      <c r="B139" s="62" t="s">
        <v>224</v>
      </c>
      <c r="C139" s="63"/>
      <c r="D139" s="64"/>
      <c r="E139" s="65"/>
      <c r="F139" s="66"/>
      <c r="G139" s="63"/>
      <c r="H139" s="67"/>
      <c r="I139" s="68"/>
      <c r="J139" s="68"/>
      <c r="K139" s="32"/>
      <c r="L139" s="75"/>
      <c r="M139" s="75"/>
      <c r="N139" s="70"/>
      <c r="O139" s="77" t="s">
        <v>225</v>
      </c>
      <c r="P139" s="79">
        <v>44972.443449074075</v>
      </c>
      <c r="Q139" s="77" t="s">
        <v>239</v>
      </c>
      <c r="R139" s="77">
        <v>0</v>
      </c>
      <c r="S139" s="77">
        <v>0</v>
      </c>
      <c r="T139" s="77">
        <v>0</v>
      </c>
      <c r="U139" s="77">
        <v>0</v>
      </c>
      <c r="V139" s="77">
        <v>4</v>
      </c>
      <c r="W139" s="81" t="s">
        <v>392</v>
      </c>
      <c r="X139" s="77"/>
      <c r="Y139" s="77"/>
      <c r="Z139" s="77"/>
      <c r="AA139" s="77"/>
      <c r="AB139" s="77"/>
      <c r="AC139" s="81" t="s">
        <v>399</v>
      </c>
      <c r="AD139" s="77" t="s">
        <v>400</v>
      </c>
      <c r="AE139" s="83" t="str">
        <f>HYPERLINK("https://twitter.com/economedicos/status/1625806770802139137")</f>
        <v>https://twitter.com/economedicos/status/1625806770802139137</v>
      </c>
      <c r="AF139" s="79">
        <v>44972.443449074075</v>
      </c>
      <c r="AG139" s="85">
        <v>44972</v>
      </c>
      <c r="AH139" s="81" t="s">
        <v>414</v>
      </c>
      <c r="AI139" s="77"/>
      <c r="AJ139" s="77"/>
      <c r="AK139" s="77"/>
      <c r="AL139" s="77"/>
      <c r="AM139" s="77"/>
      <c r="AN139" s="77"/>
      <c r="AO139" s="77"/>
      <c r="AP139" s="77"/>
      <c r="AQ139" s="77"/>
      <c r="AR139" s="77"/>
      <c r="AS139" s="77"/>
      <c r="AT139" s="77"/>
      <c r="AU139" s="77"/>
      <c r="AV139" s="83" t="str">
        <f>HYPERLINK("https://pbs.twimg.com/profile_images/1283576393662636034/EjgsMA_W_normal.jpg")</f>
        <v>https://pbs.twimg.com/profile_images/1283576393662636034/EjgsMA_W_normal.jpg</v>
      </c>
      <c r="AW139" s="81" t="s">
        <v>576</v>
      </c>
      <c r="AX139" s="81" t="s">
        <v>742</v>
      </c>
      <c r="AY139" s="81" t="s">
        <v>895</v>
      </c>
      <c r="AZ139" s="81" t="s">
        <v>909</v>
      </c>
      <c r="BA139" s="81" t="s">
        <v>1061</v>
      </c>
      <c r="BB139" s="81" t="s">
        <v>1061</v>
      </c>
      <c r="BC139" s="81" t="s">
        <v>909</v>
      </c>
      <c r="BD139" s="81" t="s">
        <v>895</v>
      </c>
      <c r="BE139" s="77"/>
      <c r="BF139" s="77"/>
      <c r="BG139" s="77"/>
      <c r="BH139" s="77"/>
      <c r="BI139" s="77"/>
    </row>
    <row r="140" spans="1:61" x14ac:dyDescent="0.25">
      <c r="A140" s="62" t="s">
        <v>224</v>
      </c>
      <c r="B140" s="62" t="s">
        <v>224</v>
      </c>
      <c r="C140" s="63"/>
      <c r="D140" s="64"/>
      <c r="E140" s="65"/>
      <c r="F140" s="66"/>
      <c r="G140" s="63"/>
      <c r="H140" s="67"/>
      <c r="I140" s="68"/>
      <c r="J140" s="68"/>
      <c r="K140" s="32"/>
      <c r="L140" s="75"/>
      <c r="M140" s="75"/>
      <c r="N140" s="70"/>
      <c r="O140" s="77" t="s">
        <v>225</v>
      </c>
      <c r="P140" s="79">
        <v>45197.539675925924</v>
      </c>
      <c r="Q140" s="77" t="s">
        <v>263</v>
      </c>
      <c r="R140" s="77">
        <v>0</v>
      </c>
      <c r="S140" s="77">
        <v>0</v>
      </c>
      <c r="T140" s="77">
        <v>0</v>
      </c>
      <c r="U140" s="77">
        <v>0</v>
      </c>
      <c r="V140" s="77">
        <v>5</v>
      </c>
      <c r="W140" s="81" t="s">
        <v>392</v>
      </c>
      <c r="X140" s="77"/>
      <c r="Y140" s="77"/>
      <c r="Z140" s="77"/>
      <c r="AA140" s="77"/>
      <c r="AB140" s="77"/>
      <c r="AC140" s="81" t="s">
        <v>399</v>
      </c>
      <c r="AD140" s="77" t="s">
        <v>400</v>
      </c>
      <c r="AE140" s="83" t="str">
        <f>HYPERLINK("https://twitter.com/economedicos/status/1707378912634798214")</f>
        <v>https://twitter.com/economedicos/status/1707378912634798214</v>
      </c>
      <c r="AF140" s="79">
        <v>45197.539675925924</v>
      </c>
      <c r="AG140" s="85">
        <v>45197</v>
      </c>
      <c r="AH140" s="81" t="s">
        <v>438</v>
      </c>
      <c r="AI140" s="77"/>
      <c r="AJ140" s="77"/>
      <c r="AK140" s="77"/>
      <c r="AL140" s="77"/>
      <c r="AM140" s="77"/>
      <c r="AN140" s="77"/>
      <c r="AO140" s="77"/>
      <c r="AP140" s="77"/>
      <c r="AQ140" s="77"/>
      <c r="AR140" s="77"/>
      <c r="AS140" s="77"/>
      <c r="AT140" s="77"/>
      <c r="AU140" s="77"/>
      <c r="AV140" s="83" t="str">
        <f>HYPERLINK("https://pbs.twimg.com/profile_images/1283576393662636034/EjgsMA_W_normal.jpg")</f>
        <v>https://pbs.twimg.com/profile_images/1283576393662636034/EjgsMA_W_normal.jpg</v>
      </c>
      <c r="AW140" s="81" t="s">
        <v>600</v>
      </c>
      <c r="AX140" s="81" t="s">
        <v>766</v>
      </c>
      <c r="AY140" s="81" t="s">
        <v>895</v>
      </c>
      <c r="AZ140" s="81" t="s">
        <v>933</v>
      </c>
      <c r="BA140" s="81" t="s">
        <v>1061</v>
      </c>
      <c r="BB140" s="81" t="s">
        <v>1061</v>
      </c>
      <c r="BC140" s="81" t="s">
        <v>933</v>
      </c>
      <c r="BD140" s="81" t="s">
        <v>895</v>
      </c>
      <c r="BE140" s="77"/>
      <c r="BF140" s="77"/>
      <c r="BG140" s="77"/>
      <c r="BH140" s="77"/>
      <c r="BI140" s="77"/>
    </row>
    <row r="141" spans="1:61" x14ac:dyDescent="0.25">
      <c r="A141" s="62" t="s">
        <v>224</v>
      </c>
      <c r="B141" s="62" t="s">
        <v>224</v>
      </c>
      <c r="C141" s="63"/>
      <c r="D141" s="64"/>
      <c r="E141" s="65"/>
      <c r="F141" s="66"/>
      <c r="G141" s="63"/>
      <c r="H141" s="67"/>
      <c r="I141" s="68"/>
      <c r="J141" s="68"/>
      <c r="K141" s="32"/>
      <c r="L141" s="75"/>
      <c r="M141" s="75"/>
      <c r="N141" s="70"/>
      <c r="O141" s="77" t="s">
        <v>225</v>
      </c>
      <c r="P141" s="79">
        <v>45194.432175925926</v>
      </c>
      <c r="Q141" s="77" t="s">
        <v>280</v>
      </c>
      <c r="R141" s="77">
        <v>0</v>
      </c>
      <c r="S141" s="77">
        <v>0</v>
      </c>
      <c r="T141" s="77">
        <v>0</v>
      </c>
      <c r="U141" s="77">
        <v>0</v>
      </c>
      <c r="V141" s="77">
        <v>11</v>
      </c>
      <c r="W141" s="81" t="s">
        <v>392</v>
      </c>
      <c r="X141" s="77"/>
      <c r="Y141" s="77"/>
      <c r="Z141" s="77"/>
      <c r="AA141" s="77"/>
      <c r="AB141" s="77"/>
      <c r="AC141" s="81" t="s">
        <v>399</v>
      </c>
      <c r="AD141" s="77" t="s">
        <v>400</v>
      </c>
      <c r="AE141" s="83" t="str">
        <f>HYPERLINK("https://twitter.com/economedicos/status/1706252790274617513")</f>
        <v>https://twitter.com/economedicos/status/1706252790274617513</v>
      </c>
      <c r="AF141" s="79">
        <v>45194.432175925926</v>
      </c>
      <c r="AG141" s="85">
        <v>45194</v>
      </c>
      <c r="AH141" s="81" t="s">
        <v>455</v>
      </c>
      <c r="AI141" s="77"/>
      <c r="AJ141" s="77"/>
      <c r="AK141" s="77"/>
      <c r="AL141" s="77"/>
      <c r="AM141" s="77"/>
      <c r="AN141" s="77"/>
      <c r="AO141" s="77"/>
      <c r="AP141" s="77"/>
      <c r="AQ141" s="77"/>
      <c r="AR141" s="77"/>
      <c r="AS141" s="77"/>
      <c r="AT141" s="77"/>
      <c r="AU141" s="77"/>
      <c r="AV141" s="83" t="str">
        <f>HYPERLINK("https://pbs.twimg.com/profile_images/1283576393662636034/EjgsMA_W_normal.jpg")</f>
        <v>https://pbs.twimg.com/profile_images/1283576393662636034/EjgsMA_W_normal.jpg</v>
      </c>
      <c r="AW141" s="81" t="s">
        <v>617</v>
      </c>
      <c r="AX141" s="81" t="s">
        <v>783</v>
      </c>
      <c r="AY141" s="81" t="s">
        <v>895</v>
      </c>
      <c r="AZ141" s="81" t="s">
        <v>950</v>
      </c>
      <c r="BA141" s="81" t="s">
        <v>1061</v>
      </c>
      <c r="BB141" s="81" t="s">
        <v>1061</v>
      </c>
      <c r="BC141" s="81" t="s">
        <v>950</v>
      </c>
      <c r="BD141" s="81" t="s">
        <v>895</v>
      </c>
      <c r="BE141" s="77"/>
      <c r="BF141" s="77"/>
      <c r="BG141" s="77"/>
      <c r="BH141" s="77"/>
      <c r="BI141" s="77"/>
    </row>
    <row r="142" spans="1:61" x14ac:dyDescent="0.25">
      <c r="A142" s="62" t="s">
        <v>224</v>
      </c>
      <c r="B142" s="62" t="s">
        <v>224</v>
      </c>
      <c r="C142" s="63"/>
      <c r="D142" s="64"/>
      <c r="E142" s="65"/>
      <c r="F142" s="66"/>
      <c r="G142" s="63"/>
      <c r="H142" s="67"/>
      <c r="I142" s="68"/>
      <c r="J142" s="68"/>
      <c r="K142" s="32"/>
      <c r="L142" s="75"/>
      <c r="M142" s="75"/>
      <c r="N142" s="70"/>
      <c r="O142" s="77" t="s">
        <v>225</v>
      </c>
      <c r="P142" s="79">
        <v>45189.457986111112</v>
      </c>
      <c r="Q142" s="77" t="s">
        <v>318</v>
      </c>
      <c r="R142" s="77">
        <v>0</v>
      </c>
      <c r="S142" s="77">
        <v>0</v>
      </c>
      <c r="T142" s="77">
        <v>0</v>
      </c>
      <c r="U142" s="77">
        <v>0</v>
      </c>
      <c r="V142" s="77">
        <v>6</v>
      </c>
      <c r="W142" s="81" t="s">
        <v>392</v>
      </c>
      <c r="X142" s="77"/>
      <c r="Y142" s="77"/>
      <c r="Z142" s="77"/>
      <c r="AA142" s="77"/>
      <c r="AB142" s="77"/>
      <c r="AC142" s="81" t="s">
        <v>399</v>
      </c>
      <c r="AD142" s="77" t="s">
        <v>400</v>
      </c>
      <c r="AE142" s="83" t="str">
        <f>HYPERLINK("https://twitter.com/economedicos/status/1704450204462678093")</f>
        <v>https://twitter.com/economedicos/status/1704450204462678093</v>
      </c>
      <c r="AF142" s="79">
        <v>45189.457986111112</v>
      </c>
      <c r="AG142" s="85">
        <v>45189</v>
      </c>
      <c r="AH142" s="81" t="s">
        <v>491</v>
      </c>
      <c r="AI142" s="77"/>
      <c r="AJ142" s="77"/>
      <c r="AK142" s="77"/>
      <c r="AL142" s="77"/>
      <c r="AM142" s="77"/>
      <c r="AN142" s="77"/>
      <c r="AO142" s="77"/>
      <c r="AP142" s="77"/>
      <c r="AQ142" s="77"/>
      <c r="AR142" s="77"/>
      <c r="AS142" s="77"/>
      <c r="AT142" s="77"/>
      <c r="AU142" s="77"/>
      <c r="AV142" s="83" t="str">
        <f>HYPERLINK("https://pbs.twimg.com/profile_images/1283576393662636034/EjgsMA_W_normal.jpg")</f>
        <v>https://pbs.twimg.com/profile_images/1283576393662636034/EjgsMA_W_normal.jpg</v>
      </c>
      <c r="AW142" s="81" t="s">
        <v>655</v>
      </c>
      <c r="AX142" s="81" t="s">
        <v>821</v>
      </c>
      <c r="AY142" s="81" t="s">
        <v>895</v>
      </c>
      <c r="AZ142" s="81" t="s">
        <v>988</v>
      </c>
      <c r="BA142" s="81" t="s">
        <v>1061</v>
      </c>
      <c r="BB142" s="81" t="s">
        <v>1061</v>
      </c>
      <c r="BC142" s="81" t="s">
        <v>988</v>
      </c>
      <c r="BD142" s="81" t="s">
        <v>895</v>
      </c>
      <c r="BE142" s="77"/>
      <c r="BF142" s="77"/>
      <c r="BG142" s="77"/>
      <c r="BH142" s="77"/>
      <c r="BI142" s="77"/>
    </row>
    <row r="143" spans="1:61" x14ac:dyDescent="0.25">
      <c r="A143" s="62" t="s">
        <v>224</v>
      </c>
      <c r="B143" s="62" t="s">
        <v>224</v>
      </c>
      <c r="C143" s="63"/>
      <c r="D143" s="64"/>
      <c r="E143" s="65"/>
      <c r="F143" s="66"/>
      <c r="G143" s="63"/>
      <c r="H143" s="67"/>
      <c r="I143" s="68"/>
      <c r="J143" s="68"/>
      <c r="K143" s="32"/>
      <c r="L143" s="75"/>
      <c r="M143" s="75"/>
      <c r="N143" s="70"/>
      <c r="O143" s="77" t="s">
        <v>225</v>
      </c>
      <c r="P143" s="79">
        <v>45184.448761574073</v>
      </c>
      <c r="Q143" s="77" t="s">
        <v>335</v>
      </c>
      <c r="R143" s="77">
        <v>0</v>
      </c>
      <c r="S143" s="77">
        <v>0</v>
      </c>
      <c r="T143" s="77">
        <v>0</v>
      </c>
      <c r="U143" s="77">
        <v>0</v>
      </c>
      <c r="V143" s="77">
        <v>19</v>
      </c>
      <c r="W143" s="81" t="s">
        <v>392</v>
      </c>
      <c r="X143" s="77"/>
      <c r="Y143" s="77"/>
      <c r="Z143" s="77"/>
      <c r="AA143" s="77"/>
      <c r="AB143" s="77"/>
      <c r="AC143" s="81" t="s">
        <v>399</v>
      </c>
      <c r="AD143" s="77" t="s">
        <v>400</v>
      </c>
      <c r="AE143" s="83" t="str">
        <f>HYPERLINK("https://twitter.com/economedicos/status/1702634923398488118")</f>
        <v>https://twitter.com/economedicos/status/1702634923398488118</v>
      </c>
      <c r="AF143" s="79">
        <v>45184.448761574073</v>
      </c>
      <c r="AG143" s="85">
        <v>45184</v>
      </c>
      <c r="AH143" s="81" t="s">
        <v>508</v>
      </c>
      <c r="AI143" s="77"/>
      <c r="AJ143" s="77"/>
      <c r="AK143" s="77"/>
      <c r="AL143" s="77"/>
      <c r="AM143" s="77"/>
      <c r="AN143" s="77"/>
      <c r="AO143" s="77"/>
      <c r="AP143" s="77"/>
      <c r="AQ143" s="77"/>
      <c r="AR143" s="77"/>
      <c r="AS143" s="77"/>
      <c r="AT143" s="77"/>
      <c r="AU143" s="77"/>
      <c r="AV143" s="83" t="str">
        <f>HYPERLINK("https://pbs.twimg.com/profile_images/1283576393662636034/EjgsMA_W_normal.jpg")</f>
        <v>https://pbs.twimg.com/profile_images/1283576393662636034/EjgsMA_W_normal.jpg</v>
      </c>
      <c r="AW143" s="81" t="s">
        <v>672</v>
      </c>
      <c r="AX143" s="81" t="s">
        <v>838</v>
      </c>
      <c r="AY143" s="81" t="s">
        <v>895</v>
      </c>
      <c r="AZ143" s="81" t="s">
        <v>1005</v>
      </c>
      <c r="BA143" s="81" t="s">
        <v>1061</v>
      </c>
      <c r="BB143" s="81" t="s">
        <v>1061</v>
      </c>
      <c r="BC143" s="81" t="s">
        <v>1005</v>
      </c>
      <c r="BD143" s="81" t="s">
        <v>895</v>
      </c>
      <c r="BE143" s="77"/>
      <c r="BF143" s="77"/>
      <c r="BG143" s="77"/>
      <c r="BH143" s="77"/>
      <c r="BI143" s="77"/>
    </row>
    <row r="144" spans="1:61" x14ac:dyDescent="0.25">
      <c r="A144" s="62" t="s">
        <v>224</v>
      </c>
      <c r="B144" s="62" t="s">
        <v>224</v>
      </c>
      <c r="C144" s="63"/>
      <c r="D144" s="64"/>
      <c r="E144" s="65"/>
      <c r="F144" s="66"/>
      <c r="G144" s="63"/>
      <c r="H144" s="67"/>
      <c r="I144" s="68"/>
      <c r="J144" s="68"/>
      <c r="K144" s="32"/>
      <c r="L144" s="75"/>
      <c r="M144" s="75"/>
      <c r="N144" s="70"/>
      <c r="O144" s="77" t="s">
        <v>225</v>
      </c>
      <c r="P144" s="79">
        <v>45182.467858796299</v>
      </c>
      <c r="Q144" s="77" t="s">
        <v>242</v>
      </c>
      <c r="R144" s="77">
        <v>0</v>
      </c>
      <c r="S144" s="77">
        <v>0</v>
      </c>
      <c r="T144" s="77">
        <v>0</v>
      </c>
      <c r="U144" s="77">
        <v>0</v>
      </c>
      <c r="V144" s="77">
        <v>20</v>
      </c>
      <c r="W144" s="81" t="s">
        <v>392</v>
      </c>
      <c r="X144" s="77"/>
      <c r="Y144" s="77"/>
      <c r="Z144" s="77"/>
      <c r="AA144" s="77"/>
      <c r="AB144" s="77"/>
      <c r="AC144" s="81" t="s">
        <v>399</v>
      </c>
      <c r="AD144" s="77" t="s">
        <v>400</v>
      </c>
      <c r="AE144" s="83" t="str">
        <f>HYPERLINK("https://twitter.com/economedicos/status/1701917067698450628")</f>
        <v>https://twitter.com/economedicos/status/1701917067698450628</v>
      </c>
      <c r="AF144" s="79">
        <v>45182.467858796299</v>
      </c>
      <c r="AG144" s="85">
        <v>45182</v>
      </c>
      <c r="AH144" s="81" t="s">
        <v>417</v>
      </c>
      <c r="AI144" s="77"/>
      <c r="AJ144" s="77"/>
      <c r="AK144" s="77"/>
      <c r="AL144" s="77"/>
      <c r="AM144" s="77"/>
      <c r="AN144" s="77"/>
      <c r="AO144" s="77"/>
      <c r="AP144" s="77"/>
      <c r="AQ144" s="77"/>
      <c r="AR144" s="77"/>
      <c r="AS144" s="77"/>
      <c r="AT144" s="77"/>
      <c r="AU144" s="77"/>
      <c r="AV144" s="83" t="str">
        <f>HYPERLINK("https://pbs.twimg.com/profile_images/1283576393662636034/EjgsMA_W_normal.jpg")</f>
        <v>https://pbs.twimg.com/profile_images/1283576393662636034/EjgsMA_W_normal.jpg</v>
      </c>
      <c r="AW144" s="81" t="s">
        <v>579</v>
      </c>
      <c r="AX144" s="81" t="s">
        <v>745</v>
      </c>
      <c r="AY144" s="81" t="s">
        <v>895</v>
      </c>
      <c r="AZ144" s="81" t="s">
        <v>912</v>
      </c>
      <c r="BA144" s="81" t="s">
        <v>1061</v>
      </c>
      <c r="BB144" s="81" t="s">
        <v>1061</v>
      </c>
      <c r="BC144" s="81" t="s">
        <v>912</v>
      </c>
      <c r="BD144" s="81" t="s">
        <v>895</v>
      </c>
      <c r="BE144" s="77"/>
      <c r="BF144" s="77"/>
      <c r="BG144" s="77"/>
      <c r="BH144" s="77"/>
      <c r="BI144" s="77"/>
    </row>
    <row r="145" spans="1:61" x14ac:dyDescent="0.25">
      <c r="A145" s="62" t="s">
        <v>224</v>
      </c>
      <c r="B145" s="62" t="s">
        <v>224</v>
      </c>
      <c r="C145" s="63"/>
      <c r="D145" s="64"/>
      <c r="E145" s="65"/>
      <c r="F145" s="66"/>
      <c r="G145" s="63"/>
      <c r="H145" s="67"/>
      <c r="I145" s="68"/>
      <c r="J145" s="68"/>
      <c r="K145" s="32"/>
      <c r="L145" s="75"/>
      <c r="M145" s="75"/>
      <c r="N145" s="70"/>
      <c r="O145" s="77" t="s">
        <v>225</v>
      </c>
      <c r="P145" s="79">
        <v>45176.45517361111</v>
      </c>
      <c r="Q145" s="77" t="s">
        <v>281</v>
      </c>
      <c r="R145" s="77">
        <v>0</v>
      </c>
      <c r="S145" s="77">
        <v>0</v>
      </c>
      <c r="T145" s="77">
        <v>0</v>
      </c>
      <c r="U145" s="77">
        <v>0</v>
      </c>
      <c r="V145" s="77">
        <v>7</v>
      </c>
      <c r="W145" s="81" t="s">
        <v>393</v>
      </c>
      <c r="X145" s="77"/>
      <c r="Y145" s="77"/>
      <c r="Z145" s="77"/>
      <c r="AA145" s="77"/>
      <c r="AB145" s="77"/>
      <c r="AC145" s="81" t="s">
        <v>399</v>
      </c>
      <c r="AD145" s="77" t="s">
        <v>400</v>
      </c>
      <c r="AE145" s="83" t="str">
        <f>HYPERLINK("https://twitter.com/economedicos/status/1699738142591373543")</f>
        <v>https://twitter.com/economedicos/status/1699738142591373543</v>
      </c>
      <c r="AF145" s="79">
        <v>45176.45517361111</v>
      </c>
      <c r="AG145" s="85">
        <v>45176</v>
      </c>
      <c r="AH145" s="81" t="s">
        <v>456</v>
      </c>
      <c r="AI145" s="77"/>
      <c r="AJ145" s="77"/>
      <c r="AK145" s="77"/>
      <c r="AL145" s="77"/>
      <c r="AM145" s="77"/>
      <c r="AN145" s="77"/>
      <c r="AO145" s="77"/>
      <c r="AP145" s="77"/>
      <c r="AQ145" s="77"/>
      <c r="AR145" s="77"/>
      <c r="AS145" s="77"/>
      <c r="AT145" s="77"/>
      <c r="AU145" s="77"/>
      <c r="AV145" s="83" t="str">
        <f>HYPERLINK("https://pbs.twimg.com/profile_images/1283576393662636034/EjgsMA_W_normal.jpg")</f>
        <v>https://pbs.twimg.com/profile_images/1283576393662636034/EjgsMA_W_normal.jpg</v>
      </c>
      <c r="AW145" s="81" t="s">
        <v>618</v>
      </c>
      <c r="AX145" s="81" t="s">
        <v>784</v>
      </c>
      <c r="AY145" s="81" t="s">
        <v>895</v>
      </c>
      <c r="AZ145" s="81" t="s">
        <v>951</v>
      </c>
      <c r="BA145" s="81" t="s">
        <v>1061</v>
      </c>
      <c r="BB145" s="81" t="s">
        <v>1061</v>
      </c>
      <c r="BC145" s="81" t="s">
        <v>951</v>
      </c>
      <c r="BD145" s="81" t="s">
        <v>895</v>
      </c>
      <c r="BE145" s="77"/>
      <c r="BF145" s="77"/>
      <c r="BG145" s="77"/>
      <c r="BH145" s="77"/>
      <c r="BI145" s="77"/>
    </row>
    <row r="146" spans="1:61" x14ac:dyDescent="0.25">
      <c r="A146" s="62" t="s">
        <v>224</v>
      </c>
      <c r="B146" s="62" t="s">
        <v>224</v>
      </c>
      <c r="C146" s="63"/>
      <c r="D146" s="64"/>
      <c r="E146" s="65"/>
      <c r="F146" s="66"/>
      <c r="G146" s="63"/>
      <c r="H146" s="67"/>
      <c r="I146" s="68"/>
      <c r="J146" s="68"/>
      <c r="K146" s="32"/>
      <c r="L146" s="75"/>
      <c r="M146" s="75"/>
      <c r="N146" s="70"/>
      <c r="O146" s="77" t="s">
        <v>225</v>
      </c>
      <c r="P146" s="79">
        <v>45174.429479166669</v>
      </c>
      <c r="Q146" s="77" t="s">
        <v>243</v>
      </c>
      <c r="R146" s="77">
        <v>0</v>
      </c>
      <c r="S146" s="77">
        <v>0</v>
      </c>
      <c r="T146" s="77">
        <v>0</v>
      </c>
      <c r="U146" s="77">
        <v>0</v>
      </c>
      <c r="V146" s="77">
        <v>14</v>
      </c>
      <c r="W146" s="81" t="s">
        <v>392</v>
      </c>
      <c r="X146" s="77"/>
      <c r="Y146" s="77"/>
      <c r="Z146" s="77"/>
      <c r="AA146" s="77"/>
      <c r="AB146" s="77"/>
      <c r="AC146" s="81" t="s">
        <v>399</v>
      </c>
      <c r="AD146" s="77" t="s">
        <v>400</v>
      </c>
      <c r="AE146" s="83" t="str">
        <f>HYPERLINK("https://twitter.com/economedicos/status/1699004054465020379")</f>
        <v>https://twitter.com/economedicos/status/1699004054465020379</v>
      </c>
      <c r="AF146" s="79">
        <v>45174.429479166669</v>
      </c>
      <c r="AG146" s="85">
        <v>45174</v>
      </c>
      <c r="AH146" s="81" t="s">
        <v>418</v>
      </c>
      <c r="AI146" s="77"/>
      <c r="AJ146" s="77"/>
      <c r="AK146" s="77"/>
      <c r="AL146" s="77"/>
      <c r="AM146" s="77"/>
      <c r="AN146" s="77"/>
      <c r="AO146" s="77"/>
      <c r="AP146" s="77"/>
      <c r="AQ146" s="77"/>
      <c r="AR146" s="77"/>
      <c r="AS146" s="77"/>
      <c r="AT146" s="77"/>
      <c r="AU146" s="77"/>
      <c r="AV146" s="83" t="str">
        <f>HYPERLINK("https://pbs.twimg.com/profile_images/1283576393662636034/EjgsMA_W_normal.jpg")</f>
        <v>https://pbs.twimg.com/profile_images/1283576393662636034/EjgsMA_W_normal.jpg</v>
      </c>
      <c r="AW146" s="81" t="s">
        <v>580</v>
      </c>
      <c r="AX146" s="81" t="s">
        <v>746</v>
      </c>
      <c r="AY146" s="81" t="s">
        <v>895</v>
      </c>
      <c r="AZ146" s="81" t="s">
        <v>913</v>
      </c>
      <c r="BA146" s="81" t="s">
        <v>1061</v>
      </c>
      <c r="BB146" s="81" t="s">
        <v>1061</v>
      </c>
      <c r="BC146" s="81" t="s">
        <v>913</v>
      </c>
      <c r="BD146" s="81" t="s">
        <v>895</v>
      </c>
      <c r="BE146" s="77"/>
      <c r="BF146" s="77"/>
      <c r="BG146" s="77"/>
      <c r="BH146" s="77"/>
      <c r="BI146" s="77"/>
    </row>
    <row r="147" spans="1:61" x14ac:dyDescent="0.25">
      <c r="A147" s="62" t="s">
        <v>224</v>
      </c>
      <c r="B147" s="62" t="s">
        <v>224</v>
      </c>
      <c r="C147" s="63"/>
      <c r="D147" s="64"/>
      <c r="E147" s="65"/>
      <c r="F147" s="66"/>
      <c r="G147" s="63"/>
      <c r="H147" s="67"/>
      <c r="I147" s="68"/>
      <c r="J147" s="68"/>
      <c r="K147" s="32"/>
      <c r="L147" s="75"/>
      <c r="M147" s="75"/>
      <c r="N147" s="70"/>
      <c r="O147" s="77" t="s">
        <v>225</v>
      </c>
      <c r="P147" s="79">
        <v>45166.468287037038</v>
      </c>
      <c r="Q147" s="77" t="s">
        <v>372</v>
      </c>
      <c r="R147" s="77">
        <v>0</v>
      </c>
      <c r="S147" s="77">
        <v>0</v>
      </c>
      <c r="T147" s="77">
        <v>0</v>
      </c>
      <c r="U147" s="77">
        <v>0</v>
      </c>
      <c r="V147" s="77">
        <v>10</v>
      </c>
      <c r="W147" s="81" t="s">
        <v>398</v>
      </c>
      <c r="X147" s="77"/>
      <c r="Y147" s="77"/>
      <c r="Z147" s="77"/>
      <c r="AA147" s="77"/>
      <c r="AB147" s="77"/>
      <c r="AC147" s="81" t="s">
        <v>399</v>
      </c>
      <c r="AD147" s="77" t="s">
        <v>400</v>
      </c>
      <c r="AE147" s="83" t="str">
        <f>HYPERLINK("https://twitter.com/economedicos/status/1696119014215368833")</f>
        <v>https://twitter.com/economedicos/status/1696119014215368833</v>
      </c>
      <c r="AF147" s="79">
        <v>45166.468287037038</v>
      </c>
      <c r="AG147" s="85">
        <v>45166</v>
      </c>
      <c r="AH147" s="81" t="s">
        <v>544</v>
      </c>
      <c r="AI147" s="77"/>
      <c r="AJ147" s="77"/>
      <c r="AK147" s="77"/>
      <c r="AL147" s="77"/>
      <c r="AM147" s="77"/>
      <c r="AN147" s="77"/>
      <c r="AO147" s="77"/>
      <c r="AP147" s="77"/>
      <c r="AQ147" s="77"/>
      <c r="AR147" s="77"/>
      <c r="AS147" s="77"/>
      <c r="AT147" s="77"/>
      <c r="AU147" s="77"/>
      <c r="AV147" s="83" t="str">
        <f>HYPERLINK("https://pbs.twimg.com/profile_images/1283576393662636034/EjgsMA_W_normal.jpg")</f>
        <v>https://pbs.twimg.com/profile_images/1283576393662636034/EjgsMA_W_normal.jpg</v>
      </c>
      <c r="AW147" s="81" t="s">
        <v>709</v>
      </c>
      <c r="AX147" s="81" t="s">
        <v>875</v>
      </c>
      <c r="AY147" s="81" t="s">
        <v>895</v>
      </c>
      <c r="AZ147" s="81" t="s">
        <v>1041</v>
      </c>
      <c r="BA147" s="81" t="s">
        <v>1061</v>
      </c>
      <c r="BB147" s="81" t="s">
        <v>1061</v>
      </c>
      <c r="BC147" s="81" t="s">
        <v>1041</v>
      </c>
      <c r="BD147" s="81" t="s">
        <v>895</v>
      </c>
      <c r="BE147" s="77"/>
      <c r="BF147" s="77"/>
      <c r="BG147" s="77"/>
      <c r="BH147" s="77"/>
      <c r="BI147" s="77"/>
    </row>
    <row r="148" spans="1:61" x14ac:dyDescent="0.25">
      <c r="A148" s="62" t="s">
        <v>224</v>
      </c>
      <c r="B148" s="62" t="s">
        <v>224</v>
      </c>
      <c r="C148" s="63"/>
      <c r="D148" s="64"/>
      <c r="E148" s="65"/>
      <c r="F148" s="66"/>
      <c r="G148" s="63"/>
      <c r="H148" s="67"/>
      <c r="I148" s="68"/>
      <c r="J148" s="68"/>
      <c r="K148" s="32"/>
      <c r="L148" s="75"/>
      <c r="M148" s="75"/>
      <c r="N148" s="70"/>
      <c r="O148" s="77" t="s">
        <v>225</v>
      </c>
      <c r="P148" s="79">
        <v>45163.421585648146</v>
      </c>
      <c r="Q148" s="77" t="s">
        <v>244</v>
      </c>
      <c r="R148" s="77">
        <v>0</v>
      </c>
      <c r="S148" s="77">
        <v>0</v>
      </c>
      <c r="T148" s="77">
        <v>0</v>
      </c>
      <c r="U148" s="77">
        <v>0</v>
      </c>
      <c r="V148" s="77">
        <v>20</v>
      </c>
      <c r="W148" s="81" t="s">
        <v>392</v>
      </c>
      <c r="X148" s="77"/>
      <c r="Y148" s="77"/>
      <c r="Z148" s="77"/>
      <c r="AA148" s="77"/>
      <c r="AB148" s="77"/>
      <c r="AC148" s="81" t="s">
        <v>399</v>
      </c>
      <c r="AD148" s="77" t="s">
        <v>400</v>
      </c>
      <c r="AE148" s="83" t="str">
        <f>HYPERLINK("https://twitter.com/economedicos/status/1695014926836740383")</f>
        <v>https://twitter.com/economedicos/status/1695014926836740383</v>
      </c>
      <c r="AF148" s="79">
        <v>45163.421585648146</v>
      </c>
      <c r="AG148" s="85">
        <v>45163</v>
      </c>
      <c r="AH148" s="81" t="s">
        <v>419</v>
      </c>
      <c r="AI148" s="77"/>
      <c r="AJ148" s="77"/>
      <c r="AK148" s="77"/>
      <c r="AL148" s="77"/>
      <c r="AM148" s="77"/>
      <c r="AN148" s="77"/>
      <c r="AO148" s="77"/>
      <c r="AP148" s="77"/>
      <c r="AQ148" s="77"/>
      <c r="AR148" s="77"/>
      <c r="AS148" s="77"/>
      <c r="AT148" s="77"/>
      <c r="AU148" s="77"/>
      <c r="AV148" s="83" t="str">
        <f>HYPERLINK("https://pbs.twimg.com/profile_images/1283576393662636034/EjgsMA_W_normal.jpg")</f>
        <v>https://pbs.twimg.com/profile_images/1283576393662636034/EjgsMA_W_normal.jpg</v>
      </c>
      <c r="AW148" s="81" t="s">
        <v>581</v>
      </c>
      <c r="AX148" s="81" t="s">
        <v>747</v>
      </c>
      <c r="AY148" s="81" t="s">
        <v>895</v>
      </c>
      <c r="AZ148" s="81" t="s">
        <v>914</v>
      </c>
      <c r="BA148" s="81" t="s">
        <v>1061</v>
      </c>
      <c r="BB148" s="81" t="s">
        <v>1061</v>
      </c>
      <c r="BC148" s="81" t="s">
        <v>914</v>
      </c>
      <c r="BD148" s="81" t="s">
        <v>895</v>
      </c>
      <c r="BE148" s="77"/>
      <c r="BF148" s="77"/>
      <c r="BG148" s="77"/>
      <c r="BH148" s="77"/>
      <c r="BI148" s="77"/>
    </row>
    <row r="149" spans="1:61" x14ac:dyDescent="0.25">
      <c r="A149" s="62" t="s">
        <v>224</v>
      </c>
      <c r="B149" s="62" t="s">
        <v>224</v>
      </c>
      <c r="C149" s="63"/>
      <c r="D149" s="64"/>
      <c r="E149" s="65"/>
      <c r="F149" s="66"/>
      <c r="G149" s="63"/>
      <c r="H149" s="67"/>
      <c r="I149" s="68"/>
      <c r="J149" s="68"/>
      <c r="K149" s="32"/>
      <c r="L149" s="75"/>
      <c r="M149" s="75"/>
      <c r="N149" s="70"/>
      <c r="O149" s="77" t="s">
        <v>225</v>
      </c>
      <c r="P149" s="79">
        <v>45155.459814814814</v>
      </c>
      <c r="Q149" s="77" t="s">
        <v>303</v>
      </c>
      <c r="R149" s="77">
        <v>0</v>
      </c>
      <c r="S149" s="77">
        <v>0</v>
      </c>
      <c r="T149" s="77">
        <v>0</v>
      </c>
      <c r="U149" s="77">
        <v>0</v>
      </c>
      <c r="V149" s="77">
        <v>6</v>
      </c>
      <c r="W149" s="81" t="s">
        <v>392</v>
      </c>
      <c r="X149" s="77"/>
      <c r="Y149" s="77"/>
      <c r="Z149" s="77"/>
      <c r="AA149" s="77"/>
      <c r="AB149" s="77"/>
      <c r="AC149" s="81" t="s">
        <v>399</v>
      </c>
      <c r="AD149" s="77" t="s">
        <v>400</v>
      </c>
      <c r="AE149" s="83" t="str">
        <f>HYPERLINK("https://twitter.com/economedicos/status/1692129679220605127")</f>
        <v>https://twitter.com/economedicos/status/1692129679220605127</v>
      </c>
      <c r="AF149" s="79">
        <v>45155.459814814814</v>
      </c>
      <c r="AG149" s="85">
        <v>45155</v>
      </c>
      <c r="AH149" s="81" t="s">
        <v>477</v>
      </c>
      <c r="AI149" s="77"/>
      <c r="AJ149" s="77"/>
      <c r="AK149" s="77"/>
      <c r="AL149" s="77"/>
      <c r="AM149" s="77"/>
      <c r="AN149" s="77"/>
      <c r="AO149" s="77"/>
      <c r="AP149" s="77"/>
      <c r="AQ149" s="77"/>
      <c r="AR149" s="77"/>
      <c r="AS149" s="77"/>
      <c r="AT149" s="77"/>
      <c r="AU149" s="77"/>
      <c r="AV149" s="83" t="str">
        <f>HYPERLINK("https://pbs.twimg.com/profile_images/1283576393662636034/EjgsMA_W_normal.jpg")</f>
        <v>https://pbs.twimg.com/profile_images/1283576393662636034/EjgsMA_W_normal.jpg</v>
      </c>
      <c r="AW149" s="81" t="s">
        <v>640</v>
      </c>
      <c r="AX149" s="81" t="s">
        <v>806</v>
      </c>
      <c r="AY149" s="81" t="s">
        <v>895</v>
      </c>
      <c r="AZ149" s="81" t="s">
        <v>973</v>
      </c>
      <c r="BA149" s="81" t="s">
        <v>1061</v>
      </c>
      <c r="BB149" s="81" t="s">
        <v>1061</v>
      </c>
      <c r="BC149" s="81" t="s">
        <v>973</v>
      </c>
      <c r="BD149" s="81" t="s">
        <v>895</v>
      </c>
      <c r="BE149" s="77"/>
      <c r="BF149" s="77"/>
      <c r="BG149" s="77"/>
      <c r="BH149" s="77"/>
      <c r="BI149" s="77"/>
    </row>
    <row r="150" spans="1:61" x14ac:dyDescent="0.25">
      <c r="A150" s="62" t="s">
        <v>224</v>
      </c>
      <c r="B150" s="62" t="s">
        <v>224</v>
      </c>
      <c r="C150" s="63"/>
      <c r="D150" s="64"/>
      <c r="E150" s="65"/>
      <c r="F150" s="66"/>
      <c r="G150" s="63"/>
      <c r="H150" s="67"/>
      <c r="I150" s="68"/>
      <c r="J150" s="68"/>
      <c r="K150" s="32"/>
      <c r="L150" s="75"/>
      <c r="M150" s="75"/>
      <c r="N150" s="70"/>
      <c r="O150" s="77" t="s">
        <v>225</v>
      </c>
      <c r="P150" s="79">
        <v>45154.476481481484</v>
      </c>
      <c r="Q150" s="77" t="s">
        <v>373</v>
      </c>
      <c r="R150" s="77">
        <v>0</v>
      </c>
      <c r="S150" s="77">
        <v>0</v>
      </c>
      <c r="T150" s="77">
        <v>0</v>
      </c>
      <c r="U150" s="77">
        <v>0</v>
      </c>
      <c r="V150" s="77">
        <v>12</v>
      </c>
      <c r="W150" s="81" t="s">
        <v>392</v>
      </c>
      <c r="X150" s="77"/>
      <c r="Y150" s="77"/>
      <c r="Z150" s="77"/>
      <c r="AA150" s="77"/>
      <c r="AB150" s="77"/>
      <c r="AC150" s="81" t="s">
        <v>399</v>
      </c>
      <c r="AD150" s="77" t="s">
        <v>400</v>
      </c>
      <c r="AE150" s="83" t="str">
        <f>HYPERLINK("https://twitter.com/economedicos/status/1691773329403679102")</f>
        <v>https://twitter.com/economedicos/status/1691773329403679102</v>
      </c>
      <c r="AF150" s="79">
        <v>45154.476481481484</v>
      </c>
      <c r="AG150" s="85">
        <v>45154</v>
      </c>
      <c r="AH150" s="81" t="s">
        <v>545</v>
      </c>
      <c r="AI150" s="77"/>
      <c r="AJ150" s="77"/>
      <c r="AK150" s="77"/>
      <c r="AL150" s="77"/>
      <c r="AM150" s="77"/>
      <c r="AN150" s="77"/>
      <c r="AO150" s="77"/>
      <c r="AP150" s="77"/>
      <c r="AQ150" s="77"/>
      <c r="AR150" s="77"/>
      <c r="AS150" s="77"/>
      <c r="AT150" s="77"/>
      <c r="AU150" s="77"/>
      <c r="AV150" s="83" t="str">
        <f>HYPERLINK("https://pbs.twimg.com/profile_images/1283576393662636034/EjgsMA_W_normal.jpg")</f>
        <v>https://pbs.twimg.com/profile_images/1283576393662636034/EjgsMA_W_normal.jpg</v>
      </c>
      <c r="AW150" s="81" t="s">
        <v>710</v>
      </c>
      <c r="AX150" s="81" t="s">
        <v>876</v>
      </c>
      <c r="AY150" s="81" t="s">
        <v>895</v>
      </c>
      <c r="AZ150" s="81" t="s">
        <v>1042</v>
      </c>
      <c r="BA150" s="81" t="s">
        <v>1061</v>
      </c>
      <c r="BB150" s="81" t="s">
        <v>1061</v>
      </c>
      <c r="BC150" s="81" t="s">
        <v>1042</v>
      </c>
      <c r="BD150" s="81" t="s">
        <v>895</v>
      </c>
      <c r="BE150" s="77"/>
      <c r="BF150" s="77"/>
      <c r="BG150" s="77"/>
      <c r="BH150" s="77"/>
      <c r="BI150" s="77"/>
    </row>
    <row r="151" spans="1:61" x14ac:dyDescent="0.25">
      <c r="A151" s="62" t="s">
        <v>224</v>
      </c>
      <c r="B151" s="62" t="s">
        <v>224</v>
      </c>
      <c r="C151" s="63"/>
      <c r="D151" s="64"/>
      <c r="E151" s="65"/>
      <c r="F151" s="66"/>
      <c r="G151" s="63"/>
      <c r="H151" s="67"/>
      <c r="I151" s="68"/>
      <c r="J151" s="68"/>
      <c r="K151" s="32"/>
      <c r="L151" s="75"/>
      <c r="M151" s="75"/>
      <c r="N151" s="70"/>
      <c r="O151" s="77" t="s">
        <v>225</v>
      </c>
      <c r="P151" s="79">
        <v>45153.447199074071</v>
      </c>
      <c r="Q151" s="77" t="s">
        <v>374</v>
      </c>
      <c r="R151" s="77">
        <v>0</v>
      </c>
      <c r="S151" s="77">
        <v>0</v>
      </c>
      <c r="T151" s="77">
        <v>0</v>
      </c>
      <c r="U151" s="77">
        <v>0</v>
      </c>
      <c r="V151" s="77">
        <v>6</v>
      </c>
      <c r="W151" s="81" t="s">
        <v>392</v>
      </c>
      <c r="X151" s="77"/>
      <c r="Y151" s="77"/>
      <c r="Z151" s="77"/>
      <c r="AA151" s="77"/>
      <c r="AB151" s="77"/>
      <c r="AC151" s="81" t="s">
        <v>399</v>
      </c>
      <c r="AD151" s="77" t="s">
        <v>400</v>
      </c>
      <c r="AE151" s="83" t="str">
        <f>HYPERLINK("https://twitter.com/economedicos/status/1691400332952182784")</f>
        <v>https://twitter.com/economedicos/status/1691400332952182784</v>
      </c>
      <c r="AF151" s="79">
        <v>45153.447199074071</v>
      </c>
      <c r="AG151" s="85">
        <v>45153</v>
      </c>
      <c r="AH151" s="81" t="s">
        <v>546</v>
      </c>
      <c r="AI151" s="77"/>
      <c r="AJ151" s="77"/>
      <c r="AK151" s="77"/>
      <c r="AL151" s="77"/>
      <c r="AM151" s="77"/>
      <c r="AN151" s="77"/>
      <c r="AO151" s="77"/>
      <c r="AP151" s="77"/>
      <c r="AQ151" s="77"/>
      <c r="AR151" s="77"/>
      <c r="AS151" s="77"/>
      <c r="AT151" s="77"/>
      <c r="AU151" s="77"/>
      <c r="AV151" s="83" t="str">
        <f>HYPERLINK("https://pbs.twimg.com/profile_images/1283576393662636034/EjgsMA_W_normal.jpg")</f>
        <v>https://pbs.twimg.com/profile_images/1283576393662636034/EjgsMA_W_normal.jpg</v>
      </c>
      <c r="AW151" s="81" t="s">
        <v>711</v>
      </c>
      <c r="AX151" s="81" t="s">
        <v>877</v>
      </c>
      <c r="AY151" s="81" t="s">
        <v>895</v>
      </c>
      <c r="AZ151" s="81" t="s">
        <v>1043</v>
      </c>
      <c r="BA151" s="81" t="s">
        <v>1061</v>
      </c>
      <c r="BB151" s="81" t="s">
        <v>1061</v>
      </c>
      <c r="BC151" s="81" t="s">
        <v>1043</v>
      </c>
      <c r="BD151" s="81" t="s">
        <v>895</v>
      </c>
      <c r="BE151" s="77"/>
      <c r="BF151" s="77"/>
      <c r="BG151" s="77"/>
      <c r="BH151" s="77"/>
      <c r="BI151" s="77"/>
    </row>
    <row r="152" spans="1:61" x14ac:dyDescent="0.25">
      <c r="A152" s="62" t="s">
        <v>224</v>
      </c>
      <c r="B152" s="62" t="s">
        <v>224</v>
      </c>
      <c r="C152" s="63"/>
      <c r="D152" s="64"/>
      <c r="E152" s="65"/>
      <c r="F152" s="66"/>
      <c r="G152" s="63"/>
      <c r="H152" s="67"/>
      <c r="I152" s="68"/>
      <c r="J152" s="68"/>
      <c r="K152" s="32"/>
      <c r="L152" s="75"/>
      <c r="M152" s="75"/>
      <c r="N152" s="70"/>
      <c r="O152" s="77" t="s">
        <v>225</v>
      </c>
      <c r="P152" s="79">
        <v>45152.465289351851</v>
      </c>
      <c r="Q152" s="77" t="s">
        <v>245</v>
      </c>
      <c r="R152" s="77">
        <v>0</v>
      </c>
      <c r="S152" s="77">
        <v>0</v>
      </c>
      <c r="T152" s="77">
        <v>0</v>
      </c>
      <c r="U152" s="77">
        <v>0</v>
      </c>
      <c r="V152" s="77">
        <v>6</v>
      </c>
      <c r="W152" s="81" t="s">
        <v>392</v>
      </c>
      <c r="X152" s="77"/>
      <c r="Y152" s="77"/>
      <c r="Z152" s="77"/>
      <c r="AA152" s="77"/>
      <c r="AB152" s="77"/>
      <c r="AC152" s="81" t="s">
        <v>399</v>
      </c>
      <c r="AD152" s="77" t="s">
        <v>400</v>
      </c>
      <c r="AE152" s="83" t="str">
        <f>HYPERLINK("https://twitter.com/economedicos/status/1691044500137762816")</f>
        <v>https://twitter.com/economedicos/status/1691044500137762816</v>
      </c>
      <c r="AF152" s="79">
        <v>45152.465289351851</v>
      </c>
      <c r="AG152" s="85">
        <v>45152</v>
      </c>
      <c r="AH152" s="81" t="s">
        <v>420</v>
      </c>
      <c r="AI152" s="77"/>
      <c r="AJ152" s="77"/>
      <c r="AK152" s="77"/>
      <c r="AL152" s="77"/>
      <c r="AM152" s="77"/>
      <c r="AN152" s="77"/>
      <c r="AO152" s="77"/>
      <c r="AP152" s="77"/>
      <c r="AQ152" s="77"/>
      <c r="AR152" s="77"/>
      <c r="AS152" s="77"/>
      <c r="AT152" s="77"/>
      <c r="AU152" s="77"/>
      <c r="AV152" s="83" t="str">
        <f>HYPERLINK("https://pbs.twimg.com/profile_images/1283576393662636034/EjgsMA_W_normal.jpg")</f>
        <v>https://pbs.twimg.com/profile_images/1283576393662636034/EjgsMA_W_normal.jpg</v>
      </c>
      <c r="AW152" s="81" t="s">
        <v>582</v>
      </c>
      <c r="AX152" s="81" t="s">
        <v>748</v>
      </c>
      <c r="AY152" s="81" t="s">
        <v>895</v>
      </c>
      <c r="AZ152" s="81" t="s">
        <v>915</v>
      </c>
      <c r="BA152" s="81" t="s">
        <v>1061</v>
      </c>
      <c r="BB152" s="81" t="s">
        <v>1061</v>
      </c>
      <c r="BC152" s="81" t="s">
        <v>915</v>
      </c>
      <c r="BD152" s="81" t="s">
        <v>895</v>
      </c>
      <c r="BE152" s="77"/>
      <c r="BF152" s="77"/>
      <c r="BG152" s="77"/>
      <c r="BH152" s="77"/>
      <c r="BI152" s="77"/>
    </row>
    <row r="153" spans="1:61" x14ac:dyDescent="0.25">
      <c r="A153" s="62" t="s">
        <v>224</v>
      </c>
      <c r="B153" s="62" t="s">
        <v>224</v>
      </c>
      <c r="C153" s="63"/>
      <c r="D153" s="64"/>
      <c r="E153" s="65"/>
      <c r="F153" s="66"/>
      <c r="G153" s="63"/>
      <c r="H153" s="67"/>
      <c r="I153" s="68"/>
      <c r="J153" s="68"/>
      <c r="K153" s="32"/>
      <c r="L153" s="75"/>
      <c r="M153" s="75"/>
      <c r="N153" s="70"/>
      <c r="O153" s="77" t="s">
        <v>225</v>
      </c>
      <c r="P153" s="79">
        <v>45124.5390162037</v>
      </c>
      <c r="Q153" s="77" t="s">
        <v>247</v>
      </c>
      <c r="R153" s="77">
        <v>0</v>
      </c>
      <c r="S153" s="77">
        <v>0</v>
      </c>
      <c r="T153" s="77">
        <v>0</v>
      </c>
      <c r="U153" s="77">
        <v>0</v>
      </c>
      <c r="V153" s="77">
        <v>6</v>
      </c>
      <c r="W153" s="81" t="s">
        <v>392</v>
      </c>
      <c r="X153" s="77"/>
      <c r="Y153" s="77"/>
      <c r="Z153" s="77"/>
      <c r="AA153" s="77"/>
      <c r="AB153" s="77"/>
      <c r="AC153" s="81" t="s">
        <v>399</v>
      </c>
      <c r="AD153" s="77" t="s">
        <v>400</v>
      </c>
      <c r="AE153" s="83" t="str">
        <f>HYPERLINK("https://twitter.com/economedicos/status/1680924355922886661")</f>
        <v>https://twitter.com/economedicos/status/1680924355922886661</v>
      </c>
      <c r="AF153" s="79">
        <v>45124.5390162037</v>
      </c>
      <c r="AG153" s="85">
        <v>45124</v>
      </c>
      <c r="AH153" s="81" t="s">
        <v>422</v>
      </c>
      <c r="AI153" s="77"/>
      <c r="AJ153" s="77"/>
      <c r="AK153" s="77"/>
      <c r="AL153" s="77"/>
      <c r="AM153" s="77"/>
      <c r="AN153" s="77"/>
      <c r="AO153" s="77"/>
      <c r="AP153" s="77"/>
      <c r="AQ153" s="77"/>
      <c r="AR153" s="77"/>
      <c r="AS153" s="77"/>
      <c r="AT153" s="77"/>
      <c r="AU153" s="77"/>
      <c r="AV153" s="83" t="str">
        <f>HYPERLINK("https://pbs.twimg.com/profile_images/1283576393662636034/EjgsMA_W_normal.jpg")</f>
        <v>https://pbs.twimg.com/profile_images/1283576393662636034/EjgsMA_W_normal.jpg</v>
      </c>
      <c r="AW153" s="81" t="s">
        <v>584</v>
      </c>
      <c r="AX153" s="81" t="s">
        <v>750</v>
      </c>
      <c r="AY153" s="81" t="s">
        <v>895</v>
      </c>
      <c r="AZ153" s="81" t="s">
        <v>917</v>
      </c>
      <c r="BA153" s="81" t="s">
        <v>1061</v>
      </c>
      <c r="BB153" s="81" t="s">
        <v>1061</v>
      </c>
      <c r="BC153" s="81" t="s">
        <v>917</v>
      </c>
      <c r="BD153" s="81" t="s">
        <v>895</v>
      </c>
      <c r="BE153" s="77"/>
      <c r="BF153" s="77"/>
      <c r="BG153" s="77"/>
      <c r="BH153" s="77"/>
      <c r="BI153" s="77"/>
    </row>
    <row r="154" spans="1:61" x14ac:dyDescent="0.25">
      <c r="A154" s="62" t="s">
        <v>224</v>
      </c>
      <c r="B154" s="62" t="s">
        <v>224</v>
      </c>
      <c r="C154" s="63"/>
      <c r="D154" s="64"/>
      <c r="E154" s="65"/>
      <c r="F154" s="66"/>
      <c r="G154" s="63"/>
      <c r="H154" s="67"/>
      <c r="I154" s="68"/>
      <c r="J154" s="68"/>
      <c r="K154" s="32"/>
      <c r="L154" s="75"/>
      <c r="M154" s="75"/>
      <c r="N154" s="70"/>
      <c r="O154" s="77" t="s">
        <v>225</v>
      </c>
      <c r="P154" s="79">
        <v>45121.494259259256</v>
      </c>
      <c r="Q154" s="77" t="s">
        <v>248</v>
      </c>
      <c r="R154" s="77">
        <v>0</v>
      </c>
      <c r="S154" s="77">
        <v>0</v>
      </c>
      <c r="T154" s="77">
        <v>0</v>
      </c>
      <c r="U154" s="77">
        <v>0</v>
      </c>
      <c r="V154" s="77">
        <v>7</v>
      </c>
      <c r="W154" s="81" t="s">
        <v>392</v>
      </c>
      <c r="X154" s="77"/>
      <c r="Y154" s="77"/>
      <c r="Z154" s="77"/>
      <c r="AA154" s="77"/>
      <c r="AB154" s="77"/>
      <c r="AC154" s="81" t="s">
        <v>399</v>
      </c>
      <c r="AD154" s="77" t="s">
        <v>400</v>
      </c>
      <c r="AE154" s="83" t="str">
        <f>HYPERLINK("https://twitter.com/economedicos/status/1679820975246811136")</f>
        <v>https://twitter.com/economedicos/status/1679820975246811136</v>
      </c>
      <c r="AF154" s="79">
        <v>45121.494259259256</v>
      </c>
      <c r="AG154" s="85">
        <v>45121</v>
      </c>
      <c r="AH154" s="81" t="s">
        <v>423</v>
      </c>
      <c r="AI154" s="77"/>
      <c r="AJ154" s="77"/>
      <c r="AK154" s="77"/>
      <c r="AL154" s="77"/>
      <c r="AM154" s="77"/>
      <c r="AN154" s="77"/>
      <c r="AO154" s="77"/>
      <c r="AP154" s="77"/>
      <c r="AQ154" s="77"/>
      <c r="AR154" s="77"/>
      <c r="AS154" s="77"/>
      <c r="AT154" s="77"/>
      <c r="AU154" s="77"/>
      <c r="AV154" s="83" t="str">
        <f>HYPERLINK("https://pbs.twimg.com/profile_images/1283576393662636034/EjgsMA_W_normal.jpg")</f>
        <v>https://pbs.twimg.com/profile_images/1283576393662636034/EjgsMA_W_normal.jpg</v>
      </c>
      <c r="AW154" s="81" t="s">
        <v>585</v>
      </c>
      <c r="AX154" s="81" t="s">
        <v>751</v>
      </c>
      <c r="AY154" s="81" t="s">
        <v>895</v>
      </c>
      <c r="AZ154" s="81" t="s">
        <v>918</v>
      </c>
      <c r="BA154" s="81" t="s">
        <v>1061</v>
      </c>
      <c r="BB154" s="81" t="s">
        <v>1061</v>
      </c>
      <c r="BC154" s="81" t="s">
        <v>918</v>
      </c>
      <c r="BD154" s="81" t="s">
        <v>895</v>
      </c>
      <c r="BE154" s="77"/>
      <c r="BF154" s="77"/>
      <c r="BG154" s="77"/>
      <c r="BH154" s="77"/>
      <c r="BI154" s="77"/>
    </row>
    <row r="155" spans="1:61" x14ac:dyDescent="0.25">
      <c r="A155" s="62" t="s">
        <v>224</v>
      </c>
      <c r="B155" s="62" t="s">
        <v>224</v>
      </c>
      <c r="C155" s="63"/>
      <c r="D155" s="64"/>
      <c r="E155" s="65"/>
      <c r="F155" s="66"/>
      <c r="G155" s="63"/>
      <c r="H155" s="67"/>
      <c r="I155" s="68"/>
      <c r="J155" s="68"/>
      <c r="K155" s="32"/>
      <c r="L155" s="75"/>
      <c r="M155" s="75"/>
      <c r="N155" s="70"/>
      <c r="O155" s="77" t="s">
        <v>225</v>
      </c>
      <c r="P155" s="79">
        <v>45120.475092592591</v>
      </c>
      <c r="Q155" s="77" t="s">
        <v>268</v>
      </c>
      <c r="R155" s="77">
        <v>0</v>
      </c>
      <c r="S155" s="77">
        <v>0</v>
      </c>
      <c r="T155" s="77">
        <v>0</v>
      </c>
      <c r="U155" s="77">
        <v>0</v>
      </c>
      <c r="V155" s="77">
        <v>5</v>
      </c>
      <c r="W155" s="81" t="s">
        <v>392</v>
      </c>
      <c r="X155" s="77"/>
      <c r="Y155" s="77"/>
      <c r="Z155" s="77"/>
      <c r="AA155" s="77"/>
      <c r="AB155" s="77"/>
      <c r="AC155" s="81" t="s">
        <v>399</v>
      </c>
      <c r="AD155" s="77" t="s">
        <v>400</v>
      </c>
      <c r="AE155" s="83" t="str">
        <f>HYPERLINK("https://twitter.com/economedicos/status/1679451641110511618")</f>
        <v>https://twitter.com/economedicos/status/1679451641110511618</v>
      </c>
      <c r="AF155" s="79">
        <v>45120.475092592591</v>
      </c>
      <c r="AG155" s="85">
        <v>45120</v>
      </c>
      <c r="AH155" s="81" t="s">
        <v>443</v>
      </c>
      <c r="AI155" s="77"/>
      <c r="AJ155" s="77"/>
      <c r="AK155" s="77"/>
      <c r="AL155" s="77"/>
      <c r="AM155" s="77"/>
      <c r="AN155" s="77"/>
      <c r="AO155" s="77"/>
      <c r="AP155" s="77"/>
      <c r="AQ155" s="77"/>
      <c r="AR155" s="77"/>
      <c r="AS155" s="77"/>
      <c r="AT155" s="77"/>
      <c r="AU155" s="77"/>
      <c r="AV155" s="83" t="str">
        <f>HYPERLINK("https://pbs.twimg.com/profile_images/1283576393662636034/EjgsMA_W_normal.jpg")</f>
        <v>https://pbs.twimg.com/profile_images/1283576393662636034/EjgsMA_W_normal.jpg</v>
      </c>
      <c r="AW155" s="81" t="s">
        <v>605</v>
      </c>
      <c r="AX155" s="81" t="s">
        <v>771</v>
      </c>
      <c r="AY155" s="81" t="s">
        <v>895</v>
      </c>
      <c r="AZ155" s="81" t="s">
        <v>938</v>
      </c>
      <c r="BA155" s="81" t="s">
        <v>1061</v>
      </c>
      <c r="BB155" s="81" t="s">
        <v>1061</v>
      </c>
      <c r="BC155" s="81" t="s">
        <v>938</v>
      </c>
      <c r="BD155" s="81" t="s">
        <v>895</v>
      </c>
      <c r="BE155" s="77"/>
      <c r="BF155" s="77"/>
      <c r="BG155" s="77"/>
      <c r="BH155" s="77"/>
      <c r="BI155" s="77"/>
    </row>
    <row r="156" spans="1:61" x14ac:dyDescent="0.25">
      <c r="A156" s="62" t="s">
        <v>224</v>
      </c>
      <c r="B156" s="62" t="s">
        <v>224</v>
      </c>
      <c r="C156" s="63"/>
      <c r="D156" s="64"/>
      <c r="E156" s="65"/>
      <c r="F156" s="66"/>
      <c r="G156" s="63"/>
      <c r="H156" s="67"/>
      <c r="I156" s="68"/>
      <c r="J156" s="68"/>
      <c r="K156" s="32"/>
      <c r="L156" s="75"/>
      <c r="M156" s="75"/>
      <c r="N156" s="70"/>
      <c r="O156" s="77" t="s">
        <v>225</v>
      </c>
      <c r="P156" s="79">
        <v>45119.423217592594</v>
      </c>
      <c r="Q156" s="77" t="s">
        <v>269</v>
      </c>
      <c r="R156" s="77">
        <v>0</v>
      </c>
      <c r="S156" s="77">
        <v>1</v>
      </c>
      <c r="T156" s="77">
        <v>0</v>
      </c>
      <c r="U156" s="77">
        <v>0</v>
      </c>
      <c r="V156" s="77">
        <v>12</v>
      </c>
      <c r="W156" s="81" t="s">
        <v>392</v>
      </c>
      <c r="X156" s="77"/>
      <c r="Y156" s="77"/>
      <c r="Z156" s="77"/>
      <c r="AA156" s="77"/>
      <c r="AB156" s="77"/>
      <c r="AC156" s="81" t="s">
        <v>399</v>
      </c>
      <c r="AD156" s="77" t="s">
        <v>400</v>
      </c>
      <c r="AE156" s="83" t="str">
        <f>HYPERLINK("https://twitter.com/economedicos/status/1679070454605131776")</f>
        <v>https://twitter.com/economedicos/status/1679070454605131776</v>
      </c>
      <c r="AF156" s="79">
        <v>45119.423217592594</v>
      </c>
      <c r="AG156" s="85">
        <v>45119</v>
      </c>
      <c r="AH156" s="81" t="s">
        <v>444</v>
      </c>
      <c r="AI156" s="77"/>
      <c r="AJ156" s="77"/>
      <c r="AK156" s="77"/>
      <c r="AL156" s="77"/>
      <c r="AM156" s="77"/>
      <c r="AN156" s="77"/>
      <c r="AO156" s="77"/>
      <c r="AP156" s="77"/>
      <c r="AQ156" s="77"/>
      <c r="AR156" s="77"/>
      <c r="AS156" s="77"/>
      <c r="AT156" s="77"/>
      <c r="AU156" s="77"/>
      <c r="AV156" s="83" t="str">
        <f>HYPERLINK("https://pbs.twimg.com/profile_images/1283576393662636034/EjgsMA_W_normal.jpg")</f>
        <v>https://pbs.twimg.com/profile_images/1283576393662636034/EjgsMA_W_normal.jpg</v>
      </c>
      <c r="AW156" s="81" t="s">
        <v>606</v>
      </c>
      <c r="AX156" s="81" t="s">
        <v>772</v>
      </c>
      <c r="AY156" s="81" t="s">
        <v>895</v>
      </c>
      <c r="AZ156" s="81" t="s">
        <v>939</v>
      </c>
      <c r="BA156" s="81" t="s">
        <v>1061</v>
      </c>
      <c r="BB156" s="81" t="s">
        <v>1061</v>
      </c>
      <c r="BC156" s="81" t="s">
        <v>939</v>
      </c>
      <c r="BD156" s="81" t="s">
        <v>895</v>
      </c>
      <c r="BE156" s="77"/>
      <c r="BF156" s="77"/>
      <c r="BG156" s="77"/>
      <c r="BH156" s="77"/>
      <c r="BI156" s="77"/>
    </row>
    <row r="157" spans="1:61" x14ac:dyDescent="0.25">
      <c r="A157" s="62" t="s">
        <v>224</v>
      </c>
      <c r="B157" s="62" t="s">
        <v>224</v>
      </c>
      <c r="C157" s="63"/>
      <c r="D157" s="64"/>
      <c r="E157" s="65"/>
      <c r="F157" s="66"/>
      <c r="G157" s="63"/>
      <c r="H157" s="67"/>
      <c r="I157" s="68"/>
      <c r="J157" s="68"/>
      <c r="K157" s="32"/>
      <c r="L157" s="75"/>
      <c r="M157" s="75"/>
      <c r="N157" s="70"/>
      <c r="O157" s="77" t="s">
        <v>225</v>
      </c>
      <c r="P157" s="79">
        <v>45072.465914351851</v>
      </c>
      <c r="Q157" s="77" t="s">
        <v>309</v>
      </c>
      <c r="R157" s="77">
        <v>0</v>
      </c>
      <c r="S157" s="77">
        <v>0</v>
      </c>
      <c r="T157" s="77">
        <v>0</v>
      </c>
      <c r="U157" s="77">
        <v>0</v>
      </c>
      <c r="V157" s="77">
        <v>4</v>
      </c>
      <c r="W157" s="81" t="s">
        <v>392</v>
      </c>
      <c r="X157" s="77"/>
      <c r="Y157" s="77"/>
      <c r="Z157" s="77"/>
      <c r="AA157" s="77"/>
      <c r="AB157" s="77"/>
      <c r="AC157" s="81" t="s">
        <v>399</v>
      </c>
      <c r="AD157" s="77" t="s">
        <v>400</v>
      </c>
      <c r="AE157" s="83" t="str">
        <f>HYPERLINK("https://twitter.com/economedicos/status/1662053697549991939")</f>
        <v>https://twitter.com/economedicos/status/1662053697549991939</v>
      </c>
      <c r="AF157" s="79">
        <v>45072.465914351851</v>
      </c>
      <c r="AG157" s="85">
        <v>45072</v>
      </c>
      <c r="AH157" s="81" t="s">
        <v>483</v>
      </c>
      <c r="AI157" s="77"/>
      <c r="AJ157" s="77"/>
      <c r="AK157" s="77"/>
      <c r="AL157" s="77"/>
      <c r="AM157" s="77"/>
      <c r="AN157" s="77"/>
      <c r="AO157" s="77"/>
      <c r="AP157" s="77"/>
      <c r="AQ157" s="77"/>
      <c r="AR157" s="77"/>
      <c r="AS157" s="77"/>
      <c r="AT157" s="77"/>
      <c r="AU157" s="77"/>
      <c r="AV157" s="83" t="str">
        <f>HYPERLINK("https://pbs.twimg.com/profile_images/1283576393662636034/EjgsMA_W_normal.jpg")</f>
        <v>https://pbs.twimg.com/profile_images/1283576393662636034/EjgsMA_W_normal.jpg</v>
      </c>
      <c r="AW157" s="81" t="s">
        <v>646</v>
      </c>
      <c r="AX157" s="81" t="s">
        <v>812</v>
      </c>
      <c r="AY157" s="81" t="s">
        <v>895</v>
      </c>
      <c r="AZ157" s="81" t="s">
        <v>979</v>
      </c>
      <c r="BA157" s="81" t="s">
        <v>1061</v>
      </c>
      <c r="BB157" s="81" t="s">
        <v>1061</v>
      </c>
      <c r="BC157" s="81" t="s">
        <v>979</v>
      </c>
      <c r="BD157" s="81" t="s">
        <v>895</v>
      </c>
      <c r="BE157" s="77"/>
      <c r="BF157" s="77"/>
      <c r="BG157" s="77"/>
      <c r="BH157" s="77"/>
      <c r="BI157" s="77"/>
    </row>
    <row r="158" spans="1:61" x14ac:dyDescent="0.25">
      <c r="A158" s="62" t="s">
        <v>224</v>
      </c>
      <c r="B158" s="62" t="s">
        <v>224</v>
      </c>
      <c r="C158" s="63"/>
      <c r="D158" s="64"/>
      <c r="E158" s="65"/>
      <c r="F158" s="66"/>
      <c r="G158" s="63"/>
      <c r="H158" s="67"/>
      <c r="I158" s="68"/>
      <c r="J158" s="68"/>
      <c r="K158" s="32"/>
      <c r="L158" s="75"/>
      <c r="M158" s="75"/>
      <c r="N158" s="70"/>
      <c r="O158" s="77" t="s">
        <v>225</v>
      </c>
      <c r="P158" s="79">
        <v>45071.434062499997</v>
      </c>
      <c r="Q158" s="77" t="s">
        <v>379</v>
      </c>
      <c r="R158" s="77">
        <v>0</v>
      </c>
      <c r="S158" s="77">
        <v>0</v>
      </c>
      <c r="T158" s="77">
        <v>0</v>
      </c>
      <c r="U158" s="77">
        <v>0</v>
      </c>
      <c r="V158" s="77">
        <v>10</v>
      </c>
      <c r="W158" s="81" t="s">
        <v>392</v>
      </c>
      <c r="X158" s="77"/>
      <c r="Y158" s="77"/>
      <c r="Z158" s="77"/>
      <c r="AA158" s="77"/>
      <c r="AB158" s="77"/>
      <c r="AC158" s="81" t="s">
        <v>399</v>
      </c>
      <c r="AD158" s="77" t="s">
        <v>400</v>
      </c>
      <c r="AE158" s="83" t="str">
        <f>HYPERLINK("https://twitter.com/economedicos/status/1661679766875824130")</f>
        <v>https://twitter.com/economedicos/status/1661679766875824130</v>
      </c>
      <c r="AF158" s="79">
        <v>45071.434062499997</v>
      </c>
      <c r="AG158" s="85">
        <v>45071</v>
      </c>
      <c r="AH158" s="81" t="s">
        <v>551</v>
      </c>
      <c r="AI158" s="77"/>
      <c r="AJ158" s="77"/>
      <c r="AK158" s="77"/>
      <c r="AL158" s="77"/>
      <c r="AM158" s="77"/>
      <c r="AN158" s="77"/>
      <c r="AO158" s="77"/>
      <c r="AP158" s="77"/>
      <c r="AQ158" s="77"/>
      <c r="AR158" s="77"/>
      <c r="AS158" s="77"/>
      <c r="AT158" s="77"/>
      <c r="AU158" s="77"/>
      <c r="AV158" s="83" t="str">
        <f>HYPERLINK("https://pbs.twimg.com/profile_images/1283576393662636034/EjgsMA_W_normal.jpg")</f>
        <v>https://pbs.twimg.com/profile_images/1283576393662636034/EjgsMA_W_normal.jpg</v>
      </c>
      <c r="AW158" s="81" t="s">
        <v>716</v>
      </c>
      <c r="AX158" s="81" t="s">
        <v>882</v>
      </c>
      <c r="AY158" s="81" t="s">
        <v>895</v>
      </c>
      <c r="AZ158" s="81" t="s">
        <v>1048</v>
      </c>
      <c r="BA158" s="81" t="s">
        <v>1061</v>
      </c>
      <c r="BB158" s="81" t="s">
        <v>1061</v>
      </c>
      <c r="BC158" s="81" t="s">
        <v>1048</v>
      </c>
      <c r="BD158" s="81" t="s">
        <v>895</v>
      </c>
      <c r="BE158" s="77"/>
      <c r="BF158" s="77"/>
      <c r="BG158" s="77"/>
      <c r="BH158" s="77"/>
      <c r="BI158" s="77"/>
    </row>
    <row r="159" spans="1:61" x14ac:dyDescent="0.25">
      <c r="A159" s="62" t="s">
        <v>224</v>
      </c>
      <c r="B159" s="62" t="s">
        <v>224</v>
      </c>
      <c r="C159" s="63"/>
      <c r="D159" s="64"/>
      <c r="E159" s="65"/>
      <c r="F159" s="66"/>
      <c r="G159" s="63"/>
      <c r="H159" s="67"/>
      <c r="I159" s="68"/>
      <c r="J159" s="68"/>
      <c r="K159" s="32"/>
      <c r="L159" s="75"/>
      <c r="M159" s="75"/>
      <c r="N159" s="70"/>
      <c r="O159" s="77" t="s">
        <v>225</v>
      </c>
      <c r="P159" s="79">
        <v>45070.44871527778</v>
      </c>
      <c r="Q159" s="77" t="s">
        <v>380</v>
      </c>
      <c r="R159" s="77">
        <v>0</v>
      </c>
      <c r="S159" s="77">
        <v>0</v>
      </c>
      <c r="T159" s="77">
        <v>0</v>
      </c>
      <c r="U159" s="77">
        <v>0</v>
      </c>
      <c r="V159" s="77">
        <v>24</v>
      </c>
      <c r="W159" s="81" t="s">
        <v>392</v>
      </c>
      <c r="X159" s="77"/>
      <c r="Y159" s="77"/>
      <c r="Z159" s="77"/>
      <c r="AA159" s="77"/>
      <c r="AB159" s="77"/>
      <c r="AC159" s="81" t="s">
        <v>399</v>
      </c>
      <c r="AD159" s="77" t="s">
        <v>400</v>
      </c>
      <c r="AE159" s="83" t="str">
        <f>HYPERLINK("https://twitter.com/economedicos/status/1661322687388459008")</f>
        <v>https://twitter.com/economedicos/status/1661322687388459008</v>
      </c>
      <c r="AF159" s="79">
        <v>45070.44871527778</v>
      </c>
      <c r="AG159" s="85">
        <v>45070</v>
      </c>
      <c r="AH159" s="81" t="s">
        <v>552</v>
      </c>
      <c r="AI159" s="77"/>
      <c r="AJ159" s="77"/>
      <c r="AK159" s="77"/>
      <c r="AL159" s="77"/>
      <c r="AM159" s="77"/>
      <c r="AN159" s="77"/>
      <c r="AO159" s="77"/>
      <c r="AP159" s="77"/>
      <c r="AQ159" s="77"/>
      <c r="AR159" s="77"/>
      <c r="AS159" s="77"/>
      <c r="AT159" s="77"/>
      <c r="AU159" s="77"/>
      <c r="AV159" s="83" t="str">
        <f>HYPERLINK("https://pbs.twimg.com/profile_images/1283576393662636034/EjgsMA_W_normal.jpg")</f>
        <v>https://pbs.twimg.com/profile_images/1283576393662636034/EjgsMA_W_normal.jpg</v>
      </c>
      <c r="AW159" s="81" t="s">
        <v>717</v>
      </c>
      <c r="AX159" s="81" t="s">
        <v>883</v>
      </c>
      <c r="AY159" s="81" t="s">
        <v>895</v>
      </c>
      <c r="AZ159" s="81" t="s">
        <v>1049</v>
      </c>
      <c r="BA159" s="81" t="s">
        <v>1061</v>
      </c>
      <c r="BB159" s="81" t="s">
        <v>1061</v>
      </c>
      <c r="BC159" s="81" t="s">
        <v>1049</v>
      </c>
      <c r="BD159" s="81" t="s">
        <v>895</v>
      </c>
      <c r="BE159" s="77"/>
      <c r="BF159" s="77"/>
      <c r="BG159" s="77"/>
      <c r="BH159" s="77"/>
      <c r="BI159" s="77"/>
    </row>
    <row r="160" spans="1:61" x14ac:dyDescent="0.25">
      <c r="A160" s="62" t="s">
        <v>224</v>
      </c>
      <c r="B160" s="62" t="s">
        <v>224</v>
      </c>
      <c r="C160" s="63"/>
      <c r="D160" s="64"/>
      <c r="E160" s="65"/>
      <c r="F160" s="66"/>
      <c r="G160" s="63"/>
      <c r="H160" s="67"/>
      <c r="I160" s="68"/>
      <c r="J160" s="68"/>
      <c r="K160" s="32"/>
      <c r="L160" s="75"/>
      <c r="M160" s="75"/>
      <c r="N160" s="70"/>
      <c r="O160" s="77" t="s">
        <v>225</v>
      </c>
      <c r="P160" s="79">
        <v>45069.439189814817</v>
      </c>
      <c r="Q160" s="77" t="s">
        <v>381</v>
      </c>
      <c r="R160" s="77">
        <v>0</v>
      </c>
      <c r="S160" s="77">
        <v>0</v>
      </c>
      <c r="T160" s="77">
        <v>0</v>
      </c>
      <c r="U160" s="77">
        <v>0</v>
      </c>
      <c r="V160" s="77">
        <v>13</v>
      </c>
      <c r="W160" s="81" t="s">
        <v>392</v>
      </c>
      <c r="X160" s="77"/>
      <c r="Y160" s="77"/>
      <c r="Z160" s="77"/>
      <c r="AA160" s="77"/>
      <c r="AB160" s="77"/>
      <c r="AC160" s="81" t="s">
        <v>399</v>
      </c>
      <c r="AD160" s="77" t="s">
        <v>400</v>
      </c>
      <c r="AE160" s="83" t="str">
        <f>HYPERLINK("https://twitter.com/economedicos/status/1660956849737285639")</f>
        <v>https://twitter.com/economedicos/status/1660956849737285639</v>
      </c>
      <c r="AF160" s="79">
        <v>45069.439189814817</v>
      </c>
      <c r="AG160" s="85">
        <v>45069</v>
      </c>
      <c r="AH160" s="81" t="s">
        <v>553</v>
      </c>
      <c r="AI160" s="77"/>
      <c r="AJ160" s="77"/>
      <c r="AK160" s="77"/>
      <c r="AL160" s="77"/>
      <c r="AM160" s="77"/>
      <c r="AN160" s="77"/>
      <c r="AO160" s="77"/>
      <c r="AP160" s="77"/>
      <c r="AQ160" s="77"/>
      <c r="AR160" s="77"/>
      <c r="AS160" s="77"/>
      <c r="AT160" s="77"/>
      <c r="AU160" s="77"/>
      <c r="AV160" s="83" t="str">
        <f>HYPERLINK("https://pbs.twimg.com/profile_images/1283576393662636034/EjgsMA_W_normal.jpg")</f>
        <v>https://pbs.twimg.com/profile_images/1283576393662636034/EjgsMA_W_normal.jpg</v>
      </c>
      <c r="AW160" s="81" t="s">
        <v>718</v>
      </c>
      <c r="AX160" s="81" t="s">
        <v>884</v>
      </c>
      <c r="AY160" s="81" t="s">
        <v>895</v>
      </c>
      <c r="AZ160" s="81" t="s">
        <v>1050</v>
      </c>
      <c r="BA160" s="81" t="s">
        <v>1061</v>
      </c>
      <c r="BB160" s="81" t="s">
        <v>1061</v>
      </c>
      <c r="BC160" s="81" t="s">
        <v>1050</v>
      </c>
      <c r="BD160" s="81" t="s">
        <v>895</v>
      </c>
      <c r="BE160" s="77"/>
      <c r="BF160" s="77"/>
      <c r="BG160" s="77"/>
      <c r="BH160" s="77"/>
      <c r="BI160" s="77"/>
    </row>
    <row r="161" spans="1:61" x14ac:dyDescent="0.25">
      <c r="A161" s="62" t="s">
        <v>224</v>
      </c>
      <c r="B161" s="62" t="s">
        <v>224</v>
      </c>
      <c r="C161" s="63"/>
      <c r="D161" s="64"/>
      <c r="E161" s="65"/>
      <c r="F161" s="66"/>
      <c r="G161" s="63"/>
      <c r="H161" s="67"/>
      <c r="I161" s="68"/>
      <c r="J161" s="68"/>
      <c r="K161" s="32"/>
      <c r="L161" s="75"/>
      <c r="M161" s="75"/>
      <c r="N161" s="70"/>
      <c r="O161" s="77" t="s">
        <v>225</v>
      </c>
      <c r="P161" s="79">
        <v>45008.429131944446</v>
      </c>
      <c r="Q161" s="77" t="s">
        <v>364</v>
      </c>
      <c r="R161" s="77">
        <v>0</v>
      </c>
      <c r="S161" s="77">
        <v>0</v>
      </c>
      <c r="T161" s="77">
        <v>0</v>
      </c>
      <c r="U161" s="77">
        <v>0</v>
      </c>
      <c r="V161" s="77">
        <v>2</v>
      </c>
      <c r="W161" s="81" t="s">
        <v>392</v>
      </c>
      <c r="X161" s="77"/>
      <c r="Y161" s="77"/>
      <c r="Z161" s="77"/>
      <c r="AA161" s="77"/>
      <c r="AB161" s="77"/>
      <c r="AC161" s="81" t="s">
        <v>399</v>
      </c>
      <c r="AD161" s="77" t="s">
        <v>400</v>
      </c>
      <c r="AE161" s="83" t="str">
        <f>HYPERLINK("https://twitter.com/economedicos/status/1638847544192126976")</f>
        <v>https://twitter.com/economedicos/status/1638847544192126976</v>
      </c>
      <c r="AF161" s="79">
        <v>45008.429131944446</v>
      </c>
      <c r="AG161" s="85">
        <v>45008</v>
      </c>
      <c r="AH161" s="81" t="s">
        <v>536</v>
      </c>
      <c r="AI161" s="77"/>
      <c r="AJ161" s="77"/>
      <c r="AK161" s="77"/>
      <c r="AL161" s="77"/>
      <c r="AM161" s="77"/>
      <c r="AN161" s="77"/>
      <c r="AO161" s="77"/>
      <c r="AP161" s="77"/>
      <c r="AQ161" s="77"/>
      <c r="AR161" s="77"/>
      <c r="AS161" s="77"/>
      <c r="AT161" s="77"/>
      <c r="AU161" s="77"/>
      <c r="AV161" s="83" t="str">
        <f>HYPERLINK("https://pbs.twimg.com/profile_images/1283576393662636034/EjgsMA_W_normal.jpg")</f>
        <v>https://pbs.twimg.com/profile_images/1283576393662636034/EjgsMA_W_normal.jpg</v>
      </c>
      <c r="AW161" s="81" t="s">
        <v>701</v>
      </c>
      <c r="AX161" s="81" t="s">
        <v>867</v>
      </c>
      <c r="AY161" s="81" t="s">
        <v>895</v>
      </c>
      <c r="AZ161" s="81" t="s">
        <v>1034</v>
      </c>
      <c r="BA161" s="81" t="s">
        <v>1061</v>
      </c>
      <c r="BB161" s="81" t="s">
        <v>1061</v>
      </c>
      <c r="BC161" s="81" t="s">
        <v>1034</v>
      </c>
      <c r="BD161" s="81" t="s">
        <v>895</v>
      </c>
      <c r="BE161" s="77"/>
      <c r="BF161" s="77"/>
      <c r="BG161" s="77"/>
      <c r="BH161" s="77"/>
      <c r="BI161" s="77"/>
    </row>
    <row r="162" spans="1:61" x14ac:dyDescent="0.25">
      <c r="A162" s="62" t="s">
        <v>224</v>
      </c>
      <c r="B162" s="62" t="s">
        <v>224</v>
      </c>
      <c r="C162" s="63"/>
      <c r="D162" s="64"/>
      <c r="E162" s="65"/>
      <c r="F162" s="66"/>
      <c r="G162" s="63"/>
      <c r="H162" s="67"/>
      <c r="I162" s="68"/>
      <c r="J162" s="68"/>
      <c r="K162" s="32"/>
      <c r="L162" s="75"/>
      <c r="M162" s="75"/>
      <c r="N162" s="70"/>
      <c r="O162" s="77" t="s">
        <v>225</v>
      </c>
      <c r="P162" s="79">
        <v>45007.459872685184</v>
      </c>
      <c r="Q162" s="77" t="s">
        <v>365</v>
      </c>
      <c r="R162" s="77">
        <v>0</v>
      </c>
      <c r="S162" s="77">
        <v>0</v>
      </c>
      <c r="T162" s="77">
        <v>0</v>
      </c>
      <c r="U162" s="77">
        <v>0</v>
      </c>
      <c r="V162" s="77">
        <v>3</v>
      </c>
      <c r="W162" s="81" t="s">
        <v>392</v>
      </c>
      <c r="X162" s="77"/>
      <c r="Y162" s="77"/>
      <c r="Z162" s="77"/>
      <c r="AA162" s="77"/>
      <c r="AB162" s="77"/>
      <c r="AC162" s="81" t="s">
        <v>399</v>
      </c>
      <c r="AD162" s="77" t="s">
        <v>400</v>
      </c>
      <c r="AE162" s="83" t="str">
        <f>HYPERLINK("https://twitter.com/economedicos/status/1638496295022219264")</f>
        <v>https://twitter.com/economedicos/status/1638496295022219264</v>
      </c>
      <c r="AF162" s="79">
        <v>45007.459872685184</v>
      </c>
      <c r="AG162" s="85">
        <v>45007</v>
      </c>
      <c r="AH162" s="81" t="s">
        <v>537</v>
      </c>
      <c r="AI162" s="77"/>
      <c r="AJ162" s="77"/>
      <c r="AK162" s="77"/>
      <c r="AL162" s="77"/>
      <c r="AM162" s="77"/>
      <c r="AN162" s="77"/>
      <c r="AO162" s="77"/>
      <c r="AP162" s="77"/>
      <c r="AQ162" s="77"/>
      <c r="AR162" s="77"/>
      <c r="AS162" s="77"/>
      <c r="AT162" s="77"/>
      <c r="AU162" s="77"/>
      <c r="AV162" s="83" t="str">
        <f>HYPERLINK("https://pbs.twimg.com/profile_images/1283576393662636034/EjgsMA_W_normal.jpg")</f>
        <v>https://pbs.twimg.com/profile_images/1283576393662636034/EjgsMA_W_normal.jpg</v>
      </c>
      <c r="AW162" s="81" t="s">
        <v>702</v>
      </c>
      <c r="AX162" s="81" t="s">
        <v>868</v>
      </c>
      <c r="AY162" s="81" t="s">
        <v>895</v>
      </c>
      <c r="AZ162" s="81" t="s">
        <v>1035</v>
      </c>
      <c r="BA162" s="81" t="s">
        <v>1061</v>
      </c>
      <c r="BB162" s="81" t="s">
        <v>1061</v>
      </c>
      <c r="BC162" s="81" t="s">
        <v>1035</v>
      </c>
      <c r="BD162" s="81" t="s">
        <v>895</v>
      </c>
      <c r="BE162" s="77"/>
      <c r="BF162" s="77"/>
      <c r="BG162" s="77"/>
      <c r="BH162" s="77"/>
      <c r="BI162" s="77"/>
    </row>
    <row r="163" spans="1:61" x14ac:dyDescent="0.25">
      <c r="A163" s="62" t="s">
        <v>224</v>
      </c>
      <c r="B163" s="62" t="s">
        <v>224</v>
      </c>
      <c r="C163" s="63"/>
      <c r="D163" s="64"/>
      <c r="E163" s="65"/>
      <c r="F163" s="66"/>
      <c r="G163" s="63"/>
      <c r="H163" s="67"/>
      <c r="I163" s="68"/>
      <c r="J163" s="68"/>
      <c r="K163" s="32"/>
      <c r="L163" s="75"/>
      <c r="M163" s="75"/>
      <c r="N163" s="70"/>
      <c r="O163" s="77" t="s">
        <v>225</v>
      </c>
      <c r="P163" s="79">
        <v>45005.434895833336</v>
      </c>
      <c r="Q163" s="77" t="s">
        <v>383</v>
      </c>
      <c r="R163" s="77">
        <v>0</v>
      </c>
      <c r="S163" s="77">
        <v>0</v>
      </c>
      <c r="T163" s="77">
        <v>0</v>
      </c>
      <c r="U163" s="77">
        <v>0</v>
      </c>
      <c r="V163" s="77">
        <v>8</v>
      </c>
      <c r="W163" s="81" t="s">
        <v>392</v>
      </c>
      <c r="X163" s="77"/>
      <c r="Y163" s="77"/>
      <c r="Z163" s="77"/>
      <c r="AA163" s="77"/>
      <c r="AB163" s="77"/>
      <c r="AC163" s="81" t="s">
        <v>399</v>
      </c>
      <c r="AD163" s="77" t="s">
        <v>400</v>
      </c>
      <c r="AE163" s="83" t="str">
        <f>HYPERLINK("https://twitter.com/economedicos/status/1637762470579171328")</f>
        <v>https://twitter.com/economedicos/status/1637762470579171328</v>
      </c>
      <c r="AF163" s="79">
        <v>45005.434895833336</v>
      </c>
      <c r="AG163" s="85">
        <v>45005</v>
      </c>
      <c r="AH163" s="81" t="s">
        <v>555</v>
      </c>
      <c r="AI163" s="77"/>
      <c r="AJ163" s="77"/>
      <c r="AK163" s="77"/>
      <c r="AL163" s="77"/>
      <c r="AM163" s="77"/>
      <c r="AN163" s="77"/>
      <c r="AO163" s="77"/>
      <c r="AP163" s="77"/>
      <c r="AQ163" s="77"/>
      <c r="AR163" s="77"/>
      <c r="AS163" s="77"/>
      <c r="AT163" s="77"/>
      <c r="AU163" s="77"/>
      <c r="AV163" s="83" t="str">
        <f>HYPERLINK("https://pbs.twimg.com/profile_images/1283576393662636034/EjgsMA_W_normal.jpg")</f>
        <v>https://pbs.twimg.com/profile_images/1283576393662636034/EjgsMA_W_normal.jpg</v>
      </c>
      <c r="AW163" s="81" t="s">
        <v>720</v>
      </c>
      <c r="AX163" s="81" t="s">
        <v>886</v>
      </c>
      <c r="AY163" s="81" t="s">
        <v>895</v>
      </c>
      <c r="AZ163" s="81" t="s">
        <v>1052</v>
      </c>
      <c r="BA163" s="81" t="s">
        <v>1061</v>
      </c>
      <c r="BB163" s="81" t="s">
        <v>1061</v>
      </c>
      <c r="BC163" s="81" t="s">
        <v>1052</v>
      </c>
      <c r="BD163" s="81" t="s">
        <v>895</v>
      </c>
      <c r="BE163" s="77"/>
      <c r="BF163" s="77"/>
      <c r="BG163" s="77"/>
      <c r="BH163" s="77"/>
      <c r="BI163" s="77"/>
    </row>
    <row r="164" spans="1:61" x14ac:dyDescent="0.25">
      <c r="A164" s="62" t="s">
        <v>224</v>
      </c>
      <c r="B164" s="62" t="s">
        <v>224</v>
      </c>
      <c r="C164" s="63"/>
      <c r="D164" s="64"/>
      <c r="E164" s="65"/>
      <c r="F164" s="66"/>
      <c r="G164" s="63"/>
      <c r="H164" s="67"/>
      <c r="I164" s="68"/>
      <c r="J164" s="68"/>
      <c r="K164" s="32"/>
      <c r="L164" s="75"/>
      <c r="M164" s="75"/>
      <c r="N164" s="70"/>
      <c r="O164" s="77" t="s">
        <v>225</v>
      </c>
      <c r="P164" s="79">
        <v>45005.430868055555</v>
      </c>
      <c r="Q164" s="77" t="s">
        <v>383</v>
      </c>
      <c r="R164" s="77">
        <v>0</v>
      </c>
      <c r="S164" s="77">
        <v>0</v>
      </c>
      <c r="T164" s="77">
        <v>0</v>
      </c>
      <c r="U164" s="77">
        <v>0</v>
      </c>
      <c r="V164" s="77">
        <v>7</v>
      </c>
      <c r="W164" s="81" t="s">
        <v>392</v>
      </c>
      <c r="X164" s="77"/>
      <c r="Y164" s="77"/>
      <c r="Z164" s="77"/>
      <c r="AA164" s="77"/>
      <c r="AB164" s="77"/>
      <c r="AC164" s="81" t="s">
        <v>399</v>
      </c>
      <c r="AD164" s="77" t="s">
        <v>400</v>
      </c>
      <c r="AE164" s="83" t="str">
        <f>HYPERLINK("https://twitter.com/economedicos/status/1637761008511877125")</f>
        <v>https://twitter.com/economedicos/status/1637761008511877125</v>
      </c>
      <c r="AF164" s="79">
        <v>45005.430868055555</v>
      </c>
      <c r="AG164" s="85">
        <v>45005</v>
      </c>
      <c r="AH164" s="81" t="s">
        <v>556</v>
      </c>
      <c r="AI164" s="77"/>
      <c r="AJ164" s="77"/>
      <c r="AK164" s="77"/>
      <c r="AL164" s="77"/>
      <c r="AM164" s="77"/>
      <c r="AN164" s="77"/>
      <c r="AO164" s="77"/>
      <c r="AP164" s="77"/>
      <c r="AQ164" s="77"/>
      <c r="AR164" s="77"/>
      <c r="AS164" s="77"/>
      <c r="AT164" s="77"/>
      <c r="AU164" s="77"/>
      <c r="AV164" s="83" t="str">
        <f>HYPERLINK("https://pbs.twimg.com/profile_images/1283576393662636034/EjgsMA_W_normal.jpg")</f>
        <v>https://pbs.twimg.com/profile_images/1283576393662636034/EjgsMA_W_normal.jpg</v>
      </c>
      <c r="AW164" s="81" t="s">
        <v>721</v>
      </c>
      <c r="AX164" s="81" t="s">
        <v>887</v>
      </c>
      <c r="AY164" s="81" t="s">
        <v>895</v>
      </c>
      <c r="AZ164" s="81" t="s">
        <v>1053</v>
      </c>
      <c r="BA164" s="81" t="s">
        <v>1061</v>
      </c>
      <c r="BB164" s="81" t="s">
        <v>1061</v>
      </c>
      <c r="BC164" s="81" t="s">
        <v>1053</v>
      </c>
      <c r="BD164" s="81" t="s">
        <v>895</v>
      </c>
      <c r="BE164" s="77"/>
      <c r="BF164" s="77"/>
      <c r="BG164" s="77"/>
      <c r="BH164" s="77"/>
      <c r="BI164" s="77"/>
    </row>
    <row r="165" spans="1:61" x14ac:dyDescent="0.25">
      <c r="A165" s="62" t="s">
        <v>224</v>
      </c>
      <c r="B165" s="62" t="s">
        <v>224</v>
      </c>
      <c r="C165" s="63"/>
      <c r="D165" s="64"/>
      <c r="E165" s="65"/>
      <c r="F165" s="66"/>
      <c r="G165" s="63"/>
      <c r="H165" s="67"/>
      <c r="I165" s="68"/>
      <c r="J165" s="68"/>
      <c r="K165" s="32"/>
      <c r="L165" s="75"/>
      <c r="M165" s="75"/>
      <c r="N165" s="70"/>
      <c r="O165" s="77" t="s">
        <v>225</v>
      </c>
      <c r="P165" s="79">
        <v>45002.439745370371</v>
      </c>
      <c r="Q165" s="77" t="s">
        <v>384</v>
      </c>
      <c r="R165" s="77">
        <v>0</v>
      </c>
      <c r="S165" s="77">
        <v>0</v>
      </c>
      <c r="T165" s="77">
        <v>0</v>
      </c>
      <c r="U165" s="77">
        <v>0</v>
      </c>
      <c r="V165" s="77">
        <v>7</v>
      </c>
      <c r="W165" s="81" t="s">
        <v>392</v>
      </c>
      <c r="X165" s="77"/>
      <c r="Y165" s="77"/>
      <c r="Z165" s="77"/>
      <c r="AA165" s="77"/>
      <c r="AB165" s="77"/>
      <c r="AC165" s="81" t="s">
        <v>399</v>
      </c>
      <c r="AD165" s="77" t="s">
        <v>400</v>
      </c>
      <c r="AE165" s="83" t="str">
        <f>HYPERLINK("https://twitter.com/economedicos/status/1636677063221424128")</f>
        <v>https://twitter.com/economedicos/status/1636677063221424128</v>
      </c>
      <c r="AF165" s="79">
        <v>45002.439745370371</v>
      </c>
      <c r="AG165" s="85">
        <v>45002</v>
      </c>
      <c r="AH165" s="81" t="s">
        <v>557</v>
      </c>
      <c r="AI165" s="77"/>
      <c r="AJ165" s="77"/>
      <c r="AK165" s="77"/>
      <c r="AL165" s="77"/>
      <c r="AM165" s="77"/>
      <c r="AN165" s="77"/>
      <c r="AO165" s="77"/>
      <c r="AP165" s="77"/>
      <c r="AQ165" s="77"/>
      <c r="AR165" s="77"/>
      <c r="AS165" s="77"/>
      <c r="AT165" s="77"/>
      <c r="AU165" s="77"/>
      <c r="AV165" s="83" t="str">
        <f>HYPERLINK("https://pbs.twimg.com/profile_images/1283576393662636034/EjgsMA_W_normal.jpg")</f>
        <v>https://pbs.twimg.com/profile_images/1283576393662636034/EjgsMA_W_normal.jpg</v>
      </c>
      <c r="AW165" s="81" t="s">
        <v>722</v>
      </c>
      <c r="AX165" s="81" t="s">
        <v>888</v>
      </c>
      <c r="AY165" s="81" t="s">
        <v>895</v>
      </c>
      <c r="AZ165" s="81" t="s">
        <v>1054</v>
      </c>
      <c r="BA165" s="81" t="s">
        <v>1061</v>
      </c>
      <c r="BB165" s="81" t="s">
        <v>1061</v>
      </c>
      <c r="BC165" s="81" t="s">
        <v>1054</v>
      </c>
      <c r="BD165" s="81" t="s">
        <v>895</v>
      </c>
      <c r="BE165" s="77"/>
      <c r="BF165" s="77"/>
      <c r="BG165" s="77"/>
      <c r="BH165" s="77"/>
      <c r="BI165" s="77"/>
    </row>
    <row r="166" spans="1:61" x14ac:dyDescent="0.25">
      <c r="A166" s="62" t="s">
        <v>224</v>
      </c>
      <c r="B166" s="62" t="s">
        <v>224</v>
      </c>
      <c r="C166" s="63"/>
      <c r="D166" s="64"/>
      <c r="E166" s="65"/>
      <c r="F166" s="66"/>
      <c r="G166" s="63"/>
      <c r="H166" s="67"/>
      <c r="I166" s="68"/>
      <c r="J166" s="68"/>
      <c r="K166" s="32"/>
      <c r="L166" s="75"/>
      <c r="M166" s="75"/>
      <c r="N166" s="70"/>
      <c r="O166" s="77" t="s">
        <v>225</v>
      </c>
      <c r="P166" s="79">
        <v>45001.452268518522</v>
      </c>
      <c r="Q166" s="77" t="s">
        <v>385</v>
      </c>
      <c r="R166" s="77">
        <v>0</v>
      </c>
      <c r="S166" s="77">
        <v>1</v>
      </c>
      <c r="T166" s="77">
        <v>0</v>
      </c>
      <c r="U166" s="77">
        <v>0</v>
      </c>
      <c r="V166" s="77">
        <v>14</v>
      </c>
      <c r="W166" s="81" t="s">
        <v>392</v>
      </c>
      <c r="X166" s="77"/>
      <c r="Y166" s="77"/>
      <c r="Z166" s="77"/>
      <c r="AA166" s="77"/>
      <c r="AB166" s="77"/>
      <c r="AC166" s="81" t="s">
        <v>399</v>
      </c>
      <c r="AD166" s="77" t="s">
        <v>400</v>
      </c>
      <c r="AE166" s="83" t="str">
        <f>HYPERLINK("https://twitter.com/economedicos/status/1636319213689229314")</f>
        <v>https://twitter.com/economedicos/status/1636319213689229314</v>
      </c>
      <c r="AF166" s="79">
        <v>45001.452268518522</v>
      </c>
      <c r="AG166" s="85">
        <v>45001</v>
      </c>
      <c r="AH166" s="81" t="s">
        <v>558</v>
      </c>
      <c r="AI166" s="77"/>
      <c r="AJ166" s="77"/>
      <c r="AK166" s="77"/>
      <c r="AL166" s="77"/>
      <c r="AM166" s="77"/>
      <c r="AN166" s="77"/>
      <c r="AO166" s="77"/>
      <c r="AP166" s="77"/>
      <c r="AQ166" s="77"/>
      <c r="AR166" s="77"/>
      <c r="AS166" s="77"/>
      <c r="AT166" s="77"/>
      <c r="AU166" s="77"/>
      <c r="AV166" s="83" t="str">
        <f>HYPERLINK("https://pbs.twimg.com/profile_images/1283576393662636034/EjgsMA_W_normal.jpg")</f>
        <v>https://pbs.twimg.com/profile_images/1283576393662636034/EjgsMA_W_normal.jpg</v>
      </c>
      <c r="AW166" s="81" t="s">
        <v>723</v>
      </c>
      <c r="AX166" s="81" t="s">
        <v>889</v>
      </c>
      <c r="AY166" s="81" t="s">
        <v>895</v>
      </c>
      <c r="AZ166" s="81" t="s">
        <v>1055</v>
      </c>
      <c r="BA166" s="81" t="s">
        <v>1061</v>
      </c>
      <c r="BB166" s="81" t="s">
        <v>1061</v>
      </c>
      <c r="BC166" s="81" t="s">
        <v>1055</v>
      </c>
      <c r="BD166" s="81" t="s">
        <v>895</v>
      </c>
      <c r="BE166" s="77"/>
      <c r="BF166" s="77"/>
      <c r="BG166" s="77"/>
      <c r="BH166" s="77"/>
      <c r="BI166" s="77"/>
    </row>
    <row r="167" spans="1:61" x14ac:dyDescent="0.25">
      <c r="A167" s="62" t="s">
        <v>224</v>
      </c>
      <c r="B167" s="62" t="s">
        <v>224</v>
      </c>
      <c r="C167" s="63"/>
      <c r="D167" s="64"/>
      <c r="E167" s="65"/>
      <c r="F167" s="66"/>
      <c r="G167" s="63"/>
      <c r="H167" s="67"/>
      <c r="I167" s="68"/>
      <c r="J167" s="68"/>
      <c r="K167" s="32"/>
      <c r="L167" s="75"/>
      <c r="M167" s="75"/>
      <c r="N167" s="70"/>
      <c r="O167" s="77" t="s">
        <v>225</v>
      </c>
      <c r="P167" s="79">
        <v>45000.633263888885</v>
      </c>
      <c r="Q167" s="77" t="s">
        <v>255</v>
      </c>
      <c r="R167" s="77">
        <v>0</v>
      </c>
      <c r="S167" s="77">
        <v>0</v>
      </c>
      <c r="T167" s="77">
        <v>0</v>
      </c>
      <c r="U167" s="77">
        <v>0</v>
      </c>
      <c r="V167" s="77">
        <v>114</v>
      </c>
      <c r="W167" s="81" t="s">
        <v>392</v>
      </c>
      <c r="X167" s="77"/>
      <c r="Y167" s="77"/>
      <c r="Z167" s="77"/>
      <c r="AA167" s="77"/>
      <c r="AB167" s="77"/>
      <c r="AC167" s="81" t="s">
        <v>399</v>
      </c>
      <c r="AD167" s="77" t="s">
        <v>400</v>
      </c>
      <c r="AE167" s="83" t="str">
        <f>HYPERLINK("https://twitter.com/economedicos/status/1636022414277505027")</f>
        <v>https://twitter.com/economedicos/status/1636022414277505027</v>
      </c>
      <c r="AF167" s="79">
        <v>45000.633263888885</v>
      </c>
      <c r="AG167" s="85">
        <v>45000</v>
      </c>
      <c r="AH167" s="81" t="s">
        <v>430</v>
      </c>
      <c r="AI167" s="77"/>
      <c r="AJ167" s="77"/>
      <c r="AK167" s="77"/>
      <c r="AL167" s="77"/>
      <c r="AM167" s="77"/>
      <c r="AN167" s="77"/>
      <c r="AO167" s="77"/>
      <c r="AP167" s="77"/>
      <c r="AQ167" s="77"/>
      <c r="AR167" s="77"/>
      <c r="AS167" s="77"/>
      <c r="AT167" s="77"/>
      <c r="AU167" s="77"/>
      <c r="AV167" s="83" t="str">
        <f>HYPERLINK("https://pbs.twimg.com/profile_images/1283576393662636034/EjgsMA_W_normal.jpg")</f>
        <v>https://pbs.twimg.com/profile_images/1283576393662636034/EjgsMA_W_normal.jpg</v>
      </c>
      <c r="AW167" s="81" t="s">
        <v>592</v>
      </c>
      <c r="AX167" s="81" t="s">
        <v>758</v>
      </c>
      <c r="AY167" s="81" t="s">
        <v>895</v>
      </c>
      <c r="AZ167" s="81" t="s">
        <v>925</v>
      </c>
      <c r="BA167" s="81" t="s">
        <v>1061</v>
      </c>
      <c r="BB167" s="81" t="s">
        <v>1061</v>
      </c>
      <c r="BC167" s="81" t="s">
        <v>925</v>
      </c>
      <c r="BD167" s="81" t="s">
        <v>895</v>
      </c>
      <c r="BE167" s="77"/>
      <c r="BF167" s="77"/>
      <c r="BG167" s="77"/>
      <c r="BH167" s="77"/>
      <c r="BI167" s="77"/>
    </row>
    <row r="168" spans="1:61" x14ac:dyDescent="0.25">
      <c r="A168" s="62" t="s">
        <v>224</v>
      </c>
      <c r="B168" s="62" t="s">
        <v>224</v>
      </c>
      <c r="C168" s="63"/>
      <c r="D168" s="64"/>
      <c r="E168" s="65"/>
      <c r="F168" s="66"/>
      <c r="G168" s="63"/>
      <c r="H168" s="67"/>
      <c r="I168" s="68"/>
      <c r="J168" s="68"/>
      <c r="K168" s="32"/>
      <c r="L168" s="75"/>
      <c r="M168" s="75"/>
      <c r="N168" s="70"/>
      <c r="O168" s="77" t="s">
        <v>225</v>
      </c>
      <c r="P168" s="79">
        <v>44999.453298611108</v>
      </c>
      <c r="Q168" s="77" t="s">
        <v>256</v>
      </c>
      <c r="R168" s="77">
        <v>0</v>
      </c>
      <c r="S168" s="77">
        <v>0</v>
      </c>
      <c r="T168" s="77">
        <v>0</v>
      </c>
      <c r="U168" s="77">
        <v>0</v>
      </c>
      <c r="V168" s="77">
        <v>9</v>
      </c>
      <c r="W168" s="81" t="s">
        <v>392</v>
      </c>
      <c r="X168" s="77"/>
      <c r="Y168" s="77"/>
      <c r="Z168" s="77"/>
      <c r="AA168" s="77"/>
      <c r="AB168" s="77"/>
      <c r="AC168" s="81" t="s">
        <v>399</v>
      </c>
      <c r="AD168" s="77" t="s">
        <v>400</v>
      </c>
      <c r="AE168" s="83" t="str">
        <f>HYPERLINK("https://twitter.com/economedicos/status/1635594811544592387")</f>
        <v>https://twitter.com/economedicos/status/1635594811544592387</v>
      </c>
      <c r="AF168" s="79">
        <v>44999.453298611108</v>
      </c>
      <c r="AG168" s="85">
        <v>44999</v>
      </c>
      <c r="AH168" s="81" t="s">
        <v>431</v>
      </c>
      <c r="AI168" s="77"/>
      <c r="AJ168" s="77"/>
      <c r="AK168" s="77"/>
      <c r="AL168" s="77"/>
      <c r="AM168" s="77"/>
      <c r="AN168" s="77"/>
      <c r="AO168" s="77"/>
      <c r="AP168" s="77"/>
      <c r="AQ168" s="77"/>
      <c r="AR168" s="77"/>
      <c r="AS168" s="77"/>
      <c r="AT168" s="77"/>
      <c r="AU168" s="77"/>
      <c r="AV168" s="83" t="str">
        <f>HYPERLINK("https://pbs.twimg.com/profile_images/1283576393662636034/EjgsMA_W_normal.jpg")</f>
        <v>https://pbs.twimg.com/profile_images/1283576393662636034/EjgsMA_W_normal.jpg</v>
      </c>
      <c r="AW168" s="81" t="s">
        <v>593</v>
      </c>
      <c r="AX168" s="81" t="s">
        <v>759</v>
      </c>
      <c r="AY168" s="81" t="s">
        <v>895</v>
      </c>
      <c r="AZ168" s="81" t="s">
        <v>926</v>
      </c>
      <c r="BA168" s="81" t="s">
        <v>1061</v>
      </c>
      <c r="BB168" s="81" t="s">
        <v>1061</v>
      </c>
      <c r="BC168" s="81" t="s">
        <v>926</v>
      </c>
      <c r="BD168" s="81" t="s">
        <v>895</v>
      </c>
      <c r="BE168" s="77"/>
      <c r="BF168" s="77"/>
      <c r="BG168" s="77"/>
      <c r="BH168" s="77"/>
      <c r="BI168" s="77"/>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68"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68" xr:uid="{00000000-0002-0000-0000-000001000000}"/>
    <dataValidation allowBlank="1" showErrorMessage="1" sqref="N2:N168"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68"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68" xr:uid="{00000000-0002-0000-0000-000004000000}"/>
    <dataValidation allowBlank="1" showInputMessage="1" promptTitle="Edge Color" prompt="To select an optional edge color, right-click and select Select Color on the right-click menu." sqref="C3:C168" xr:uid="{00000000-0002-0000-0000-000005000000}"/>
    <dataValidation allowBlank="1" showInputMessage="1" errorTitle="Invalid Edge Width" error="The optional edge width must be a whole number between 1 and 10." promptTitle="Edge Width" prompt="Enter an optional edge width between 1 and 10." sqref="D3:D168"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168"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68" xr:uid="{00000000-0002-0000-0000-000008000000}">
      <formula1>ValidEdgeVisibilities</formula1>
    </dataValidation>
    <dataValidation allowBlank="1" showInputMessage="1" showErrorMessage="1" promptTitle="Vertex 1 Name" prompt="Enter the name of the edge's first vertex." sqref="A3:A168" xr:uid="{00000000-0002-0000-0000-000009000000}"/>
    <dataValidation allowBlank="1" showInputMessage="1" showErrorMessage="1" promptTitle="Vertex 2 Name" prompt="Enter the name of the edge's second vertex." sqref="B3:B168"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168"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68"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68"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O3"/>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hidden="1" customWidth="1"/>
    <col min="28" max="28" width="16" hidden="1" customWidth="1"/>
    <col min="29" max="29" width="16" style="5" bestFit="1" customWidth="1"/>
    <col min="30" max="30" width="8.5703125" style="2" bestFit="1" customWidth="1"/>
    <col min="31" max="31" width="9.5703125" bestFit="1" customWidth="1"/>
    <col min="32" max="32" width="12" bestFit="1" customWidth="1"/>
    <col min="33" max="33" width="11.5703125" bestFit="1" customWidth="1"/>
    <col min="34" max="34" width="9.7109375" bestFit="1" customWidth="1"/>
    <col min="35" max="35" width="8.5703125" bestFit="1" customWidth="1"/>
    <col min="36" max="36" width="12.5703125" bestFit="1" customWidth="1"/>
    <col min="37" max="37" width="14.5703125" bestFit="1" customWidth="1"/>
    <col min="38" max="38" width="10.5703125" bestFit="1" customWidth="1"/>
    <col min="39" max="39" width="16.140625" bestFit="1" customWidth="1"/>
    <col min="40" max="40" width="10.7109375" bestFit="1" customWidth="1"/>
    <col min="41" max="41" width="13.42578125" bestFit="1" customWidth="1"/>
    <col min="42" max="42" width="10.85546875" bestFit="1" customWidth="1"/>
    <col min="43" max="43" width="16.7109375" bestFit="1" customWidth="1"/>
    <col min="44" max="44" width="14.28515625" bestFit="1" customWidth="1"/>
    <col min="45" max="45" width="15.5703125" bestFit="1" customWidth="1"/>
    <col min="46" max="46" width="22.85546875" bestFit="1" customWidth="1"/>
    <col min="47" max="47" width="20.5703125" bestFit="1" customWidth="1"/>
    <col min="48" max="48" width="11.140625" bestFit="1" customWidth="1"/>
    <col min="49" max="49" width="6.5703125" bestFit="1" customWidth="1"/>
    <col min="50" max="50" width="10.5703125" bestFit="1" customWidth="1"/>
    <col min="51" max="51" width="14.140625" bestFit="1" customWidth="1"/>
    <col min="52" max="52" width="12" bestFit="1" customWidth="1"/>
    <col min="53" max="53" width="10" bestFit="1" customWidth="1"/>
    <col min="54" max="54" width="12.5703125" bestFit="1" customWidth="1"/>
    <col min="55" max="55" width="9.85546875" bestFit="1" customWidth="1"/>
    <col min="56" max="56" width="16.42578125" bestFit="1" customWidth="1"/>
    <col min="57" max="57" width="13.5703125" bestFit="1" customWidth="1"/>
    <col min="58" max="58" width="14" bestFit="1" customWidth="1"/>
    <col min="59" max="59" width="11.42578125" bestFit="1" customWidth="1"/>
    <col min="60" max="60" width="13.28515625" bestFit="1" customWidth="1"/>
    <col min="61" max="61" width="19.140625" bestFit="1" customWidth="1"/>
    <col min="62" max="62" width="12.140625" bestFit="1" customWidth="1"/>
    <col min="63" max="63" width="11.7109375" bestFit="1" customWidth="1"/>
    <col min="64" max="64" width="11.5703125" bestFit="1" customWidth="1"/>
    <col min="65" max="65" width="15.140625" bestFit="1" customWidth="1"/>
    <col min="66" max="67" width="15.7109375" bestFit="1" customWidth="1"/>
  </cols>
  <sheetData>
    <row r="1" spans="1:67" x14ac:dyDescent="0.25">
      <c r="B1" s="22" t="s">
        <v>39</v>
      </c>
      <c r="C1" s="15"/>
      <c r="D1" s="15"/>
      <c r="E1" s="15"/>
      <c r="F1" s="15"/>
      <c r="G1" s="15"/>
      <c r="H1" s="24" t="s">
        <v>43</v>
      </c>
      <c r="I1" s="23"/>
      <c r="J1" s="23"/>
      <c r="K1" s="23"/>
      <c r="L1" s="26" t="s">
        <v>44</v>
      </c>
      <c r="M1" s="25"/>
      <c r="N1" s="25"/>
      <c r="O1" s="25"/>
      <c r="P1" s="25"/>
      <c r="Q1" s="25"/>
      <c r="R1" s="21" t="s">
        <v>42</v>
      </c>
      <c r="S1" s="18"/>
      <c r="T1" s="19"/>
      <c r="U1" s="20"/>
      <c r="V1" s="18"/>
      <c r="W1" s="18"/>
      <c r="X1" s="18"/>
      <c r="Y1" s="18"/>
      <c r="Z1" s="18"/>
      <c r="AA1" s="27" t="s">
        <v>40</v>
      </c>
      <c r="AB1" s="17"/>
      <c r="AC1" s="28" t="s">
        <v>41</v>
      </c>
      <c r="AD1"/>
    </row>
    <row r="2" spans="1:67" ht="30" customHeight="1" x14ac:dyDescent="0.25">
      <c r="A2" s="10" t="s">
        <v>5</v>
      </c>
      <c r="B2" s="7" t="s">
        <v>2</v>
      </c>
      <c r="C2" s="7" t="s">
        <v>8</v>
      </c>
      <c r="D2" s="8" t="s">
        <v>45</v>
      </c>
      <c r="E2" s="9" t="s">
        <v>4</v>
      </c>
      <c r="F2" s="7" t="s">
        <v>48</v>
      </c>
      <c r="G2" s="7" t="s">
        <v>11</v>
      </c>
      <c r="H2" s="7" t="s">
        <v>46</v>
      </c>
      <c r="I2" s="7" t="s">
        <v>47</v>
      </c>
      <c r="J2" s="7" t="s">
        <v>77</v>
      </c>
      <c r="K2" s="7" t="s">
        <v>10</v>
      </c>
      <c r="L2" s="7" t="s">
        <v>27</v>
      </c>
      <c r="M2" s="7" t="s">
        <v>15</v>
      </c>
      <c r="N2" s="7" t="s">
        <v>16</v>
      </c>
      <c r="O2" s="7" t="s">
        <v>13</v>
      </c>
      <c r="P2" s="7" t="s">
        <v>28</v>
      </c>
      <c r="Q2" s="7" t="s">
        <v>29</v>
      </c>
      <c r="R2" s="7" t="s">
        <v>31</v>
      </c>
      <c r="S2" s="7" t="s">
        <v>32</v>
      </c>
      <c r="T2" s="7" t="s">
        <v>33</v>
      </c>
      <c r="U2" s="7" t="s">
        <v>34</v>
      </c>
      <c r="V2" s="7" t="s">
        <v>35</v>
      </c>
      <c r="W2" s="7" t="s">
        <v>36</v>
      </c>
      <c r="X2" s="7" t="s">
        <v>137</v>
      </c>
      <c r="Y2" s="7" t="s">
        <v>37</v>
      </c>
      <c r="Z2" s="7" t="s">
        <v>170</v>
      </c>
      <c r="AA2" s="10" t="s">
        <v>12</v>
      </c>
      <c r="AB2" s="10" t="s">
        <v>38</v>
      </c>
      <c r="AC2" s="7" t="s">
        <v>26</v>
      </c>
      <c r="AD2" s="7" t="s">
        <v>1062</v>
      </c>
      <c r="AE2" s="7" t="s">
        <v>1063</v>
      </c>
      <c r="AF2" s="7" t="s">
        <v>1064</v>
      </c>
      <c r="AG2" s="7" t="s">
        <v>1065</v>
      </c>
      <c r="AH2" s="7" t="s">
        <v>1066</v>
      </c>
      <c r="AI2" s="7" t="s">
        <v>1067</v>
      </c>
      <c r="AJ2" s="7" t="s">
        <v>1068</v>
      </c>
      <c r="AK2" s="7" t="s">
        <v>1069</v>
      </c>
      <c r="AL2" s="7" t="s">
        <v>1070</v>
      </c>
      <c r="AM2" s="7" t="s">
        <v>1071</v>
      </c>
      <c r="AN2" s="7" t="s">
        <v>1072</v>
      </c>
      <c r="AO2" s="7" t="s">
        <v>1073</v>
      </c>
      <c r="AP2" s="7" t="s">
        <v>1074</v>
      </c>
      <c r="AQ2" s="7" t="s">
        <v>1075</v>
      </c>
      <c r="AR2" s="7" t="s">
        <v>1076</v>
      </c>
      <c r="AS2" s="7" t="s">
        <v>1077</v>
      </c>
      <c r="AT2" s="7" t="s">
        <v>1078</v>
      </c>
      <c r="AU2" s="7" t="s">
        <v>1079</v>
      </c>
      <c r="AV2" s="7" t="s">
        <v>1080</v>
      </c>
      <c r="AW2" s="7" t="s">
        <v>1081</v>
      </c>
      <c r="AX2" s="7" t="s">
        <v>1082</v>
      </c>
      <c r="AY2" s="7" t="s">
        <v>1083</v>
      </c>
      <c r="AZ2" s="7" t="s">
        <v>1084</v>
      </c>
      <c r="BA2" s="7" t="s">
        <v>1085</v>
      </c>
      <c r="BB2" s="7" t="s">
        <v>1086</v>
      </c>
      <c r="BC2" s="7" t="s">
        <v>1087</v>
      </c>
      <c r="BD2" s="7" t="s">
        <v>1088</v>
      </c>
      <c r="BE2" s="7" t="s">
        <v>1089</v>
      </c>
      <c r="BF2" s="7" t="s">
        <v>1090</v>
      </c>
      <c r="BG2" s="7" t="s">
        <v>197</v>
      </c>
      <c r="BH2" s="7" t="s">
        <v>1091</v>
      </c>
      <c r="BI2" s="7" t="s">
        <v>1092</v>
      </c>
      <c r="BJ2" s="7" t="s">
        <v>1093</v>
      </c>
      <c r="BK2" s="7" t="s">
        <v>1094</v>
      </c>
      <c r="BL2" s="7" t="s">
        <v>1095</v>
      </c>
      <c r="BM2" s="7" t="s">
        <v>1096</v>
      </c>
      <c r="BN2" s="7" t="s">
        <v>1097</v>
      </c>
      <c r="BO2" s="7" t="s">
        <v>1098</v>
      </c>
    </row>
    <row r="3" spans="1:67" ht="15" customHeight="1" x14ac:dyDescent="0.25">
      <c r="A3" s="62" t="s">
        <v>224</v>
      </c>
      <c r="B3" s="63"/>
      <c r="C3" s="63"/>
      <c r="D3" s="64"/>
      <c r="E3" s="66"/>
      <c r="F3" s="86" t="str">
        <f>HYPERLINK("https://pbs.twimg.com/profile_images/1283576393662636034/EjgsMA_W_normal.jpg")</f>
        <v>https://pbs.twimg.com/profile_images/1283576393662636034/EjgsMA_W_normal.jpg</v>
      </c>
      <c r="G3" s="63"/>
      <c r="H3" s="67"/>
      <c r="I3" s="68"/>
      <c r="J3" s="68"/>
      <c r="K3" s="67" t="s">
        <v>1104</v>
      </c>
      <c r="L3" s="71"/>
      <c r="M3" s="72"/>
      <c r="N3" s="72"/>
      <c r="O3" s="73"/>
      <c r="P3" s="74"/>
      <c r="Q3" s="74"/>
      <c r="R3" s="46"/>
      <c r="S3" s="46"/>
      <c r="T3" s="46"/>
      <c r="U3" s="46"/>
      <c r="V3" s="47"/>
      <c r="W3" s="47"/>
      <c r="X3" s="48"/>
      <c r="Y3" s="47"/>
      <c r="Z3" s="47"/>
      <c r="AA3" s="69"/>
      <c r="AB3" s="69"/>
      <c r="AC3" s="70"/>
      <c r="AD3" s="76" t="s">
        <v>224</v>
      </c>
      <c r="AE3" s="80" t="s">
        <v>895</v>
      </c>
      <c r="AF3" s="76">
        <v>37</v>
      </c>
      <c r="AG3" s="76">
        <v>88</v>
      </c>
      <c r="AH3" s="76">
        <v>2717</v>
      </c>
      <c r="AI3" s="76">
        <v>0</v>
      </c>
      <c r="AJ3" s="76">
        <v>289</v>
      </c>
      <c r="AK3" s="76">
        <v>1514</v>
      </c>
      <c r="AL3" s="76" t="b">
        <v>0</v>
      </c>
      <c r="AM3" s="78">
        <v>44028.067337962966</v>
      </c>
      <c r="AN3" s="76"/>
      <c r="AO3" s="76" t="s">
        <v>1099</v>
      </c>
      <c r="AP3" s="76"/>
      <c r="AQ3" s="76"/>
      <c r="AR3" s="76"/>
      <c r="AS3" s="76"/>
      <c r="AT3" s="76"/>
      <c r="AU3" s="76"/>
      <c r="AV3" s="76"/>
      <c r="AW3" s="76"/>
      <c r="AX3" s="76" t="b">
        <v>0</v>
      </c>
      <c r="AY3" s="76"/>
      <c r="AZ3" s="76"/>
      <c r="BA3" s="76" t="b">
        <v>0</v>
      </c>
      <c r="BB3" s="76" t="b">
        <v>1</v>
      </c>
      <c r="BC3" s="76" t="b">
        <v>1</v>
      </c>
      <c r="BD3" s="76" t="b">
        <v>0</v>
      </c>
      <c r="BE3" s="76" t="b">
        <v>1</v>
      </c>
      <c r="BF3" s="76" t="b">
        <v>0</v>
      </c>
      <c r="BG3" s="76" t="b">
        <v>0</v>
      </c>
      <c r="BH3" s="76"/>
      <c r="BI3" s="76"/>
      <c r="BJ3" s="76" t="s">
        <v>1100</v>
      </c>
      <c r="BK3" s="76" t="b">
        <v>0</v>
      </c>
      <c r="BL3" s="76"/>
      <c r="BM3" s="76" t="s">
        <v>66</v>
      </c>
      <c r="BN3" s="76" t="s">
        <v>1101</v>
      </c>
      <c r="BO3" s="82" t="str">
        <f>HYPERLINK("https://twitter.com/economedicos")</f>
        <v>https://twitter.com/economedicos</v>
      </c>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 xr:uid="{00000000-0002-0000-0100-000000000000}"/>
    <dataValidation allowBlank="1" errorTitle="Invalid Vertex Visibility" error="You have entered an unrecognized vertex visibility.  Try selecting from the drop-down list instead." sqref="BP3" xr:uid="{00000000-0002-0000-0100-000001000000}"/>
    <dataValidation allowBlank="1" showErrorMessage="1" sqref="BP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 xr:uid="{00000000-0002-0000-0100-000007000000}"/>
    <dataValidation allowBlank="1" showInputMessage="1" errorTitle="Invalid Vertex Image Key" promptTitle="Vertex Tooltip" prompt="Enter optional text that will pop up when the mouse is hovered over the vertex." sqref="K3"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 xr:uid="{00000000-0002-0000-0100-00000B000000}"/>
    <dataValidation allowBlank="1" showInputMessage="1" promptTitle="Vertex Label Fill Color" prompt="To select an optional fill color for the Label shape, right-click and select Select Color on the right-click menu." sqref="I3" xr:uid="{00000000-0002-0000-0100-00000C000000}"/>
    <dataValidation allowBlank="1" showInputMessage="1" errorTitle="Invalid Vertex Image Key" promptTitle="Vertex Image File" prompt="Enter the path to an image file.  Hover over the column header for examples." sqref="F3" xr:uid="{00000000-0002-0000-0100-00000D000000}"/>
    <dataValidation allowBlank="1" showInputMessage="1" promptTitle="Vertex Color" prompt="To select an optional vertex color, right-click and select Select Color on the right-click menu." sqref="B3"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 xr:uid="{00000000-0002-0000-0100-000012000000}">
      <formula1>ValidVertexLabelPositions</formula1>
    </dataValidation>
    <dataValidation allowBlank="1" showInputMessage="1" showErrorMessage="1" promptTitle="Vertex Name" prompt="Enter the name of the vertex." sqref="A3"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5" x14ac:dyDescent="0.25"/>
  <cols>
    <col min="1" max="1" width="10.85546875" bestFit="1" customWidth="1"/>
    <col min="2" max="2" width="16.85546875" bestFit="1" customWidth="1"/>
    <col min="4" max="5" width="9.140625" customWidth="1"/>
  </cols>
  <sheetData>
    <row r="1" spans="1:1" x14ac:dyDescent="0.25">
      <c r="A1" t="s">
        <v>49</v>
      </c>
    </row>
    <row r="2" spans="1:1" ht="15" customHeight="1" x14ac:dyDescent="0.25"/>
    <row r="3" spans="1:1" ht="15" customHeight="1" x14ac:dyDescent="0.25">
      <c r="A3" s="29" t="s">
        <v>50</v>
      </c>
    </row>
    <row r="21" spans="4:4" x14ac:dyDescent="0.25">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2" t="s">
        <v>39</v>
      </c>
      <c r="C1" s="53"/>
      <c r="D1" s="53"/>
      <c r="E1" s="54"/>
      <c r="F1" s="51" t="s">
        <v>43</v>
      </c>
      <c r="G1" s="55" t="s">
        <v>44</v>
      </c>
      <c r="H1" s="56"/>
      <c r="I1" s="57" t="s">
        <v>40</v>
      </c>
      <c r="J1" s="58"/>
      <c r="K1" s="59" t="s">
        <v>42</v>
      </c>
      <c r="L1" s="60"/>
      <c r="M1" s="60"/>
      <c r="N1" s="60"/>
      <c r="O1" s="60"/>
      <c r="P1" s="60"/>
      <c r="Q1" s="60"/>
      <c r="R1" s="60"/>
      <c r="S1" s="60"/>
      <c r="T1" s="60"/>
      <c r="U1" s="60"/>
      <c r="V1" s="60"/>
      <c r="W1" s="60"/>
      <c r="X1" s="60"/>
    </row>
    <row r="2" spans="1:24" s="7" customFormat="1" ht="30" customHeight="1" x14ac:dyDescent="0.25">
      <c r="A2" s="10" t="s">
        <v>144</v>
      </c>
      <c r="B2" s="7" t="s">
        <v>21</v>
      </c>
      <c r="C2" s="7" t="s">
        <v>20</v>
      </c>
      <c r="D2" s="7" t="s">
        <v>11</v>
      </c>
      <c r="E2" s="7" t="s">
        <v>145</v>
      </c>
      <c r="F2" s="7" t="s">
        <v>46</v>
      </c>
      <c r="G2" s="7" t="s">
        <v>167</v>
      </c>
      <c r="H2" s="7" t="s">
        <v>168</v>
      </c>
      <c r="I2" s="7" t="s">
        <v>12</v>
      </c>
      <c r="J2" s="7" t="s">
        <v>166</v>
      </c>
      <c r="K2" s="7" t="s">
        <v>146</v>
      </c>
      <c r="L2" s="7" t="s">
        <v>148</v>
      </c>
      <c r="M2" s="7" t="s">
        <v>149</v>
      </c>
      <c r="N2" s="7" t="s">
        <v>150</v>
      </c>
      <c r="O2" s="7" t="s">
        <v>151</v>
      </c>
      <c r="P2" s="7" t="s">
        <v>170</v>
      </c>
      <c r="Q2" s="7" t="s">
        <v>171</v>
      </c>
      <c r="R2" s="7" t="s">
        <v>152</v>
      </c>
      <c r="S2" s="7" t="s">
        <v>153</v>
      </c>
      <c r="T2" s="7" t="s">
        <v>154</v>
      </c>
      <c r="U2" s="7" t="s">
        <v>155</v>
      </c>
      <c r="V2" s="7" t="s">
        <v>156</v>
      </c>
      <c r="W2" s="7" t="s">
        <v>157</v>
      </c>
      <c r="X2" s="7" t="s">
        <v>158</v>
      </c>
    </row>
    <row r="3" spans="1:24" x14ac:dyDescent="0.25">
      <c r="A3" s="11"/>
      <c r="B3" s="12"/>
      <c r="C3" s="12"/>
      <c r="D3" s="12"/>
      <c r="E3" s="12"/>
      <c r="F3" s="13"/>
      <c r="G3" s="61"/>
      <c r="H3" s="61"/>
      <c r="I3" s="49"/>
      <c r="J3" s="49"/>
      <c r="K3" s="44"/>
      <c r="L3" s="44"/>
      <c r="M3" s="44"/>
      <c r="N3" s="44"/>
      <c r="O3" s="44"/>
      <c r="P3" s="44"/>
      <c r="Q3" s="44"/>
      <c r="R3" s="44"/>
      <c r="S3" s="44"/>
      <c r="T3" s="44"/>
      <c r="U3" s="44"/>
      <c r="V3" s="44"/>
      <c r="W3" s="45"/>
      <c r="X3" s="45"/>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75"/>
  <sheetViews>
    <sheetView workbookViewId="0">
      <selection activeCell="A56" sqref="A56:XFD56"/>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7" t="s">
        <v>162</v>
      </c>
      <c r="B1" s="7" t="s">
        <v>17</v>
      </c>
      <c r="D1" t="s">
        <v>79</v>
      </c>
      <c r="E1" t="s">
        <v>80</v>
      </c>
      <c r="F1" s="33" t="s">
        <v>86</v>
      </c>
      <c r="G1" s="34" t="s">
        <v>87</v>
      </c>
      <c r="H1" s="33" t="s">
        <v>92</v>
      </c>
      <c r="I1" s="34" t="s">
        <v>93</v>
      </c>
      <c r="J1" s="33" t="s">
        <v>98</v>
      </c>
      <c r="K1" s="34" t="s">
        <v>99</v>
      </c>
      <c r="L1" s="33" t="s">
        <v>104</v>
      </c>
      <c r="M1" s="34" t="s">
        <v>105</v>
      </c>
      <c r="N1" s="33" t="s">
        <v>110</v>
      </c>
      <c r="O1" s="34" t="s">
        <v>111</v>
      </c>
      <c r="P1" s="34" t="s">
        <v>138</v>
      </c>
      <c r="Q1" s="34" t="s">
        <v>139</v>
      </c>
      <c r="R1" s="33" t="s">
        <v>116</v>
      </c>
      <c r="S1" s="33" t="s">
        <v>117</v>
      </c>
      <c r="T1" s="33" t="s">
        <v>122</v>
      </c>
      <c r="U1" s="34" t="s">
        <v>123</v>
      </c>
      <c r="W1" t="s">
        <v>127</v>
      </c>
      <c r="X1" t="s">
        <v>17</v>
      </c>
    </row>
    <row r="2" spans="1:24" ht="15.75" thickTop="1" x14ac:dyDescent="0.25">
      <c r="A2" s="32"/>
      <c r="B2" s="32"/>
      <c r="D2" s="30">
        <f>MIN(Vertices[Degree])</f>
        <v>0</v>
      </c>
      <c r="E2">
        <f>COUNTIF(Vertices[Degree], "&gt;= " &amp; D2) - COUNTIF(Vertices[Degree], "&gt;=" &amp; D3)</f>
        <v>0</v>
      </c>
      <c r="F2" s="35">
        <f>MIN(Vertices[In-Degree])</f>
        <v>0</v>
      </c>
      <c r="G2" s="36">
        <f>COUNTIF(Vertices[In-Degree], "&gt;= " &amp; F2) - COUNTIF(Vertices[In-Degree], "&gt;=" &amp; F3)</f>
        <v>0</v>
      </c>
      <c r="H2" s="35">
        <f>MIN(Vertices[Out-Degree])</f>
        <v>0</v>
      </c>
      <c r="I2" s="36">
        <f>COUNTIF(Vertices[Out-Degree], "&gt;= " &amp; H2) - COUNTIF(Vertices[Out-Degree], "&gt;=" &amp; H3)</f>
        <v>0</v>
      </c>
      <c r="J2" s="35">
        <f>MIN(Vertices[Betweenness Centrality])</f>
        <v>0</v>
      </c>
      <c r="K2" s="36">
        <f>COUNTIF(Vertices[Betweenness Centrality], "&gt;= " &amp; J2) - COUNTIF(Vertices[Betweenness Centrality], "&gt;=" &amp; J3)</f>
        <v>0</v>
      </c>
      <c r="L2" s="35">
        <f>MIN(Vertices[Closeness Centrality])</f>
        <v>0</v>
      </c>
      <c r="M2" s="36">
        <f>COUNTIF(Vertices[Closeness Centrality], "&gt;= " &amp; L2) - COUNTIF(Vertices[Closeness Centrality], "&gt;=" &amp; L3)</f>
        <v>0</v>
      </c>
      <c r="N2" s="35">
        <f>MIN(Vertices[Eigenvector Centrality])</f>
        <v>0</v>
      </c>
      <c r="O2" s="36">
        <f>COUNTIF(Vertices[Eigenvector Centrality], "&gt;= " &amp; N2) - COUNTIF(Vertices[Eigenvector Centrality], "&gt;=" &amp; N3)</f>
        <v>0</v>
      </c>
      <c r="P2" s="35">
        <f>MIN(Vertices[PageRank])</f>
        <v>0</v>
      </c>
      <c r="Q2" s="36">
        <f>COUNTIF(Vertices[PageRank], "&gt;= " &amp; P2) - COUNTIF(Vertices[PageRank], "&gt;=" &amp; P3)</f>
        <v>0</v>
      </c>
      <c r="R2" s="35">
        <f>MIN(Vertices[Clustering Coefficient])</f>
        <v>0</v>
      </c>
      <c r="S2" s="41">
        <f>COUNTIF(Vertices[Clustering Coefficient], "&gt;= " &amp; R2) - COUNTIF(Vertices[Clustering Coefficient], "&gt;=" &amp; R3)</f>
        <v>0</v>
      </c>
      <c r="T2" s="35" t="e">
        <f ca="1">MIN(INDIRECT(DynamicFilterSourceColumnRange))</f>
        <v>#REF!</v>
      </c>
      <c r="U2" s="36" t="e">
        <f t="shared" ref="U2:U25" ca="1" si="0">COUNTIF(INDIRECT(DynamicFilterSourceColumnRange), "&gt;= " &amp; T2) - COUNTIF(INDIRECT(DynamicFilterSourceColumnRange), "&gt;=" &amp; T3)</f>
        <v>#REF!</v>
      </c>
      <c r="W2" t="s">
        <v>124</v>
      </c>
      <c r="X2">
        <f>ROWS(HistogramBins[Degree Bin]) - 1</f>
        <v>34</v>
      </c>
    </row>
    <row r="3" spans="1:24" x14ac:dyDescent="0.25">
      <c r="D3" s="30">
        <f t="shared" ref="D3:D35" si="1">D2+($D$36-$D$2)/BinDivisor</f>
        <v>0</v>
      </c>
      <c r="E3">
        <f>COUNTIF(Vertices[Degree], "&gt;= " &amp; D3) - COUNTIF(Vertices[Degree], "&gt;=" &amp; D4)</f>
        <v>0</v>
      </c>
      <c r="F3" s="37">
        <f t="shared" ref="F3:F35" si="2">F2+($F$36-$F$2)/BinDivisor</f>
        <v>0</v>
      </c>
      <c r="G3" s="38">
        <f>COUNTIF(Vertices[In-Degree], "&gt;= " &amp; F3) - COUNTIF(Vertices[In-Degree], "&gt;=" &amp; F4)</f>
        <v>0</v>
      </c>
      <c r="H3" s="37">
        <f t="shared" ref="H3:H35" si="3">H2+($H$36-$H$2)/BinDivisor</f>
        <v>0</v>
      </c>
      <c r="I3" s="38">
        <f>COUNTIF(Vertices[Out-Degree], "&gt;= " &amp; H3) - COUNTIF(Vertices[Out-Degree], "&gt;=" &amp; H4)</f>
        <v>0</v>
      </c>
      <c r="J3" s="37">
        <f t="shared" ref="J3:J35" si="4">J2+($J$36-$J$2)/BinDivisor</f>
        <v>0</v>
      </c>
      <c r="K3" s="38">
        <f>COUNTIF(Vertices[Betweenness Centrality], "&gt;= " &amp; J3) - COUNTIF(Vertices[Betweenness Centrality], "&gt;=" &amp; J4)</f>
        <v>0</v>
      </c>
      <c r="L3" s="37">
        <f t="shared" ref="L3:L35" si="5">L2+($L$36-$L$2)/BinDivisor</f>
        <v>0</v>
      </c>
      <c r="M3" s="38">
        <f>COUNTIF(Vertices[Closeness Centrality], "&gt;= " &amp; L3) - COUNTIF(Vertices[Closeness Centrality], "&gt;=" &amp; L4)</f>
        <v>0</v>
      </c>
      <c r="N3" s="37">
        <f t="shared" ref="N3:N35" si="6">N2+($N$36-$N$2)/BinDivisor</f>
        <v>0</v>
      </c>
      <c r="O3" s="38">
        <f>COUNTIF(Vertices[Eigenvector Centrality], "&gt;= " &amp; N3) - COUNTIF(Vertices[Eigenvector Centrality], "&gt;=" &amp; N4)</f>
        <v>0</v>
      </c>
      <c r="P3" s="37">
        <f t="shared" ref="P3:P35" si="7">P2+($P$36-$P$2)/BinDivisor</f>
        <v>0</v>
      </c>
      <c r="Q3" s="38">
        <f>COUNTIF(Vertices[PageRank], "&gt;= " &amp; P3) - COUNTIF(Vertices[PageRank], "&gt;=" &amp; P4)</f>
        <v>0</v>
      </c>
      <c r="R3" s="37">
        <f t="shared" ref="R3:R35" si="8">R2+($R$36-$R$2)/BinDivisor</f>
        <v>0</v>
      </c>
      <c r="S3" s="42">
        <f>COUNTIF(Vertices[Clustering Coefficient], "&gt;= " &amp; R3) - COUNTIF(Vertices[Clustering Coefficient], "&gt;=" &amp; R4)</f>
        <v>0</v>
      </c>
      <c r="T3" s="37" t="e">
        <f t="shared" ref="T3:T35" ca="1" si="9">T2+($T$36-$T$2)/BinDivisor</f>
        <v>#REF!</v>
      </c>
      <c r="U3" s="38" t="e">
        <f t="shared" ca="1" si="0"/>
        <v>#REF!</v>
      </c>
      <c r="W3" t="s">
        <v>125</v>
      </c>
      <c r="X3" t="s">
        <v>85</v>
      </c>
    </row>
    <row r="4" spans="1:24" x14ac:dyDescent="0.25">
      <c r="D4" s="30">
        <f t="shared" si="1"/>
        <v>0</v>
      </c>
      <c r="E4">
        <f>COUNTIF(Vertices[Degree], "&gt;= " &amp; D4) - COUNTIF(Vertices[Degree], "&gt;=" &amp; D5)</f>
        <v>0</v>
      </c>
      <c r="F4" s="35">
        <f t="shared" si="2"/>
        <v>0</v>
      </c>
      <c r="G4" s="36">
        <f>COUNTIF(Vertices[In-Degree], "&gt;= " &amp; F4) - COUNTIF(Vertices[In-Degree], "&gt;=" &amp; F5)</f>
        <v>0</v>
      </c>
      <c r="H4" s="35">
        <f t="shared" si="3"/>
        <v>0</v>
      </c>
      <c r="I4" s="36">
        <f>COUNTIF(Vertices[Out-Degree], "&gt;= " &amp; H4) - COUNTIF(Vertices[Out-Degree], "&gt;=" &amp; H5)</f>
        <v>0</v>
      </c>
      <c r="J4" s="35">
        <f t="shared" si="4"/>
        <v>0</v>
      </c>
      <c r="K4" s="36">
        <f>COUNTIF(Vertices[Betweenness Centrality], "&gt;= " &amp; J4) - COUNTIF(Vertices[Betweenness Centrality], "&gt;=" &amp; J5)</f>
        <v>0</v>
      </c>
      <c r="L4" s="35">
        <f t="shared" si="5"/>
        <v>0</v>
      </c>
      <c r="M4" s="36">
        <f>COUNTIF(Vertices[Closeness Centrality], "&gt;= " &amp; L4) - COUNTIF(Vertices[Closeness Centrality], "&gt;=" &amp; L5)</f>
        <v>0</v>
      </c>
      <c r="N4" s="35">
        <f t="shared" si="6"/>
        <v>0</v>
      </c>
      <c r="O4" s="36">
        <f>COUNTIF(Vertices[Eigenvector Centrality], "&gt;= " &amp; N4) - COUNTIF(Vertices[Eigenvector Centrality], "&gt;=" &amp; N5)</f>
        <v>0</v>
      </c>
      <c r="P4" s="35">
        <f t="shared" si="7"/>
        <v>0</v>
      </c>
      <c r="Q4" s="36">
        <f>COUNTIF(Vertices[PageRank], "&gt;= " &amp; P4) - COUNTIF(Vertices[PageRank], "&gt;=" &amp; P5)</f>
        <v>0</v>
      </c>
      <c r="R4" s="35">
        <f t="shared" si="8"/>
        <v>0</v>
      </c>
      <c r="S4" s="41">
        <f>COUNTIF(Vertices[Clustering Coefficient], "&gt;= " &amp; R4) - COUNTIF(Vertices[Clustering Coefficient], "&gt;=" &amp; R5)</f>
        <v>0</v>
      </c>
      <c r="T4" s="35" t="e">
        <f t="shared" ca="1" si="9"/>
        <v>#REF!</v>
      </c>
      <c r="U4" s="36" t="e">
        <f t="shared" ca="1" si="0"/>
        <v>#REF!</v>
      </c>
      <c r="W4" t="s">
        <v>126</v>
      </c>
      <c r="X4" t="s">
        <v>128</v>
      </c>
    </row>
    <row r="5" spans="1:24" x14ac:dyDescent="0.25">
      <c r="D5" s="30">
        <f t="shared" si="1"/>
        <v>0</v>
      </c>
      <c r="E5">
        <f>COUNTIF(Vertices[Degree], "&gt;= " &amp; D5) - COUNTIF(Vertices[Degree], "&gt;=" &amp; D6)</f>
        <v>0</v>
      </c>
      <c r="F5" s="37">
        <f t="shared" si="2"/>
        <v>0</v>
      </c>
      <c r="G5" s="38">
        <f>COUNTIF(Vertices[In-Degree], "&gt;= " &amp; F5) - COUNTIF(Vertices[In-Degree], "&gt;=" &amp; F6)</f>
        <v>0</v>
      </c>
      <c r="H5" s="37">
        <f t="shared" si="3"/>
        <v>0</v>
      </c>
      <c r="I5" s="38">
        <f>COUNTIF(Vertices[Out-Degree], "&gt;= " &amp; H5) - COUNTIF(Vertices[Out-Degree], "&gt;=" &amp; H6)</f>
        <v>0</v>
      </c>
      <c r="J5" s="37">
        <f t="shared" si="4"/>
        <v>0</v>
      </c>
      <c r="K5" s="38">
        <f>COUNTIF(Vertices[Betweenness Centrality], "&gt;= " &amp; J5) - COUNTIF(Vertices[Betweenness Centrality], "&gt;=" &amp; J6)</f>
        <v>0</v>
      </c>
      <c r="L5" s="37">
        <f t="shared" si="5"/>
        <v>0</v>
      </c>
      <c r="M5" s="38">
        <f>COUNTIF(Vertices[Closeness Centrality], "&gt;= " &amp; L5) - COUNTIF(Vertices[Closeness Centrality], "&gt;=" &amp; L6)</f>
        <v>0</v>
      </c>
      <c r="N5" s="37">
        <f t="shared" si="6"/>
        <v>0</v>
      </c>
      <c r="O5" s="38">
        <f>COUNTIF(Vertices[Eigenvector Centrality], "&gt;= " &amp; N5) - COUNTIF(Vertices[Eigenvector Centrality], "&gt;=" &amp; N6)</f>
        <v>0</v>
      </c>
      <c r="P5" s="37">
        <f t="shared" si="7"/>
        <v>0</v>
      </c>
      <c r="Q5" s="38">
        <f>COUNTIF(Vertices[PageRank], "&gt;= " &amp; P5) - COUNTIF(Vertices[PageRank], "&gt;=" &amp; P6)</f>
        <v>0</v>
      </c>
      <c r="R5" s="37">
        <f t="shared" si="8"/>
        <v>0</v>
      </c>
      <c r="S5" s="42">
        <f>COUNTIF(Vertices[Clustering Coefficient], "&gt;= " &amp; R5) - COUNTIF(Vertices[Clustering Coefficient], "&gt;=" &amp; R6)</f>
        <v>0</v>
      </c>
      <c r="T5" s="37" t="e">
        <f t="shared" ca="1" si="9"/>
        <v>#REF!</v>
      </c>
      <c r="U5" s="38" t="e">
        <f t="shared" ca="1" si="0"/>
        <v>#REF!</v>
      </c>
    </row>
    <row r="6" spans="1:24" x14ac:dyDescent="0.25">
      <c r="D6" s="30">
        <f t="shared" si="1"/>
        <v>0</v>
      </c>
      <c r="E6">
        <f>COUNTIF(Vertices[Degree], "&gt;= " &amp; D6) - COUNTIF(Vertices[Degree], "&gt;=" &amp; D7)</f>
        <v>0</v>
      </c>
      <c r="F6" s="35">
        <f t="shared" si="2"/>
        <v>0</v>
      </c>
      <c r="G6" s="36">
        <f>COUNTIF(Vertices[In-Degree], "&gt;= " &amp; F6) - COUNTIF(Vertices[In-Degree], "&gt;=" &amp; F7)</f>
        <v>0</v>
      </c>
      <c r="H6" s="35">
        <f t="shared" si="3"/>
        <v>0</v>
      </c>
      <c r="I6" s="36">
        <f>COUNTIF(Vertices[Out-Degree], "&gt;= " &amp; H6) - COUNTIF(Vertices[Out-Degree], "&gt;=" &amp; H7)</f>
        <v>0</v>
      </c>
      <c r="J6" s="35">
        <f t="shared" si="4"/>
        <v>0</v>
      </c>
      <c r="K6" s="36">
        <f>COUNTIF(Vertices[Betweenness Centrality], "&gt;= " &amp; J6) - COUNTIF(Vertices[Betweenness Centrality], "&gt;=" &amp; J7)</f>
        <v>0</v>
      </c>
      <c r="L6" s="35">
        <f t="shared" si="5"/>
        <v>0</v>
      </c>
      <c r="M6" s="36">
        <f>COUNTIF(Vertices[Closeness Centrality], "&gt;= " &amp; L6) - COUNTIF(Vertices[Closeness Centrality], "&gt;=" &amp; L7)</f>
        <v>0</v>
      </c>
      <c r="N6" s="35">
        <f t="shared" si="6"/>
        <v>0</v>
      </c>
      <c r="O6" s="36">
        <f>COUNTIF(Vertices[Eigenvector Centrality], "&gt;= " &amp; N6) - COUNTIF(Vertices[Eigenvector Centrality], "&gt;=" &amp; N7)</f>
        <v>0</v>
      </c>
      <c r="P6" s="35">
        <f t="shared" si="7"/>
        <v>0</v>
      </c>
      <c r="Q6" s="36">
        <f>COUNTIF(Vertices[PageRank], "&gt;= " &amp; P6) - COUNTIF(Vertices[PageRank], "&gt;=" &amp; P7)</f>
        <v>0</v>
      </c>
      <c r="R6" s="35">
        <f t="shared" si="8"/>
        <v>0</v>
      </c>
      <c r="S6" s="41">
        <f>COUNTIF(Vertices[Clustering Coefficient], "&gt;= " &amp; R6) - COUNTIF(Vertices[Clustering Coefficient], "&gt;=" &amp; R7)</f>
        <v>0</v>
      </c>
      <c r="T6" s="35" t="e">
        <f t="shared" ca="1" si="9"/>
        <v>#REF!</v>
      </c>
      <c r="U6" s="36" t="e">
        <f t="shared" ca="1" si="0"/>
        <v>#REF!</v>
      </c>
    </row>
    <row r="7" spans="1:24" x14ac:dyDescent="0.25">
      <c r="D7" s="30">
        <f t="shared" si="1"/>
        <v>0</v>
      </c>
      <c r="E7">
        <f>COUNTIF(Vertices[Degree], "&gt;= " &amp; D7) - COUNTIF(Vertices[Degree], "&gt;=" &amp; D8)</f>
        <v>0</v>
      </c>
      <c r="F7" s="37">
        <f t="shared" si="2"/>
        <v>0</v>
      </c>
      <c r="G7" s="38">
        <f>COUNTIF(Vertices[In-Degree], "&gt;= " &amp; F7) - COUNTIF(Vertices[In-Degree], "&gt;=" &amp; F8)</f>
        <v>0</v>
      </c>
      <c r="H7" s="37">
        <f t="shared" si="3"/>
        <v>0</v>
      </c>
      <c r="I7" s="38">
        <f>COUNTIF(Vertices[Out-Degree], "&gt;= " &amp; H7) - COUNTIF(Vertices[Out-Degree], "&gt;=" &amp; H8)</f>
        <v>0</v>
      </c>
      <c r="J7" s="37">
        <f t="shared" si="4"/>
        <v>0</v>
      </c>
      <c r="K7" s="38">
        <f>COUNTIF(Vertices[Betweenness Centrality], "&gt;= " &amp; J7) - COUNTIF(Vertices[Betweenness Centrality], "&gt;=" &amp; J8)</f>
        <v>0</v>
      </c>
      <c r="L7" s="37">
        <f t="shared" si="5"/>
        <v>0</v>
      </c>
      <c r="M7" s="38">
        <f>COUNTIF(Vertices[Closeness Centrality], "&gt;= " &amp; L7) - COUNTIF(Vertices[Closeness Centrality], "&gt;=" &amp; L8)</f>
        <v>0</v>
      </c>
      <c r="N7" s="37">
        <f t="shared" si="6"/>
        <v>0</v>
      </c>
      <c r="O7" s="38">
        <f>COUNTIF(Vertices[Eigenvector Centrality], "&gt;= " &amp; N7) - COUNTIF(Vertices[Eigenvector Centrality], "&gt;=" &amp; N8)</f>
        <v>0</v>
      </c>
      <c r="P7" s="37">
        <f t="shared" si="7"/>
        <v>0</v>
      </c>
      <c r="Q7" s="38">
        <f>COUNTIF(Vertices[PageRank], "&gt;= " &amp; P7) - COUNTIF(Vertices[PageRank], "&gt;=" &amp; P8)</f>
        <v>0</v>
      </c>
      <c r="R7" s="37">
        <f t="shared" si="8"/>
        <v>0</v>
      </c>
      <c r="S7" s="42">
        <f>COUNTIF(Vertices[Clustering Coefficient], "&gt;= " &amp; R7) - COUNTIF(Vertices[Clustering Coefficient], "&gt;=" &amp; R8)</f>
        <v>0</v>
      </c>
      <c r="T7" s="37" t="e">
        <f t="shared" ca="1" si="9"/>
        <v>#REF!</v>
      </c>
      <c r="U7" s="38" t="e">
        <f t="shared" ca="1" si="0"/>
        <v>#REF!</v>
      </c>
    </row>
    <row r="8" spans="1:24" x14ac:dyDescent="0.25">
      <c r="D8" s="30">
        <f t="shared" si="1"/>
        <v>0</v>
      </c>
      <c r="E8">
        <f>COUNTIF(Vertices[Degree], "&gt;= " &amp; D8) - COUNTIF(Vertices[Degree], "&gt;=" &amp; D9)</f>
        <v>0</v>
      </c>
      <c r="F8" s="35">
        <f t="shared" si="2"/>
        <v>0</v>
      </c>
      <c r="G8" s="36">
        <f>COUNTIF(Vertices[In-Degree], "&gt;= " &amp; F8) - COUNTIF(Vertices[In-Degree], "&gt;=" &amp; F9)</f>
        <v>0</v>
      </c>
      <c r="H8" s="35">
        <f t="shared" si="3"/>
        <v>0</v>
      </c>
      <c r="I8" s="36">
        <f>COUNTIF(Vertices[Out-Degree], "&gt;= " &amp; H8) - COUNTIF(Vertices[Out-Degree], "&gt;=" &amp; H9)</f>
        <v>0</v>
      </c>
      <c r="J8" s="35">
        <f t="shared" si="4"/>
        <v>0</v>
      </c>
      <c r="K8" s="36">
        <f>COUNTIF(Vertices[Betweenness Centrality], "&gt;= " &amp; J8) - COUNTIF(Vertices[Betweenness Centrality], "&gt;=" &amp; J9)</f>
        <v>0</v>
      </c>
      <c r="L8" s="35">
        <f t="shared" si="5"/>
        <v>0</v>
      </c>
      <c r="M8" s="36">
        <f>COUNTIF(Vertices[Closeness Centrality], "&gt;= " &amp; L8) - COUNTIF(Vertices[Closeness Centrality], "&gt;=" &amp; L9)</f>
        <v>0</v>
      </c>
      <c r="N8" s="35">
        <f t="shared" si="6"/>
        <v>0</v>
      </c>
      <c r="O8" s="36">
        <f>COUNTIF(Vertices[Eigenvector Centrality], "&gt;= " &amp; N8) - COUNTIF(Vertices[Eigenvector Centrality], "&gt;=" &amp; N9)</f>
        <v>0</v>
      </c>
      <c r="P8" s="35">
        <f t="shared" si="7"/>
        <v>0</v>
      </c>
      <c r="Q8" s="36">
        <f>COUNTIF(Vertices[PageRank], "&gt;= " &amp; P8) - COUNTIF(Vertices[PageRank], "&gt;=" &amp; P9)</f>
        <v>0</v>
      </c>
      <c r="R8" s="35">
        <f t="shared" si="8"/>
        <v>0</v>
      </c>
      <c r="S8" s="41">
        <f>COUNTIF(Vertices[Clustering Coefficient], "&gt;= " &amp; R8) - COUNTIF(Vertices[Clustering Coefficient], "&gt;=" &amp; R9)</f>
        <v>0</v>
      </c>
      <c r="T8" s="35" t="e">
        <f t="shared" ca="1" si="9"/>
        <v>#REF!</v>
      </c>
      <c r="U8" s="36" t="e">
        <f t="shared" ca="1" si="0"/>
        <v>#REF!</v>
      </c>
    </row>
    <row r="9" spans="1:24" x14ac:dyDescent="0.25">
      <c r="D9" s="30">
        <f t="shared" si="1"/>
        <v>0</v>
      </c>
      <c r="E9">
        <f>COUNTIF(Vertices[Degree], "&gt;= " &amp; D9) - COUNTIF(Vertices[Degree], "&gt;=" &amp; D10)</f>
        <v>0</v>
      </c>
      <c r="F9" s="37">
        <f t="shared" si="2"/>
        <v>0</v>
      </c>
      <c r="G9" s="38">
        <f>COUNTIF(Vertices[In-Degree], "&gt;= " &amp; F9) - COUNTIF(Vertices[In-Degree], "&gt;=" &amp; F10)</f>
        <v>0</v>
      </c>
      <c r="H9" s="37">
        <f t="shared" si="3"/>
        <v>0</v>
      </c>
      <c r="I9" s="38">
        <f>COUNTIF(Vertices[Out-Degree], "&gt;= " &amp; H9) - COUNTIF(Vertices[Out-Degree], "&gt;=" &amp; H10)</f>
        <v>0</v>
      </c>
      <c r="J9" s="37">
        <f t="shared" si="4"/>
        <v>0</v>
      </c>
      <c r="K9" s="38">
        <f>COUNTIF(Vertices[Betweenness Centrality], "&gt;= " &amp; J9) - COUNTIF(Vertices[Betweenness Centrality], "&gt;=" &amp; J10)</f>
        <v>0</v>
      </c>
      <c r="L9" s="37">
        <f t="shared" si="5"/>
        <v>0</v>
      </c>
      <c r="M9" s="38">
        <f>COUNTIF(Vertices[Closeness Centrality], "&gt;= " &amp; L9) - COUNTIF(Vertices[Closeness Centrality], "&gt;=" &amp; L10)</f>
        <v>0</v>
      </c>
      <c r="N9" s="37">
        <f t="shared" si="6"/>
        <v>0</v>
      </c>
      <c r="O9" s="38">
        <f>COUNTIF(Vertices[Eigenvector Centrality], "&gt;= " &amp; N9) - COUNTIF(Vertices[Eigenvector Centrality], "&gt;=" &amp; N10)</f>
        <v>0</v>
      </c>
      <c r="P9" s="37">
        <f t="shared" si="7"/>
        <v>0</v>
      </c>
      <c r="Q9" s="38">
        <f>COUNTIF(Vertices[PageRank], "&gt;= " &amp; P9) - COUNTIF(Vertices[PageRank], "&gt;=" &amp; P10)</f>
        <v>0</v>
      </c>
      <c r="R9" s="37">
        <f t="shared" si="8"/>
        <v>0</v>
      </c>
      <c r="S9" s="42">
        <f>COUNTIF(Vertices[Clustering Coefficient], "&gt;= " &amp; R9) - COUNTIF(Vertices[Clustering Coefficient], "&gt;=" &amp; R10)</f>
        <v>0</v>
      </c>
      <c r="T9" s="37" t="e">
        <f t="shared" ca="1" si="9"/>
        <v>#REF!</v>
      </c>
      <c r="U9" s="38" t="e">
        <f t="shared" ca="1" si="0"/>
        <v>#REF!</v>
      </c>
    </row>
    <row r="10" spans="1:24" x14ac:dyDescent="0.25">
      <c r="D10" s="30">
        <f t="shared" si="1"/>
        <v>0</v>
      </c>
      <c r="E10">
        <f>COUNTIF(Vertices[Degree], "&gt;= " &amp; D10) - COUNTIF(Vertices[Degree], "&gt;=" &amp; D11)</f>
        <v>0</v>
      </c>
      <c r="F10" s="35">
        <f t="shared" si="2"/>
        <v>0</v>
      </c>
      <c r="G10" s="36">
        <f>COUNTIF(Vertices[In-Degree], "&gt;= " &amp; F10) - COUNTIF(Vertices[In-Degree], "&gt;=" &amp; F11)</f>
        <v>0</v>
      </c>
      <c r="H10" s="35">
        <f t="shared" si="3"/>
        <v>0</v>
      </c>
      <c r="I10" s="36">
        <f>COUNTIF(Vertices[Out-Degree], "&gt;= " &amp; H10) - COUNTIF(Vertices[Out-Degree], "&gt;=" &amp; H11)</f>
        <v>0</v>
      </c>
      <c r="J10" s="35">
        <f t="shared" si="4"/>
        <v>0</v>
      </c>
      <c r="K10" s="36">
        <f>COUNTIF(Vertices[Betweenness Centrality], "&gt;= " &amp; J10) - COUNTIF(Vertices[Betweenness Centrality], "&gt;=" &amp; J11)</f>
        <v>0</v>
      </c>
      <c r="L10" s="35">
        <f t="shared" si="5"/>
        <v>0</v>
      </c>
      <c r="M10" s="36">
        <f>COUNTIF(Vertices[Closeness Centrality], "&gt;= " &amp; L10) - COUNTIF(Vertices[Closeness Centrality], "&gt;=" &amp; L11)</f>
        <v>0</v>
      </c>
      <c r="N10" s="35">
        <f t="shared" si="6"/>
        <v>0</v>
      </c>
      <c r="O10" s="36">
        <f>COUNTIF(Vertices[Eigenvector Centrality], "&gt;= " &amp; N10) - COUNTIF(Vertices[Eigenvector Centrality], "&gt;=" &amp; N11)</f>
        <v>0</v>
      </c>
      <c r="P10" s="35">
        <f t="shared" si="7"/>
        <v>0</v>
      </c>
      <c r="Q10" s="36">
        <f>COUNTIF(Vertices[PageRank], "&gt;= " &amp; P10) - COUNTIF(Vertices[PageRank], "&gt;=" &amp; P11)</f>
        <v>0</v>
      </c>
      <c r="R10" s="35">
        <f t="shared" si="8"/>
        <v>0</v>
      </c>
      <c r="S10" s="41">
        <f>COUNTIF(Vertices[Clustering Coefficient], "&gt;= " &amp; R10) - COUNTIF(Vertices[Clustering Coefficient], "&gt;=" &amp; R11)</f>
        <v>0</v>
      </c>
      <c r="T10" s="35" t="e">
        <f t="shared" ca="1" si="9"/>
        <v>#REF!</v>
      </c>
      <c r="U10" s="36" t="e">
        <f t="shared" ca="1" si="0"/>
        <v>#REF!</v>
      </c>
    </row>
    <row r="11" spans="1:24" x14ac:dyDescent="0.25">
      <c r="D11" s="30">
        <f t="shared" si="1"/>
        <v>0</v>
      </c>
      <c r="E11">
        <f>COUNTIF(Vertices[Degree], "&gt;= " &amp; D11) - COUNTIF(Vertices[Degree], "&gt;=" &amp; D12)</f>
        <v>0</v>
      </c>
      <c r="F11" s="37">
        <f t="shared" si="2"/>
        <v>0</v>
      </c>
      <c r="G11" s="38">
        <f>COUNTIF(Vertices[In-Degree], "&gt;= " &amp; F11) - COUNTIF(Vertices[In-Degree], "&gt;=" &amp; F12)</f>
        <v>0</v>
      </c>
      <c r="H11" s="37">
        <f t="shared" si="3"/>
        <v>0</v>
      </c>
      <c r="I11" s="38">
        <f>COUNTIF(Vertices[Out-Degree], "&gt;= " &amp; H11) - COUNTIF(Vertices[Out-Degree], "&gt;=" &amp; H12)</f>
        <v>0</v>
      </c>
      <c r="J11" s="37">
        <f t="shared" si="4"/>
        <v>0</v>
      </c>
      <c r="K11" s="38">
        <f>COUNTIF(Vertices[Betweenness Centrality], "&gt;= " &amp; J11) - COUNTIF(Vertices[Betweenness Centrality], "&gt;=" &amp; J12)</f>
        <v>0</v>
      </c>
      <c r="L11" s="37">
        <f t="shared" si="5"/>
        <v>0</v>
      </c>
      <c r="M11" s="38">
        <f>COUNTIF(Vertices[Closeness Centrality], "&gt;= " &amp; L11) - COUNTIF(Vertices[Closeness Centrality], "&gt;=" &amp; L12)</f>
        <v>0</v>
      </c>
      <c r="N11" s="37">
        <f t="shared" si="6"/>
        <v>0</v>
      </c>
      <c r="O11" s="38">
        <f>COUNTIF(Vertices[Eigenvector Centrality], "&gt;= " &amp; N11) - COUNTIF(Vertices[Eigenvector Centrality], "&gt;=" &amp; N12)</f>
        <v>0</v>
      </c>
      <c r="P11" s="37">
        <f t="shared" si="7"/>
        <v>0</v>
      </c>
      <c r="Q11" s="38">
        <f>COUNTIF(Vertices[PageRank], "&gt;= " &amp; P11) - COUNTIF(Vertices[PageRank], "&gt;=" &amp; P12)</f>
        <v>0</v>
      </c>
      <c r="R11" s="37">
        <f t="shared" si="8"/>
        <v>0</v>
      </c>
      <c r="S11" s="42">
        <f>COUNTIF(Vertices[Clustering Coefficient], "&gt;= " &amp; R11) - COUNTIF(Vertices[Clustering Coefficient], "&gt;=" &amp; R12)</f>
        <v>0</v>
      </c>
      <c r="T11" s="37" t="e">
        <f t="shared" ca="1" si="9"/>
        <v>#REF!</v>
      </c>
      <c r="U11" s="38" t="e">
        <f t="shared" ca="1" si="0"/>
        <v>#REF!</v>
      </c>
    </row>
    <row r="12" spans="1:24" x14ac:dyDescent="0.25">
      <c r="D12" s="30">
        <f t="shared" si="1"/>
        <v>0</v>
      </c>
      <c r="E12">
        <f>COUNTIF(Vertices[Degree], "&gt;= " &amp; D12) - COUNTIF(Vertices[Degree], "&gt;=" &amp; D13)</f>
        <v>0</v>
      </c>
      <c r="F12" s="35">
        <f t="shared" si="2"/>
        <v>0</v>
      </c>
      <c r="G12" s="36">
        <f>COUNTIF(Vertices[In-Degree], "&gt;= " &amp; F12) - COUNTIF(Vertices[In-Degree], "&gt;=" &amp; F13)</f>
        <v>0</v>
      </c>
      <c r="H12" s="35">
        <f t="shared" si="3"/>
        <v>0</v>
      </c>
      <c r="I12" s="36">
        <f>COUNTIF(Vertices[Out-Degree], "&gt;= " &amp; H12) - COUNTIF(Vertices[Out-Degree], "&gt;=" &amp; H13)</f>
        <v>0</v>
      </c>
      <c r="J12" s="35">
        <f t="shared" si="4"/>
        <v>0</v>
      </c>
      <c r="K12" s="36">
        <f>COUNTIF(Vertices[Betweenness Centrality], "&gt;= " &amp; J12) - COUNTIF(Vertices[Betweenness Centrality], "&gt;=" &amp; J13)</f>
        <v>0</v>
      </c>
      <c r="L12" s="35">
        <f t="shared" si="5"/>
        <v>0</v>
      </c>
      <c r="M12" s="36">
        <f>COUNTIF(Vertices[Closeness Centrality], "&gt;= " &amp; L12) - COUNTIF(Vertices[Closeness Centrality], "&gt;=" &amp; L13)</f>
        <v>0</v>
      </c>
      <c r="N12" s="35">
        <f t="shared" si="6"/>
        <v>0</v>
      </c>
      <c r="O12" s="36">
        <f>COUNTIF(Vertices[Eigenvector Centrality], "&gt;= " &amp; N12) - COUNTIF(Vertices[Eigenvector Centrality], "&gt;=" &amp; N13)</f>
        <v>0</v>
      </c>
      <c r="P12" s="35">
        <f t="shared" si="7"/>
        <v>0</v>
      </c>
      <c r="Q12" s="36">
        <f>COUNTIF(Vertices[PageRank], "&gt;= " &amp; P12) - COUNTIF(Vertices[PageRank], "&gt;=" &amp; P13)</f>
        <v>0</v>
      </c>
      <c r="R12" s="35">
        <f t="shared" si="8"/>
        <v>0</v>
      </c>
      <c r="S12" s="41">
        <f>COUNTIF(Vertices[Clustering Coefficient], "&gt;= " &amp; R12) - COUNTIF(Vertices[Clustering Coefficient], "&gt;=" &amp; R13)</f>
        <v>0</v>
      </c>
      <c r="T12" s="35" t="e">
        <f t="shared" ca="1" si="9"/>
        <v>#REF!</v>
      </c>
      <c r="U12" s="36" t="e">
        <f t="shared" ca="1" si="0"/>
        <v>#REF!</v>
      </c>
    </row>
    <row r="13" spans="1:24" x14ac:dyDescent="0.25">
      <c r="D13" s="30">
        <f t="shared" si="1"/>
        <v>0</v>
      </c>
      <c r="E13">
        <f>COUNTIF(Vertices[Degree], "&gt;= " &amp; D13) - COUNTIF(Vertices[Degree], "&gt;=" &amp; D14)</f>
        <v>0</v>
      </c>
      <c r="F13" s="37">
        <f t="shared" si="2"/>
        <v>0</v>
      </c>
      <c r="G13" s="38">
        <f>COUNTIF(Vertices[In-Degree], "&gt;= " &amp; F13) - COUNTIF(Vertices[In-Degree], "&gt;=" &amp; F14)</f>
        <v>0</v>
      </c>
      <c r="H13" s="37">
        <f t="shared" si="3"/>
        <v>0</v>
      </c>
      <c r="I13" s="38">
        <f>COUNTIF(Vertices[Out-Degree], "&gt;= " &amp; H13) - COUNTIF(Vertices[Out-Degree], "&gt;=" &amp; H14)</f>
        <v>0</v>
      </c>
      <c r="J13" s="37">
        <f t="shared" si="4"/>
        <v>0</v>
      </c>
      <c r="K13" s="38">
        <f>COUNTIF(Vertices[Betweenness Centrality], "&gt;= " &amp; J13) - COUNTIF(Vertices[Betweenness Centrality], "&gt;=" &amp; J14)</f>
        <v>0</v>
      </c>
      <c r="L13" s="37">
        <f t="shared" si="5"/>
        <v>0</v>
      </c>
      <c r="M13" s="38">
        <f>COUNTIF(Vertices[Closeness Centrality], "&gt;= " &amp; L13) - COUNTIF(Vertices[Closeness Centrality], "&gt;=" &amp; L14)</f>
        <v>0</v>
      </c>
      <c r="N13" s="37">
        <f t="shared" si="6"/>
        <v>0</v>
      </c>
      <c r="O13" s="38">
        <f>COUNTIF(Vertices[Eigenvector Centrality], "&gt;= " &amp; N13) - COUNTIF(Vertices[Eigenvector Centrality], "&gt;=" &amp; N14)</f>
        <v>0</v>
      </c>
      <c r="P13" s="37">
        <f t="shared" si="7"/>
        <v>0</v>
      </c>
      <c r="Q13" s="38">
        <f>COUNTIF(Vertices[PageRank], "&gt;= " &amp; P13) - COUNTIF(Vertices[PageRank], "&gt;=" &amp; P14)</f>
        <v>0</v>
      </c>
      <c r="R13" s="37">
        <f t="shared" si="8"/>
        <v>0</v>
      </c>
      <c r="S13" s="42">
        <f>COUNTIF(Vertices[Clustering Coefficient], "&gt;= " &amp; R13) - COUNTIF(Vertices[Clustering Coefficient], "&gt;=" &amp; R14)</f>
        <v>0</v>
      </c>
      <c r="T13" s="37" t="e">
        <f t="shared" ca="1" si="9"/>
        <v>#REF!</v>
      </c>
      <c r="U13" s="38" t="e">
        <f t="shared" ca="1" si="0"/>
        <v>#REF!</v>
      </c>
    </row>
    <row r="14" spans="1:24" x14ac:dyDescent="0.25">
      <c r="D14" s="30">
        <f t="shared" si="1"/>
        <v>0</v>
      </c>
      <c r="E14">
        <f>COUNTIF(Vertices[Degree], "&gt;= " &amp; D14) - COUNTIF(Vertices[Degree], "&gt;=" &amp; D15)</f>
        <v>0</v>
      </c>
      <c r="F14" s="35">
        <f t="shared" si="2"/>
        <v>0</v>
      </c>
      <c r="G14" s="36">
        <f>COUNTIF(Vertices[In-Degree], "&gt;= " &amp; F14) - COUNTIF(Vertices[In-Degree], "&gt;=" &amp; F15)</f>
        <v>0</v>
      </c>
      <c r="H14" s="35">
        <f t="shared" si="3"/>
        <v>0</v>
      </c>
      <c r="I14" s="36">
        <f>COUNTIF(Vertices[Out-Degree], "&gt;= " &amp; H14) - COUNTIF(Vertices[Out-Degree], "&gt;=" &amp; H15)</f>
        <v>0</v>
      </c>
      <c r="J14" s="35">
        <f t="shared" si="4"/>
        <v>0</v>
      </c>
      <c r="K14" s="36">
        <f>COUNTIF(Vertices[Betweenness Centrality], "&gt;= " &amp; J14) - COUNTIF(Vertices[Betweenness Centrality], "&gt;=" &amp; J15)</f>
        <v>0</v>
      </c>
      <c r="L14" s="35">
        <f t="shared" si="5"/>
        <v>0</v>
      </c>
      <c r="M14" s="36">
        <f>COUNTIF(Vertices[Closeness Centrality], "&gt;= " &amp; L14) - COUNTIF(Vertices[Closeness Centrality], "&gt;=" &amp; L15)</f>
        <v>0</v>
      </c>
      <c r="N14" s="35">
        <f t="shared" si="6"/>
        <v>0</v>
      </c>
      <c r="O14" s="36">
        <f>COUNTIF(Vertices[Eigenvector Centrality], "&gt;= " &amp; N14) - COUNTIF(Vertices[Eigenvector Centrality], "&gt;=" &amp; N15)</f>
        <v>0</v>
      </c>
      <c r="P14" s="35">
        <f t="shared" si="7"/>
        <v>0</v>
      </c>
      <c r="Q14" s="36">
        <f>COUNTIF(Vertices[PageRank], "&gt;= " &amp; P14) - COUNTIF(Vertices[PageRank], "&gt;=" &amp; P15)</f>
        <v>0</v>
      </c>
      <c r="R14" s="35">
        <f t="shared" si="8"/>
        <v>0</v>
      </c>
      <c r="S14" s="41">
        <f>COUNTIF(Vertices[Clustering Coefficient], "&gt;= " &amp; R14) - COUNTIF(Vertices[Clustering Coefficient], "&gt;=" &amp; R15)</f>
        <v>0</v>
      </c>
      <c r="T14" s="35" t="e">
        <f t="shared" ca="1" si="9"/>
        <v>#REF!</v>
      </c>
      <c r="U14" s="36" t="e">
        <f t="shared" ca="1" si="0"/>
        <v>#REF!</v>
      </c>
    </row>
    <row r="15" spans="1:24" x14ac:dyDescent="0.25">
      <c r="D15" s="30">
        <f t="shared" si="1"/>
        <v>0</v>
      </c>
      <c r="E15">
        <f>COUNTIF(Vertices[Degree], "&gt;= " &amp; D15) - COUNTIF(Vertices[Degree], "&gt;=" &amp; D16)</f>
        <v>0</v>
      </c>
      <c r="F15" s="37">
        <f t="shared" si="2"/>
        <v>0</v>
      </c>
      <c r="G15" s="38">
        <f>COUNTIF(Vertices[In-Degree], "&gt;= " &amp; F15) - COUNTIF(Vertices[In-Degree], "&gt;=" &amp; F16)</f>
        <v>0</v>
      </c>
      <c r="H15" s="37">
        <f t="shared" si="3"/>
        <v>0</v>
      </c>
      <c r="I15" s="38">
        <f>COUNTIF(Vertices[Out-Degree], "&gt;= " &amp; H15) - COUNTIF(Vertices[Out-Degree], "&gt;=" &amp; H16)</f>
        <v>0</v>
      </c>
      <c r="J15" s="37">
        <f t="shared" si="4"/>
        <v>0</v>
      </c>
      <c r="K15" s="38">
        <f>COUNTIF(Vertices[Betweenness Centrality], "&gt;= " &amp; J15) - COUNTIF(Vertices[Betweenness Centrality], "&gt;=" &amp; J16)</f>
        <v>0</v>
      </c>
      <c r="L15" s="37">
        <f t="shared" si="5"/>
        <v>0</v>
      </c>
      <c r="M15" s="38">
        <f>COUNTIF(Vertices[Closeness Centrality], "&gt;= " &amp; L15) - COUNTIF(Vertices[Closeness Centrality], "&gt;=" &amp; L16)</f>
        <v>0</v>
      </c>
      <c r="N15" s="37">
        <f t="shared" si="6"/>
        <v>0</v>
      </c>
      <c r="O15" s="38">
        <f>COUNTIF(Vertices[Eigenvector Centrality], "&gt;= " &amp; N15) - COUNTIF(Vertices[Eigenvector Centrality], "&gt;=" &amp; N16)</f>
        <v>0</v>
      </c>
      <c r="P15" s="37">
        <f t="shared" si="7"/>
        <v>0</v>
      </c>
      <c r="Q15" s="38">
        <f>COUNTIF(Vertices[PageRank], "&gt;= " &amp; P15) - COUNTIF(Vertices[PageRank], "&gt;=" &amp; P16)</f>
        <v>0</v>
      </c>
      <c r="R15" s="37">
        <f t="shared" si="8"/>
        <v>0</v>
      </c>
      <c r="S15" s="42">
        <f>COUNTIF(Vertices[Clustering Coefficient], "&gt;= " &amp; R15) - COUNTIF(Vertices[Clustering Coefficient], "&gt;=" &amp; R16)</f>
        <v>0</v>
      </c>
      <c r="T15" s="37" t="e">
        <f t="shared" ca="1" si="9"/>
        <v>#REF!</v>
      </c>
      <c r="U15" s="38" t="e">
        <f t="shared" ca="1" si="0"/>
        <v>#REF!</v>
      </c>
    </row>
    <row r="16" spans="1:24" x14ac:dyDescent="0.25">
      <c r="D16" s="30">
        <f t="shared" si="1"/>
        <v>0</v>
      </c>
      <c r="E16">
        <f>COUNTIF(Vertices[Degree], "&gt;= " &amp; D16) - COUNTIF(Vertices[Degree], "&gt;=" &amp; D17)</f>
        <v>0</v>
      </c>
      <c r="F16" s="35">
        <f t="shared" si="2"/>
        <v>0</v>
      </c>
      <c r="G16" s="36">
        <f>COUNTIF(Vertices[In-Degree], "&gt;= " &amp; F16) - COUNTIF(Vertices[In-Degree], "&gt;=" &amp; F17)</f>
        <v>0</v>
      </c>
      <c r="H16" s="35">
        <f t="shared" si="3"/>
        <v>0</v>
      </c>
      <c r="I16" s="36">
        <f>COUNTIF(Vertices[Out-Degree], "&gt;= " &amp; H16) - COUNTIF(Vertices[Out-Degree], "&gt;=" &amp; H17)</f>
        <v>0</v>
      </c>
      <c r="J16" s="35">
        <f t="shared" si="4"/>
        <v>0</v>
      </c>
      <c r="K16" s="36">
        <f>COUNTIF(Vertices[Betweenness Centrality], "&gt;= " &amp; J16) - COUNTIF(Vertices[Betweenness Centrality], "&gt;=" &amp; J17)</f>
        <v>0</v>
      </c>
      <c r="L16" s="35">
        <f t="shared" si="5"/>
        <v>0</v>
      </c>
      <c r="M16" s="36">
        <f>COUNTIF(Vertices[Closeness Centrality], "&gt;= " &amp; L16) - COUNTIF(Vertices[Closeness Centrality], "&gt;=" &amp; L17)</f>
        <v>0</v>
      </c>
      <c r="N16" s="35">
        <f t="shared" si="6"/>
        <v>0</v>
      </c>
      <c r="O16" s="36">
        <f>COUNTIF(Vertices[Eigenvector Centrality], "&gt;= " &amp; N16) - COUNTIF(Vertices[Eigenvector Centrality], "&gt;=" &amp; N17)</f>
        <v>0</v>
      </c>
      <c r="P16" s="35">
        <f t="shared" si="7"/>
        <v>0</v>
      </c>
      <c r="Q16" s="36">
        <f>COUNTIF(Vertices[PageRank], "&gt;= " &amp; P16) - COUNTIF(Vertices[PageRank], "&gt;=" &amp; P17)</f>
        <v>0</v>
      </c>
      <c r="R16" s="35">
        <f t="shared" si="8"/>
        <v>0</v>
      </c>
      <c r="S16" s="41">
        <f>COUNTIF(Vertices[Clustering Coefficient], "&gt;= " &amp; R16) - COUNTIF(Vertices[Clustering Coefficient], "&gt;=" &amp; R17)</f>
        <v>0</v>
      </c>
      <c r="T16" s="35" t="e">
        <f t="shared" ca="1" si="9"/>
        <v>#REF!</v>
      </c>
      <c r="U16" s="36" t="e">
        <f t="shared" ca="1" si="0"/>
        <v>#REF!</v>
      </c>
    </row>
    <row r="17" spans="4:21" x14ac:dyDescent="0.25">
      <c r="D17" s="30">
        <f t="shared" si="1"/>
        <v>0</v>
      </c>
      <c r="E17">
        <f>COUNTIF(Vertices[Degree], "&gt;= " &amp; D17) - COUNTIF(Vertices[Degree], "&gt;=" &amp; D18)</f>
        <v>0</v>
      </c>
      <c r="F17" s="37">
        <f t="shared" si="2"/>
        <v>0</v>
      </c>
      <c r="G17" s="38">
        <f>COUNTIF(Vertices[In-Degree], "&gt;= " &amp; F17) - COUNTIF(Vertices[In-Degree], "&gt;=" &amp; F18)</f>
        <v>0</v>
      </c>
      <c r="H17" s="37">
        <f t="shared" si="3"/>
        <v>0</v>
      </c>
      <c r="I17" s="38">
        <f>COUNTIF(Vertices[Out-Degree], "&gt;= " &amp; H17) - COUNTIF(Vertices[Out-Degree], "&gt;=" &amp; H18)</f>
        <v>0</v>
      </c>
      <c r="J17" s="37">
        <f t="shared" si="4"/>
        <v>0</v>
      </c>
      <c r="K17" s="38">
        <f>COUNTIF(Vertices[Betweenness Centrality], "&gt;= " &amp; J17) - COUNTIF(Vertices[Betweenness Centrality], "&gt;=" &amp; J18)</f>
        <v>0</v>
      </c>
      <c r="L17" s="37">
        <f t="shared" si="5"/>
        <v>0</v>
      </c>
      <c r="M17" s="38">
        <f>COUNTIF(Vertices[Closeness Centrality], "&gt;= " &amp; L17) - COUNTIF(Vertices[Closeness Centrality], "&gt;=" &amp; L18)</f>
        <v>0</v>
      </c>
      <c r="N17" s="37">
        <f t="shared" si="6"/>
        <v>0</v>
      </c>
      <c r="O17" s="38">
        <f>COUNTIF(Vertices[Eigenvector Centrality], "&gt;= " &amp; N17) - COUNTIF(Vertices[Eigenvector Centrality], "&gt;=" &amp; N18)</f>
        <v>0</v>
      </c>
      <c r="P17" s="37">
        <f t="shared" si="7"/>
        <v>0</v>
      </c>
      <c r="Q17" s="38">
        <f>COUNTIF(Vertices[PageRank], "&gt;= " &amp; P17) - COUNTIF(Vertices[PageRank], "&gt;=" &amp; P18)</f>
        <v>0</v>
      </c>
      <c r="R17" s="37">
        <f t="shared" si="8"/>
        <v>0</v>
      </c>
      <c r="S17" s="42">
        <f>COUNTIF(Vertices[Clustering Coefficient], "&gt;= " &amp; R17) - COUNTIF(Vertices[Clustering Coefficient], "&gt;=" &amp; R18)</f>
        <v>0</v>
      </c>
      <c r="T17" s="37" t="e">
        <f t="shared" ca="1" si="9"/>
        <v>#REF!</v>
      </c>
      <c r="U17" s="38" t="e">
        <f t="shared" ca="1" si="0"/>
        <v>#REF!</v>
      </c>
    </row>
    <row r="18" spans="4:21" x14ac:dyDescent="0.25">
      <c r="D18" s="30">
        <f t="shared" si="1"/>
        <v>0</v>
      </c>
      <c r="E18">
        <f>COUNTIF(Vertices[Degree], "&gt;= " &amp; D18) - COUNTIF(Vertices[Degree], "&gt;=" &amp; D19)</f>
        <v>0</v>
      </c>
      <c r="F18" s="35">
        <f t="shared" si="2"/>
        <v>0</v>
      </c>
      <c r="G18" s="36">
        <f>COUNTIF(Vertices[In-Degree], "&gt;= " &amp; F18) - COUNTIF(Vertices[In-Degree], "&gt;=" &amp; F19)</f>
        <v>0</v>
      </c>
      <c r="H18" s="35">
        <f t="shared" si="3"/>
        <v>0</v>
      </c>
      <c r="I18" s="36">
        <f>COUNTIF(Vertices[Out-Degree], "&gt;= " &amp; H18) - COUNTIF(Vertices[Out-Degree], "&gt;=" &amp; H19)</f>
        <v>0</v>
      </c>
      <c r="J18" s="35">
        <f t="shared" si="4"/>
        <v>0</v>
      </c>
      <c r="K18" s="36">
        <f>COUNTIF(Vertices[Betweenness Centrality], "&gt;= " &amp; J18) - COUNTIF(Vertices[Betweenness Centrality], "&gt;=" &amp; J19)</f>
        <v>0</v>
      </c>
      <c r="L18" s="35">
        <f t="shared" si="5"/>
        <v>0</v>
      </c>
      <c r="M18" s="36">
        <f>COUNTIF(Vertices[Closeness Centrality], "&gt;= " &amp; L18) - COUNTIF(Vertices[Closeness Centrality], "&gt;=" &amp; L19)</f>
        <v>0</v>
      </c>
      <c r="N18" s="35">
        <f t="shared" si="6"/>
        <v>0</v>
      </c>
      <c r="O18" s="36">
        <f>COUNTIF(Vertices[Eigenvector Centrality], "&gt;= " &amp; N18) - COUNTIF(Vertices[Eigenvector Centrality], "&gt;=" &amp; N19)</f>
        <v>0</v>
      </c>
      <c r="P18" s="35">
        <f t="shared" si="7"/>
        <v>0</v>
      </c>
      <c r="Q18" s="36">
        <f>COUNTIF(Vertices[PageRank], "&gt;= " &amp; P18) - COUNTIF(Vertices[PageRank], "&gt;=" &amp; P19)</f>
        <v>0</v>
      </c>
      <c r="R18" s="35">
        <f t="shared" si="8"/>
        <v>0</v>
      </c>
      <c r="S18" s="41">
        <f>COUNTIF(Vertices[Clustering Coefficient], "&gt;= " &amp; R18) - COUNTIF(Vertices[Clustering Coefficient], "&gt;=" &amp; R19)</f>
        <v>0</v>
      </c>
      <c r="T18" s="35" t="e">
        <f t="shared" ca="1" si="9"/>
        <v>#REF!</v>
      </c>
      <c r="U18" s="36" t="e">
        <f t="shared" ca="1" si="0"/>
        <v>#REF!</v>
      </c>
    </row>
    <row r="19" spans="4:21" x14ac:dyDescent="0.25">
      <c r="D19" s="30">
        <f t="shared" si="1"/>
        <v>0</v>
      </c>
      <c r="E19">
        <f>COUNTIF(Vertices[Degree], "&gt;= " &amp; D19) - COUNTIF(Vertices[Degree], "&gt;=" &amp; D20)</f>
        <v>0</v>
      </c>
      <c r="F19" s="37">
        <f t="shared" si="2"/>
        <v>0</v>
      </c>
      <c r="G19" s="38">
        <f>COUNTIF(Vertices[In-Degree], "&gt;= " &amp; F19) - COUNTIF(Vertices[In-Degree], "&gt;=" &amp; F20)</f>
        <v>0</v>
      </c>
      <c r="H19" s="37">
        <f t="shared" si="3"/>
        <v>0</v>
      </c>
      <c r="I19" s="38">
        <f>COUNTIF(Vertices[Out-Degree], "&gt;= " &amp; H19) - COUNTIF(Vertices[Out-Degree], "&gt;=" &amp; H20)</f>
        <v>0</v>
      </c>
      <c r="J19" s="37">
        <f t="shared" si="4"/>
        <v>0</v>
      </c>
      <c r="K19" s="38">
        <f>COUNTIF(Vertices[Betweenness Centrality], "&gt;= " &amp; J19) - COUNTIF(Vertices[Betweenness Centrality], "&gt;=" &amp; J20)</f>
        <v>0</v>
      </c>
      <c r="L19" s="37">
        <f t="shared" si="5"/>
        <v>0</v>
      </c>
      <c r="M19" s="38">
        <f>COUNTIF(Vertices[Closeness Centrality], "&gt;= " &amp; L19) - COUNTIF(Vertices[Closeness Centrality], "&gt;=" &amp; L20)</f>
        <v>0</v>
      </c>
      <c r="N19" s="37">
        <f t="shared" si="6"/>
        <v>0</v>
      </c>
      <c r="O19" s="38">
        <f>COUNTIF(Vertices[Eigenvector Centrality], "&gt;= " &amp; N19) - COUNTIF(Vertices[Eigenvector Centrality], "&gt;=" &amp; N20)</f>
        <v>0</v>
      </c>
      <c r="P19" s="37">
        <f t="shared" si="7"/>
        <v>0</v>
      </c>
      <c r="Q19" s="38">
        <f>COUNTIF(Vertices[PageRank], "&gt;= " &amp; P19) - COUNTIF(Vertices[PageRank], "&gt;=" &amp; P20)</f>
        <v>0</v>
      </c>
      <c r="R19" s="37">
        <f t="shared" si="8"/>
        <v>0</v>
      </c>
      <c r="S19" s="42">
        <f>COUNTIF(Vertices[Clustering Coefficient], "&gt;= " &amp; R19) - COUNTIF(Vertices[Clustering Coefficient], "&gt;=" &amp; R20)</f>
        <v>0</v>
      </c>
      <c r="T19" s="37" t="e">
        <f t="shared" ca="1" si="9"/>
        <v>#REF!</v>
      </c>
      <c r="U19" s="38" t="e">
        <f t="shared" ca="1" si="0"/>
        <v>#REF!</v>
      </c>
    </row>
    <row r="20" spans="4:21" x14ac:dyDescent="0.25">
      <c r="D20" s="30">
        <f t="shared" si="1"/>
        <v>0</v>
      </c>
      <c r="E20">
        <f>COUNTIF(Vertices[Degree], "&gt;= " &amp; D20) - COUNTIF(Vertices[Degree], "&gt;=" &amp; D21)</f>
        <v>0</v>
      </c>
      <c r="F20" s="35">
        <f t="shared" si="2"/>
        <v>0</v>
      </c>
      <c r="G20" s="36">
        <f>COUNTIF(Vertices[In-Degree], "&gt;= " &amp; F20) - COUNTIF(Vertices[In-Degree], "&gt;=" &amp; F21)</f>
        <v>0</v>
      </c>
      <c r="H20" s="35">
        <f t="shared" si="3"/>
        <v>0</v>
      </c>
      <c r="I20" s="36">
        <f>COUNTIF(Vertices[Out-Degree], "&gt;= " &amp; H20) - COUNTIF(Vertices[Out-Degree], "&gt;=" &amp; H21)</f>
        <v>0</v>
      </c>
      <c r="J20" s="35">
        <f t="shared" si="4"/>
        <v>0</v>
      </c>
      <c r="K20" s="36">
        <f>COUNTIF(Vertices[Betweenness Centrality], "&gt;= " &amp; J20) - COUNTIF(Vertices[Betweenness Centrality], "&gt;=" &amp; J21)</f>
        <v>0</v>
      </c>
      <c r="L20" s="35">
        <f t="shared" si="5"/>
        <v>0</v>
      </c>
      <c r="M20" s="36">
        <f>COUNTIF(Vertices[Closeness Centrality], "&gt;= " &amp; L20) - COUNTIF(Vertices[Closeness Centrality], "&gt;=" &amp; L21)</f>
        <v>0</v>
      </c>
      <c r="N20" s="35">
        <f t="shared" si="6"/>
        <v>0</v>
      </c>
      <c r="O20" s="36">
        <f>COUNTIF(Vertices[Eigenvector Centrality], "&gt;= " &amp; N20) - COUNTIF(Vertices[Eigenvector Centrality], "&gt;=" &amp; N21)</f>
        <v>0</v>
      </c>
      <c r="P20" s="35">
        <f t="shared" si="7"/>
        <v>0</v>
      </c>
      <c r="Q20" s="36">
        <f>COUNTIF(Vertices[PageRank], "&gt;= " &amp; P20) - COUNTIF(Vertices[PageRank], "&gt;=" &amp; P21)</f>
        <v>0</v>
      </c>
      <c r="R20" s="35">
        <f t="shared" si="8"/>
        <v>0</v>
      </c>
      <c r="S20" s="41">
        <f>COUNTIF(Vertices[Clustering Coefficient], "&gt;= " &amp; R20) - COUNTIF(Vertices[Clustering Coefficient], "&gt;=" &amp; R21)</f>
        <v>0</v>
      </c>
      <c r="T20" s="35" t="e">
        <f t="shared" ca="1" si="9"/>
        <v>#REF!</v>
      </c>
      <c r="U20" s="36" t="e">
        <f t="shared" ca="1" si="0"/>
        <v>#REF!</v>
      </c>
    </row>
    <row r="21" spans="4:21" x14ac:dyDescent="0.25">
      <c r="D21" s="30">
        <f t="shared" si="1"/>
        <v>0</v>
      </c>
      <c r="E21">
        <f>COUNTIF(Vertices[Degree], "&gt;= " &amp; D21) - COUNTIF(Vertices[Degree], "&gt;=" &amp; D22)</f>
        <v>0</v>
      </c>
      <c r="F21" s="37">
        <f t="shared" si="2"/>
        <v>0</v>
      </c>
      <c r="G21" s="38">
        <f>COUNTIF(Vertices[In-Degree], "&gt;= " &amp; F21) - COUNTIF(Vertices[In-Degree], "&gt;=" &amp; F22)</f>
        <v>0</v>
      </c>
      <c r="H21" s="37">
        <f t="shared" si="3"/>
        <v>0</v>
      </c>
      <c r="I21" s="38">
        <f>COUNTIF(Vertices[Out-Degree], "&gt;= " &amp; H21) - COUNTIF(Vertices[Out-Degree], "&gt;=" &amp; H22)</f>
        <v>0</v>
      </c>
      <c r="J21" s="37">
        <f t="shared" si="4"/>
        <v>0</v>
      </c>
      <c r="K21" s="38">
        <f>COUNTIF(Vertices[Betweenness Centrality], "&gt;= " &amp; J21) - COUNTIF(Vertices[Betweenness Centrality], "&gt;=" &amp; J22)</f>
        <v>0</v>
      </c>
      <c r="L21" s="37">
        <f t="shared" si="5"/>
        <v>0</v>
      </c>
      <c r="M21" s="38">
        <f>COUNTIF(Vertices[Closeness Centrality], "&gt;= " &amp; L21) - COUNTIF(Vertices[Closeness Centrality], "&gt;=" &amp; L22)</f>
        <v>0</v>
      </c>
      <c r="N21" s="37">
        <f t="shared" si="6"/>
        <v>0</v>
      </c>
      <c r="O21" s="38">
        <f>COUNTIF(Vertices[Eigenvector Centrality], "&gt;= " &amp; N21) - COUNTIF(Vertices[Eigenvector Centrality], "&gt;=" &amp; N22)</f>
        <v>0</v>
      </c>
      <c r="P21" s="37">
        <f t="shared" si="7"/>
        <v>0</v>
      </c>
      <c r="Q21" s="38">
        <f>COUNTIF(Vertices[PageRank], "&gt;= " &amp; P21) - COUNTIF(Vertices[PageRank], "&gt;=" &amp; P22)</f>
        <v>0</v>
      </c>
      <c r="R21" s="37">
        <f t="shared" si="8"/>
        <v>0</v>
      </c>
      <c r="S21" s="42">
        <f>COUNTIF(Vertices[Clustering Coefficient], "&gt;= " &amp; R21) - COUNTIF(Vertices[Clustering Coefficient], "&gt;=" &amp; R22)</f>
        <v>0</v>
      </c>
      <c r="T21" s="37" t="e">
        <f t="shared" ca="1" si="9"/>
        <v>#REF!</v>
      </c>
      <c r="U21" s="38" t="e">
        <f t="shared" ca="1" si="0"/>
        <v>#REF!</v>
      </c>
    </row>
    <row r="22" spans="4:21" x14ac:dyDescent="0.25">
      <c r="D22" s="30">
        <f t="shared" si="1"/>
        <v>0</v>
      </c>
      <c r="E22">
        <f>COUNTIF(Vertices[Degree], "&gt;= " &amp; D22) - COUNTIF(Vertices[Degree], "&gt;=" &amp; D23)</f>
        <v>0</v>
      </c>
      <c r="F22" s="35">
        <f t="shared" si="2"/>
        <v>0</v>
      </c>
      <c r="G22" s="36">
        <f>COUNTIF(Vertices[In-Degree], "&gt;= " &amp; F22) - COUNTIF(Vertices[In-Degree], "&gt;=" &amp; F23)</f>
        <v>0</v>
      </c>
      <c r="H22" s="35">
        <f t="shared" si="3"/>
        <v>0</v>
      </c>
      <c r="I22" s="36">
        <f>COUNTIF(Vertices[Out-Degree], "&gt;= " &amp; H22) - COUNTIF(Vertices[Out-Degree], "&gt;=" &amp; H23)</f>
        <v>0</v>
      </c>
      <c r="J22" s="35">
        <f t="shared" si="4"/>
        <v>0</v>
      </c>
      <c r="K22" s="36">
        <f>COUNTIF(Vertices[Betweenness Centrality], "&gt;= " &amp; J22) - COUNTIF(Vertices[Betweenness Centrality], "&gt;=" &amp; J23)</f>
        <v>0</v>
      </c>
      <c r="L22" s="35">
        <f t="shared" si="5"/>
        <v>0</v>
      </c>
      <c r="M22" s="36">
        <f>COUNTIF(Vertices[Closeness Centrality], "&gt;= " &amp; L22) - COUNTIF(Vertices[Closeness Centrality], "&gt;=" &amp; L23)</f>
        <v>0</v>
      </c>
      <c r="N22" s="35">
        <f t="shared" si="6"/>
        <v>0</v>
      </c>
      <c r="O22" s="36">
        <f>COUNTIF(Vertices[Eigenvector Centrality], "&gt;= " &amp; N22) - COUNTIF(Vertices[Eigenvector Centrality], "&gt;=" &amp; N23)</f>
        <v>0</v>
      </c>
      <c r="P22" s="35">
        <f t="shared" si="7"/>
        <v>0</v>
      </c>
      <c r="Q22" s="36">
        <f>COUNTIF(Vertices[PageRank], "&gt;= " &amp; P22) - COUNTIF(Vertices[PageRank], "&gt;=" &amp; P23)</f>
        <v>0</v>
      </c>
      <c r="R22" s="35">
        <f t="shared" si="8"/>
        <v>0</v>
      </c>
      <c r="S22" s="41">
        <f>COUNTIF(Vertices[Clustering Coefficient], "&gt;= " &amp; R22) - COUNTIF(Vertices[Clustering Coefficient], "&gt;=" &amp; R23)</f>
        <v>0</v>
      </c>
      <c r="T22" s="35" t="e">
        <f t="shared" ca="1" si="9"/>
        <v>#REF!</v>
      </c>
      <c r="U22" s="36" t="e">
        <f t="shared" ca="1" si="0"/>
        <v>#REF!</v>
      </c>
    </row>
    <row r="23" spans="4:21" x14ac:dyDescent="0.25">
      <c r="D23" s="30">
        <f t="shared" si="1"/>
        <v>0</v>
      </c>
      <c r="E23">
        <f>COUNTIF(Vertices[Degree], "&gt;= " &amp; D23) - COUNTIF(Vertices[Degree], "&gt;=" &amp; D24)</f>
        <v>0</v>
      </c>
      <c r="F23" s="37">
        <f t="shared" si="2"/>
        <v>0</v>
      </c>
      <c r="G23" s="38">
        <f>COUNTIF(Vertices[In-Degree], "&gt;= " &amp; F23) - COUNTIF(Vertices[In-Degree], "&gt;=" &amp; F24)</f>
        <v>0</v>
      </c>
      <c r="H23" s="37">
        <f t="shared" si="3"/>
        <v>0</v>
      </c>
      <c r="I23" s="38">
        <f>COUNTIF(Vertices[Out-Degree], "&gt;= " &amp; H23) - COUNTIF(Vertices[Out-Degree], "&gt;=" &amp; H24)</f>
        <v>0</v>
      </c>
      <c r="J23" s="37">
        <f t="shared" si="4"/>
        <v>0</v>
      </c>
      <c r="K23" s="38">
        <f>COUNTIF(Vertices[Betweenness Centrality], "&gt;= " &amp; J23) - COUNTIF(Vertices[Betweenness Centrality], "&gt;=" &amp; J24)</f>
        <v>0</v>
      </c>
      <c r="L23" s="37">
        <f t="shared" si="5"/>
        <v>0</v>
      </c>
      <c r="M23" s="38">
        <f>COUNTIF(Vertices[Closeness Centrality], "&gt;= " &amp; L23) - COUNTIF(Vertices[Closeness Centrality], "&gt;=" &amp; L24)</f>
        <v>0</v>
      </c>
      <c r="N23" s="37">
        <f t="shared" si="6"/>
        <v>0</v>
      </c>
      <c r="O23" s="38">
        <f>COUNTIF(Vertices[Eigenvector Centrality], "&gt;= " &amp; N23) - COUNTIF(Vertices[Eigenvector Centrality], "&gt;=" &amp; N24)</f>
        <v>0</v>
      </c>
      <c r="P23" s="37">
        <f t="shared" si="7"/>
        <v>0</v>
      </c>
      <c r="Q23" s="38">
        <f>COUNTIF(Vertices[PageRank], "&gt;= " &amp; P23) - COUNTIF(Vertices[PageRank], "&gt;=" &amp; P24)</f>
        <v>0</v>
      </c>
      <c r="R23" s="37">
        <f t="shared" si="8"/>
        <v>0</v>
      </c>
      <c r="S23" s="42">
        <f>COUNTIF(Vertices[Clustering Coefficient], "&gt;= " &amp; R23) - COUNTIF(Vertices[Clustering Coefficient], "&gt;=" &amp; R24)</f>
        <v>0</v>
      </c>
      <c r="T23" s="37" t="e">
        <f t="shared" ca="1" si="9"/>
        <v>#REF!</v>
      </c>
      <c r="U23" s="38" t="e">
        <f t="shared" ca="1" si="0"/>
        <v>#REF!</v>
      </c>
    </row>
    <row r="24" spans="4:21" x14ac:dyDescent="0.25">
      <c r="D24" s="30">
        <f t="shared" si="1"/>
        <v>0</v>
      </c>
      <c r="E24">
        <f>COUNTIF(Vertices[Degree], "&gt;= " &amp; D24) - COUNTIF(Vertices[Degree], "&gt;=" &amp; D25)</f>
        <v>0</v>
      </c>
      <c r="F24" s="35">
        <f t="shared" si="2"/>
        <v>0</v>
      </c>
      <c r="G24" s="36">
        <f>COUNTIF(Vertices[In-Degree], "&gt;= " &amp; F24) - COUNTIF(Vertices[In-Degree], "&gt;=" &amp; F25)</f>
        <v>0</v>
      </c>
      <c r="H24" s="35">
        <f t="shared" si="3"/>
        <v>0</v>
      </c>
      <c r="I24" s="36">
        <f>COUNTIF(Vertices[Out-Degree], "&gt;= " &amp; H24) - COUNTIF(Vertices[Out-Degree], "&gt;=" &amp; H25)</f>
        <v>0</v>
      </c>
      <c r="J24" s="35">
        <f t="shared" si="4"/>
        <v>0</v>
      </c>
      <c r="K24" s="36">
        <f>COUNTIF(Vertices[Betweenness Centrality], "&gt;= " &amp; J24) - COUNTIF(Vertices[Betweenness Centrality], "&gt;=" &amp; J25)</f>
        <v>0</v>
      </c>
      <c r="L24" s="35">
        <f t="shared" si="5"/>
        <v>0</v>
      </c>
      <c r="M24" s="36">
        <f>COUNTIF(Vertices[Closeness Centrality], "&gt;= " &amp; L24) - COUNTIF(Vertices[Closeness Centrality], "&gt;=" &amp; L25)</f>
        <v>0</v>
      </c>
      <c r="N24" s="35">
        <f t="shared" si="6"/>
        <v>0</v>
      </c>
      <c r="O24" s="36">
        <f>COUNTIF(Vertices[Eigenvector Centrality], "&gt;= " &amp; N24) - COUNTIF(Vertices[Eigenvector Centrality], "&gt;=" &amp; N25)</f>
        <v>0</v>
      </c>
      <c r="P24" s="35">
        <f t="shared" si="7"/>
        <v>0</v>
      </c>
      <c r="Q24" s="36">
        <f>COUNTIF(Vertices[PageRank], "&gt;= " &amp; P24) - COUNTIF(Vertices[PageRank], "&gt;=" &amp; P25)</f>
        <v>0</v>
      </c>
      <c r="R24" s="35">
        <f t="shared" si="8"/>
        <v>0</v>
      </c>
      <c r="S24" s="41">
        <f>COUNTIF(Vertices[Clustering Coefficient], "&gt;= " &amp; R24) - COUNTIF(Vertices[Clustering Coefficient], "&gt;=" &amp; R25)</f>
        <v>0</v>
      </c>
      <c r="T24" s="35" t="e">
        <f t="shared" ca="1" si="9"/>
        <v>#REF!</v>
      </c>
      <c r="U24" s="36" t="e">
        <f t="shared" ca="1" si="0"/>
        <v>#REF!</v>
      </c>
    </row>
    <row r="25" spans="4:21" x14ac:dyDescent="0.25">
      <c r="D25" s="30">
        <f t="shared" si="1"/>
        <v>0</v>
      </c>
      <c r="E25">
        <f>COUNTIF(Vertices[Degree], "&gt;= " &amp; D25) - COUNTIF(Vertices[Degree], "&gt;=" &amp; D26)</f>
        <v>0</v>
      </c>
      <c r="F25" s="37">
        <f t="shared" si="2"/>
        <v>0</v>
      </c>
      <c r="G25" s="38">
        <f>COUNTIF(Vertices[In-Degree], "&gt;= " &amp; F25) - COUNTIF(Vertices[In-Degree], "&gt;=" &amp; F26)</f>
        <v>0</v>
      </c>
      <c r="H25" s="37">
        <f t="shared" si="3"/>
        <v>0</v>
      </c>
      <c r="I25" s="38">
        <f>COUNTIF(Vertices[Out-Degree], "&gt;= " &amp; H25) - COUNTIF(Vertices[Out-Degree], "&gt;=" &amp; H26)</f>
        <v>0</v>
      </c>
      <c r="J25" s="37">
        <f t="shared" si="4"/>
        <v>0</v>
      </c>
      <c r="K25" s="38">
        <f>COUNTIF(Vertices[Betweenness Centrality], "&gt;= " &amp; J25) - COUNTIF(Vertices[Betweenness Centrality], "&gt;=" &amp; J26)</f>
        <v>0</v>
      </c>
      <c r="L25" s="37">
        <f t="shared" si="5"/>
        <v>0</v>
      </c>
      <c r="M25" s="38">
        <f>COUNTIF(Vertices[Closeness Centrality], "&gt;= " &amp; L25) - COUNTIF(Vertices[Closeness Centrality], "&gt;=" &amp; L26)</f>
        <v>0</v>
      </c>
      <c r="N25" s="37">
        <f t="shared" si="6"/>
        <v>0</v>
      </c>
      <c r="O25" s="38">
        <f>COUNTIF(Vertices[Eigenvector Centrality], "&gt;= " &amp; N25) - COUNTIF(Vertices[Eigenvector Centrality], "&gt;=" &amp; N26)</f>
        <v>0</v>
      </c>
      <c r="P25" s="37">
        <f t="shared" si="7"/>
        <v>0</v>
      </c>
      <c r="Q25" s="38">
        <f>COUNTIF(Vertices[PageRank], "&gt;= " &amp; P25) - COUNTIF(Vertices[PageRank], "&gt;=" &amp; P26)</f>
        <v>0</v>
      </c>
      <c r="R25" s="37">
        <f t="shared" si="8"/>
        <v>0</v>
      </c>
      <c r="S25" s="42">
        <f>COUNTIF(Vertices[Clustering Coefficient], "&gt;= " &amp; R25) - COUNTIF(Vertices[Clustering Coefficient], "&gt;=" &amp; R26)</f>
        <v>0</v>
      </c>
      <c r="T25" s="37" t="e">
        <f t="shared" ca="1" si="9"/>
        <v>#REF!</v>
      </c>
      <c r="U25" s="38" t="e">
        <f t="shared" ca="1" si="0"/>
        <v>#REF!</v>
      </c>
    </row>
    <row r="26" spans="4:21" x14ac:dyDescent="0.25">
      <c r="D26" s="30">
        <f t="shared" si="1"/>
        <v>0</v>
      </c>
      <c r="E26">
        <f>COUNTIF(Vertices[Degree], "&gt;= " &amp; D26) - COUNTIF(Vertices[Degree], "&gt;=" &amp; D27)</f>
        <v>0</v>
      </c>
      <c r="F26" s="35">
        <f t="shared" si="2"/>
        <v>0</v>
      </c>
      <c r="G26" s="36">
        <f>COUNTIF(Vertices[In-Degree], "&gt;= " &amp; F26) - COUNTIF(Vertices[In-Degree], "&gt;=" &amp; F27)</f>
        <v>0</v>
      </c>
      <c r="H26" s="35">
        <f t="shared" si="3"/>
        <v>0</v>
      </c>
      <c r="I26" s="36">
        <f>COUNTIF(Vertices[Out-Degree], "&gt;= " &amp; H26) - COUNTIF(Vertices[Out-Degree], "&gt;=" &amp; H27)</f>
        <v>0</v>
      </c>
      <c r="J26" s="35">
        <f t="shared" si="4"/>
        <v>0</v>
      </c>
      <c r="K26" s="36">
        <f>COUNTIF(Vertices[Betweenness Centrality], "&gt;= " &amp; J26) - COUNTIF(Vertices[Betweenness Centrality], "&gt;=" &amp; J27)</f>
        <v>0</v>
      </c>
      <c r="L26" s="35">
        <f t="shared" si="5"/>
        <v>0</v>
      </c>
      <c r="M26" s="36">
        <f>COUNTIF(Vertices[Closeness Centrality], "&gt;= " &amp; L26) - COUNTIF(Vertices[Closeness Centrality], "&gt;=" &amp; L27)</f>
        <v>0</v>
      </c>
      <c r="N26" s="35">
        <f t="shared" si="6"/>
        <v>0</v>
      </c>
      <c r="O26" s="36">
        <f>COUNTIF(Vertices[Eigenvector Centrality], "&gt;= " &amp; N26) - COUNTIF(Vertices[Eigenvector Centrality], "&gt;=" &amp; N27)</f>
        <v>0</v>
      </c>
      <c r="P26" s="35">
        <f t="shared" si="7"/>
        <v>0</v>
      </c>
      <c r="Q26" s="36">
        <f>COUNTIF(Vertices[PageRank], "&gt;= " &amp; P26) - COUNTIF(Vertices[PageRank], "&gt;=" &amp; P27)</f>
        <v>0</v>
      </c>
      <c r="R26" s="35">
        <f t="shared" si="8"/>
        <v>0</v>
      </c>
      <c r="S26" s="41">
        <f>COUNTIF(Vertices[Clustering Coefficient], "&gt;= " &amp; R26) - COUNTIF(Vertices[Clustering Coefficient], "&gt;=" &amp; R27)</f>
        <v>0</v>
      </c>
      <c r="T26" s="35" t="e">
        <f t="shared" ca="1" si="9"/>
        <v>#REF!</v>
      </c>
      <c r="U26" s="36" t="e">
        <f t="shared" ref="U26:U35" ca="1" si="10">COUNTIF(INDIRECT(DynamicFilterSourceColumnRange), "&gt;= " &amp; T26) - COUNTIF(INDIRECT(DynamicFilterSourceColumnRange), "&gt;=" &amp; T27)</f>
        <v>#REF!</v>
      </c>
    </row>
    <row r="27" spans="4:21" x14ac:dyDescent="0.25">
      <c r="D27" s="30">
        <f t="shared" si="1"/>
        <v>0</v>
      </c>
      <c r="E27">
        <f>COUNTIF(Vertices[Degree], "&gt;= " &amp; D27) - COUNTIF(Vertices[Degree], "&gt;=" &amp; D28)</f>
        <v>0</v>
      </c>
      <c r="F27" s="37">
        <f t="shared" si="2"/>
        <v>0</v>
      </c>
      <c r="G27" s="38">
        <f>COUNTIF(Vertices[In-Degree], "&gt;= " &amp; F27) - COUNTIF(Vertices[In-Degree], "&gt;=" &amp; F28)</f>
        <v>0</v>
      </c>
      <c r="H27" s="37">
        <f t="shared" si="3"/>
        <v>0</v>
      </c>
      <c r="I27" s="38">
        <f>COUNTIF(Vertices[Out-Degree], "&gt;= " &amp; H27) - COUNTIF(Vertices[Out-Degree], "&gt;=" &amp; H28)</f>
        <v>0</v>
      </c>
      <c r="J27" s="37">
        <f t="shared" si="4"/>
        <v>0</v>
      </c>
      <c r="K27" s="38">
        <f>COUNTIF(Vertices[Betweenness Centrality], "&gt;= " &amp; J27) - COUNTIF(Vertices[Betweenness Centrality], "&gt;=" &amp; J28)</f>
        <v>0</v>
      </c>
      <c r="L27" s="37">
        <f t="shared" si="5"/>
        <v>0</v>
      </c>
      <c r="M27" s="38">
        <f>COUNTIF(Vertices[Closeness Centrality], "&gt;= " &amp; L27) - COUNTIF(Vertices[Closeness Centrality], "&gt;=" &amp; L28)</f>
        <v>0</v>
      </c>
      <c r="N27" s="37">
        <f t="shared" si="6"/>
        <v>0</v>
      </c>
      <c r="O27" s="38">
        <f>COUNTIF(Vertices[Eigenvector Centrality], "&gt;= " &amp; N27) - COUNTIF(Vertices[Eigenvector Centrality], "&gt;=" &amp; N28)</f>
        <v>0</v>
      </c>
      <c r="P27" s="37">
        <f t="shared" si="7"/>
        <v>0</v>
      </c>
      <c r="Q27" s="38">
        <f>COUNTIF(Vertices[PageRank], "&gt;= " &amp; P27) - COUNTIF(Vertices[PageRank], "&gt;=" &amp; P28)</f>
        <v>0</v>
      </c>
      <c r="R27" s="37">
        <f t="shared" si="8"/>
        <v>0</v>
      </c>
      <c r="S27" s="42">
        <f>COUNTIF(Vertices[Clustering Coefficient], "&gt;= " &amp; R27) - COUNTIF(Vertices[Clustering Coefficient], "&gt;=" &amp; R28)</f>
        <v>0</v>
      </c>
      <c r="T27" s="37" t="e">
        <f t="shared" ca="1" si="9"/>
        <v>#REF!</v>
      </c>
      <c r="U27" s="38" t="e">
        <f t="shared" ca="1" si="10"/>
        <v>#REF!</v>
      </c>
    </row>
    <row r="28" spans="4:21" x14ac:dyDescent="0.25">
      <c r="D28" s="30">
        <f t="shared" si="1"/>
        <v>0</v>
      </c>
      <c r="E28">
        <f>COUNTIF(Vertices[Degree], "&gt;= " &amp; D28) - COUNTIF(Vertices[Degree], "&gt;=" &amp; D29)</f>
        <v>0</v>
      </c>
      <c r="F28" s="35">
        <f t="shared" si="2"/>
        <v>0</v>
      </c>
      <c r="G28" s="36">
        <f>COUNTIF(Vertices[In-Degree], "&gt;= " &amp; F28) - COUNTIF(Vertices[In-Degree], "&gt;=" &amp; F29)</f>
        <v>0</v>
      </c>
      <c r="H28" s="35">
        <f t="shared" si="3"/>
        <v>0</v>
      </c>
      <c r="I28" s="36">
        <f>COUNTIF(Vertices[Out-Degree], "&gt;= " &amp; H28) - COUNTIF(Vertices[Out-Degree], "&gt;=" &amp; H29)</f>
        <v>0</v>
      </c>
      <c r="J28" s="35">
        <f t="shared" si="4"/>
        <v>0</v>
      </c>
      <c r="K28" s="36">
        <f>COUNTIF(Vertices[Betweenness Centrality], "&gt;= " &amp; J28) - COUNTIF(Vertices[Betweenness Centrality], "&gt;=" &amp; J29)</f>
        <v>0</v>
      </c>
      <c r="L28" s="35">
        <f t="shared" si="5"/>
        <v>0</v>
      </c>
      <c r="M28" s="36">
        <f>COUNTIF(Vertices[Closeness Centrality], "&gt;= " &amp; L28) - COUNTIF(Vertices[Closeness Centrality], "&gt;=" &amp; L29)</f>
        <v>0</v>
      </c>
      <c r="N28" s="35">
        <f t="shared" si="6"/>
        <v>0</v>
      </c>
      <c r="O28" s="36">
        <f>COUNTIF(Vertices[Eigenvector Centrality], "&gt;= " &amp; N28) - COUNTIF(Vertices[Eigenvector Centrality], "&gt;=" &amp; N29)</f>
        <v>0</v>
      </c>
      <c r="P28" s="35">
        <f t="shared" si="7"/>
        <v>0</v>
      </c>
      <c r="Q28" s="36">
        <f>COUNTIF(Vertices[PageRank], "&gt;= " &amp; P28) - COUNTIF(Vertices[PageRank], "&gt;=" &amp; P29)</f>
        <v>0</v>
      </c>
      <c r="R28" s="35">
        <f t="shared" si="8"/>
        <v>0</v>
      </c>
      <c r="S28" s="41">
        <f>COUNTIF(Vertices[Clustering Coefficient], "&gt;= " &amp; R28) - COUNTIF(Vertices[Clustering Coefficient], "&gt;=" &amp; R29)</f>
        <v>0</v>
      </c>
      <c r="T28" s="35" t="e">
        <f t="shared" ca="1" si="9"/>
        <v>#REF!</v>
      </c>
      <c r="U28" s="36" t="e">
        <f t="shared" ca="1" si="10"/>
        <v>#REF!</v>
      </c>
    </row>
    <row r="29" spans="4:21" x14ac:dyDescent="0.25">
      <c r="D29" s="30">
        <f t="shared" si="1"/>
        <v>0</v>
      </c>
      <c r="E29">
        <f>COUNTIF(Vertices[Degree], "&gt;= " &amp; D29) - COUNTIF(Vertices[Degree], "&gt;=" &amp; D30)</f>
        <v>0</v>
      </c>
      <c r="F29" s="37">
        <f t="shared" si="2"/>
        <v>0</v>
      </c>
      <c r="G29" s="38">
        <f>COUNTIF(Vertices[In-Degree], "&gt;= " &amp; F29) - COUNTIF(Vertices[In-Degree], "&gt;=" &amp; F30)</f>
        <v>0</v>
      </c>
      <c r="H29" s="37">
        <f t="shared" si="3"/>
        <v>0</v>
      </c>
      <c r="I29" s="38">
        <f>COUNTIF(Vertices[Out-Degree], "&gt;= " &amp; H29) - COUNTIF(Vertices[Out-Degree], "&gt;=" &amp; H30)</f>
        <v>0</v>
      </c>
      <c r="J29" s="37">
        <f t="shared" si="4"/>
        <v>0</v>
      </c>
      <c r="K29" s="38">
        <f>COUNTIF(Vertices[Betweenness Centrality], "&gt;= " &amp; J29) - COUNTIF(Vertices[Betweenness Centrality], "&gt;=" &amp; J30)</f>
        <v>0</v>
      </c>
      <c r="L29" s="37">
        <f t="shared" si="5"/>
        <v>0</v>
      </c>
      <c r="M29" s="38">
        <f>COUNTIF(Vertices[Closeness Centrality], "&gt;= " &amp; L29) - COUNTIF(Vertices[Closeness Centrality], "&gt;=" &amp; L30)</f>
        <v>0</v>
      </c>
      <c r="N29" s="37">
        <f t="shared" si="6"/>
        <v>0</v>
      </c>
      <c r="O29" s="38">
        <f>COUNTIF(Vertices[Eigenvector Centrality], "&gt;= " &amp; N29) - COUNTIF(Vertices[Eigenvector Centrality], "&gt;=" &amp; N30)</f>
        <v>0</v>
      </c>
      <c r="P29" s="37">
        <f t="shared" si="7"/>
        <v>0</v>
      </c>
      <c r="Q29" s="38">
        <f>COUNTIF(Vertices[PageRank], "&gt;= " &amp; P29) - COUNTIF(Vertices[PageRank], "&gt;=" &amp; P30)</f>
        <v>0</v>
      </c>
      <c r="R29" s="37">
        <f t="shared" si="8"/>
        <v>0</v>
      </c>
      <c r="S29" s="42">
        <f>COUNTIF(Vertices[Clustering Coefficient], "&gt;= " &amp; R29) - COUNTIF(Vertices[Clustering Coefficient], "&gt;=" &amp; R30)</f>
        <v>0</v>
      </c>
      <c r="T29" s="37" t="e">
        <f t="shared" ca="1" si="9"/>
        <v>#REF!</v>
      </c>
      <c r="U29" s="38" t="e">
        <f t="shared" ca="1" si="10"/>
        <v>#REF!</v>
      </c>
    </row>
    <row r="30" spans="4:21" x14ac:dyDescent="0.25">
      <c r="D30" s="30">
        <f t="shared" si="1"/>
        <v>0</v>
      </c>
      <c r="E30">
        <f>COUNTIF(Vertices[Degree], "&gt;= " &amp; D30) - COUNTIF(Vertices[Degree], "&gt;=" &amp; D31)</f>
        <v>0</v>
      </c>
      <c r="F30" s="35">
        <f t="shared" si="2"/>
        <v>0</v>
      </c>
      <c r="G30" s="36">
        <f>COUNTIF(Vertices[In-Degree], "&gt;= " &amp; F30) - COUNTIF(Vertices[In-Degree], "&gt;=" &amp; F31)</f>
        <v>0</v>
      </c>
      <c r="H30" s="35">
        <f t="shared" si="3"/>
        <v>0</v>
      </c>
      <c r="I30" s="36">
        <f>COUNTIF(Vertices[Out-Degree], "&gt;= " &amp; H30) - COUNTIF(Vertices[Out-Degree], "&gt;=" &amp; H31)</f>
        <v>0</v>
      </c>
      <c r="J30" s="35">
        <f t="shared" si="4"/>
        <v>0</v>
      </c>
      <c r="K30" s="36">
        <f>COUNTIF(Vertices[Betweenness Centrality], "&gt;= " &amp; J30) - COUNTIF(Vertices[Betweenness Centrality], "&gt;=" &amp; J31)</f>
        <v>0</v>
      </c>
      <c r="L30" s="35">
        <f t="shared" si="5"/>
        <v>0</v>
      </c>
      <c r="M30" s="36">
        <f>COUNTIF(Vertices[Closeness Centrality], "&gt;= " &amp; L30) - COUNTIF(Vertices[Closeness Centrality], "&gt;=" &amp; L31)</f>
        <v>0</v>
      </c>
      <c r="N30" s="35">
        <f t="shared" si="6"/>
        <v>0</v>
      </c>
      <c r="O30" s="36">
        <f>COUNTIF(Vertices[Eigenvector Centrality], "&gt;= " &amp; N30) - COUNTIF(Vertices[Eigenvector Centrality], "&gt;=" &amp; N31)</f>
        <v>0</v>
      </c>
      <c r="P30" s="35">
        <f t="shared" si="7"/>
        <v>0</v>
      </c>
      <c r="Q30" s="36">
        <f>COUNTIF(Vertices[PageRank], "&gt;= " &amp; P30) - COUNTIF(Vertices[PageRank], "&gt;=" &amp; P31)</f>
        <v>0</v>
      </c>
      <c r="R30" s="35">
        <f t="shared" si="8"/>
        <v>0</v>
      </c>
      <c r="S30" s="41">
        <f>COUNTIF(Vertices[Clustering Coefficient], "&gt;= " &amp; R30) - COUNTIF(Vertices[Clustering Coefficient], "&gt;=" &amp; R31)</f>
        <v>0</v>
      </c>
      <c r="T30" s="35" t="e">
        <f t="shared" ca="1" si="9"/>
        <v>#REF!</v>
      </c>
      <c r="U30" s="36" t="e">
        <f t="shared" ca="1" si="10"/>
        <v>#REF!</v>
      </c>
    </row>
    <row r="31" spans="4:21" x14ac:dyDescent="0.25">
      <c r="D31" s="30">
        <f t="shared" si="1"/>
        <v>0</v>
      </c>
      <c r="E31">
        <f>COUNTIF(Vertices[Degree], "&gt;= " &amp; D31) - COUNTIF(Vertices[Degree], "&gt;=" &amp; D32)</f>
        <v>0</v>
      </c>
      <c r="F31" s="37">
        <f t="shared" si="2"/>
        <v>0</v>
      </c>
      <c r="G31" s="38">
        <f>COUNTIF(Vertices[In-Degree], "&gt;= " &amp; F31) - COUNTIF(Vertices[In-Degree], "&gt;=" &amp; F32)</f>
        <v>0</v>
      </c>
      <c r="H31" s="37">
        <f t="shared" si="3"/>
        <v>0</v>
      </c>
      <c r="I31" s="38">
        <f>COUNTIF(Vertices[Out-Degree], "&gt;= " &amp; H31) - COUNTIF(Vertices[Out-Degree], "&gt;=" &amp; H32)</f>
        <v>0</v>
      </c>
      <c r="J31" s="37">
        <f t="shared" si="4"/>
        <v>0</v>
      </c>
      <c r="K31" s="38">
        <f>COUNTIF(Vertices[Betweenness Centrality], "&gt;= " &amp; J31) - COUNTIF(Vertices[Betweenness Centrality], "&gt;=" &amp; J32)</f>
        <v>0</v>
      </c>
      <c r="L31" s="37">
        <f t="shared" si="5"/>
        <v>0</v>
      </c>
      <c r="M31" s="38">
        <f>COUNTIF(Vertices[Closeness Centrality], "&gt;= " &amp; L31) - COUNTIF(Vertices[Closeness Centrality], "&gt;=" &amp; L32)</f>
        <v>0</v>
      </c>
      <c r="N31" s="37">
        <f t="shared" si="6"/>
        <v>0</v>
      </c>
      <c r="O31" s="38">
        <f>COUNTIF(Vertices[Eigenvector Centrality], "&gt;= " &amp; N31) - COUNTIF(Vertices[Eigenvector Centrality], "&gt;=" &amp; N32)</f>
        <v>0</v>
      </c>
      <c r="P31" s="37">
        <f t="shared" si="7"/>
        <v>0</v>
      </c>
      <c r="Q31" s="38">
        <f>COUNTIF(Vertices[PageRank], "&gt;= " &amp; P31) - COUNTIF(Vertices[PageRank], "&gt;=" &amp; P32)</f>
        <v>0</v>
      </c>
      <c r="R31" s="37">
        <f t="shared" si="8"/>
        <v>0</v>
      </c>
      <c r="S31" s="42">
        <f>COUNTIF(Vertices[Clustering Coefficient], "&gt;= " &amp; R31) - COUNTIF(Vertices[Clustering Coefficient], "&gt;=" &amp; R32)</f>
        <v>0</v>
      </c>
      <c r="T31" s="37" t="e">
        <f t="shared" ca="1" si="9"/>
        <v>#REF!</v>
      </c>
      <c r="U31" s="38" t="e">
        <f t="shared" ca="1" si="10"/>
        <v>#REF!</v>
      </c>
    </row>
    <row r="32" spans="4:21" x14ac:dyDescent="0.25">
      <c r="D32" s="30">
        <f t="shared" si="1"/>
        <v>0</v>
      </c>
      <c r="E32">
        <f>COUNTIF(Vertices[Degree], "&gt;= " &amp; D32) - COUNTIF(Vertices[Degree], "&gt;=" &amp; D33)</f>
        <v>0</v>
      </c>
      <c r="F32" s="35">
        <f t="shared" si="2"/>
        <v>0</v>
      </c>
      <c r="G32" s="36">
        <f>COUNTIF(Vertices[In-Degree], "&gt;= " &amp; F32) - COUNTIF(Vertices[In-Degree], "&gt;=" &amp; F33)</f>
        <v>0</v>
      </c>
      <c r="H32" s="35">
        <f t="shared" si="3"/>
        <v>0</v>
      </c>
      <c r="I32" s="36">
        <f>COUNTIF(Vertices[Out-Degree], "&gt;= " &amp; H32) - COUNTIF(Vertices[Out-Degree], "&gt;=" &amp; H33)</f>
        <v>0</v>
      </c>
      <c r="J32" s="35">
        <f t="shared" si="4"/>
        <v>0</v>
      </c>
      <c r="K32" s="36">
        <f>COUNTIF(Vertices[Betweenness Centrality], "&gt;= " &amp; J32) - COUNTIF(Vertices[Betweenness Centrality], "&gt;=" &amp; J33)</f>
        <v>0</v>
      </c>
      <c r="L32" s="35">
        <f t="shared" si="5"/>
        <v>0</v>
      </c>
      <c r="M32" s="36">
        <f>COUNTIF(Vertices[Closeness Centrality], "&gt;= " &amp; L32) - COUNTIF(Vertices[Closeness Centrality], "&gt;=" &amp; L33)</f>
        <v>0</v>
      </c>
      <c r="N32" s="35">
        <f t="shared" si="6"/>
        <v>0</v>
      </c>
      <c r="O32" s="36">
        <f>COUNTIF(Vertices[Eigenvector Centrality], "&gt;= " &amp; N32) - COUNTIF(Vertices[Eigenvector Centrality], "&gt;=" &amp; N33)</f>
        <v>0</v>
      </c>
      <c r="P32" s="35">
        <f t="shared" si="7"/>
        <v>0</v>
      </c>
      <c r="Q32" s="36">
        <f>COUNTIF(Vertices[PageRank], "&gt;= " &amp; P32) - COUNTIF(Vertices[PageRank], "&gt;=" &amp; P33)</f>
        <v>0</v>
      </c>
      <c r="R32" s="35">
        <f t="shared" si="8"/>
        <v>0</v>
      </c>
      <c r="S32" s="41">
        <f>COUNTIF(Vertices[Clustering Coefficient], "&gt;= " &amp; R32) - COUNTIF(Vertices[Clustering Coefficient], "&gt;=" &amp; R33)</f>
        <v>0</v>
      </c>
      <c r="T32" s="35" t="e">
        <f t="shared" ca="1" si="9"/>
        <v>#REF!</v>
      </c>
      <c r="U32" s="36" t="e">
        <f t="shared" ca="1" si="10"/>
        <v>#REF!</v>
      </c>
    </row>
    <row r="33" spans="4:21" x14ac:dyDescent="0.25">
      <c r="D33" s="30">
        <f t="shared" si="1"/>
        <v>0</v>
      </c>
      <c r="E33">
        <f>COUNTIF(Vertices[Degree], "&gt;= " &amp; D33) - COUNTIF(Vertices[Degree], "&gt;=" &amp; D34)</f>
        <v>0</v>
      </c>
      <c r="F33" s="37">
        <f t="shared" si="2"/>
        <v>0</v>
      </c>
      <c r="G33" s="38">
        <f>COUNTIF(Vertices[In-Degree], "&gt;= " &amp; F33) - COUNTIF(Vertices[In-Degree], "&gt;=" &amp; F34)</f>
        <v>0</v>
      </c>
      <c r="H33" s="37">
        <f t="shared" si="3"/>
        <v>0</v>
      </c>
      <c r="I33" s="38">
        <f>COUNTIF(Vertices[Out-Degree], "&gt;= " &amp; H33) - COUNTIF(Vertices[Out-Degree], "&gt;=" &amp; H34)</f>
        <v>0</v>
      </c>
      <c r="J33" s="37">
        <f t="shared" si="4"/>
        <v>0</v>
      </c>
      <c r="K33" s="38">
        <f>COUNTIF(Vertices[Betweenness Centrality], "&gt;= " &amp; J33) - COUNTIF(Vertices[Betweenness Centrality], "&gt;=" &amp; J34)</f>
        <v>0</v>
      </c>
      <c r="L33" s="37">
        <f t="shared" si="5"/>
        <v>0</v>
      </c>
      <c r="M33" s="38">
        <f>COUNTIF(Vertices[Closeness Centrality], "&gt;= " &amp; L33) - COUNTIF(Vertices[Closeness Centrality], "&gt;=" &amp; L34)</f>
        <v>0</v>
      </c>
      <c r="N33" s="37">
        <f t="shared" si="6"/>
        <v>0</v>
      </c>
      <c r="O33" s="38">
        <f>COUNTIF(Vertices[Eigenvector Centrality], "&gt;= " &amp; N33) - COUNTIF(Vertices[Eigenvector Centrality], "&gt;=" &amp; N34)</f>
        <v>0</v>
      </c>
      <c r="P33" s="37">
        <f t="shared" si="7"/>
        <v>0</v>
      </c>
      <c r="Q33" s="38">
        <f>COUNTIF(Vertices[PageRank], "&gt;= " &amp; P33) - COUNTIF(Vertices[PageRank], "&gt;=" &amp; P34)</f>
        <v>0</v>
      </c>
      <c r="R33" s="37">
        <f t="shared" si="8"/>
        <v>0</v>
      </c>
      <c r="S33" s="42">
        <f>COUNTIF(Vertices[Clustering Coefficient], "&gt;= " &amp; R33) - COUNTIF(Vertices[Clustering Coefficient], "&gt;=" &amp; R34)</f>
        <v>0</v>
      </c>
      <c r="T33" s="37" t="e">
        <f t="shared" ca="1" si="9"/>
        <v>#REF!</v>
      </c>
      <c r="U33" s="38" t="e">
        <f t="shared" ca="1" si="10"/>
        <v>#REF!</v>
      </c>
    </row>
    <row r="34" spans="4:21" x14ac:dyDescent="0.25">
      <c r="D34" s="30">
        <f t="shared" si="1"/>
        <v>0</v>
      </c>
      <c r="E34">
        <f>COUNTIF(Vertices[Degree], "&gt;= " &amp; D34) - COUNTIF(Vertices[Degree], "&gt;=" &amp; D35)</f>
        <v>0</v>
      </c>
      <c r="F34" s="35">
        <f t="shared" si="2"/>
        <v>0</v>
      </c>
      <c r="G34" s="36">
        <f>COUNTIF(Vertices[In-Degree], "&gt;= " &amp; F34) - COUNTIF(Vertices[In-Degree], "&gt;=" &amp; F35)</f>
        <v>0</v>
      </c>
      <c r="H34" s="35">
        <f t="shared" si="3"/>
        <v>0</v>
      </c>
      <c r="I34" s="36">
        <f>COUNTIF(Vertices[Out-Degree], "&gt;= " &amp; H34) - COUNTIF(Vertices[Out-Degree], "&gt;=" &amp; H35)</f>
        <v>0</v>
      </c>
      <c r="J34" s="35">
        <f t="shared" si="4"/>
        <v>0</v>
      </c>
      <c r="K34" s="36">
        <f>COUNTIF(Vertices[Betweenness Centrality], "&gt;= " &amp; J34) - COUNTIF(Vertices[Betweenness Centrality], "&gt;=" &amp; J35)</f>
        <v>0</v>
      </c>
      <c r="L34" s="35">
        <f t="shared" si="5"/>
        <v>0</v>
      </c>
      <c r="M34" s="36">
        <f>COUNTIF(Vertices[Closeness Centrality], "&gt;= " &amp; L34) - COUNTIF(Vertices[Closeness Centrality], "&gt;=" &amp; L35)</f>
        <v>0</v>
      </c>
      <c r="N34" s="35">
        <f t="shared" si="6"/>
        <v>0</v>
      </c>
      <c r="O34" s="36">
        <f>COUNTIF(Vertices[Eigenvector Centrality], "&gt;= " &amp; N34) - COUNTIF(Vertices[Eigenvector Centrality], "&gt;=" &amp; N35)</f>
        <v>0</v>
      </c>
      <c r="P34" s="35">
        <f t="shared" si="7"/>
        <v>0</v>
      </c>
      <c r="Q34" s="36">
        <f>COUNTIF(Vertices[PageRank], "&gt;= " &amp; P34) - COUNTIF(Vertices[PageRank], "&gt;=" &amp; P35)</f>
        <v>0</v>
      </c>
      <c r="R34" s="35">
        <f t="shared" si="8"/>
        <v>0</v>
      </c>
      <c r="S34" s="41">
        <f>COUNTIF(Vertices[Clustering Coefficient], "&gt;= " &amp; R34) - COUNTIF(Vertices[Clustering Coefficient], "&gt;=" &amp; R35)</f>
        <v>0</v>
      </c>
      <c r="T34" s="35" t="e">
        <f t="shared" ca="1" si="9"/>
        <v>#REF!</v>
      </c>
      <c r="U34" s="36" t="e">
        <f t="shared" ca="1" si="10"/>
        <v>#REF!</v>
      </c>
    </row>
    <row r="35" spans="4:21" x14ac:dyDescent="0.25">
      <c r="D35" s="30">
        <f t="shared" si="1"/>
        <v>0</v>
      </c>
      <c r="E35">
        <f>COUNTIF(Vertices[Degree], "&gt;= " &amp; D35) - COUNTIF(Vertices[Degree], "&gt;=" &amp; D36)</f>
        <v>0</v>
      </c>
      <c r="F35" s="37">
        <f t="shared" si="2"/>
        <v>0</v>
      </c>
      <c r="G35" s="38">
        <f>COUNTIF(Vertices[In-Degree], "&gt;= " &amp; F35) - COUNTIF(Vertices[In-Degree], "&gt;=" &amp; F36)</f>
        <v>0</v>
      </c>
      <c r="H35" s="37">
        <f t="shared" si="3"/>
        <v>0</v>
      </c>
      <c r="I35" s="38">
        <f>COUNTIF(Vertices[Out-Degree], "&gt;= " &amp; H35) - COUNTIF(Vertices[Out-Degree], "&gt;=" &amp; H36)</f>
        <v>0</v>
      </c>
      <c r="J35" s="37">
        <f t="shared" si="4"/>
        <v>0</v>
      </c>
      <c r="K35" s="38">
        <f>COUNTIF(Vertices[Betweenness Centrality], "&gt;= " &amp; J35) - COUNTIF(Vertices[Betweenness Centrality], "&gt;=" &amp; J36)</f>
        <v>0</v>
      </c>
      <c r="L35" s="37">
        <f t="shared" si="5"/>
        <v>0</v>
      </c>
      <c r="M35" s="38">
        <f>COUNTIF(Vertices[Closeness Centrality], "&gt;= " &amp; L35) - COUNTIF(Vertices[Closeness Centrality], "&gt;=" &amp; L36)</f>
        <v>0</v>
      </c>
      <c r="N35" s="37">
        <f t="shared" si="6"/>
        <v>0</v>
      </c>
      <c r="O35" s="38">
        <f>COUNTIF(Vertices[Eigenvector Centrality], "&gt;= " &amp; N35) - COUNTIF(Vertices[Eigenvector Centrality], "&gt;=" &amp; N36)</f>
        <v>0</v>
      </c>
      <c r="P35" s="37">
        <f t="shared" si="7"/>
        <v>0</v>
      </c>
      <c r="Q35" s="38">
        <f>COUNTIF(Vertices[PageRank], "&gt;= " &amp; P35) - COUNTIF(Vertices[PageRank], "&gt;=" &amp; P36)</f>
        <v>0</v>
      </c>
      <c r="R35" s="37">
        <f t="shared" si="8"/>
        <v>0</v>
      </c>
      <c r="S35" s="42">
        <f>COUNTIF(Vertices[Clustering Coefficient], "&gt;= " &amp; R35) - COUNTIF(Vertices[Clustering Coefficient], "&gt;=" &amp; R36)</f>
        <v>0</v>
      </c>
      <c r="T35" s="37" t="e">
        <f t="shared" ca="1" si="9"/>
        <v>#REF!</v>
      </c>
      <c r="U35" s="38" t="e">
        <f t="shared" ca="1" si="10"/>
        <v>#REF!</v>
      </c>
    </row>
    <row r="36" spans="4:21" x14ac:dyDescent="0.25">
      <c r="D36" s="30">
        <f>MAX(Vertices[Degree])</f>
        <v>0</v>
      </c>
      <c r="E36">
        <f>COUNTIF(Vertices[Degree], "&gt;= " &amp; D36) - COUNTIF(Vertices[Degree], "&gt;=" &amp;#REF!)</f>
        <v>0</v>
      </c>
      <c r="F36" s="39">
        <f>MAX(Vertices[In-Degree])</f>
        <v>0</v>
      </c>
      <c r="G36" s="40">
        <f>COUNTIF(Vertices[In-Degree], "&gt;= " &amp; F36) - COUNTIF(Vertices[In-Degree], "&gt;=" &amp;#REF!)</f>
        <v>0</v>
      </c>
      <c r="H36" s="39">
        <f>MAX(Vertices[Out-Degree])</f>
        <v>0</v>
      </c>
      <c r="I36" s="40">
        <f>COUNTIF(Vertices[Out-Degree], "&gt;= " &amp; H36) - COUNTIF(Vertices[Out-Degree], "&gt;=" &amp;#REF!)</f>
        <v>0</v>
      </c>
      <c r="J36" s="39">
        <f>MAX(Vertices[Betweenness Centrality])</f>
        <v>0</v>
      </c>
      <c r="K36" s="40">
        <f>COUNTIF(Vertices[Betweenness Centrality], "&gt;= " &amp; J36) - COUNTIF(Vertices[Betweenness Centrality], "&gt;=" &amp;#REF!)</f>
        <v>0</v>
      </c>
      <c r="L36" s="39">
        <f>MAX(Vertices[Closeness Centrality])</f>
        <v>0</v>
      </c>
      <c r="M36" s="40">
        <f>COUNTIF(Vertices[Closeness Centrality], "&gt;= " &amp; L36) - COUNTIF(Vertices[Closeness Centrality], "&gt;=" &amp;#REF!)</f>
        <v>0</v>
      </c>
      <c r="N36" s="39">
        <f>MAX(Vertices[Eigenvector Centrality])</f>
        <v>0</v>
      </c>
      <c r="O36" s="40">
        <f>COUNTIF(Vertices[Eigenvector Centrality], "&gt;= " &amp; N36) - COUNTIF(Vertices[Eigenvector Centrality], "&gt;=" &amp;#REF!)</f>
        <v>0</v>
      </c>
      <c r="P36" s="39">
        <f>MAX(Vertices[PageRank])</f>
        <v>0</v>
      </c>
      <c r="Q36" s="40">
        <f>COUNTIF(Vertices[PageRank], "&gt;= " &amp; P36) - COUNTIF(Vertices[PageRank], "&gt;=" &amp;#REF!)</f>
        <v>0</v>
      </c>
      <c r="R36" s="39">
        <f>MAX(Vertices[Clustering Coefficient])</f>
        <v>0</v>
      </c>
      <c r="S36" s="43">
        <f>COUNTIF(Vertices[Clustering Coefficient], "&gt;= " &amp; R36) - COUNTIF(Vertices[Clustering Coefficient], "&gt;=" &amp;#REF!)</f>
        <v>0</v>
      </c>
      <c r="T36" s="39" t="e">
        <f ca="1">MAX(INDIRECT(DynamicFilterSourceColumnRange))</f>
        <v>#REF!</v>
      </c>
      <c r="U36" s="40" t="e">
        <f ca="1">COUNTIF(INDIRECT(DynamicFilterSourceColumnRange), "&gt;= " &amp; T36) - COUNTIF(INDIRECT(DynamicFilterSourceColumnRange), "&gt;=" &amp;#REF!)</f>
        <v>#REF!</v>
      </c>
    </row>
    <row r="60" spans="1:2" x14ac:dyDescent="0.25">
      <c r="A60" t="s">
        <v>163</v>
      </c>
      <c r="B60" t="s">
        <v>17</v>
      </c>
    </row>
    <row r="61" spans="1:2" x14ac:dyDescent="0.25">
      <c r="A61" s="31"/>
      <c r="B61" s="31"/>
    </row>
    <row r="74" spans="1:2" x14ac:dyDescent="0.25">
      <c r="A74" s="31" t="s">
        <v>81</v>
      </c>
      <c r="B74" s="44" t="str">
        <f>IF(COUNT(Vertices[Degree])&gt;0, D2, NoMetricMessage)</f>
        <v>Not Available</v>
      </c>
    </row>
    <row r="75" spans="1:2" x14ac:dyDescent="0.25">
      <c r="A75" s="31" t="s">
        <v>82</v>
      </c>
      <c r="B75" s="44" t="str">
        <f>IF(COUNT(Vertices[Degree])&gt;0, D36, NoMetricMessage)</f>
        <v>Not Available</v>
      </c>
    </row>
    <row r="76" spans="1:2" x14ac:dyDescent="0.25">
      <c r="A76" s="31" t="s">
        <v>83</v>
      </c>
      <c r="B76" s="45" t="str">
        <f>IFERROR(AVERAGE(Vertices[Degree]),NoMetricMessage)</f>
        <v>Not Available</v>
      </c>
    </row>
    <row r="77" spans="1:2" x14ac:dyDescent="0.25">
      <c r="A77" s="31" t="s">
        <v>84</v>
      </c>
      <c r="B77" s="45" t="str">
        <f>IFERROR(MEDIAN(Vertices[Degree]),NoMetricMessage)</f>
        <v>Not Available</v>
      </c>
    </row>
    <row r="88" spans="1:2" x14ac:dyDescent="0.25">
      <c r="A88" s="31" t="s">
        <v>88</v>
      </c>
      <c r="B88" s="44" t="str">
        <f>IF(COUNT(Vertices[In-Degree])&gt;0, F2, NoMetricMessage)</f>
        <v>Not Available</v>
      </c>
    </row>
    <row r="89" spans="1:2" x14ac:dyDescent="0.25">
      <c r="A89" s="31" t="s">
        <v>89</v>
      </c>
      <c r="B89" s="44" t="str">
        <f>IF(COUNT(Vertices[In-Degree])&gt;0, F36, NoMetricMessage)</f>
        <v>Not Available</v>
      </c>
    </row>
    <row r="90" spans="1:2" x14ac:dyDescent="0.25">
      <c r="A90" s="31" t="s">
        <v>90</v>
      </c>
      <c r="B90" s="45" t="str">
        <f>IFERROR(AVERAGE(Vertices[In-Degree]),NoMetricMessage)</f>
        <v>Not Available</v>
      </c>
    </row>
    <row r="91" spans="1:2" x14ac:dyDescent="0.25">
      <c r="A91" s="31" t="s">
        <v>91</v>
      </c>
      <c r="B91" s="45" t="str">
        <f>IFERROR(MEDIAN(Vertices[In-Degree]),NoMetricMessage)</f>
        <v>Not Available</v>
      </c>
    </row>
    <row r="102" spans="1:2" x14ac:dyDescent="0.25">
      <c r="A102" s="31" t="s">
        <v>94</v>
      </c>
      <c r="B102" s="44" t="str">
        <f>IF(COUNT(Vertices[Out-Degree])&gt;0, H2, NoMetricMessage)</f>
        <v>Not Available</v>
      </c>
    </row>
    <row r="103" spans="1:2" x14ac:dyDescent="0.25">
      <c r="A103" s="31" t="s">
        <v>95</v>
      </c>
      <c r="B103" s="44" t="str">
        <f>IF(COUNT(Vertices[Out-Degree])&gt;0, H36, NoMetricMessage)</f>
        <v>Not Available</v>
      </c>
    </row>
    <row r="104" spans="1:2" x14ac:dyDescent="0.25">
      <c r="A104" s="31" t="s">
        <v>96</v>
      </c>
      <c r="B104" s="45" t="str">
        <f>IFERROR(AVERAGE(Vertices[Out-Degree]),NoMetricMessage)</f>
        <v>Not Available</v>
      </c>
    </row>
    <row r="105" spans="1:2" x14ac:dyDescent="0.25">
      <c r="A105" s="31" t="s">
        <v>97</v>
      </c>
      <c r="B105" s="45" t="str">
        <f>IFERROR(MEDIAN(Vertices[Out-Degree]),NoMetricMessage)</f>
        <v>Not Available</v>
      </c>
    </row>
    <row r="116" spans="1:2" x14ac:dyDescent="0.25">
      <c r="A116" s="31" t="s">
        <v>100</v>
      </c>
      <c r="B116" s="45" t="str">
        <f>IF(COUNT(Vertices[Betweenness Centrality])&gt;0, J2, NoMetricMessage)</f>
        <v>Not Available</v>
      </c>
    </row>
    <row r="117" spans="1:2" x14ac:dyDescent="0.25">
      <c r="A117" s="31" t="s">
        <v>101</v>
      </c>
      <c r="B117" s="45" t="str">
        <f>IF(COUNT(Vertices[Betweenness Centrality])&gt;0, J36, NoMetricMessage)</f>
        <v>Not Available</v>
      </c>
    </row>
    <row r="118" spans="1:2" x14ac:dyDescent="0.25">
      <c r="A118" s="31" t="s">
        <v>102</v>
      </c>
      <c r="B118" s="45" t="str">
        <f>IFERROR(AVERAGE(Vertices[Betweenness Centrality]),NoMetricMessage)</f>
        <v>Not Available</v>
      </c>
    </row>
    <row r="119" spans="1:2" x14ac:dyDescent="0.25">
      <c r="A119" s="31" t="s">
        <v>103</v>
      </c>
      <c r="B119" s="45" t="str">
        <f>IFERROR(MEDIAN(Vertices[Betweenness Centrality]),NoMetricMessage)</f>
        <v>Not Available</v>
      </c>
    </row>
    <row r="130" spans="1:2" x14ac:dyDescent="0.25">
      <c r="A130" s="31" t="s">
        <v>106</v>
      </c>
      <c r="B130" s="45" t="str">
        <f>IF(COUNT(Vertices[Closeness Centrality])&gt;0, L2, NoMetricMessage)</f>
        <v>Not Available</v>
      </c>
    </row>
    <row r="131" spans="1:2" x14ac:dyDescent="0.25">
      <c r="A131" s="31" t="s">
        <v>107</v>
      </c>
      <c r="B131" s="45" t="str">
        <f>IF(COUNT(Vertices[Closeness Centrality])&gt;0, L36, NoMetricMessage)</f>
        <v>Not Available</v>
      </c>
    </row>
    <row r="132" spans="1:2" x14ac:dyDescent="0.25">
      <c r="A132" s="31" t="s">
        <v>108</v>
      </c>
      <c r="B132" s="45" t="str">
        <f>IFERROR(AVERAGE(Vertices[Closeness Centrality]),NoMetricMessage)</f>
        <v>Not Available</v>
      </c>
    </row>
    <row r="133" spans="1:2" x14ac:dyDescent="0.25">
      <c r="A133" s="31" t="s">
        <v>109</v>
      </c>
      <c r="B133" s="45" t="str">
        <f>IFERROR(MEDIAN(Vertices[Closeness Centrality]),NoMetricMessage)</f>
        <v>Not Available</v>
      </c>
    </row>
    <row r="144" spans="1:2" x14ac:dyDescent="0.25">
      <c r="A144" s="31" t="s">
        <v>112</v>
      </c>
      <c r="B144" s="45" t="str">
        <f>IF(COUNT(Vertices[Eigenvector Centrality])&gt;0, N2, NoMetricMessage)</f>
        <v>Not Available</v>
      </c>
    </row>
    <row r="145" spans="1:2" x14ac:dyDescent="0.25">
      <c r="A145" s="31" t="s">
        <v>113</v>
      </c>
      <c r="B145" s="45" t="str">
        <f>IF(COUNT(Vertices[Eigenvector Centrality])&gt;0, N36, NoMetricMessage)</f>
        <v>Not Available</v>
      </c>
    </row>
    <row r="146" spans="1:2" x14ac:dyDescent="0.25">
      <c r="A146" s="31" t="s">
        <v>114</v>
      </c>
      <c r="B146" s="45" t="str">
        <f>IFERROR(AVERAGE(Vertices[Eigenvector Centrality]),NoMetricMessage)</f>
        <v>Not Available</v>
      </c>
    </row>
    <row r="147" spans="1:2" x14ac:dyDescent="0.25">
      <c r="A147" s="31" t="s">
        <v>115</v>
      </c>
      <c r="B147" s="45" t="str">
        <f>IFERROR(MEDIAN(Vertices[Eigenvector Centrality]),NoMetricMessage)</f>
        <v>Not Available</v>
      </c>
    </row>
    <row r="158" spans="1:2" x14ac:dyDescent="0.25">
      <c r="A158" s="31" t="s">
        <v>140</v>
      </c>
      <c r="B158" s="45" t="str">
        <f>IF(COUNT(Vertices[PageRank])&gt;0, P2, NoMetricMessage)</f>
        <v>Not Available</v>
      </c>
    </row>
    <row r="159" spans="1:2" x14ac:dyDescent="0.25">
      <c r="A159" s="31" t="s">
        <v>141</v>
      </c>
      <c r="B159" s="45" t="str">
        <f>IF(COUNT(Vertices[PageRank])&gt;0, P36, NoMetricMessage)</f>
        <v>Not Available</v>
      </c>
    </row>
    <row r="160" spans="1:2" x14ac:dyDescent="0.25">
      <c r="A160" s="31" t="s">
        <v>142</v>
      </c>
      <c r="B160" s="45" t="str">
        <f>IFERROR(AVERAGE(Vertices[PageRank]),NoMetricMessage)</f>
        <v>Not Available</v>
      </c>
    </row>
    <row r="161" spans="1:2" x14ac:dyDescent="0.25">
      <c r="A161" s="31" t="s">
        <v>143</v>
      </c>
      <c r="B161" s="45" t="str">
        <f>IFERROR(MEDIAN(Vertices[PageRank]),NoMetricMessage)</f>
        <v>Not Available</v>
      </c>
    </row>
    <row r="172" spans="1:2" x14ac:dyDescent="0.25">
      <c r="A172" s="31" t="s">
        <v>118</v>
      </c>
      <c r="B172" s="45" t="str">
        <f>IF(COUNT(Vertices[Clustering Coefficient])&gt;0, R2, NoMetricMessage)</f>
        <v>Not Available</v>
      </c>
    </row>
    <row r="173" spans="1:2" x14ac:dyDescent="0.25">
      <c r="A173" s="31" t="s">
        <v>119</v>
      </c>
      <c r="B173" s="45" t="str">
        <f>IF(COUNT(Vertices[Clustering Coefficient])&gt;0, R36, NoMetricMessage)</f>
        <v>Not Available</v>
      </c>
    </row>
    <row r="174" spans="1:2" x14ac:dyDescent="0.25">
      <c r="A174" s="31" t="s">
        <v>120</v>
      </c>
      <c r="B174" s="45" t="str">
        <f>IFERROR(AVERAGE(Vertices[Clustering Coefficient]),NoMetricMessage)</f>
        <v>Not Available</v>
      </c>
    </row>
    <row r="175" spans="1:2" x14ac:dyDescent="0.25">
      <c r="A175" s="31" t="s">
        <v>121</v>
      </c>
      <c r="B175" s="45"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3" customFormat="1" ht="36" customHeight="1" x14ac:dyDescent="0.25">
      <c r="A1" s="4" t="s">
        <v>6</v>
      </c>
      <c r="B1" s="4" t="s">
        <v>131</v>
      </c>
      <c r="C1" s="3" t="s">
        <v>7</v>
      </c>
      <c r="D1" s="3" t="s">
        <v>9</v>
      </c>
      <c r="E1" s="3" t="s">
        <v>164</v>
      </c>
      <c r="F1" s="4" t="s">
        <v>169</v>
      </c>
      <c r="G1" s="3" t="s">
        <v>14</v>
      </c>
      <c r="H1" s="3" t="s">
        <v>67</v>
      </c>
      <c r="J1" s="3" t="s">
        <v>18</v>
      </c>
      <c r="K1" s="3" t="s">
        <v>17</v>
      </c>
      <c r="M1" s="3" t="s">
        <v>22</v>
      </c>
      <c r="N1" s="3" t="s">
        <v>23</v>
      </c>
      <c r="O1" s="3" t="s">
        <v>24</v>
      </c>
      <c r="P1" s="3"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1102</v>
      </c>
    </row>
    <row r="4" spans="1:18" x14ac:dyDescent="0.25">
      <c r="A4" s="1" t="s">
        <v>53</v>
      </c>
      <c r="B4" s="1" t="s">
        <v>134</v>
      </c>
      <c r="C4" t="s">
        <v>53</v>
      </c>
      <c r="D4" t="s">
        <v>57</v>
      </c>
      <c r="E4" t="s">
        <v>57</v>
      </c>
      <c r="F4" s="1" t="s">
        <v>53</v>
      </c>
      <c r="G4">
        <v>0</v>
      </c>
      <c r="H4" t="s">
        <v>69</v>
      </c>
      <c r="J4" t="s">
        <v>78</v>
      </c>
    </row>
    <row r="5" spans="1:18" ht="409.5" x14ac:dyDescent="0.25">
      <c r="A5">
        <v>1</v>
      </c>
      <c r="B5" s="1" t="s">
        <v>135</v>
      </c>
      <c r="C5" t="s">
        <v>51</v>
      </c>
      <c r="D5" t="s">
        <v>58</v>
      </c>
      <c r="E5" t="s">
        <v>58</v>
      </c>
      <c r="F5">
        <v>1</v>
      </c>
      <c r="G5">
        <v>1</v>
      </c>
      <c r="H5" t="s">
        <v>70</v>
      </c>
      <c r="J5" t="s">
        <v>172</v>
      </c>
      <c r="K5" s="7" t="s">
        <v>1103</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ht="409.5" x14ac:dyDescent="0.25">
      <c r="A8"/>
      <c r="B8">
        <v>2</v>
      </c>
      <c r="C8">
        <v>2</v>
      </c>
      <c r="D8" t="s">
        <v>61</v>
      </c>
      <c r="E8" t="s">
        <v>61</v>
      </c>
      <c r="H8" t="s">
        <v>73</v>
      </c>
      <c r="J8" t="s">
        <v>176</v>
      </c>
      <c r="K8" s="7" t="s">
        <v>1105</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1A7D4BF2-36DC-41D0-994B-93F413AAA5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Mauricio Fernandes</cp:lastModifiedBy>
  <dcterms:created xsi:type="dcterms:W3CDTF">2008-01-30T00:41:58Z</dcterms:created>
  <dcterms:modified xsi:type="dcterms:W3CDTF">2023-09-28T19:13:02Z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