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Mauricio\Dropbox\Projeto Mestrado\NodeXL\6- Co-Hashtags\"/>
    </mc:Choice>
  </mc:AlternateContent>
  <xr:revisionPtr revIDLastSave="0" documentId="8_{F702422C-CD1A-4C1B-8869-47A5B148283D}" xr6:coauthVersionLast="47" xr6:coauthVersionMax="47" xr10:uidLastSave="{00000000-0000-0000-0000-000000000000}"/>
  <bookViews>
    <workbookView xWindow="-120" yWindow="-120" windowWidth="24240" windowHeight="13020" activeTab="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3" i="3" l="1"/>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113" i="3"/>
  <c r="BO114" i="3"/>
  <c r="BO115" i="3"/>
  <c r="BO116" i="3"/>
  <c r="BO117" i="3"/>
  <c r="BO118" i="3"/>
  <c r="BO119" i="3"/>
  <c r="BO120" i="3"/>
  <c r="BO121" i="3"/>
  <c r="BO122" i="3"/>
  <c r="BO123" i="3"/>
  <c r="BO124" i="3"/>
  <c r="BO125" i="3"/>
  <c r="BO126" i="3"/>
  <c r="BO127" i="3"/>
  <c r="BO128" i="3"/>
  <c r="BO129" i="3"/>
  <c r="BO130" i="3"/>
  <c r="BO131" i="3"/>
  <c r="BO132" i="3"/>
  <c r="BO133" i="3"/>
  <c r="BO134" i="3"/>
  <c r="BO135" i="3"/>
  <c r="BO136" i="3"/>
  <c r="BO137" i="3"/>
  <c r="BO138" i="3"/>
  <c r="BO139" i="3"/>
  <c r="BO140" i="3"/>
  <c r="BO141" i="3"/>
  <c r="BO142" i="3"/>
  <c r="BO143" i="3"/>
  <c r="BO144" i="3"/>
  <c r="BO145" i="3"/>
  <c r="BO146" i="3"/>
  <c r="BO147" i="3"/>
  <c r="BO148" i="3"/>
  <c r="BO149" i="3"/>
  <c r="BO150" i="3"/>
  <c r="BO151" i="3"/>
  <c r="BO152" i="3"/>
  <c r="BO153" i="3"/>
  <c r="BO154" i="3"/>
  <c r="BO155" i="3"/>
  <c r="BO156" i="3"/>
  <c r="BO157" i="3"/>
  <c r="BO158" i="3"/>
  <c r="BO159" i="3"/>
  <c r="BO160" i="3"/>
  <c r="BO161" i="3"/>
  <c r="BO162" i="3"/>
  <c r="BO163" i="3"/>
  <c r="BO164" i="3"/>
  <c r="BO165" i="3"/>
  <c r="BO166" i="3"/>
  <c r="BO167" i="3"/>
  <c r="BO168" i="3"/>
  <c r="BO169" i="3"/>
  <c r="BO170" i="3"/>
  <c r="BO171" i="3"/>
  <c r="BO172" i="3"/>
  <c r="BO173" i="3"/>
  <c r="BO174" i="3"/>
  <c r="BO175" i="3"/>
  <c r="BO176" i="3"/>
  <c r="BO177" i="3"/>
  <c r="BO178" i="3"/>
  <c r="BO179" i="3"/>
  <c r="BO180" i="3"/>
  <c r="BO181" i="3"/>
  <c r="BO182" i="3"/>
  <c r="BO183" i="3"/>
  <c r="BO184" i="3"/>
  <c r="BO185" i="3"/>
  <c r="BO186" i="3"/>
  <c r="BO187" i="3"/>
  <c r="BO188" i="3"/>
  <c r="BO189" i="3"/>
  <c r="BO190" i="3"/>
  <c r="BO191" i="3"/>
  <c r="BO192" i="3"/>
  <c r="BO193" i="3"/>
  <c r="BO194" i="3"/>
  <c r="BO195" i="3"/>
  <c r="BO196" i="3"/>
  <c r="BO197" i="3"/>
  <c r="BO198" i="3"/>
  <c r="BO199" i="3"/>
  <c r="BO200" i="3"/>
  <c r="BO201" i="3"/>
  <c r="BO202" i="3"/>
  <c r="BO203" i="3"/>
  <c r="BO204" i="3"/>
  <c r="BO205" i="3"/>
  <c r="BO206" i="3"/>
  <c r="BO207" i="3"/>
  <c r="BO208" i="3"/>
  <c r="BO209" i="3"/>
  <c r="BO210" i="3"/>
  <c r="BO211" i="3"/>
  <c r="BO212" i="3"/>
  <c r="BO213" i="3"/>
  <c r="BO214" i="3"/>
  <c r="BO215" i="3"/>
  <c r="BO216" i="3"/>
  <c r="BO217" i="3"/>
  <c r="BO218" i="3"/>
  <c r="BO219" i="3"/>
  <c r="BO220" i="3"/>
  <c r="BO221" i="3"/>
  <c r="BO222" i="3"/>
  <c r="BO223" i="3"/>
  <c r="BO224" i="3"/>
  <c r="BO225" i="3"/>
  <c r="BO226" i="3"/>
  <c r="BO227" i="3"/>
  <c r="BO228" i="3"/>
  <c r="BO229" i="3"/>
  <c r="BO230" i="3"/>
  <c r="BO231" i="3"/>
  <c r="BO232" i="3"/>
  <c r="BO233" i="3"/>
  <c r="BO234" i="3"/>
  <c r="BO235" i="3"/>
  <c r="BO236" i="3"/>
  <c r="BO237" i="3"/>
  <c r="BO238" i="3"/>
  <c r="BO239" i="3"/>
  <c r="BO240" i="3"/>
  <c r="BO241" i="3"/>
  <c r="BO242" i="3"/>
  <c r="BO243" i="3"/>
  <c r="BO244" i="3"/>
  <c r="BO245" i="3"/>
  <c r="BO246" i="3"/>
  <c r="BO247" i="3"/>
  <c r="BO248" i="3"/>
  <c r="BO249" i="3"/>
  <c r="BO250" i="3"/>
  <c r="BO251" i="3"/>
  <c r="BO252" i="3"/>
  <c r="BO253" i="3"/>
  <c r="BO254" i="3"/>
  <c r="BO255" i="3"/>
  <c r="BO256" i="3"/>
  <c r="BO257" i="3"/>
  <c r="BO258" i="3"/>
  <c r="BO259" i="3"/>
  <c r="BO260" i="3"/>
  <c r="BO261" i="3"/>
  <c r="BO262" i="3"/>
  <c r="BO263" i="3"/>
  <c r="BO264" i="3"/>
  <c r="BO265" i="3"/>
  <c r="BO266" i="3"/>
  <c r="BO267" i="3"/>
  <c r="BO268" i="3"/>
  <c r="BO269" i="3"/>
  <c r="BO270" i="3"/>
  <c r="BO271" i="3"/>
  <c r="BO272" i="3"/>
  <c r="BO273" i="3"/>
  <c r="BO274" i="3"/>
  <c r="BO275" i="3"/>
  <c r="BO276" i="3"/>
  <c r="BO277" i="3"/>
  <c r="BO278" i="3"/>
  <c r="BO279" i="3"/>
  <c r="BO280" i="3"/>
  <c r="BO281" i="3"/>
  <c r="BO282" i="3"/>
  <c r="BO283" i="3"/>
  <c r="BO284" i="3"/>
  <c r="BO285" i="3"/>
  <c r="BO286" i="3"/>
  <c r="BO287" i="3"/>
  <c r="BO288" i="3"/>
  <c r="BO289" i="3"/>
  <c r="BO290" i="3"/>
  <c r="BO291" i="3"/>
  <c r="BO292" i="3"/>
  <c r="BO293" i="3"/>
  <c r="BO294" i="3"/>
  <c r="BO295" i="3"/>
  <c r="BO296" i="3"/>
  <c r="BO297" i="3"/>
  <c r="BO298" i="3"/>
  <c r="BO299" i="3"/>
  <c r="BO300" i="3"/>
  <c r="BO301" i="3"/>
  <c r="BO302" i="3"/>
  <c r="BO303" i="3"/>
  <c r="BO304" i="3"/>
  <c r="BO305" i="3"/>
  <c r="BO306" i="3"/>
  <c r="BO307" i="3"/>
  <c r="BO308" i="3"/>
  <c r="BO309" i="3"/>
  <c r="BO310" i="3"/>
  <c r="BO311" i="3"/>
  <c r="BO312" i="3"/>
  <c r="BO313" i="3"/>
  <c r="BO314" i="3"/>
  <c r="BO315"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BH4" i="3"/>
  <c r="BH5" i="3"/>
  <c r="BH6" i="3"/>
  <c r="BH7" i="3"/>
  <c r="BH10" i="3"/>
  <c r="BH12" i="3"/>
  <c r="BH13" i="3"/>
  <c r="BH14" i="3"/>
  <c r="BH15" i="3"/>
  <c r="BH16" i="3"/>
  <c r="BH17" i="3"/>
  <c r="BH18" i="3"/>
  <c r="BH20" i="3"/>
  <c r="BH21" i="3"/>
  <c r="BH22" i="3"/>
  <c r="BH23" i="3"/>
  <c r="BH24" i="3"/>
  <c r="BH25" i="3"/>
  <c r="BH26" i="3"/>
  <c r="BH27" i="3"/>
  <c r="BH28" i="3"/>
  <c r="BH29" i="3"/>
  <c r="BH30" i="3"/>
  <c r="BH31" i="3"/>
  <c r="BH32" i="3"/>
  <c r="BH33" i="3"/>
  <c r="BH34" i="3"/>
  <c r="BH35" i="3"/>
  <c r="BH36" i="3"/>
  <c r="BH37" i="3"/>
  <c r="BH38" i="3"/>
  <c r="BH39" i="3"/>
  <c r="BH40" i="3"/>
  <c r="BH41" i="3"/>
  <c r="BH42" i="3"/>
  <c r="BH44" i="3"/>
  <c r="BH45" i="3"/>
  <c r="BH46" i="3"/>
  <c r="BH47" i="3"/>
  <c r="BH48" i="3"/>
  <c r="BH49" i="3"/>
  <c r="BH50" i="3"/>
  <c r="BH51" i="3"/>
  <c r="BH53" i="3"/>
  <c r="BH54" i="3"/>
  <c r="BH55" i="3"/>
  <c r="BH56" i="3"/>
  <c r="BH57" i="3"/>
  <c r="BH58" i="3"/>
  <c r="BH59" i="3"/>
  <c r="BH60" i="3"/>
  <c r="BH61" i="3"/>
  <c r="BH63" i="3"/>
  <c r="BH64" i="3"/>
  <c r="BH65" i="3"/>
  <c r="BH67" i="3"/>
  <c r="BH68" i="3"/>
  <c r="BH69" i="3"/>
  <c r="BH70" i="3"/>
  <c r="BH71" i="3"/>
  <c r="BH73" i="3"/>
  <c r="BH74" i="3"/>
  <c r="BH76" i="3"/>
  <c r="BH77" i="3"/>
  <c r="BH78" i="3"/>
  <c r="BH79" i="3"/>
  <c r="BH80" i="3"/>
  <c r="BH81" i="3"/>
  <c r="BH82" i="3"/>
  <c r="BH83" i="3"/>
  <c r="BH84" i="3"/>
  <c r="BH85" i="3"/>
  <c r="BH86" i="3"/>
  <c r="BH88" i="3"/>
  <c r="BH89" i="3"/>
  <c r="BH91" i="3"/>
  <c r="BH92" i="3"/>
  <c r="BH93" i="3"/>
  <c r="BH94" i="3"/>
  <c r="BH96" i="3"/>
  <c r="BH97" i="3"/>
  <c r="BH98" i="3"/>
  <c r="BH99" i="3"/>
  <c r="BH101" i="3"/>
  <c r="BH102" i="3"/>
  <c r="BH103" i="3"/>
  <c r="BH104" i="3"/>
  <c r="BH105" i="3"/>
  <c r="BH106" i="3"/>
  <c r="BH107" i="3"/>
  <c r="BH108" i="3"/>
  <c r="BH109" i="3"/>
  <c r="BH112" i="3"/>
  <c r="BH113" i="3"/>
  <c r="BH114" i="3"/>
  <c r="BH115" i="3"/>
  <c r="BH116" i="3"/>
  <c r="BH117" i="3"/>
  <c r="BH118" i="3"/>
  <c r="BH119" i="3"/>
  <c r="BH120" i="3"/>
  <c r="BH122" i="3"/>
  <c r="BH123" i="3"/>
  <c r="BH124" i="3"/>
  <c r="BH126" i="3"/>
  <c r="BH128" i="3"/>
  <c r="BH130" i="3"/>
  <c r="BH131" i="3"/>
  <c r="BH132" i="3"/>
  <c r="BH133" i="3"/>
  <c r="BH134" i="3"/>
  <c r="BH135" i="3"/>
  <c r="BH136" i="3"/>
  <c r="BH137" i="3"/>
  <c r="BH138" i="3"/>
  <c r="BH140" i="3"/>
  <c r="BH141" i="3"/>
  <c r="BH142" i="3"/>
  <c r="BH143" i="3"/>
  <c r="BH144" i="3"/>
  <c r="BH145" i="3"/>
  <c r="BH146" i="3"/>
  <c r="BH147" i="3"/>
  <c r="BH148" i="3"/>
  <c r="BH149" i="3"/>
  <c r="BH150" i="3"/>
  <c r="BH151" i="3"/>
  <c r="BH153" i="3"/>
  <c r="BH154" i="3"/>
  <c r="BH156" i="3"/>
  <c r="BH157" i="3"/>
  <c r="BH158" i="3"/>
  <c r="BH159" i="3"/>
  <c r="BH161" i="3"/>
  <c r="BH163" i="3"/>
  <c r="BH164" i="3"/>
  <c r="BH166" i="3"/>
  <c r="BH167" i="3"/>
  <c r="BH168" i="3"/>
  <c r="BH169" i="3"/>
  <c r="BH170" i="3"/>
  <c r="BH171" i="3"/>
  <c r="BH172" i="3"/>
  <c r="BH173" i="3"/>
  <c r="BH174" i="3"/>
  <c r="BH175" i="3"/>
  <c r="BH176" i="3"/>
  <c r="BH177" i="3"/>
  <c r="BH178" i="3"/>
  <c r="BH179" i="3"/>
  <c r="BH180" i="3"/>
  <c r="BH181" i="3"/>
  <c r="BH183" i="3"/>
  <c r="BH184" i="3"/>
  <c r="BH185" i="3"/>
  <c r="BH186" i="3"/>
  <c r="BH187" i="3"/>
  <c r="BH188" i="3"/>
  <c r="BH189" i="3"/>
  <c r="BH190" i="3"/>
  <c r="BH191" i="3"/>
  <c r="BH192" i="3"/>
  <c r="BH193" i="3"/>
  <c r="BH194" i="3"/>
  <c r="BH195" i="3"/>
  <c r="BH196" i="3"/>
  <c r="BH197" i="3"/>
  <c r="BH198" i="3"/>
  <c r="BH199" i="3"/>
  <c r="BH200" i="3"/>
  <c r="BH201" i="3"/>
  <c r="BH202" i="3"/>
  <c r="BH203" i="3"/>
  <c r="BH204" i="3"/>
  <c r="BH206" i="3"/>
  <c r="BH207" i="3"/>
  <c r="BH208" i="3"/>
  <c r="BH209" i="3"/>
  <c r="BH210" i="3"/>
  <c r="BH211" i="3"/>
  <c r="BH212" i="3"/>
  <c r="BH213" i="3"/>
  <c r="BH215" i="3"/>
  <c r="BH216" i="3"/>
  <c r="BH217" i="3"/>
  <c r="BH218" i="3"/>
  <c r="BH219" i="3"/>
  <c r="BH221" i="3"/>
  <c r="BH222" i="3"/>
  <c r="BH223" i="3"/>
  <c r="BH224" i="3"/>
  <c r="BH225" i="3"/>
  <c r="BH227" i="3"/>
  <c r="BH228" i="3"/>
  <c r="BH229" i="3"/>
  <c r="BH230" i="3"/>
  <c r="BH231" i="3"/>
  <c r="BH232" i="3"/>
  <c r="BH233" i="3"/>
  <c r="BH234" i="3"/>
  <c r="BH235" i="3"/>
  <c r="BH237" i="3"/>
  <c r="BH238" i="3"/>
  <c r="BH240" i="3"/>
  <c r="BH241" i="3"/>
  <c r="BH242" i="3"/>
  <c r="BH243" i="3"/>
  <c r="BH244" i="3"/>
  <c r="BH245" i="3"/>
  <c r="BH246" i="3"/>
  <c r="BH247" i="3"/>
  <c r="BH249" i="3"/>
  <c r="BH250" i="3"/>
  <c r="BH251" i="3"/>
  <c r="BH252" i="3"/>
  <c r="BH254" i="3"/>
  <c r="BH255" i="3"/>
  <c r="BH256" i="3"/>
  <c r="BH257" i="3"/>
  <c r="BH258" i="3"/>
  <c r="BH259" i="3"/>
  <c r="BH260" i="3"/>
  <c r="BH261" i="3"/>
  <c r="BH262" i="3"/>
  <c r="BH263" i="3"/>
  <c r="BH264" i="3"/>
  <c r="BH266" i="3"/>
  <c r="BH267" i="3"/>
  <c r="BH268" i="3"/>
  <c r="BH269" i="3"/>
  <c r="BH270" i="3"/>
  <c r="BH273" i="3"/>
  <c r="BH274" i="3"/>
  <c r="BH275" i="3"/>
  <c r="BH276" i="3"/>
  <c r="BH277" i="3"/>
  <c r="BH279" i="3"/>
  <c r="BH280" i="3"/>
  <c r="BH281" i="3"/>
  <c r="BH283" i="3"/>
  <c r="BH284" i="3"/>
  <c r="BH285" i="3"/>
  <c r="BH286" i="3"/>
  <c r="BH287" i="3"/>
  <c r="BH288" i="3"/>
  <c r="BH289" i="3"/>
  <c r="BH290" i="3"/>
  <c r="BH291" i="3"/>
  <c r="BH294" i="3"/>
  <c r="BH295" i="3"/>
  <c r="BH296" i="3"/>
  <c r="BH297" i="3"/>
  <c r="BH302" i="3"/>
  <c r="BH303" i="3"/>
  <c r="BH304" i="3"/>
  <c r="BH305" i="3"/>
  <c r="BH306" i="3"/>
  <c r="BH307" i="3"/>
  <c r="BH308" i="3"/>
  <c r="BH309" i="3"/>
  <c r="BH310" i="3"/>
  <c r="BH311" i="3"/>
  <c r="BH313" i="3"/>
  <c r="BH315" i="3"/>
  <c r="AW3" i="3"/>
  <c r="AW5" i="3"/>
  <c r="AW10" i="3"/>
  <c r="AW11" i="3"/>
  <c r="AW16" i="3"/>
  <c r="AW17" i="3"/>
  <c r="AW20" i="3"/>
  <c r="AW21" i="3"/>
  <c r="AW22" i="3"/>
  <c r="AW23" i="3"/>
  <c r="AW24" i="3"/>
  <c r="AW25" i="3"/>
  <c r="AW27" i="3"/>
  <c r="AW29" i="3"/>
  <c r="AW30" i="3"/>
  <c r="AW31" i="3"/>
  <c r="AW32" i="3"/>
  <c r="AW33" i="3"/>
  <c r="AW34" i="3"/>
  <c r="AW36" i="3"/>
  <c r="AW37" i="3"/>
  <c r="AW38" i="3"/>
  <c r="AW40" i="3"/>
  <c r="AW41" i="3"/>
  <c r="AW43" i="3"/>
  <c r="AW44" i="3"/>
  <c r="AW45" i="3"/>
  <c r="AW47" i="3"/>
  <c r="AW48" i="3"/>
  <c r="AW49" i="3"/>
  <c r="AW50" i="3"/>
  <c r="AW51" i="3"/>
  <c r="AW54" i="3"/>
  <c r="AW56" i="3"/>
  <c r="AW57" i="3"/>
  <c r="AW58" i="3"/>
  <c r="AW60" i="3"/>
  <c r="AW61" i="3"/>
  <c r="AW62" i="3"/>
  <c r="AW64" i="3"/>
  <c r="AW65" i="3"/>
  <c r="AW67" i="3"/>
  <c r="AW68" i="3"/>
  <c r="AW69" i="3"/>
  <c r="AW71" i="3"/>
  <c r="AW72" i="3"/>
  <c r="AW74" i="3"/>
  <c r="AW75" i="3"/>
  <c r="AW77" i="3"/>
  <c r="AW79" i="3"/>
  <c r="AW81" i="3"/>
  <c r="AW84" i="3"/>
  <c r="AW85" i="3"/>
  <c r="AW86" i="3"/>
  <c r="AW88" i="3"/>
  <c r="AW89" i="3"/>
  <c r="AW90" i="3"/>
  <c r="AW92" i="3"/>
  <c r="AW93" i="3"/>
  <c r="AW94" i="3"/>
  <c r="AW97" i="3"/>
  <c r="AW98" i="3"/>
  <c r="AW99" i="3"/>
  <c r="AW101" i="3"/>
  <c r="AW104" i="3"/>
  <c r="AW105" i="3"/>
  <c r="AW107" i="3"/>
  <c r="AW108" i="3"/>
  <c r="AW112" i="3"/>
  <c r="AW113" i="3"/>
  <c r="AW114" i="3"/>
  <c r="AW115" i="3"/>
  <c r="AW116" i="3"/>
  <c r="AW119" i="3"/>
  <c r="AW120" i="3"/>
  <c r="AW123" i="3"/>
  <c r="AW124" i="3"/>
  <c r="AW125" i="3"/>
  <c r="AW126" i="3"/>
  <c r="AW128" i="3"/>
  <c r="AW130" i="3"/>
  <c r="AW131" i="3"/>
  <c r="AW134" i="3"/>
  <c r="AW135" i="3"/>
  <c r="AW136" i="3"/>
  <c r="AW138" i="3"/>
  <c r="AW141" i="3"/>
  <c r="AW142" i="3"/>
  <c r="AW143" i="3"/>
  <c r="AW144" i="3"/>
  <c r="AW146" i="3"/>
  <c r="AW147" i="3"/>
  <c r="AW149" i="3"/>
  <c r="AW150" i="3"/>
  <c r="AW151" i="3"/>
  <c r="AW154" i="3"/>
  <c r="AW155" i="3"/>
  <c r="AW156" i="3"/>
  <c r="AW158" i="3"/>
  <c r="AW159" i="3"/>
  <c r="AW161" i="3"/>
  <c r="AW162" i="3"/>
  <c r="AW163" i="3"/>
  <c r="AW164" i="3"/>
  <c r="AW165" i="3"/>
  <c r="AW166" i="3"/>
  <c r="AW167" i="3"/>
  <c r="AW169" i="3"/>
  <c r="AW170" i="3"/>
  <c r="AW171" i="3"/>
  <c r="AW172" i="3"/>
  <c r="AW173" i="3"/>
  <c r="AW174" i="3"/>
  <c r="AW175" i="3"/>
  <c r="AW176" i="3"/>
  <c r="AW177" i="3"/>
  <c r="AW178" i="3"/>
  <c r="AW179" i="3"/>
  <c r="AW180" i="3"/>
  <c r="AW181" i="3"/>
  <c r="AW183" i="3"/>
  <c r="AW184" i="3"/>
  <c r="AW186" i="3"/>
  <c r="AW187" i="3"/>
  <c r="AW188" i="3"/>
  <c r="AW189" i="3"/>
  <c r="AW190" i="3"/>
  <c r="AW191" i="3"/>
  <c r="AW193" i="3"/>
  <c r="AW195" i="3"/>
  <c r="AW197" i="3"/>
  <c r="AW200" i="3"/>
  <c r="AW202" i="3"/>
  <c r="AW205" i="3"/>
  <c r="AW207" i="3"/>
  <c r="AW208" i="3"/>
  <c r="AW209" i="3"/>
  <c r="AW210" i="3"/>
  <c r="AW213" i="3"/>
  <c r="AW215" i="3"/>
  <c r="AW216" i="3"/>
  <c r="AW217" i="3"/>
  <c r="AW219" i="3"/>
  <c r="AW223" i="3"/>
  <c r="AW224" i="3"/>
  <c r="AW225" i="3"/>
  <c r="AW227" i="3"/>
  <c r="AW228" i="3"/>
  <c r="AW229" i="3"/>
  <c r="AW232" i="3"/>
  <c r="AW233" i="3"/>
  <c r="AW234" i="3"/>
  <c r="AW235" i="3"/>
  <c r="AW237" i="3"/>
  <c r="AW238" i="3"/>
  <c r="AW240" i="3"/>
  <c r="AW241" i="3"/>
  <c r="AW242" i="3"/>
  <c r="AW243" i="3"/>
  <c r="AW244" i="3"/>
  <c r="AW245" i="3"/>
  <c r="AW247" i="3"/>
  <c r="AW248" i="3"/>
  <c r="AW249" i="3"/>
  <c r="AW250" i="3"/>
  <c r="AW251" i="3"/>
  <c r="AW253" i="3"/>
  <c r="AW254" i="3"/>
  <c r="AW255" i="3"/>
  <c r="AW258" i="3"/>
  <c r="AW260" i="3"/>
  <c r="AW261" i="3"/>
  <c r="AW262" i="3"/>
  <c r="AW264" i="3"/>
  <c r="AW265" i="3"/>
  <c r="AW267" i="3"/>
  <c r="AW268" i="3"/>
  <c r="AW270" i="3"/>
  <c r="AW274" i="3"/>
  <c r="AW275" i="3"/>
  <c r="AW276" i="3"/>
  <c r="AW277" i="3"/>
  <c r="AW279" i="3"/>
  <c r="AW280" i="3"/>
  <c r="AW281" i="3"/>
  <c r="AW282" i="3"/>
  <c r="AW284" i="3"/>
  <c r="AW285" i="3"/>
  <c r="AW287" i="3"/>
  <c r="AW288" i="3"/>
  <c r="AW289" i="3"/>
  <c r="AW290" i="3"/>
  <c r="AW291" i="3"/>
  <c r="AW294" i="3"/>
  <c r="AW295" i="3"/>
  <c r="AW296" i="3"/>
  <c r="AW297" i="3"/>
  <c r="AW298" i="3"/>
  <c r="AW303" i="3"/>
  <c r="AW304" i="3"/>
  <c r="AW305" i="3"/>
  <c r="AW307" i="3"/>
  <c r="AW308" i="3"/>
  <c r="AW309" i="3"/>
  <c r="AW310" i="3"/>
  <c r="AW312" i="3"/>
  <c r="AW313" i="3"/>
  <c r="AW315" i="3"/>
  <c r="AT47" i="3"/>
  <c r="AT60" i="3"/>
  <c r="AT71" i="3"/>
  <c r="AT135" i="3"/>
  <c r="AT137" i="3"/>
  <c r="AT165" i="3"/>
  <c r="AT166" i="3"/>
  <c r="AT178" i="3"/>
  <c r="AT191" i="3"/>
  <c r="AT208" i="3"/>
  <c r="AT216" i="3"/>
  <c r="AT222" i="3"/>
  <c r="AT229" i="3"/>
  <c r="AT255" i="3"/>
  <c r="AT267" i="3"/>
  <c r="AT273" i="3"/>
  <c r="AT287" i="3"/>
  <c r="AS47" i="3"/>
  <c r="AS60" i="3"/>
  <c r="AS71" i="3"/>
  <c r="AS135" i="3"/>
  <c r="AS137" i="3"/>
  <c r="AS165" i="3"/>
  <c r="AS166" i="3"/>
  <c r="AS178" i="3"/>
  <c r="AS191" i="3"/>
  <c r="AS208" i="3"/>
  <c r="AS216" i="3"/>
  <c r="AS222" i="3"/>
  <c r="AS229" i="3"/>
  <c r="AS255" i="3"/>
  <c r="AS267" i="3"/>
  <c r="AS273" i="3"/>
  <c r="AS287" i="3"/>
  <c r="AQ3" i="3"/>
  <c r="AQ5" i="3"/>
  <c r="AQ10" i="3"/>
  <c r="AQ11" i="3"/>
  <c r="AQ16" i="3"/>
  <c r="AQ17" i="3"/>
  <c r="AQ20" i="3"/>
  <c r="AQ21" i="3"/>
  <c r="AQ22" i="3"/>
  <c r="AQ23" i="3"/>
  <c r="AQ24" i="3"/>
  <c r="AQ25" i="3"/>
  <c r="AQ27" i="3"/>
  <c r="AQ29" i="3"/>
  <c r="AQ30" i="3"/>
  <c r="AQ31" i="3"/>
  <c r="AQ32" i="3"/>
  <c r="AQ33" i="3"/>
  <c r="AQ34" i="3"/>
  <c r="AQ36" i="3"/>
  <c r="AQ37" i="3"/>
  <c r="AQ38" i="3"/>
  <c r="AQ40" i="3"/>
  <c r="AQ41" i="3"/>
  <c r="AQ43" i="3"/>
  <c r="AQ44" i="3"/>
  <c r="AQ45" i="3"/>
  <c r="AQ47" i="3"/>
  <c r="AQ48" i="3"/>
  <c r="AQ49" i="3"/>
  <c r="AQ50" i="3"/>
  <c r="AQ51" i="3"/>
  <c r="AQ54" i="3"/>
  <c r="AQ56" i="3"/>
  <c r="AQ57" i="3"/>
  <c r="AQ58" i="3"/>
  <c r="AQ60" i="3"/>
  <c r="AQ61" i="3"/>
  <c r="AQ62" i="3"/>
  <c r="AQ64" i="3"/>
  <c r="AQ65" i="3"/>
  <c r="AQ67" i="3"/>
  <c r="AQ68" i="3"/>
  <c r="AQ69" i="3"/>
  <c r="AQ71" i="3"/>
  <c r="AQ72" i="3"/>
  <c r="AQ74" i="3"/>
  <c r="AQ75" i="3"/>
  <c r="AQ77" i="3"/>
  <c r="AQ79" i="3"/>
  <c r="AQ81" i="3"/>
  <c r="AQ84" i="3"/>
  <c r="AQ85" i="3"/>
  <c r="AQ86" i="3"/>
  <c r="AQ88" i="3"/>
  <c r="AQ89" i="3"/>
  <c r="AQ90" i="3"/>
  <c r="AQ92" i="3"/>
  <c r="AQ93" i="3"/>
  <c r="AQ94" i="3"/>
  <c r="AQ97" i="3"/>
  <c r="AQ98" i="3"/>
  <c r="AQ99" i="3"/>
  <c r="AQ101" i="3"/>
  <c r="AQ104" i="3"/>
  <c r="AQ105" i="3"/>
  <c r="AQ107" i="3"/>
  <c r="AQ108" i="3"/>
  <c r="AQ112" i="3"/>
  <c r="AQ113" i="3"/>
  <c r="AQ114" i="3"/>
  <c r="AQ115" i="3"/>
  <c r="AQ116" i="3"/>
  <c r="AQ119" i="3"/>
  <c r="AQ120" i="3"/>
  <c r="AQ123" i="3"/>
  <c r="AQ124" i="3"/>
  <c r="AQ125" i="3"/>
  <c r="AQ126" i="3"/>
  <c r="AQ128" i="3"/>
  <c r="AQ130" i="3"/>
  <c r="AQ131" i="3"/>
  <c r="AQ134" i="3"/>
  <c r="AQ135" i="3"/>
  <c r="AQ136" i="3"/>
  <c r="AQ138" i="3"/>
  <c r="AQ141" i="3"/>
  <c r="AQ142" i="3"/>
  <c r="AQ143" i="3"/>
  <c r="AQ144" i="3"/>
  <c r="AQ146" i="3"/>
  <c r="AQ147" i="3"/>
  <c r="AQ149" i="3"/>
  <c r="AQ150" i="3"/>
  <c r="AQ151" i="3"/>
  <c r="AQ154" i="3"/>
  <c r="AQ155" i="3"/>
  <c r="AQ156" i="3"/>
  <c r="AQ158" i="3"/>
  <c r="AQ159" i="3"/>
  <c r="AQ161" i="3"/>
  <c r="AQ162" i="3"/>
  <c r="AQ163" i="3"/>
  <c r="AQ164" i="3"/>
  <c r="AQ165" i="3"/>
  <c r="AQ166" i="3"/>
  <c r="AQ167" i="3"/>
  <c r="AQ169" i="3"/>
  <c r="AQ170" i="3"/>
  <c r="AQ171" i="3"/>
  <c r="AQ172" i="3"/>
  <c r="AQ173" i="3"/>
  <c r="AQ174" i="3"/>
  <c r="AQ175" i="3"/>
  <c r="AQ176" i="3"/>
  <c r="AQ177" i="3"/>
  <c r="AQ178" i="3"/>
  <c r="AQ179" i="3"/>
  <c r="AQ180" i="3"/>
  <c r="AQ181" i="3"/>
  <c r="AQ183" i="3"/>
  <c r="AQ184" i="3"/>
  <c r="AQ186" i="3"/>
  <c r="AQ187" i="3"/>
  <c r="AQ188" i="3"/>
  <c r="AQ189" i="3"/>
  <c r="AQ190" i="3"/>
  <c r="AQ191" i="3"/>
  <c r="AQ193" i="3"/>
  <c r="AQ195" i="3"/>
  <c r="AQ197" i="3"/>
  <c r="AQ200" i="3"/>
  <c r="AQ202" i="3"/>
  <c r="AQ205" i="3"/>
  <c r="AQ207" i="3"/>
  <c r="AQ208" i="3"/>
  <c r="AQ209" i="3"/>
  <c r="AQ210" i="3"/>
  <c r="AQ213" i="3"/>
  <c r="AQ215" i="3"/>
  <c r="AQ216" i="3"/>
  <c r="AQ217" i="3"/>
  <c r="AQ219" i="3"/>
  <c r="AQ223" i="3"/>
  <c r="AQ224" i="3"/>
  <c r="AQ225" i="3"/>
  <c r="AQ227" i="3"/>
  <c r="AQ228" i="3"/>
  <c r="AQ229" i="3"/>
  <c r="AQ232" i="3"/>
  <c r="AQ233" i="3"/>
  <c r="AQ234" i="3"/>
  <c r="AQ235" i="3"/>
  <c r="AQ237" i="3"/>
  <c r="AQ238" i="3"/>
  <c r="AQ240" i="3"/>
  <c r="AQ241" i="3"/>
  <c r="AQ242" i="3"/>
  <c r="AQ243" i="3"/>
  <c r="AQ244" i="3"/>
  <c r="AQ245" i="3"/>
  <c r="AQ247" i="3"/>
  <c r="AQ248" i="3"/>
  <c r="AQ249" i="3"/>
  <c r="AQ250" i="3"/>
  <c r="AQ251" i="3"/>
  <c r="AQ253" i="3"/>
  <c r="AQ254" i="3"/>
  <c r="AQ255" i="3"/>
  <c r="AQ258" i="3"/>
  <c r="AQ260" i="3"/>
  <c r="AQ261" i="3"/>
  <c r="AQ262" i="3"/>
  <c r="AQ264" i="3"/>
  <c r="AQ265" i="3"/>
  <c r="AQ267" i="3"/>
  <c r="AQ268" i="3"/>
  <c r="AQ270" i="3"/>
  <c r="AQ274" i="3"/>
  <c r="AQ275" i="3"/>
  <c r="AQ276" i="3"/>
  <c r="AQ277" i="3"/>
  <c r="AQ279" i="3"/>
  <c r="AQ280" i="3"/>
  <c r="AQ281" i="3"/>
  <c r="AQ282" i="3"/>
  <c r="AQ284" i="3"/>
  <c r="AQ285" i="3"/>
  <c r="AQ287" i="3"/>
  <c r="AQ288" i="3"/>
  <c r="AQ289" i="3"/>
  <c r="AQ290" i="3"/>
  <c r="AQ291" i="3"/>
  <c r="AQ294" i="3"/>
  <c r="AQ295" i="3"/>
  <c r="AQ296" i="3"/>
  <c r="AQ297" i="3"/>
  <c r="AQ298" i="3"/>
  <c r="AQ303" i="3"/>
  <c r="AQ304" i="3"/>
  <c r="AQ305" i="3"/>
  <c r="AQ307" i="3"/>
  <c r="AQ308" i="3"/>
  <c r="AQ309" i="3"/>
  <c r="AQ310" i="3"/>
  <c r="AQ312" i="3"/>
  <c r="AQ313" i="3"/>
  <c r="AQ315" i="3"/>
  <c r="AP3" i="3"/>
  <c r="AP5" i="3"/>
  <c r="AP10" i="3"/>
  <c r="AP11" i="3"/>
  <c r="AP16" i="3"/>
  <c r="AP17" i="3"/>
  <c r="AP20" i="3"/>
  <c r="AP21" i="3"/>
  <c r="AP22" i="3"/>
  <c r="AP23" i="3"/>
  <c r="AP24" i="3"/>
  <c r="AP25" i="3"/>
  <c r="AP27" i="3"/>
  <c r="AP29" i="3"/>
  <c r="AP30" i="3"/>
  <c r="AP31" i="3"/>
  <c r="AP32" i="3"/>
  <c r="AP33" i="3"/>
  <c r="AP34" i="3"/>
  <c r="AP36" i="3"/>
  <c r="AP37" i="3"/>
  <c r="AP38" i="3"/>
  <c r="AP40" i="3"/>
  <c r="AP41" i="3"/>
  <c r="AP43" i="3"/>
  <c r="AP44" i="3"/>
  <c r="AP45" i="3"/>
  <c r="AP47" i="3"/>
  <c r="AP48" i="3"/>
  <c r="AP49" i="3"/>
  <c r="AP50" i="3"/>
  <c r="AP51" i="3"/>
  <c r="AP54" i="3"/>
  <c r="AP56" i="3"/>
  <c r="AP57" i="3"/>
  <c r="AP58" i="3"/>
  <c r="AP60" i="3"/>
  <c r="AP61" i="3"/>
  <c r="AP62" i="3"/>
  <c r="AP64" i="3"/>
  <c r="AP65" i="3"/>
  <c r="AP67" i="3"/>
  <c r="AP68" i="3"/>
  <c r="AP69" i="3"/>
  <c r="AP71" i="3"/>
  <c r="AP72" i="3"/>
  <c r="AP74" i="3"/>
  <c r="AP75" i="3"/>
  <c r="AP77" i="3"/>
  <c r="AP79" i="3"/>
  <c r="AP81" i="3"/>
  <c r="AP84" i="3"/>
  <c r="AP85" i="3"/>
  <c r="AP86" i="3"/>
  <c r="AP88" i="3"/>
  <c r="AP89" i="3"/>
  <c r="AP90" i="3"/>
  <c r="AP92" i="3"/>
  <c r="AP93" i="3"/>
  <c r="AP94" i="3"/>
  <c r="AP97" i="3"/>
  <c r="AP98" i="3"/>
  <c r="AP99" i="3"/>
  <c r="AP101" i="3"/>
  <c r="AP104" i="3"/>
  <c r="AP105" i="3"/>
  <c r="AP107" i="3"/>
  <c r="AP108" i="3"/>
  <c r="AP112" i="3"/>
  <c r="AP113" i="3"/>
  <c r="AP114" i="3"/>
  <c r="AP115" i="3"/>
  <c r="AP116" i="3"/>
  <c r="AP119" i="3"/>
  <c r="AP120" i="3"/>
  <c r="AP123" i="3"/>
  <c r="AP124" i="3"/>
  <c r="AP125" i="3"/>
  <c r="AP126" i="3"/>
  <c r="AP128" i="3"/>
  <c r="AP130" i="3"/>
  <c r="AP131" i="3"/>
  <c r="AP134" i="3"/>
  <c r="AP135" i="3"/>
  <c r="AP136" i="3"/>
  <c r="AP138" i="3"/>
  <c r="AP141" i="3"/>
  <c r="AP142" i="3"/>
  <c r="AP143" i="3"/>
  <c r="AP144" i="3"/>
  <c r="AP146" i="3"/>
  <c r="AP147" i="3"/>
  <c r="AP149" i="3"/>
  <c r="AP150" i="3"/>
  <c r="AP151" i="3"/>
  <c r="AP154" i="3"/>
  <c r="AP155" i="3"/>
  <c r="AP156" i="3"/>
  <c r="AP158" i="3"/>
  <c r="AP159" i="3"/>
  <c r="AP161" i="3"/>
  <c r="AP162" i="3"/>
  <c r="AP163" i="3"/>
  <c r="AP164" i="3"/>
  <c r="AP165" i="3"/>
  <c r="AP166" i="3"/>
  <c r="AP167" i="3"/>
  <c r="AP169" i="3"/>
  <c r="AP170" i="3"/>
  <c r="AP171" i="3"/>
  <c r="AP172" i="3"/>
  <c r="AP173" i="3"/>
  <c r="AP174" i="3"/>
  <c r="AP175" i="3"/>
  <c r="AP176" i="3"/>
  <c r="AP177" i="3"/>
  <c r="AP178" i="3"/>
  <c r="AP179" i="3"/>
  <c r="AP180" i="3"/>
  <c r="AP181" i="3"/>
  <c r="AP183" i="3"/>
  <c r="AP184" i="3"/>
  <c r="AP186" i="3"/>
  <c r="AP187" i="3"/>
  <c r="AP188" i="3"/>
  <c r="AP189" i="3"/>
  <c r="AP190" i="3"/>
  <c r="AP191" i="3"/>
  <c r="AP193" i="3"/>
  <c r="AP195" i="3"/>
  <c r="AP197" i="3"/>
  <c r="AP200" i="3"/>
  <c r="AP202" i="3"/>
  <c r="AP205" i="3"/>
  <c r="AP207" i="3"/>
  <c r="AP208" i="3"/>
  <c r="AP209" i="3"/>
  <c r="AP210" i="3"/>
  <c r="AP213" i="3"/>
  <c r="AP215" i="3"/>
  <c r="AP216" i="3"/>
  <c r="AP217" i="3"/>
  <c r="AP219" i="3"/>
  <c r="AP223" i="3"/>
  <c r="AP224" i="3"/>
  <c r="AP225" i="3"/>
  <c r="AP227" i="3"/>
  <c r="AP228" i="3"/>
  <c r="AP229" i="3"/>
  <c r="AP232" i="3"/>
  <c r="AP233" i="3"/>
  <c r="AP234" i="3"/>
  <c r="AP235" i="3"/>
  <c r="AP237" i="3"/>
  <c r="AP238" i="3"/>
  <c r="AP240" i="3"/>
  <c r="AP241" i="3"/>
  <c r="AP242" i="3"/>
  <c r="AP243" i="3"/>
  <c r="AP244" i="3"/>
  <c r="AP245" i="3"/>
  <c r="AP247" i="3"/>
  <c r="AP248" i="3"/>
  <c r="AP249" i="3"/>
  <c r="AP250" i="3"/>
  <c r="AP251" i="3"/>
  <c r="AP253" i="3"/>
  <c r="AP254" i="3"/>
  <c r="AP255" i="3"/>
  <c r="AP258" i="3"/>
  <c r="AP260" i="3"/>
  <c r="AP261" i="3"/>
  <c r="AP262" i="3"/>
  <c r="AP264" i="3"/>
  <c r="AP265" i="3"/>
  <c r="AP267" i="3"/>
  <c r="AP268" i="3"/>
  <c r="AP270" i="3"/>
  <c r="AP274" i="3"/>
  <c r="AP275" i="3"/>
  <c r="AP276" i="3"/>
  <c r="AP277" i="3"/>
  <c r="AP279" i="3"/>
  <c r="AP280" i="3"/>
  <c r="AP281" i="3"/>
  <c r="AP282" i="3"/>
  <c r="AP284" i="3"/>
  <c r="AP285" i="3"/>
  <c r="AP287" i="3"/>
  <c r="AP288" i="3"/>
  <c r="AP289" i="3"/>
  <c r="AP290" i="3"/>
  <c r="AP291" i="3"/>
  <c r="AP294" i="3"/>
  <c r="AP295" i="3"/>
  <c r="AP296" i="3"/>
  <c r="AP297" i="3"/>
  <c r="AP298" i="3"/>
  <c r="AP303" i="3"/>
  <c r="AP304" i="3"/>
  <c r="AP305" i="3"/>
  <c r="AP307" i="3"/>
  <c r="AP308" i="3"/>
  <c r="AP309" i="3"/>
  <c r="AP310" i="3"/>
  <c r="AP312" i="3"/>
  <c r="AP313" i="3"/>
  <c r="AP315" i="3"/>
  <c r="AO47" i="3"/>
  <c r="AO137" i="3"/>
  <c r="AO208" i="3"/>
  <c r="AO222" i="3"/>
  <c r="AO273" i="3"/>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X3" i="1"/>
  <c r="X4" i="1"/>
  <c r="X5" i="1"/>
  <c r="X8" i="1"/>
  <c r="X9" i="1"/>
  <c r="X10" i="1"/>
  <c r="X11" i="1"/>
  <c r="X12" i="1"/>
  <c r="X13" i="1"/>
  <c r="X14" i="1"/>
  <c r="X15" i="1"/>
  <c r="X17" i="1"/>
  <c r="X37" i="1"/>
  <c r="X53" i="1"/>
  <c r="X57" i="1"/>
  <c r="X58" i="1"/>
  <c r="X59" i="1"/>
  <c r="X65" i="1"/>
  <c r="X68" i="1"/>
  <c r="X71" i="1"/>
  <c r="X72" i="1"/>
  <c r="X74" i="1"/>
  <c r="X82" i="1"/>
  <c r="X86" i="1"/>
  <c r="X87" i="1"/>
  <c r="X88" i="1"/>
  <c r="X91" i="1"/>
  <c r="X92" i="1"/>
  <c r="X93" i="1"/>
  <c r="X94" i="1"/>
  <c r="X95" i="1"/>
  <c r="X96" i="1"/>
  <c r="X97" i="1"/>
  <c r="X98" i="1"/>
  <c r="X99" i="1"/>
  <c r="X100" i="1"/>
  <c r="X101" i="1"/>
  <c r="X104" i="1"/>
  <c r="X105" i="1"/>
  <c r="X106" i="1"/>
  <c r="X107" i="1"/>
  <c r="X108" i="1"/>
  <c r="X109" i="1"/>
  <c r="X111" i="1"/>
  <c r="X112" i="1"/>
  <c r="X113" i="1"/>
  <c r="X114" i="1"/>
  <c r="X117" i="1"/>
  <c r="X118" i="1"/>
  <c r="X119" i="1"/>
  <c r="X122" i="1"/>
  <c r="X123" i="1"/>
  <c r="X124" i="1"/>
  <c r="X125" i="1"/>
  <c r="X126" i="1"/>
  <c r="X127" i="1"/>
  <c r="X128" i="1"/>
  <c r="X129" i="1"/>
  <c r="X130" i="1"/>
  <c r="X131" i="1"/>
  <c r="X133" i="1"/>
  <c r="X134" i="1"/>
  <c r="X135" i="1"/>
  <c r="X140" i="1"/>
  <c r="X162" i="1"/>
  <c r="X163" i="1"/>
  <c r="X164" i="1"/>
  <c r="X165" i="1"/>
  <c r="X166" i="1"/>
  <c r="X167" i="1"/>
  <c r="X169" i="1"/>
  <c r="X174" i="1"/>
  <c r="X175" i="1"/>
  <c r="X176" i="1"/>
  <c r="X188" i="1"/>
  <c r="X189" i="1"/>
  <c r="X190" i="1"/>
  <c r="X191" i="1"/>
  <c r="X192" i="1"/>
  <c r="X193" i="1"/>
  <c r="X194" i="1"/>
  <c r="X195" i="1"/>
  <c r="X196" i="1"/>
  <c r="X202" i="1"/>
  <c r="X203" i="1"/>
  <c r="X214" i="1"/>
  <c r="X215" i="1"/>
  <c r="X216" i="1"/>
  <c r="X217" i="1"/>
  <c r="X218" i="1"/>
  <c r="X219" i="1"/>
  <c r="X221" i="1"/>
  <c r="X227" i="1"/>
  <c r="X229" i="1"/>
  <c r="X234" i="1"/>
  <c r="X238" i="1"/>
  <c r="X239" i="1"/>
  <c r="X240" i="1"/>
  <c r="X259" i="1"/>
  <c r="X270" i="1"/>
  <c r="X278" i="1"/>
  <c r="X279" i="1"/>
  <c r="X280" i="1"/>
  <c r="X281" i="1"/>
  <c r="X291" i="1"/>
  <c r="X292" i="1"/>
  <c r="X294" i="1"/>
  <c r="X295" i="1"/>
  <c r="X296" i="1"/>
  <c r="X299" i="1"/>
  <c r="X302" i="1"/>
  <c r="X305" i="1"/>
  <c r="X306" i="1"/>
  <c r="X307" i="1"/>
  <c r="X308" i="1"/>
  <c r="X309" i="1"/>
  <c r="X310" i="1"/>
  <c r="X311" i="1"/>
  <c r="X322" i="1"/>
  <c r="X323" i="1"/>
  <c r="X324" i="1"/>
  <c r="X325" i="1"/>
  <c r="X333" i="1"/>
  <c r="X335" i="1"/>
  <c r="X336" i="1"/>
  <c r="X337" i="1"/>
  <c r="X338" i="1"/>
  <c r="X349" i="1"/>
  <c r="X350" i="1"/>
  <c r="X351" i="1"/>
  <c r="X352" i="1"/>
  <c r="X356" i="1"/>
  <c r="X357" i="1"/>
  <c r="X358" i="1"/>
  <c r="X359" i="1"/>
  <c r="X360" i="1"/>
  <c r="X361" i="1"/>
  <c r="X362" i="1"/>
  <c r="X363" i="1"/>
  <c r="X364" i="1"/>
  <c r="X365" i="1"/>
  <c r="X366" i="1"/>
  <c r="X367" i="1"/>
  <c r="X368" i="1"/>
  <c r="X369" i="1"/>
  <c r="X370" i="1"/>
  <c r="X371" i="1"/>
  <c r="X372" i="1"/>
  <c r="X373" i="1"/>
  <c r="X374" i="1"/>
  <c r="X375" i="1"/>
  <c r="X376" i="1"/>
  <c r="X377" i="1"/>
  <c r="X461" i="1"/>
  <c r="X462" i="1"/>
  <c r="X463" i="1"/>
  <c r="X464" i="1"/>
  <c r="X465" i="1"/>
  <c r="X469" i="1"/>
  <c r="X470" i="1"/>
  <c r="X472" i="1"/>
  <c r="X477" i="1"/>
  <c r="X487" i="1"/>
  <c r="X492" i="1"/>
  <c r="X494" i="1"/>
  <c r="X496" i="1"/>
  <c r="X497" i="1"/>
  <c r="X498" i="1"/>
  <c r="X502" i="1"/>
  <c r="X515" i="1"/>
  <c r="X520" i="1"/>
  <c r="X521" i="1"/>
  <c r="X522" i="1"/>
  <c r="X523" i="1"/>
  <c r="X525" i="1"/>
  <c r="X526" i="1"/>
  <c r="X531" i="1"/>
  <c r="X532" i="1"/>
  <c r="X536"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75" i="1"/>
  <c r="X676" i="1"/>
  <c r="X679"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7" i="1"/>
  <c r="X748" i="1"/>
  <c r="X749" i="1"/>
  <c r="X750" i="1"/>
  <c r="X765" i="1"/>
  <c r="X767" i="1"/>
  <c r="X768" i="1"/>
  <c r="X776" i="1"/>
  <c r="X777" i="1"/>
  <c r="X780" i="1"/>
  <c r="X798" i="1"/>
  <c r="X801" i="1"/>
  <c r="X802" i="1"/>
  <c r="X820" i="1"/>
  <c r="X821" i="1"/>
  <c r="X822" i="1"/>
  <c r="X823" i="1"/>
  <c r="X824" i="1"/>
  <c r="X827" i="1"/>
  <c r="X828" i="1"/>
  <c r="X830" i="1"/>
  <c r="X831" i="1"/>
  <c r="X832" i="1"/>
  <c r="X833" i="1"/>
  <c r="X839" i="1"/>
  <c r="X844" i="1"/>
  <c r="X845" i="1"/>
  <c r="X846" i="1"/>
  <c r="X847" i="1"/>
  <c r="X849" i="1"/>
  <c r="X850" i="1"/>
  <c r="X854" i="1"/>
  <c r="X857" i="1"/>
  <c r="X858" i="1"/>
  <c r="X864" i="1"/>
  <c r="X868" i="1"/>
  <c r="X869" i="1"/>
  <c r="X871" i="1"/>
  <c r="X873" i="1"/>
  <c r="X874" i="1"/>
  <c r="X875" i="1"/>
  <c r="X877" i="1"/>
  <c r="X878" i="1"/>
  <c r="X880" i="1"/>
  <c r="X884" i="1"/>
  <c r="X886" i="1"/>
  <c r="X895" i="1"/>
  <c r="X896" i="1"/>
  <c r="Q472" i="1"/>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I34" i="7" l="1"/>
  <c r="I35" i="7"/>
  <c r="S34" i="7"/>
  <c r="S35" i="7"/>
  <c r="E34" i="7"/>
  <c r="E35" i="7"/>
  <c r="T35" i="7"/>
  <c r="N35" i="7"/>
  <c r="J35" i="7"/>
  <c r="F35" i="7"/>
  <c r="U35" i="7"/>
  <c r="O34" i="7" l="1"/>
  <c r="O35" i="7"/>
  <c r="G34" i="7"/>
  <c r="G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<sst xmlns="http://schemas.openxmlformats.org/spreadsheetml/2006/main" count="19217" uniqueCount="6707">
  <si>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</si>
  <si>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</si>
  <si>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</si>
  <si>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</si>
  <si>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</si>
  <si>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</si>
  <si>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</si>
  <si>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</si>
  <si>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</si>
  <si>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</si>
  <si>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</si>
  <si>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</si>
  <si>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</si>
  <si>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</si>
  <si>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</si>
  <si>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</si>
  <si>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</si>
  <si>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</si>
  <si>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</si>
  <si>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</si>
  <si>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</si>
  <si>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</si>
  <si>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</si>
  <si>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</si>
  <si>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</si>
  <si>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</si>
  <si>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</si>
  <si>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</si>
  <si>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</si>
  <si>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</si>
  <si>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</si>
  <si>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</si>
  <si>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</si>
  <si>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</si>
  <si>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</si>
  <si>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</si>
  <si>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</si>
  <si>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</si>
  <si>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</si>
  <si>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</si>
  <si>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</si>
  <si>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</si>
  <si>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</si>
  <si>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</si>
  <si>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</si>
  <si>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</si>
  <si>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</si>
  <si>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</si>
  <si>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</si>
  <si>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</si>
  <si>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</si>
  <si>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</si>
  <si>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</si>
  <si>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</si>
  <si>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</si>
  <si>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</si>
  <si>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</si>
  <si>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</si>
  <si>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</si>
  <si>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</si>
  <si>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</si>
  <si>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</si>
  <si>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</si>
  <si>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</si>
  <si>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</si>
  <si>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</si>
  <si>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</si>
  <si>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</si>
  <si>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</si>
  <si>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</si>
  <si>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</si>
  <si>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</si>
  <si>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</si>
  <si>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</si>
  <si>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</si>
  <si>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</si>
  <si>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</si>
  <si>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</si>
  <si>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</si>
  <si>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</si>
  <si>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</si>
  <si>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</si>
  <si>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</si>
  <si>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</si>
  <si>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</si>
  <si>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</si>
  <si>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</si>
  <si>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</si>
  <si>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</si>
  <si>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</si>
  <si>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</si>
  <si>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</si>
  <si>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</si>
  <si>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</si>
  <si>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</si>
  <si>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</si>
  <si>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</si>
  <si>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</si>
  <si>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</si>
  <si>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</si>
  <si>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</si>
  <si>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</si>
  <si>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</si>
  <si>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</si>
  <si>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</si>
  <si>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</si>
  <si>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</si>
  <si>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</si>
  <si>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</si>
  <si>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</si>
  <si>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</si>
  <si>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</si>
  <si>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</si>
  <si>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</si>
  <si>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</si>
  <si>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</si>
  <si>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</si>
  <si>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</si>
  <si>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</si>
  <si>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</si>
  <si>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</si>
  <si>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</si>
  <si>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</si>
  <si>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</si>
  <si>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</si>
  <si>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</si>
  <si>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</si>
  <si>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</si>
  <si>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</si>
  <si>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</si>
  <si>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</si>
  <si>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</si>
  <si>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</si>
  <si>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</si>
  <si>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</si>
  <si>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</si>
  <si>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</si>
  <si>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</si>
  <si>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</si>
  <si>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</si>
  <si>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</si>
  <si>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</si>
  <si>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</si>
  <si>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</si>
  <si>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</si>
  <si>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</si>
  <si>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</si>
  <si>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</si>
  <si>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</si>
  <si>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</si>
  <si>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</si>
  <si>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</si>
  <si>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</si>
  <si>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</si>
  <si>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</si>
  <si>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</si>
  <si>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</si>
  <si>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</si>
  <si>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</si>
  <si>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</si>
  <si>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</si>
  <si>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</si>
  <si>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</si>
  <si>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</si>
  <si>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</si>
  <si>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</si>
  <si>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</si>
  <si>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</si>
  <si>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</si>
  <si>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</si>
  <si>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</si>
  <si>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</si>
  <si>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</si>
  <si>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</si>
  <si>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</si>
  <si>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</si>
  <si>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</si>
  <si>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</si>
  <si>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</si>
  <si>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</si>
  <si>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Retweet Count</t>
  </si>
  <si>
    <t>Favorite Count</t>
  </si>
  <si>
    <t>Reply Count</t>
  </si>
  <si>
    <t>Quote Count</t>
  </si>
  <si>
    <t>Impression Count</t>
  </si>
  <si>
    <t>Hashtags in Tweet</t>
  </si>
  <si>
    <t>URLs in Tweet</t>
  </si>
  <si>
    <t>Domains in Tweet</t>
  </si>
  <si>
    <t>Mentions in Tweet</t>
  </si>
  <si>
    <t>Media in Tweet</t>
  </si>
  <si>
    <t>Media Type</t>
  </si>
  <si>
    <t>Source</t>
  </si>
  <si>
    <t>Language</t>
  </si>
  <si>
    <t>Twitter Page for Tweet</t>
  </si>
  <si>
    <t>Tweet Date (UTC)</t>
  </si>
  <si>
    <t>Date</t>
  </si>
  <si>
    <t>Time</t>
  </si>
  <si>
    <t>Possibly Sensitive</t>
  </si>
  <si>
    <t>Place Bounding Box</t>
  </si>
  <si>
    <t>Place Country</t>
  </si>
  <si>
    <t>Place Country Code</t>
  </si>
  <si>
    <t>Place Full Name</t>
  </si>
  <si>
    <t>Place ID</t>
  </si>
  <si>
    <t>Place Name</t>
  </si>
  <si>
    <t>Place Type</t>
  </si>
  <si>
    <t>Media Key</t>
  </si>
  <si>
    <t>Media Duration (ms)</t>
  </si>
  <si>
    <t>Media Height</t>
  </si>
  <si>
    <t>Media Width</t>
  </si>
  <si>
    <t>Media View Count</t>
  </si>
  <si>
    <t>Tweet Image File</t>
  </si>
  <si>
    <t>Imported ID</t>
  </si>
  <si>
    <t>Conversation ID</t>
  </si>
  <si>
    <t>In Reply To User ID</t>
  </si>
  <si>
    <t>In Reply To Tweet ID</t>
  </si>
  <si>
    <t>Quoted Status ID</t>
  </si>
  <si>
    <t>Retweet ID</t>
  </si>
  <si>
    <t>Unified Twitter ID</t>
  </si>
  <si>
    <t>Author ID</t>
  </si>
  <si>
    <t>Poll ID</t>
  </si>
  <si>
    <t>Poll Options</t>
  </si>
  <si>
    <t>Poll Duration</t>
  </si>
  <si>
    <t>Poll End Date</t>
  </si>
  <si>
    <t>Poll Voting Status</t>
  </si>
  <si>
    <t>iberezanski</t>
  </si>
  <si>
    <t>borafalardguito</t>
  </si>
  <si>
    <t>sageousthoughts</t>
  </si>
  <si>
    <t>turankurnaz</t>
  </si>
  <si>
    <t>ajumanganelli</t>
  </si>
  <si>
    <t>streladomar</t>
  </si>
  <si>
    <t>higinomatos</t>
  </si>
  <si>
    <t>brunomelop3</t>
  </si>
  <si>
    <t>consultoramadii</t>
  </si>
  <si>
    <t>geckocripto</t>
  </si>
  <si>
    <t>investidorhedge</t>
  </si>
  <si>
    <t>boxtributario</t>
  </si>
  <si>
    <t>noelfilho_</t>
  </si>
  <si>
    <t>ttorres_oficial</t>
  </si>
  <si>
    <t>sebrae</t>
  </si>
  <si>
    <t>_meunomelimpo</t>
  </si>
  <si>
    <t>maumedofficial</t>
  </si>
  <si>
    <t>mmontezzi</t>
  </si>
  <si>
    <t>sebraeto</t>
  </si>
  <si>
    <t>thiagonakazone</t>
  </si>
  <si>
    <t>segdasempresas</t>
  </si>
  <si>
    <t>comoreinventar</t>
  </si>
  <si>
    <t>jhonblackmist</t>
  </si>
  <si>
    <t>prefitaguai</t>
  </si>
  <si>
    <t>portoseguro</t>
  </si>
  <si>
    <t>memorialgoiania</t>
  </si>
  <si>
    <t>calilecalil</t>
  </si>
  <si>
    <t>saguicontrol</t>
  </si>
  <si>
    <t>maxjr32113486</t>
  </si>
  <si>
    <t>asc_alancoelho</t>
  </si>
  <si>
    <t>euvanessagouvea</t>
  </si>
  <si>
    <t>carlapaixaoi</t>
  </si>
  <si>
    <t>douglazzc</t>
  </si>
  <si>
    <t>igor_vieiraa</t>
  </si>
  <si>
    <t>spprevcom</t>
  </si>
  <si>
    <t>lopeseconomista</t>
  </si>
  <si>
    <t>aline_tarot</t>
  </si>
  <si>
    <t>nascimentomma</t>
  </si>
  <si>
    <t>brunossm</t>
  </si>
  <si>
    <t>jornalcontabil_</t>
  </si>
  <si>
    <t>colegiopectrus</t>
  </si>
  <si>
    <t>javarinijean</t>
  </si>
  <si>
    <t>williamhuntbr</t>
  </si>
  <si>
    <t>tony_financas</t>
  </si>
  <si>
    <t>puneetkohli1979</t>
  </si>
  <si>
    <t>ludemicon</t>
  </si>
  <si>
    <t>pag4nini</t>
  </si>
  <si>
    <t>erik_investir</t>
  </si>
  <si>
    <t>milan_prosper</t>
  </si>
  <si>
    <t>euluisconsultor</t>
  </si>
  <si>
    <t>fgaugustus</t>
  </si>
  <si>
    <t>targetexecutiv</t>
  </si>
  <si>
    <t>dncontador</t>
  </si>
  <si>
    <t>edsonderiv</t>
  </si>
  <si>
    <t>sebraport</t>
  </si>
  <si>
    <t>kakoramos</t>
  </si>
  <si>
    <t>investoom</t>
  </si>
  <si>
    <t>andrewerneck_</t>
  </si>
  <si>
    <t>nonoinvestidor</t>
  </si>
  <si>
    <t>pravaler</t>
  </si>
  <si>
    <t>revistaapolice</t>
  </si>
  <si>
    <t>investcarta</t>
  </si>
  <si>
    <t>minteredu</t>
  </si>
  <si>
    <t>parlamento</t>
  </si>
  <si>
    <t>cobratecassis</t>
  </si>
  <si>
    <t>atlantickapital</t>
  </si>
  <si>
    <t>irineubere</t>
  </si>
  <si>
    <t>lifecreditbr</t>
  </si>
  <si>
    <t>made_hits</t>
  </si>
  <si>
    <t>livrosemresumo</t>
  </si>
  <si>
    <t>alanvalney</t>
  </si>
  <si>
    <t>felipecandianii</t>
  </si>
  <si>
    <t>francisinvicto</t>
  </si>
  <si>
    <t>fbiosha</t>
  </si>
  <si>
    <t>luizefinancas</t>
  </si>
  <si>
    <t>focanoimposto</t>
  </si>
  <si>
    <t>vidatodaseguros</t>
  </si>
  <si>
    <t>dalai_money</t>
  </si>
  <si>
    <t>hidoctor</t>
  </si>
  <si>
    <t>cintiamenegazzo</t>
  </si>
  <si>
    <t>snapfi_br</t>
  </si>
  <si>
    <t>henleinvest</t>
  </si>
  <si>
    <t>investidigital</t>
  </si>
  <si>
    <t>moprify</t>
  </si>
  <si>
    <t>azizbasry</t>
  </si>
  <si>
    <t>jorg1nho_</t>
  </si>
  <si>
    <t>contas_online</t>
  </si>
  <si>
    <t>financialstream</t>
  </si>
  <si>
    <t>cassebbsb</t>
  </si>
  <si>
    <t>clmcontroller</t>
  </si>
  <si>
    <t>tokencom_br</t>
  </si>
  <si>
    <t>danielg_s6</t>
  </si>
  <si>
    <t>lobscontabilid1</t>
  </si>
  <si>
    <t>brunoma37644336</t>
  </si>
  <si>
    <t>emotionalillit1</t>
  </si>
  <si>
    <t>computar1915</t>
  </si>
  <si>
    <t>dirprev</t>
  </si>
  <si>
    <t>investimentoob1</t>
  </si>
  <si>
    <t>sunonoticias</t>
  </si>
  <si>
    <t>thiagobudni</t>
  </si>
  <si>
    <t>paraminvest</t>
  </si>
  <si>
    <t>rodrigosrp4</t>
  </si>
  <si>
    <t>caixettanayara</t>
  </si>
  <si>
    <t>qfasegui</t>
  </si>
  <si>
    <t>falasantiago</t>
  </si>
  <si>
    <t>andreynousi</t>
  </si>
  <si>
    <t>dicasxdicas</t>
  </si>
  <si>
    <t>caiohleal</t>
  </si>
  <si>
    <t>ronaldolundgren</t>
  </si>
  <si>
    <t>ageucamargoadv</t>
  </si>
  <si>
    <t>b18editora</t>
  </si>
  <si>
    <t>carreiraprof_cp</t>
  </si>
  <si>
    <t>paulocpcorrea</t>
  </si>
  <si>
    <t>rafael__costa__</t>
  </si>
  <si>
    <t>vidaidealbr</t>
  </si>
  <si>
    <t>karlfranca</t>
  </si>
  <si>
    <t>financaslucra</t>
  </si>
  <si>
    <t>carlos_domini</t>
  </si>
  <si>
    <t>perspectiveinvs</t>
  </si>
  <si>
    <t>orcose</t>
  </si>
  <si>
    <t>luizmarjr</t>
  </si>
  <si>
    <t>gtssilveira</t>
  </si>
  <si>
    <t>xzibank</t>
  </si>
  <si>
    <t>contabilidadee4</t>
  </si>
  <si>
    <t>crevalleoficial</t>
  </si>
  <si>
    <t>vegansav22</t>
  </si>
  <si>
    <t>capitalizeja</t>
  </si>
  <si>
    <t>aleatoriando_o</t>
  </si>
  <si>
    <t>autodestaque</t>
  </si>
  <si>
    <t>junqueiradenis</t>
  </si>
  <si>
    <t>imovelstar</t>
  </si>
  <si>
    <t>elitemind01</t>
  </si>
  <si>
    <t>almepoupa</t>
  </si>
  <si>
    <t>financasdalari</t>
  </si>
  <si>
    <t>sousadavi</t>
  </si>
  <si>
    <t>giovannesilva22</t>
  </si>
  <si>
    <t>invistafinancas</t>
  </si>
  <si>
    <t>investoom_com</t>
  </si>
  <si>
    <t>organizze</t>
  </si>
  <si>
    <t>twetthiago</t>
  </si>
  <si>
    <t>anderson77i</t>
  </si>
  <si>
    <t>einvestidor</t>
  </si>
  <si>
    <t>alanabetioli</t>
  </si>
  <si>
    <t>chatguruoficial</t>
  </si>
  <si>
    <t>rsloureiro_</t>
  </si>
  <si>
    <t>bravacapital</t>
  </si>
  <si>
    <t>andrenegociosbr</t>
  </si>
  <si>
    <t>kedmus_club</t>
  </si>
  <si>
    <t>aulaplusbr</t>
  </si>
  <si>
    <t>tai_follmann</t>
  </si>
  <si>
    <t>grupodank</t>
  </si>
  <si>
    <t>_joseamaral</t>
  </si>
  <si>
    <t>financasportal</t>
  </si>
  <si>
    <t>workshopdantas</t>
  </si>
  <si>
    <t>unicredbrasil</t>
  </si>
  <si>
    <t>vincopontovc</t>
  </si>
  <si>
    <t>kakau_seguros</t>
  </si>
  <si>
    <t>seu_dinheiro_br</t>
  </si>
  <si>
    <t>grupoborn</t>
  </si>
  <si>
    <t>plancredi</t>
  </si>
  <si>
    <t>metalogsoft</t>
  </si>
  <si>
    <t>advjusnet</t>
  </si>
  <si>
    <t>newsshd</t>
  </si>
  <si>
    <t>sshiroma_</t>
  </si>
  <si>
    <t>axcrestfall</t>
  </si>
  <si>
    <t>oabprevrs</t>
  </si>
  <si>
    <t>dannmazz</t>
  </si>
  <si>
    <t>alfainvestidor1</t>
  </si>
  <si>
    <t>silvio54043984</t>
  </si>
  <si>
    <t>juliocrrf</t>
  </si>
  <si>
    <t>beatrizdiascc</t>
  </si>
  <si>
    <t>valorinveste</t>
  </si>
  <si>
    <t>fernandodutra_</t>
  </si>
  <si>
    <t>vivalocal</t>
  </si>
  <si>
    <t>mundo_consorcio</t>
  </si>
  <si>
    <t>newsdigital360</t>
  </si>
  <si>
    <t>drancelmoramos</t>
  </si>
  <si>
    <t>ricamconsult</t>
  </si>
  <si>
    <t>edujbarbalho</t>
  </si>
  <si>
    <t>luhaoshop</t>
  </si>
  <si>
    <t>ismaelguerreir6</t>
  </si>
  <si>
    <t>aposentandonovo</t>
  </si>
  <si>
    <t>economia_cafe</t>
  </si>
  <si>
    <t>herbstflavio</t>
  </si>
  <si>
    <t>infohindi009</t>
  </si>
  <si>
    <t>oeunetto</t>
  </si>
  <si>
    <t>vippibpo</t>
  </si>
  <si>
    <t>tonys_group</t>
  </si>
  <si>
    <t>zoomdinheiro</t>
  </si>
  <si>
    <t>recuperabrasil_</t>
  </si>
  <si>
    <t>indanna_gestao</t>
  </si>
  <si>
    <t>biamallet</t>
  </si>
  <si>
    <t>financasup</t>
  </si>
  <si>
    <t>joaonetoupcont</t>
  </si>
  <si>
    <t>cvmeducacional</t>
  </si>
  <si>
    <t>alexandrecs79</t>
  </si>
  <si>
    <t>paginalixo1</t>
  </si>
  <si>
    <t>eurofinanceira_</t>
  </si>
  <si>
    <t>rafaelr36886877</t>
  </si>
  <si>
    <t>tiagoam80</t>
  </si>
  <si>
    <t>metodotdl</t>
  </si>
  <si>
    <t>realpauloborba</t>
  </si>
  <si>
    <t>fiscco_cnt</t>
  </si>
  <si>
    <t>poli_corretora</t>
  </si>
  <si>
    <t>pobrepoupa</t>
  </si>
  <si>
    <t>correa899</t>
  </si>
  <si>
    <t>evoyconsorcios</t>
  </si>
  <si>
    <t>unicredcentral</t>
  </si>
  <si>
    <t>sebraero</t>
  </si>
  <si>
    <t>feelingmeowmeow</t>
  </si>
  <si>
    <t>felippe_marcelo</t>
  </si>
  <si>
    <t>tech6group</t>
  </si>
  <si>
    <t>ruivama</t>
  </si>
  <si>
    <t>gabinetedarma</t>
  </si>
  <si>
    <t>islenoaraujo</t>
  </si>
  <si>
    <t>investireviver8</t>
  </si>
  <si>
    <t>mantovanicondo1</t>
  </si>
  <si>
    <t>macedo_contador</t>
  </si>
  <si>
    <t>leandromachadoz</t>
  </si>
  <si>
    <t>rogeriomontali</t>
  </si>
  <si>
    <t>achadosdomark</t>
  </si>
  <si>
    <t>saudemaismetodo</t>
  </si>
  <si>
    <t>ricgaldino</t>
  </si>
  <si>
    <t>blogdojuares</t>
  </si>
  <si>
    <t>betteroluciana</t>
  </si>
  <si>
    <t>adrianoaragaofc</t>
  </si>
  <si>
    <t>duduhrosa13</t>
  </si>
  <si>
    <t>investspace3</t>
  </si>
  <si>
    <t>hamashiaoficial</t>
  </si>
  <si>
    <t>cdihoje</t>
  </si>
  <si>
    <t>marcelobavila</t>
  </si>
  <si>
    <t>filipedawson</t>
  </si>
  <si>
    <t>geraldoburigo</t>
  </si>
  <si>
    <t>keepgrowing_</t>
  </si>
  <si>
    <t>nossoinss</t>
  </si>
  <si>
    <t>debiasethiago</t>
  </si>
  <si>
    <t>cra__sc</t>
  </si>
  <si>
    <t>camposwealth</t>
  </si>
  <si>
    <t>brunotsantana</t>
  </si>
  <si>
    <t>podbrandoficial</t>
  </si>
  <si>
    <t>barbi_contabil</t>
  </si>
  <si>
    <t>anderson_crc</t>
  </si>
  <si>
    <t>luxcapital_</t>
  </si>
  <si>
    <t>inteiramente_r</t>
  </si>
  <si>
    <t>fabiolo14426262</t>
  </si>
  <si>
    <t>tarcisiovmiran1</t>
  </si>
  <si>
    <t>robertogadelha</t>
  </si>
  <si>
    <t>narfortsac</t>
  </si>
  <si>
    <t>ass_virtual</t>
  </si>
  <si>
    <t>rnainvest</t>
  </si>
  <si>
    <t>claudioguirao</t>
  </si>
  <si>
    <t>hilvieira</t>
  </si>
  <si>
    <t>lidialuciara</t>
  </si>
  <si>
    <t>mdmcontabil</t>
  </si>
  <si>
    <t>embracon</t>
  </si>
  <si>
    <t>guedesia</t>
  </si>
  <si>
    <t>123passei</t>
  </si>
  <si>
    <t>ierick_moraess</t>
  </si>
  <si>
    <t>crediconsegbr</t>
  </si>
  <si>
    <t>dividazero</t>
  </si>
  <si>
    <t>adrianadelucca</t>
  </si>
  <si>
    <t>fluir_ibg</t>
  </si>
  <si>
    <t>casalconsorcio</t>
  </si>
  <si>
    <t>radio54online</t>
  </si>
  <si>
    <t>montezziconsult</t>
  </si>
  <si>
    <t>financeiroemdia</t>
  </si>
  <si>
    <t>sebraepa</t>
  </si>
  <si>
    <t>blumenauagora</t>
  </si>
  <si>
    <t>paulonodigital</t>
  </si>
  <si>
    <t>lnogueiralucas</t>
  </si>
  <si>
    <t>cristina201820</t>
  </si>
  <si>
    <t>romerofinancas</t>
  </si>
  <si>
    <t>maniam_podcast</t>
  </si>
  <si>
    <t>majesegseguros</t>
  </si>
  <si>
    <t>making_differen</t>
  </si>
  <si>
    <t>guaruconto</t>
  </si>
  <si>
    <t>leidesalomao</t>
  </si>
  <si>
    <t>oluizbaur</t>
  </si>
  <si>
    <t>lp4planejamento</t>
  </si>
  <si>
    <t>eduarda62753236</t>
  </si>
  <si>
    <t>varginha_online</t>
  </si>
  <si>
    <t>ocesarkato</t>
  </si>
  <si>
    <t>holistic_invest</t>
  </si>
  <si>
    <t>gustavo25867079</t>
  </si>
  <si>
    <t>caah_sou2</t>
  </si>
  <si>
    <t>adorialmeida</t>
  </si>
  <si>
    <t>mat_financeira</t>
  </si>
  <si>
    <t>limaclayson</t>
  </si>
  <si>
    <t>gestaumdigital</t>
  </si>
  <si>
    <t>seshat_e</t>
  </si>
  <si>
    <t>malfinanciada</t>
  </si>
  <si>
    <t>tclsolucoes</t>
  </si>
  <si>
    <t>pedrocarva3004</t>
  </si>
  <si>
    <t>pauloan7344654</t>
  </si>
  <si>
    <t>youtube</t>
  </si>
  <si>
    <t>ademicon</t>
  </si>
  <si>
    <t>tiajulha</t>
  </si>
  <si>
    <t>cz_binance</t>
  </si>
  <si>
    <t>polkadot</t>
  </si>
  <si>
    <t>realpolkabridge</t>
  </si>
  <si>
    <t>djefvlogg</t>
  </si>
  <si>
    <t>linkedin</t>
  </si>
  <si>
    <t>gaspartrajano</t>
  </si>
  <si>
    <t>roxmo</t>
  </si>
  <si>
    <t>lulaoficial</t>
  </si>
  <si>
    <t>rmotta2</t>
  </si>
  <si>
    <t>damadeferroofic</t>
  </si>
  <si>
    <t>misael_silvao1</t>
  </si>
  <si>
    <t>fernando</t>
  </si>
  <si>
    <t>invest</t>
  </si>
  <si>
    <t>valoreconomico</t>
  </si>
  <si>
    <t>anbima_br</t>
  </si>
  <si>
    <t>Replies to</t>
  </si>
  <si>
    <t>Retweet</t>
  </si>
  <si>
    <t>Quote</t>
  </si>
  <si>
    <t>Mentions</t>
  </si>
  <si>
    <t>Se você não administra bem seu dinheiro, gasta mais do que ganha ou não economiza o suficiente, vai enfrentar problemas financeiros.
#ganhos #gastos #endividamento #organizacaofinanceira #financaspessoais #planejamentofinanceiro
https://t.co/0naK6fKrHA</t>
  </si>
  <si>
    <t>📊 Colocar os recursos em diferentes tipos de ativos e setores é uma estratégia inteligente, visando mitigar os riscos, buscando proteção às incertezas de mercado.
#investimento #ativos #liquidez #planejamento #planejamentofinanceiro #finanças
https://t.co/JrdsxJKiEL</t>
  </si>
  <si>
    <t>🍃 💰 Tomar uma atitude sobre determinado comportamento é fundamental para que alcance um resultado. Ficar esperando que o ventos mudem podem ter que juntar somente o que sobrou.
#finanças #pairicopaipobre #planejamentofinanceiro #dicasfinanceiras #dicasdefinanças #aposentadoria</t>
  </si>
  <si>
    <t>💰 A jornada para uma vida financeiramente tranquila e segura é um processo contínuo. A paciência e persistência devem fazer parte de seus esforços para alcançar seus objetivos.
#objetivos #financaspessoais #planejamentofinanceiro #liberdadefinanceira #dicasfinanceiras</t>
  </si>
  <si>
    <t>📉 Investir sempre é bom, mas antes de aplicar o dinheiro é preciso conhecer suas necessidades e expectativas em relação ao retorno e motivo. 
✅ O melhor investimento é aquele que atende os seus objetivos.
  #planejamentofinanceiro
https://t.co/sutkZzkEKF</t>
  </si>
  <si>
    <t>Está faltando ou sobrando dinheiro no seu orçamento pessoal?
#objetivos #investimentosfinanceiros #planejamento #planejamentofinanceiro #investir #qualidadedevida
https://t.co/SzORdHC8FO</t>
  </si>
  <si>
    <t>A tranquilidade financeira é um objetivo que pode ser alcançado por meio de planejamento cuidadoso e hábitos financeiros saudáveis.
#habitossaudaveis #mercadofinanceiro #saudefinanceira #financaspessoais #planejamentofinanceiro #dicasfinanceiras
https://t.co/JZQqqf6LBc</t>
  </si>
  <si>
    <t>Você já imaginou ter uma vida mais tranquila e segura?
#tranquilidade #financas #planejamentofinanceiro #empreendedorismo #poupar #dinheiro #dicasdefinanças #investimento
https://t.co/pN78C3tEZQ</t>
  </si>
  <si>
    <t>😌 Tranquilidade financeira é um estado em que uma pessoa se sente segura em relação às suas finanças, sabendo que tem uma base sólida para construir seu futuro.
#tranquilidade #financeira #qualidadedevida #planejamentofinanceiro
https://t.co/bzGo59nJ2D</t>
  </si>
  <si>
    <t>🗒️  O poder de transformar sua realidade está em suas mãos. 
🗓️ Comece hoje!
#planejamentofinanceiro #planejarépreciso #futuro #qualidadedevida #finanças #dicasfinanceiras #investimento #poupardinheiro #aposentadoria
https://t.co/7GODJ5WcPb</t>
  </si>
  <si>
    <t>O planejamento financeiro pessoal é uma ferramenta poderosa que pode ajudar a alcançar metas financeiras, reduzir o estresse financeiro e criar segurança financeira ao longo da vida.
#planejamentofinanceiro #finanças #empreendedorismo #qualidadedevida 
https://t.co/JrdsxJKiEL</t>
  </si>
  <si>
    <t>O ciclo da riqueza pessoal não é apenas sobre acumular dinheiro; engloba aspectos do bem-estar emocional e qualidade de vida.
#qualidadedevida #investir #enriquecer #planejamentofinanceiro #finanças
https://t.co/xuJwETlAkW</t>
  </si>
  <si>
    <t>Invista parte do seu tempo criando o seu futuro. Para ter uma vida saudável e tranquila é necessário adequar seus objetivos. Lembre-se de que cada pequena economia contribui para grandes conquistas.
#economia #tranquilidade #financaspessoais #dinheiro #planejamentofinanceiro</t>
  </si>
  <si>
    <t>É hora de dar um impulso positivo aos seus objetivos, revendo suas metas financeiras e desenvolvendo um orçamento sólido. 
💰 O Pulso pode ajudar nesta preciosa tarefa.
#dinheiro #planejamentofinanceiro #finanças #investir #investimento #orçamento
https://t.co/r7439490gx</t>
  </si>
  <si>
    <t>Bora Falar de Guito?
#borafalardeguito #credibilidade #banco #credibilidadebancária #organizacaofinanceira #economia #financas</t>
  </si>
  <si>
    <t>Can anyone tell me how can i learn more about finance?
#finance #liberdadefinanceira #personalfinance #mercadofinanceiro #finances #educacaofinanceira #independenciafinanceira #planejamentofinanceiro #refinance #sucessofinanceiro #financeiro #financetips #inteligenciafinanceira</t>
  </si>
  <si>
    <t>RT @Gustavo25867079: Nome do Instagram: @gustavocamposguize Nome do canal no YouTube: O Almanaque Financeiro
 #trabalhovsnegócio #empreend…</t>
  </si>
  <si>
    <t>Uma boa organização financeira é como uma bússola que orienta o viajante em direção ao seu destino. Assim como no mundo das finanças, é importante saber a direção correta a seguir para alcançar seus objetivos. #OrganizaçãoFinanceira #BússolaFinanceira #SucessoFinanceiro 💰🧭🚀 https://t.co/kvmz8ZYwcd</t>
  </si>
  <si>
    <t>Você já ficou inadimplente alguma vez na vida?
#TaxaDeInadimplência
#ControleFinanceiro
#PlanejamentoFinanceiro
#Endividamento
#SaúdeFinanceira
#Crédito
#Dívidas
#Negociação
#FinançasPessoais
#ScoreDeCrédito</t>
  </si>
  <si>
    <t>Você sabe o que é taxa de inadimplência?
#TaxaDeInadimplência
#ControleFinanceiro
#PlanejamentoFinanceiro
#Endividamento
#SaúdeFinanceira
#Crédito
#Dívidas
#Negociação
#FinançasPessoais
#ScoreDeCrédito</t>
  </si>
  <si>
    <t>Benefícios em organizar o Orçamento Familiar:
1.Controlar gastos;
2.Evitar dívidas desnecessárias;
3.Traçar objetivos financeiros de curto, médio e longo prazo;
4.Ter clareza da capacidade financeira da família para investir;
5. Dormir em paz.
#planejamentofinanceiro #finanças</t>
  </si>
  <si>
    <t>Os 4 níveis da vida financeira
1º Gerar renda
2º Preservar
3º Rentabilizar
4º Realizar
Qualquer vontade de pular alguma etapa pode fazer você voltar para o ponto inicial, com menos tempo para avançar
#planejamentofinanceiro #finanças #investimentos</t>
  </si>
  <si>
    <t>O dividendos de junho foram os mais altos até agora desde o início da minha jornada de investidor. Graças ao nosso Deus 🙏. 
Que venha muito mais.
Pra que eu possa ensinar mais pessoas que precisam de projeto financeiro 
#educadorfinanceiro #planejamentofinanceiro #Investimentos</t>
  </si>
  <si>
    <t>A mensagem no ZAP já diz tudo!!
#Amazon #educacaofinanceira #planejamentofinanceiro #orcamentofinanceiro #Investimentos https://t.co/ur7vlZ3Sfp</t>
  </si>
  <si>
    <t>Bem, na verdade fui eu que me senti assim de realizar outra consultoria. Quando a pessoa entende como funciona o mundo das finanças, ela percebe que não falta dinheiro, mas falta horizonte de futuro.
#planejamentofinanceiro #Investimentos #poupardinheiro #BolsaDeValores https://t.co/qSb8uus4M7</t>
  </si>
  <si>
    <t>Esses são os meus conselhos para os meus clientes. Finanças só é chato pra quem está alienado com o mundo. No dia em que as pessoas descobrirem o poder das finanças a seu favor, as coisas mudam.
#investimentos #consultorfinanceiro
#planejamentofinanceiro https://t.co/wUomgEBsbd</t>
  </si>
  <si>
    <t>No Brasil, dos últimos anos houve uma das maiores baixas de sucessão patrimonial em relação ao crescimento populacional. Isso se agravou ainda mais na crise sanitária. Infelizmente a nossa educação financeira é quase inexistente. 
#financas #investimentos #planejamentofinanceiro https://t.co/7yAlbMFy3B</t>
  </si>
  <si>
    <t>5. Anote seus gastos diários e identifique onde seu dinheiro está sendo gasto.
6. Invista em seu conhecimento financeiro através de livros, cursos e consultorias.
#finançaspessoais #educaçãofinanceira #planejamentofinanceiro #investimentos #controlefinanceiro</t>
  </si>
  <si>
    <t>Como conquistar mais de 20 mil reais de lucro mesmo em tempos de mercado em queda! 💰💼#Investimentos #MercadoFinanceiro #Lucratividade #Estratégia #Oportunidades #RendaExtra #SucessoFinanceiro #AltaPerformance #Diversificação #PlanejamentoFinanceiro #InvestirComInteligência https://t.co/njWht7Em0M</t>
  </si>
  <si>
    <t>#Familia #filhos e #planejamentofinanceiro</t>
  </si>
  <si>
    <t>#contabil #contabilidadeconsultiva #planejamentofinanceiro #planilhasexcel #controlefinanceiro #Fiscal #contabilidadeonline  #simplesnacional #notafiscal #tributario #impostosfederais #planejamentotributario #Vitoria #serra #vilavelha #espiritosanto https://t.co/OfyD4Fc3FF</t>
  </si>
  <si>
    <t>Passe pro lado➡️ #carroseconsorcios. #sanave #novabahiarenault #carros #planejamentofinanceiro https://t.co/96ENAtNPke</t>
  </si>
  <si>
    <t>Já cansou de pagar aluguel?
A hora é agora para acessar um consórcio de forma bem simples.
40% de redução no valor de parcela até a data de contemplação.
#consórcio
#planejamentofinanceiro
#thistorres
#educaçãofinanceira https://t.co/qnYeE90TC8</t>
  </si>
  <si>
    <t>👀Preparamos um artigo com as fórmulas desses cálculos! Acesse: https://t.co/enqA6q6gLZ 
#Sebrae #CarteiraEmpreendedora #Finanças #PlanejamentoFinanceiro</t>
  </si>
  <si>
    <t>🚨 ATENÇÃO! 🚨 Empresários de todo o Brasil! Está na hora de recuperar seus direitos! CNPJ limpo. blindado 100% dentro da Lei!
Keywords: #meunomelimpo #cpfsujo #educaçãofinanceira #planejamentofinanceiro #nomesujo #dívidas #SPC #serasa https://t.co/TA2FEoM5yQ</t>
  </si>
  <si>
    <t>🚨 ATENÇÃO! 🚨  Além de limparmos seu nome ou CPNJ, ele ficará blindado contra negativações por 6 meses!  100% dentro da LEI!
#meunomelimpo #cpfsujo #educaçãofinanceira #planejamentofinanceiro #nomesujo #dívidas #SPC #serasa https://t.co/WN7gjLQ9Ow</t>
  </si>
  <si>
    <t>Meunomelimpo® tem mais de 10 anos de experiência no mercado, temos os mais qualificados profissionais da área! 🙌
#meunomelimpo #cpfsujo #educaçãofinanceira #planejamentofinanceiro #nomesujo #dívidas #SPC #serasa https://t.co/D8VwE5BZaN</t>
  </si>
  <si>
    <t>🚨 ATENÇÃO! 🚨 Seu nome limpo é a chave para um novo recomeço e nós podemos te ajudar!
Deixe suas dívidas e preocupações no passado. Está na hora de viver um futuro com Meunomelimpo®.
#meunomelimpo #cpfsujo #educaçãofinanceira #planejamentofinanceiro #nomesujo #dívidas #SPC https://t.co/rxL89cZKuQ</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</si>
  <si>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https://t.co/5L4jNH9ycj</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</si>
  <si>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https://t.co/hWRKgVAske</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</si>
  <si>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https://t.co/IcioYySQVw</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</si>
  <si>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https://t.co/TAkHKRNy6C</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</si>
  <si>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https://t.co/a5OxIwWdYc</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</si>
  <si>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https://t.co/yLbQINIbJt</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</si>
  <si>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https://t.co/wDRplfUyp1</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</si>
  <si>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https://t.co/50NZwGWPA3</t>
  </si>
  <si>
    <t>RT @montezziconsult: Sabemos que a escassez de recursos financeiros pode ser um desafio para qualquer empresa.
✅ Consulte um contador ou a…</t>
  </si>
  <si>
    <t>Se você tem um negócio, sabe que a gestão financeira é um aspecto crucial pra saúde e pro sucesso da empresa. 🤑🥲Pensando nisso, separamos algumas dicas fundamentais pra te ajudar nesse processo. Confira! 😉#OrganizaçãoFinanceira #Empreendedorismo #EducaçãoFinanceira https://t.co/NAzwT0LlTz</t>
  </si>
  <si>
    <t>vey nao gastarei 1 (um) real sequer ate quinta #planejamentofinanceiro</t>
  </si>
  <si>
    <t>Não comece mais um ano cometendo os erros do passado! Se liga, é hora de mudar 😉🚀💰
.
#fontederenda #planejamentofinanceiro #cartaodecredito #finanças #empreendedorismo https://t.co/M5vPzYTjjX</t>
  </si>
  <si>
    <t>🎯💰 Defina seus objetivos financeiros - comece definindo metas financeiras específicas e realistas. Isso ajudará a criar um plano de ação e um cronograma para atingir seus objetivos.
 #finanças #objetivosfinanceiros #planejamentofinanceiro</t>
  </si>
  <si>
    <t>3️⃣ Uma das principais ideias que Gustavo Cerbasi defende é a importância da organização financeira para a construção de riqueza. 
Ele acredita que é preciso ter disciplina para poupar e investir, sempre de olho nos seus objetivos e metas financeiras. 
#planejamentofinanceiro</t>
  </si>
  <si>
    <t>Viva Com Menos E Desfrute Mais !!
Segui A Dica No Link Da Bio
#trabalho #economia #prosperidade
#motivacional  #finanças #sucesso #organizacaofinanceira  #poupança
#money #dinheiro https://t.co/QuvxnkdCUv</t>
  </si>
  <si>
    <t>Atenção contribuinte! Dia 31/08 vence a sexta parcela do IPTU 2023! Não perca essa oportunidade. Para mais informações, acesse o site da prefeitura https://t.co/KniTHzD4g0 .
 #iptu #pagamentoparcelado #planejamentofinanceiro #prefeituradeitaguai #trabalhandosempre https://t.co/5eyKiZIv21</t>
  </si>
  <si>
    <t>Quem aí tá com medo de dormir e acordar em janeiro de novo? 🙋🏻‍♀️
Vem com a gente: fé pra chegar em fevereiro e organização financeira pra chegar em dezembro! 😅 
Acesse: https://t.co/IPsuKaoeLB
#JaneiroEterno #PortoBank #OrganizacaoFinanceira</t>
  </si>
  <si>
    <t>👉🏽Se você ainda não tem o seu, adquira agora mesmo seu Jazigo aqui no Cemitério Parque Memorial pelo fone 62 99296-4101 ou em nosso site https://t.co/qL2e5lnSVU
#jazigo
#parquememorial 
#parquememorialdegoiania 
#planejamentofinanceiro 
#planofunerario https://t.co/NtHN9rLPwz</t>
  </si>
  <si>
    <t>#FinançasPessoais #Dinheiro #Investimentos #EducaçãoFinanceira #PlanejamentoFinanceiro https://t.co/GVuhtEE4QQ</t>
  </si>
  <si>
    <t>#FinancasPessoais
#ControleFinanceiro
#LiberteSuasFinancas
#InvestimentoEmSiMesmo
#EducacaoFinanceira
#PlanejamentoFinanceiro
#DicasEconomicas
#ReservaDeEmergencia https://t.co/TaDMadlJ0N</t>
  </si>
  <si>
    <t>Se você entende a urgência de ter um plano de enriquecimento, já salva este post, curte e encaminha para a pessoa que vai seguir contigo.
#MetasFinanceiras #EnriquecimentoFinanceiro #PlanejamentoFinanceiro #ReservaFinanceira #RendaExtra #IndependênciaFinanceira #Aposentadoria https://t.co/VwTArcLt6m</t>
  </si>
  <si>
    <t>#FinançasPessoais #Dinheiro #Investimentos #EducaçãoFinanceira #PlanejamentoFinanceiro https://t.co/Hu9vhzxpsd</t>
  </si>
  <si>
    <t>🚨 Você sabe quais são os erros mais comuns na gestão financeira e como eles podem afetar seu negócio? Aqui estão os 7 erros mais comuns na gestão financeira que você deve evitar. Vamos conferir? 💼
#GestãoFinanceira #Finanças #ControleFinanceiro #PlanejamentoFinanceiro</t>
  </si>
  <si>
    <t>É assim que funciona! Acredite. 
#investir #investimentos #investidor #planejamentofinanceiro #viverdedividendos #mercadodecapitais #inteligenciafinanceira em Parque del Sol https://t.co/93aBBBC4bo</t>
  </si>
  <si>
    <t>#tesourodireto #SabiasQue #investment #planejamentofinanceiro #futuro #fy #fyp #ceo https://t.co/JPVK4mt6Zb</t>
  </si>
  <si>
    <t>Estabelecer objetivos é importante, mas realizá-los é muito mais
#mulher #sucesso #rendaexta #família #faturamento #finançaspessoas #organizaçãofinanceira #mulherdesucesso #empresaria</t>
  </si>
  <si>
    <t>Veja a novidade publicada #planejamentofinanceiro para cumprir com a pensão alimentícia 
https://t.co/rQMBq3HsNR</t>
  </si>
  <si>
    <t>Acabei de refazer meu planejamento financeiro e constatei que eu devo tá socando dinheiro no R*ab*, pois não é possível!
#planejamentofinanceiro</t>
  </si>
  <si>
    <t>Planejamento Financeiro:
Eles são interligados e devem ser considerados em conjunto para alcançar uma saúde financeira sólida e atingir os objetivos de vida. 
#planejamentofinanceiro #educaçãofinanceira #proteçãopatrimônio #acúmuloeinvestimentos #aposentadoria #aquisiçãodebens https://t.co/x6IRre9275</t>
  </si>
  <si>
    <t>Planejamento Financeiro https://t.co/CJKTp2HpYe via @YouTube
Explicando como funciona o planejamento financeiro com inteligência financeira, com um olhar 360° em todos os pilares da tua vida.
#planejamentofinanceiro #vidafinanceira #inteligenciafinanciera #projeto #igorvieira</t>
  </si>
  <si>
    <t>Planejamento Financeiro https://t.co/XcOoKw6d41 via @YouTube
Explicando como funciona o planejamento financeiro com inteligência financeira, com um olhar 360° em todos os pilares da tua vida.
#planejamentofinanceiro #vidafinanceira #inteligenciafinanciera #projeto #igorvieira</t>
  </si>
  <si>
    <t>Não deixe suas finanças ao acaso! Com a consultoria financeira personalizada, você pode alcançar seus objetivos financeiros de forma mais rápida e eficiente. 
Entre em contato no número (51) 98520-8228
#consultoriafinanceira #planejamentofinanceiro #investimentos #rendapassiva https://t.co/28EnScGsj0</t>
  </si>
  <si>
    <t>Não dê sorte ao azar quando se trata da sua vida financeira na aposentadoria! 😉
Entre em contato com um de nossos agentes e descubra como podemos ajudá-lo a atingir seus objetivos financeiros.
💻https://t.co/ytwDl9hwlu
#Prevcom #PrevidenciaPrivada #PlanejamentoFinanceiro https://t.co/26nlHnydfu</t>
  </si>
  <si>
    <t>10 edição da Semana Nacional de Educação Financeira com o tema: Por onde começar a sua organização financeira.  
#organizacaofinanceira #semanaenef #resilienciafinanciera #planejamentofinanceiro #financaspessoais #economiacomportamental #sustentabilidade #evertonlopesinvestidor https://t.co/Mzzsk8im3w</t>
  </si>
  <si>
    <t>Você consegue viver dentro da sua realidade financeira? 
Sim ou não?
#realidadefinanceira #resilienciafinanciera #organizacaofinanceira #rendapassiva #evertonlopesinvestidor #planejamentofinanceiro https://t.co/7vQ88Q5NN3</t>
  </si>
  <si>
    <t>Todo mundo tem sonhos? 
Mas quais são os seus planos para que você consiga realizá-los. 
#planosemetas #sonhos #planejamentofinanceiro #finançaspessoais #educaçãofinanceira #objetivosemetas #evertonlopesinvestidor https://t.co/C8V3ibJLJT</t>
  </si>
  <si>
    <t>Um planejamento financeiro bem estruturado, porém simples é o suficiente para se organizar a vida financeira e realizar sonhos! E a ferramenta utilizada para esta organização não importa muito. O importante é que funcione... 
#organizaçãofinanceira #planejamentofinanceiro https://t.co/dEnevzHdNM</t>
  </si>
  <si>
    <t>Pense e aja como um Milionário!
E o primeiro passo é ter consciência financeira e começar a viver dentro da sua  realidade financeira. 
#pensecadasegundocomoummilionário #evertonlopesinvestidor #rendapassiva #investimentos #educaçãofinanceira #planejamentofinanceiro https://t.co/DP4hGkYlta</t>
  </si>
  <si>
    <t>Mais um encontro de preparação do nosso 3 EGEF - Encontro Gaúcho de Educação Financeira…
AGUARDE! 🤑💰💰💵
#educaçãofinanceira #evertonlopesinvestidor #moneysul #planejamentofinanceiro #finançaspessoais #pensecadasegundocomoummilionário https://t.co/JAnsvlsgEN</t>
  </si>
  <si>
    <t>A lua cheia mais poderosa do ano. 
A lua perfeita para você fazer o seu planejamento de metas e objetivos.
Sejam eles espirituais, mentais, de saúde ou financeiros.
#luacheiarosa  #planejamentofinanceiro #objetivosemetas #organizacaofinanceira #evertonlopesinvestidor https://t.co/QCFG7yZJmG</t>
  </si>
  <si>
    <t>Recomendação de leitura de educação financeira. 
Acesse o link https://t.co/btUNTFyqmH
#livrosdeeducaçãofinanceira #educaçãofinanceira #livros #finançaspessoais #planejamentofinanceiro #finançaspessoais #seubolsonodivã #vivendoasuarealidadefinanceira #evertonlopeseconomista</t>
  </si>
  <si>
    <t>Cartas do Dia para 17/08 - 5a feira
🔮
Agende sua consulta pelo WhatsApp:
(11)98444-0242
🔮
#trabalhonovo #novotrabalho #organizacao #organizaçãofinanceira #organizaçãoprofissional https://t.co/kJzJXGBIW1</t>
  </si>
  <si>
    <t>Se você não criar um plano financeiro pra si mesmo, o acaso não o fará.
#finanças #planejamentofinanceiro</t>
  </si>
  <si>
    <t>Em um período de 20 anos, o investidor médio americano teve um retorno menor do que a maioria das classes de ativos disponíveis. 
Esse é o custo de oportunidade de não ter um profissional certificado e gabaritado. 
#planejamentofinanceiro #investimentos #carteiradeinvestimentos https://t.co/EA6YrgFUDs</t>
  </si>
  <si>
    <t>A sua vida financeira anda de mal a pior? Fique sabendo que você não está sozinho. São milhões de brasileiros que se encontram passando por dificuldades de sobreviver e de sustentar a família.
https://t.co/JkBUdFYOqr
#planejamentofinanceiro #jornalcontabil</t>
  </si>
  <si>
    <t>A importância do planejamento financeiro e gestão eficiente para o Microempreendedor Individual (MEI) é um tema fundamental para o sucesso e sustentabilidade dos negócios. #mei #planejamentofinanceiro 
https://t.co/FFJTHBLSa3</t>
  </si>
  <si>
    <t>Seja para sair do vermelho, poupar para o futuro ou realizar sonhos, sempre é oportuno fazer um planejamento financeiro visando sobrar dinheiro no fim do mês. #planejamentofinanceiro
https://t.co/GN96YMrITP</t>
  </si>
  <si>
    <t>Empoderando o futuro financeiro: Tomada de decisões conscientes, planejamento financeiro, preparação para a vida adulta, empreendedorismo, consciência do valor do dinheiro e independência financeira. 💪💰🚀#EducaçãoFinanceiraNaEscola #AprendendoAFinanciar #PlanejamentoFinanceiro https://t.co/KkD4qTplsY</t>
  </si>
  <si>
    <t>"Imposto de renda? Vamos encarar como um desafio! Quanto mais organizados e criativos, menor será a dor de cabeça e maior a recompensa no final. #impostoderenda #planejamentofinanceiro #sucesso</t>
  </si>
  <si>
    <t>Descubra como desbloquear sua Liberdade Financeira de uma vez por todas:
https://t.co/i8OqlzIrwZ
#finanças #economizar #dinheiro #finançaspessoais #planejamentofinanceiro #educacaofinanceira https://t.co/TBCim3axNP</t>
  </si>
  <si>
    <t>Descubra como desbloquear sua Liberdade Financeira de uma vez por todas: https://t.co/SpzFKRwovx
#dividas #finançaspessoais #dívidas #controlefinanceiro #planejamentofinanceiro #inteligenciafinanceira #finanças #empreendedorismo #economizar #poupar #educaçãofinanceira https://t.co/fDS4QD7GjH</t>
  </si>
  <si>
    <t>Descubra como desbloquear sua Liberdade Financeira de uma vez por todas:  https://t.co/i8OqlzIrwZ
#finançaspessoais #educaçãofinanceira #finanças #economizar #planejamentofinanceiro #dividas #controlefinanceiro #organizacaofinanceira https://t.co/ge3yfNjdDg</t>
  </si>
  <si>
    <t>🔥PROMOÇÃO: Descubra como desbloquear sua Liberdade Financeira de uma vez por todas:
https://t.co/Bi0RwAaIzQ
#planejamentofinanceiro #finançaspessoais #controlefinanceiro #finanças #educaçãofinanceira https://t.co/gkSeFG5SPr</t>
  </si>
  <si>
    <t>🔥PROMOÇÃO: Descubra como desbloquear sua Liberdade Financeira de uma vez por todas:
https://t.co/Bi0RwAbgpo
#meta #objetivo #coachingfinanceiro #investimentos #dinheiro #finanças #planejamentofinanceiro #finançaspessoais #educaçãofinanceira #WilliamHuntBrasil https://t.co/Q7Md3TIk2p</t>
  </si>
  <si>
    <t>Descubra como desbloquear sua Liberdade Financeira de uma vez por todas:
https://t.co/i8OqlzIrwZ
#investimentos #comoinvestir #financas #economizar #dinheiro #finançaspessoais #planejamentofinanceiro #educaçãofinanceira #investir https://t.co/gj3PlDPjBo</t>
  </si>
  <si>
    <t>Descubra como desbloquear sua Liberdade Financeira de uma vez por todas:
https://t.co/i8OqlzIrwZ
#finançaspessoais #economizar #dinheiro #poupar #renda #finanças #planejamentofinanceiro #inteligenciafinanceira #educacaofinanceira https://t.co/9iBtpSUPyP</t>
  </si>
  <si>
    <t>Descubra como desbloquear sua Liberdade Financeira de uma vez por todas:
https://t.co/i8OqlzIZmx
#financas #planejamentofinanceiro #economizar #dinheiro #finançaspessoais #educaçãofinanceira https://t.co/FSP9Bzvjz4</t>
  </si>
  <si>
    <t>Descubra como desbloquear sua Liberdade Financeira de uma vez por todas:
https://t.co/i8OqlzIZmx
#finanças #economizar #dinheiro #finançaspessoais #investir #planejamentofinanceiro #educacaofinanceira https://t.co/PJ61jCR6zI</t>
  </si>
  <si>
    <t>Descubra como desbloquear sua Liberdade Financeira de uma vez por todas:
https://t.co/i8OqlzIrwZ
#economizar #planejamentofinanceiro #finançaspessoais #dicasfinanceiras #educaçãofinanceira #financas #reservadeemergencia https://t.co/74O6SAe4nl</t>
  </si>
  <si>
    <t>Descubra como desbloquear sua Liberdade Financeira de uma vez por todas: https://t.co/i8OqlzIZmx
#saudefinanceira #economizar #dinheiro #poupar #investir #renda #finançaspessoais #finanças #planejamentofinanceiro #inteligenciafinanceira #educacaofinanceira https://t.co/UWAbfrjpiU</t>
  </si>
  <si>
    <t>6 Motivos para Sair da Poupança
#poupança #poupar #economizar #finançaspessoais #educaçãofinanceira #investimentos #finanças #planejamentofinanceiro #liberdadefinanceira https://t.co/5ZlWFIgLO5</t>
  </si>
  <si>
    <t>6 Lições do Livro: Pai Rico, Pai Pobre
#pairicopaipobre #dicadeleitura #finançaspessoais #educaçãofinanceira #investimentos #finanças #economizar #dinheiro #planejamentofinanceiro #liberdadefinanceira #inteligenciafinanceira #empreendedorismo #ganhardinheiro #sucessofinanceiro https://t.co/zwi1VxUpLC</t>
  </si>
  <si>
    <t>🔥PROMOÇÃO: Descubra como desbloquear sua Liberdade Financeira de uma vez por todas:
https://t.co/Bi0RwAaIzQ
#finançaspessoais #planejamentofinanceiro #financas #controlefinanceiro #educacaofinanceira #inteligenciafinanceira https://t.co/QXqXOau39M</t>
  </si>
  <si>
    <t>Descubra como desbloquear sua Liberdade Financeira de uma vez por todas:
https://t.co/i8OqlzIrwZ
#planejamentofinanceiro #educacaofinanceira #finanças #economizar #poupar #dinheiro #finançaspessoais https://t.co/tmOm217hb1</t>
  </si>
  <si>
    <t>Descubra como desbloquear sua Liberdade Financeira de uma vez por todas:
https://t.co/i8OqlzIrwZ
#finanças #economizar #dinheiro #finançaspessoais #planejamentofinanceiro #educacaofinanceira https://t.co/nEA2FZNjNP</t>
  </si>
  <si>
    <t>Descubra como desbloquear sua Liberdade Financeira de uma vez por todas:
https://t.co/i8OqlzIrwZ
#finanças #economizar #dinheiro #finançaspessoais #planejamentofinanceiro #educacaofinanceira https://t.co/Jc3XEF1ZcF</t>
  </si>
  <si>
    <t>🔥 PROMOÇÃO EXCLUSIVA 🔥
Clique neste Link  e aproveite para Garantir o Curso com um SUPER DESCONTO: https://t.co/Bi0RwAaIzQ
#financas #planejamentofinanceiro #independenciafinanceira #financaspessoais #investimento #liberdadefinanceira #educacaofinanceira https://t.co/pzWldZGeqB</t>
  </si>
  <si>
    <t>Comece hoje a jornada pra sua Liberdade Financeira: https://t.co/AxO1p6Rlcw 
#finançaspessoais #planejamentofinanceiro #organizacaofinanceira #inteligenciafinanceira #educacaofinanceira #gestaofinanceira #orçamentofamiliar #sucessofinanceiro #vidadecasal https://t.co/FXhKYZxxpo</t>
  </si>
  <si>
    <t>3 Habilidades pra você ter com o dinheiro!
#educacaofinanceira #finançaspessoais #planejamentofinanceiro #dinheiro #controlefinanceiro #renda #sucessofinanceiro https://t.co/JHS5t33x6N</t>
  </si>
  <si>
    <t>🔥PROMOÇÃO: Descubra como desbloquear sua Liberdade Financeira de uma vez por todas:
https://t.co/Bi0RwAbgpo
#sonhos #planejamentofinanceiro #reflexao #sucesso #motivação #mentalidadedesucesso #empreendedor https://t.co/G130Djnya6</t>
  </si>
  <si>
    <t>🔥PROMOÇÃO: Descubra como desbloquear sua Liberdade Financeira de uma vez por todas:
https://t.co/Bi0RwAaIzQ
#comoinvestir #investimento #financas #planejamentofinanceiro #ganhardinheiro #independenciafinanceira #liberdadefinanceira #educaçãofinanceira https://t.co/qQOiGt62hf</t>
  </si>
  <si>
    <t>Descubra como desbloquear sua Liberdade Financeira de uma vez por todas:
https://t.co/i8OqlzIrwZ
#financas #planejamentofinanceiro #economizar #dinheiro #finançaspessoais #educaçãofinanceira https://t.co/yfMEmR8IKx</t>
  </si>
  <si>
    <t>Descubra como desbloquear sua Liberdade Financeira de uma vez por todas:
https://t.co/i8OqlzIrwZ
#financas #economizar #dinheiro #finançaspessoais #planejamentofinanceiro #educaçãofinanceira https://t.co/GDPmFbopGp</t>
  </si>
  <si>
    <t>Dicas para evitar estresse com dinheiro!
#educaçãofinanceira #planejamentofinanceiro #economizar #poupar #financas #dicasfinanceiras #controlefinanceiro #finançaspessoais #inteligenciafinanceira #poupança #organizacaofinanceira https://t.co/g6rIVNyqWY</t>
  </si>
  <si>
    <t>Erros comuns ao montar um Planejamento Financeiro!
#planejamentofinanceiro #educacaofinanceira #financaspessoais #controlefinanceiro #finanças #sucessofinanceiro https://t.co/YXYqLBO441</t>
  </si>
  <si>
    <t>🔥PROMOÇÃO: Descubra como desbloquear sua Liberdade Financeira de uma vez por todas:
https://t.co/Bi0RwAbgpo
#planejamentofinanceiro #dinheiro #controlefinanceiro #finanças #finançaspessoais #educaçãofinanceira #dicasfinanceiras https://t.co/HOqgles0xO</t>
  </si>
  <si>
    <t>Descubra como desbloquear sua Liberdade Financeira de uma vez por todas:
https://t.co/i8OqlzIrwZ
#financas #orçamentofamiliar #planejamentofinanceiro #economizar #dinheiro #finançaspessoais #educaçãofinanceira https://t.co/UkcNjyqkuA</t>
  </si>
  <si>
    <t>Descubra como desbloquear sua Liberdade Financeira de uma vez por todas:
https://t.co/i8OqlzIrwZ
#economizar #investir #finançaspessoais #investimentos #finanças #planejamentofinanceiro #inteligenciafinanceira #sucessofinanceiro #organizacaofinanceira #educacaofinanceira https://t.co/KaXWjVFbK7</t>
  </si>
  <si>
    <t>Atitudes que prejudicam suas finanças e que você deve evitar!
#educaçãofinanceira #financaspessoais #planejamentofinanceiro #financas #liberdadefinanceira #habitos #mentemilionaria #independenciafinanceira https://t.co/TFIWMflrLI</t>
  </si>
  <si>
    <t>📘 3 Lições do livro A Ciência de Ficar Rico
#prosperidade #gratidão #dicadeleitura #livros #leitura #ficarrico #riqueza #ganhardinheiro #WilliamHuntBrasil #dinheiro #financaspessoais #educaçãofinanceira #planejamentofinanceiro https://t.co/JK7PnW7nfi</t>
  </si>
  <si>
    <t>🔥PROMOÇÃO: Descubra como desbloquear sua Liberdade Financeira de uma vez por todas:
https://t.co/Bi0RwAbgpo
#cartaodecredito #finançaspessoais #planejamentofinanceiro #economizar #dinheiro #financas #poupar #educaçãofinanceira #finanças #vidafinanceira https://t.co/z5ik2kKt2Y</t>
  </si>
  <si>
    <t>🔥PROMOÇÃO: Descubra como desbloquear sua Liberdade Financeira de uma vez por todas:
https://t.co/Bi0RwAaIzQ
#economizar #dinheiro #poupar #finanças #planejamentofinanceiro #finançaspessoais #educaçãofinanceira https://t.co/9S7YlsYdwG</t>
  </si>
  <si>
    <t>Descubra como desbloquear sua Liberdade Financeira de uma vez por todas:
https://t.co/i8OqlzIrwZ
#planejamentofinanceiro #investimento #comoinvestir #financas #economizar #poupar #investir #finançaspessoais #educaçãofinanceira https://t.co/V83S5Hr9yo</t>
  </si>
  <si>
    <t>Descubra como desbloquear sua Liberdade Financeira de uma vez por todas:
https://t.co/i8OqlzIZmx
#investimentos #comoinvestir #financas #economizar #dinheiro #finançaspessoais #planejamentofinanceiro #educaçãofinanceira https://t.co/5na7jwjVof</t>
  </si>
  <si>
    <t>Descubra como desbloquear sua Liberdade Financeira de uma vez por todas:
https://t.co/i8OqlzIZmx
#finanças #economizar #dinheiro #finançaspessoais #planejamentofinanceiro #educacaofinanceira https://t.co/9aBnM6csdl</t>
  </si>
  <si>
    <t>Descubra como desbloquear sua Liberdade Financeira de uma vez por todas: 
https://t.co/oLSZrd3Yzz 
#cartaodecredito #finançaspessoais #planejamentofinanceiro #economizar #dinheiro #financas #poupar #educaçãofinanceira #finanças #vidafinanceira https://t.co/c9vX65ALYO</t>
  </si>
  <si>
    <t>Descubra como desbloquear sua Liberdade Financeira de uma vez por todas: 
https://t.co/i8OqlzIrwZ
#pascoa #economizar #poupar #finançaspessoais #planejamentofinanceiro #financas #educaçãofinanceira https://t.co/e5L4MH70Ls</t>
  </si>
  <si>
    <t>Aprenda Passo a Passo como Investir p/ Conquistar sua Liberdade Financeira: https://t.co/AxO1p6Rlcw 
#economizar #poupar #finanças #educacaofinanceira #inteligenciafinanceira #dinheironobolso #planejamentofinanceiro #economizardinheiro #finançaspessoais https://t.co/mz4NRbkK37</t>
  </si>
  <si>
    <t>🔥PROMOÇÃO: Descubra como desbloquear sua Liberdade Financeira de uma vez por todas:
https://t.co/Bi0RwAbgpo
#economizar #dinheiro #finançaspessoais #poupar #renda #financas #planejamentofinanceiro #inteligenciafinanceira #educaçãofinanceira https://t.co/JXhzFocVUD</t>
  </si>
  <si>
    <t>Descubra como desbloquear sua Liberdade Financeira de uma vez por todas: 
https://t.co/i8OqlzIZmx
#educaçãofinanceira #financas #planejamentofinanceiro #dinheiro #finançaspessoais #educacaofinanceira https://t.co/liCCdhF1v8</t>
  </si>
  <si>
    <t>Dicas para quem vai curtir o 🎭 Carnaval e quer economizar!
#carnaval #economizar #poupar #finançaspessoais #planejamentofinanceiro #financas #educaçãofinanceira https://t.co/U4iQ8HYGEw</t>
  </si>
  <si>
    <t>🔥PROMOÇÃO: Descubra como desbloquear sua Liberdade Financeira de uma vez por todas:
https://t.co/Bi0RwAaIzQ
#planejamentofinanceiro #controlefinanceiro #finanças #finançaspessoais #educaçãofinanceira #dicasfinanceiras https://t.co/LaX8lQxAIm</t>
  </si>
  <si>
    <t>Descubra como desbloquear sua Liberdade Financeira de uma vez por todas:
https://t.co/i8OqlzIrwZ
#finanças #economizar #dinheiro #finançaspessoais #planejamentofinanceiro #educacaofinanceira https://t.co/SmhJhejSOA</t>
  </si>
  <si>
    <t>Descubra como desbloquear sua Liberdade Financeira de uma vez por todas:
https://t.co/i8OqlzIrwZ
#finançaspessoais #educacaofinanceira #finanças #planejamentofinanceiro #inteligenciafinanceira #organizacaofinanceira https://t.co/BbeZGrlrVX</t>
  </si>
  <si>
    <t>Uma dica rápida e que pode ajudar você na administração do seu salário. 
#planejamentofinanceiro #financas #dinheiro https://t.co/MV9zIDl2vH</t>
  </si>
  <si>
    <t>#finance #liberdadefinanceira #personalfinance #mercadofinanceiro #finances #educacaofinanceira #independenciafinanceira #planejamentofinanceiro #refinance #sucessofinanceiro https://t.co/93yAcgAtic</t>
  </si>
  <si>
    <t>A maior administradora de Consórcios e Investimentos do Brasil Contempla Mais! 
Os números estão aí 😉
Vem para a @ademicon 
#ademicon2023
#ademicon 
#consorcio 
#investimentos 
#planejamentofinanceiro https://t.co/sOiIRR4aWr</t>
  </si>
  <si>
    <t>Quem faz conta, faz consórcio!
@ademicon a maior administradora de Consórcios e Investimentos no Brasil
#consorcio #planejamentofinanceiro #Investimentos #futurogarantido #aposentadoriaimobiliaria https://t.co/sZdAwhQhvN</t>
  </si>
  <si>
    <t>Quem faz conta, faz consórcio!
Venha conhecer as infinitas possibilidades de investir, adquirir bens e serviços sem se descapitalizar.
Ken usa, e a Barbie também 💞
#trendingreels #barbie #consorcio #planejamentofinanceiro #financialfreedom
https://t.co/yqOwYElA9F</t>
  </si>
  <si>
    <t>▶ Dê o play e confira a entrevista para a BM&amp;amp;C em 16/06/2023
🎯Assista na integra no canal do Youtube. Link na bio
#AnáliseTécnica #PlanejamentoFinanceiro #IndependenciaFinanceira #AssessoriaFinanceira #Patrimonio #Investimentos #mercadofinanceiro https://t.co/TNZPXbI3Ax</t>
  </si>
  <si>
    <t>O que você precisa saber sobre #planejamentofinanceiro.
"O #planejamento #financeiro é a #chave para alcançar suas #metas financeiras."
"#Poupar dinheiro é uma parte importante de qualquer #planejamento financeiro bem-sucedido."
"#Controle seus gastos e faça um... https://t.co/mpVERRizo8</t>
  </si>
  <si>
    <t>WISHING YOU A PREDICTABLE, PROFITABLE, SUSTAINABLE NEW YEAR AHEAD
#finance #liberdadefinanceira #personalfinance #mercadofinanceiro #finances #educacaofinanceira #independenciafinanceira #planejamentofinanceiro #refinance #sucessofinanceiro #financeiro #financetips #Inteligencia https://t.co/jl1gVdUfSu</t>
  </si>
  <si>
    <t>Quer melhorar sua vida financeira? A chave é o planejamento. Estabeleça metas financeiras e crie um plano para alcançá-las. 💰💡 #planejamentofinanceiro #finanças</t>
  </si>
  <si>
    <t>Não sabe por onde começar seu planejamento financeiro? Confira essas dicas para te ajudar a criar um plano eficaz para suas finanças pessoais. Acesse o insta: @euluisconsultor 💪💸 #finançaspessoais #planejamentofinanceiro</t>
  </si>
  <si>
    <t>Quer alcançar seus objetivos financeiros e ter mais controle sobre suas finanças? Confira essas dicas de planejamento financeiro e comece agora mesmo! Acesse o insta: @euluisconsultor💰💡 #finanças #planejamentofinanceiro</t>
  </si>
  <si>
    <t>Poupar dinheiro pode ser difícil, mas com um planejamento financeiro eficaz é possível. Confira essas dicas para economizar dinheiro e atingir seus objetivos financeiros. Acesse o insta: @euluisconsultor💪 #economia #planejamentofinanceiro</t>
  </si>
  <si>
    <t>Planejamento financeiro é fundamental para ter uma vida financeira tranquila e alcançar seus objetivos. Confira essas dicas para ajudar você a organizar suas finanças. Acesse o insta: @euluisconsultor 💰💡 #organizaçãofinanceira #finanças</t>
  </si>
  <si>
    <t>Contribuição ao INSS: Como empresário individual, você pode optar por contribuir para o Instituto Nacional do Seguro Social (INSS) como segurado facultativo. Isso garantirá sua cobertura previdenciária.
9...
#SimplesNacional
#DemonstraçõesFinanceiras
#PlanejamentoFinanceiro</t>
  </si>
  <si>
    <t>Regularização Municipal: Verifique se é necessário obter licenças ou alvarás municipais para operar como programador em sua cidade.
8...
#Auditoria
#SimplesNacional
#DemonstraçõesFinanceiras
#PlanejamentoFinanceiro
#ContabilidadeFiscal
#PequenasEmpresas
#Microempresas
#Empresário</t>
  </si>
  <si>
    <t>Como melhorar o desempenho de vendas sem gastar muito dinheiro!
Aproveita e segue a gente ⬇📈
🟪 @TargetExecutiv 
#explore #explorer #explorar #marketingdigital #motivação #planejamento #estratégia #sucesso #negócios #educaçãoexecutiva #planejamentofinanceiro #vendas https://t.co/cQIjQGnVbz</t>
  </si>
  <si>
    <t>Como melhorar o desempenho de vendas sem gastar muito dinheiro!
Aproveita e segue a gente ⬇📈
🟪 @TargetExecutiv 
#explore #explorer #explorar #marketingdigital #motivação #planejamento #estratégia #sucesso #negócios #educaçãoexecutiva #planejamentofinanceiro #vendas https://t.co/nBWCKMrVSH</t>
  </si>
  <si>
    <t>Como melhorar o desempenho de vendas sem gastar muito dinheiro!
Aproveita e segue a gente ⬇📈
🟪 @TargetExecutiv 
#explore #explorer #explorar #marketingdigital #motivação #planejamento #estratégia #sucesso #negócios #educaçãoexecutiva #planejamentofinanceiro #vendas https://t.co/5DKtieGvGN</t>
  </si>
  <si>
    <t>Por que a gestão financeira é fundamental para o sucesso empresarial?
Aproveita e segue a gente ⬇📈
🟪 @TargetExecutiv 
#empreender #explore #explorar #marketingdigital #motivação #desenvolvimentopessoal #estratégia #sucesso #negócios #educaçãoexecutiva #planejamentofinanceiro https://t.co/PICvraesIm</t>
  </si>
  <si>
    <t>Por que a gestão financeira é fundamental para o sucesso empresarial?
Aproveita e segue a gente ⬇📈
🟪 @TargetExecutiv 
#empreender #explore #explorar #marketingdigital #motivação #desenvolvimentopessoal #estratégia #sucesso #negócios #educaçãoexecutiva #planejamentofinanceiro https://t.co/Si18edIFOs</t>
  </si>
  <si>
    <t>Gostou do nosso conteúdo?
Aproveita e segue a gente ⬇📈
🟪 @TargetExecutiv 
#planejamento #desenvolvimentopessoal #estratégia #sucesso #inovação #liderança #negócios #educaçãoexecutiva #planejamentofinanceiro #oportunidades #orçamento https://t.co/ybCiJHMCo2</t>
  </si>
  <si>
    <t>Como fazer um planejamento financeiro para sua empresa?
Já salva esse post e segue a gente ⬇️📈
🟪 @TargetExecutiv 
#empreender #explore #explorer #explorar #marketingdigital #business #planejamento #desenvolvimentopessoal #estratégia #educaçãoexecutiva #planejamentofinanceiro https://t.co/EKfqUWOlzO</t>
  </si>
  <si>
    <t>Como fazer um planejamento financeiro para sua empresa?
Já salva esse post e segue a gente ⬇️📈
🟪 @TargetExecutiv 
#empreender #explore #explorer #explorar #marketingdigital #business #planejamento #desenvolvimentopessoal #estratégia #educaçãoexecutiva #planejamentofinanceiro https://t.co/4HOvzdS2E3</t>
  </si>
  <si>
    <t>Como fazer um planejamento financeiro para sua empresa?
Já salva esse post e segue a gente ⬇️📈
🟪 @TargetExecutiv 
#empreender #explore #explorer #explorar #marketingdigital #business #planejamento #desenvolvimentopessoal #estratégia #educaçãoexecutiva #planejamentofinanceiro https://t.co/g6pEZ7xka5</t>
  </si>
  <si>
    <t>O que aconteceu com o SVB?
Aproveita e segue a gente ⬇️📈
🟪 @TargetExecutiv 
#empreendedorismo #explore #explorer #explorar #marketingdigital #business #planejamento #desenvolvimentopessoal #estratégia #sucesso #planejamentofinanceiro #negócios #educaçãoexecutiva #svb #risco https://t.co/bCepwcZQ6n</t>
  </si>
  <si>
    <t>Olá, 
Que tal um serviço especializado e personalizado para seu MEI, que contribua com a gestão do seu negócio com responsabilidade, organização e segurança? 
#Contabilidade
#Finanças
#Impostos
#GestãoFinanceira
#PlanejamentoFinanceiro
#ConsultoriaContábil
#Auditoria https://t.co/akcOWGQHQ4</t>
  </si>
  <si>
    <t>Não perca tempo! Abra agora mesmo uma conta grátis na corretora Deriv e ganhe um Robô Dbot exclusivo que pode ajudá-lo a maximizar seus lucros. https://t.co/Qm29DLtiFQ #EducaçãoFinanceira
#InvestirParaCrescer
#RendaPassiva
#PlanejamentoFinanceiro
#InvestimentosSeguros</t>
  </si>
  <si>
    <t>Não perca tempo! Abra agora mesmo uma conta grátis na corretora Deriv e ganhe um Robô Dbot exclusivo que pode ajudá-lo a maximizar seus lucros. https://t.co/J5thblrXEP #EducaçãoFinanceira
#InvestirParaCrescer
#RendaPassiva
#PlanejamentoFinanceiro
#InvestimentosSeguros https://t.co/T95LLuMCBt</t>
  </si>
  <si>
    <t>Planeje seu sucesso com contabilidade estratégica. Nossos especialistas estão prontos para te ajudar! 📈📚 #ContabilidadeEstratégica #SucessoEmpresarial #PlanejamentoFinanceiro 
Saiba mais em https://t.co/yJgugFIagH</t>
  </si>
  <si>
    <t>Nessa postagem Kako Ramos explixa a importância de amnter uma organização com base na Estratégia DQGRE.
#kakoramosoficial #estrategiadqgre #organizaçãofinanceira https://t.co/1v96OO3DBU</t>
  </si>
  <si>
    <t>Nessa postagem é explicada a importância de uma planilha financeira e como utilizá-la para organizar as finanças pessoais. 
#organizaçãofinanceira #finançaspessoais #planilhafinanceira https://t.co/IhMePRGcMd</t>
  </si>
  <si>
    <t>Nesta postagem Kako Ramos escreve a respeito de alguns aspectos básicos sobre os bancos.
#finançaspessoais #bancos #organizaçãofinanceira https://t.co/XAnWepaC42</t>
  </si>
  <si>
    <t>A organização financeira é fundamental para alcançar a liberdade financeira. Ela permite que você faça escolhas inteligentes com seu dinheiro, invista em ativos que geram renda passiva e planeje seu futuro financeiro. #organizaçãofinanceira #liberdadefinanceira #riqueza https://t.co/NqBvWc0oR3</t>
  </si>
  <si>
    <t>Nessa postagem Kako Ramos escreve sobre cartões de crédito.
#cartõesdecrédito #organizaçãofinanceira https://t.co/gSJJ75n16m</t>
  </si>
  <si>
    <t>Have you ever wondered which is the largest company in the world?
#finance #liberdadefinanceira #personalfinance #mercadofinanceiro #finances #educacaofinanceira #independenciafinanceira #planejamentofinanceiro #refinance #sucessofinanceiro #financeiro #financetips https://t.co/Y511BxDs2B</t>
  </si>
  <si>
    <t>Você já parou para pensar como um plano financeiro pode mudar sua vida? Imagine ter o controle das suas finanças, atingir suas metas e realizar seus sonhos. É hora de dar o primeiro passo em direção a uma vida financeira próspera! #Finanças #PlanejamentoFinanceiro</t>
  </si>
  <si>
    <t>Invista para não depender do INSS no futuro! #planejamentofinanceiro https://t.co/7cF4IChhZ8</t>
  </si>
  <si>
    <t>Lembre-se, a análise de crédito é contínua. Práticas financeiras saudáveis ajudam a construir um histórico sólido e alcançar suas metas financeiras. Compartilhe essas dicas! 💼💪
 #EducaçãoFinanceira #PlanejamentoFinanceiro</t>
  </si>
  <si>
    <t>Dados da FenaPrevi de março mostram que foram pagos R$ 5,09 bilhões em prêmios de seguro de vida no Brasil #planejamentofinanceiro #segurodevida #revistaapolice
https://t.co/zwusp1d5yC</t>
  </si>
  <si>
    <t>Produto se destaca como uma ferramenta flexível e eficaz para proteger o patrimônio e planejar a herança de forma estratégica #planejamentofinanceiro #segurodevida #revistaapolice
https://t.co/TThtdCp6I1</t>
  </si>
  <si>
    <t>Com o tema "Desafios para um futuro financeiro saudável", evento reuniu cerca de cem convidados e contou com a participação de executivos da companhia #evento #planejamentofinanceiro #revistaapolice
https://t.co/haMJGU0u35</t>
  </si>
  <si>
    <t>Financiamento: Por que economizar seu dinheiro em um consórcio quando você pode pagar juros exorbitantes e ajudar os bancos a ficarem mais ricos? 😏💸
#Consórcio
#Financiamento
#Investimento
#PlanejamentoFinanceiro
#EducaçãoFinanceira
#PoupeJuros</t>
  </si>
  <si>
    <t>5 conhecimentos básicos que fundamentais na Educação Financeira!
Aproveita para ajudar alguém a organizar a vida financeira
➡ @minteredu 
#discovery #explore #explorer #explorar #finanças #educaçãofinanceira #finançaspessoais #investimento #planejamentofinanceiro https://t.co/SawaDaqzeR</t>
  </si>
  <si>
    <t>Um guia prático para colocar suas finanças em ordem e alcançar seus objetivos.
Aproveita para seguir a gente e ajudar alguém encaminhando esse conteúdo.
➡ @minteredu 
#finanças #educaçãofinanceira #finançaspessoais #planejamentofinanceiro #vidafinanceira #liberdadefinanceira https://t.co/GfanUUHdHF</t>
  </si>
  <si>
    <t>Aprenda a planejar suas finanças para alcançar seus objetivos.
Ter metas financeiras claras e alcançáveis é fundamental para uma vida financeira saudável e bem-sucedida.
➡ @minteredu
#educaçãofinanceira #finançaspessoais #investimentos #planejamentofinanceiro #vidafinanceira https://t.co/oIyVAYsM1d</t>
  </si>
  <si>
    <t>Organizar-se financeiramente pode parecer difícil, mas com as estratégias certas, é possível ter uma vida financeira melhor
➡ @minteredu 
#finanças #educaçãofinanceira #finançaspessoais #investimentos #planejamentofinanceiro #vidafinanceira #dinheiro #liberdadefinanceira https://t.co/nstiMyHpxg</t>
  </si>
  <si>
    <t>NÃO existe investimento sem risco
É essencial aprender 1º sobre investimentos e riscos para saber se você quer arriscar seu $$$
➡️ @minteredu
#dinheiro #explore #explorer #explorar #finanças #educaçãofinanceira #finançaspessoais #investimento #planejamentofinanceiro #svb #risco https://t.co/J2t344NBWV</t>
  </si>
  <si>
    <t>INFLAÇÃO: Você já sabe como esse índice impacta as suas finanças pessoais?
Vem aprender com a gente
➡️ @minteredu 
#dinheiro #financeiro #explore #explorer #explorar #finanças #educaçãofinanceira #finançaspessoais #investimento #planejamentofinanceiro #inflação #ipca #juros https://t.co/eWr3TyLLui</t>
  </si>
  <si>
    <t>@tiajulha Amiga, fica nos de 69, pq os de 70+ não te dão direito a herança! #planejamentofinanceiro é tudo! 🤣</t>
  </si>
  <si>
    <t>Nada como ter finanças em dia!
Essa sensação de bem estar financeiro tem preço e te garanto que custa muito menos do que você imagina!! 
#partiuplanejar #planejamentofinanceiro #financas #amandaparla🏳️‍🌈</t>
  </si>
  <si>
    <t>Junte-se a nós!
18 33243310
18 997701523
#AssessoriaDeCobrança #VemPraCobratec #PlanejamentoFinanceiro #GestãoEmpresarial #EquipeQualificada #CobrançaHumanizada #RecuperaçãoDeCrédito #CobratecAssis https://t.co/HKvnqCfUeJ</t>
  </si>
  <si>
    <t>📡💼 Hoje é o Dia Nacional das Comunicações e lembramos do legado de Rondon, que nos ensinou a importância da conexão para o desenvolvimento, inclusive no mundo das finanças! 💡🌍
#DiaNacionalDasComunicações #Rondon #ConexãoFinanceira #EducaçãoFinanceira #PlanejamentoFinanceiro https://t.co/FWCY2NEnSE</t>
  </si>
  <si>
    <t>🤔 Já se perguntou por que demora para tomar decisões?
#decisões #metas2023 #planejamentofinanceiro #financaspessoais #dicasfinanceiras
https://t.co/rOrb3TnOc1</t>
  </si>
  <si>
    <t>🗓 O que você irá fazer neste ano? 
🎯Tem plano de metas? Ou está esperando trabalhar para realizar as metas dos outros?
#metas #metas #anonovo #anonovo2023 #planejamentofinanceiro
https://t.co/2QxMwGjRXk</t>
  </si>
  <si>
    <t>🤔 Qual o motivo de seu planejamento financeiro não estar pronto?
#planejamentofinanceiro #financaspessoais #finanças
https://t.co/2pSrU5kkbk</t>
  </si>
  <si>
    <t>🗂 O melhor plano é aquele que é colocado em prática, aquele que fica na gaveta é somente um maço de papel.
#planejamentofinanceiro #organizesuavida #finanças
https://t.co/eENogu05Ep</t>
  </si>
  <si>
    <t>😌 Tenha uma vida com prosperidade e mais tranquila fazendo planejamento financeiro pessoal.
#tranquilidade #finanças #qualidadedevida #prosperidade  #planejamentoestrategico #planejamentofinanceiro
https://t.co/oTaibrXICm</t>
  </si>
  <si>
    <t>⬆️ Crie o seu futuro, seja protagonista da sua jornada. 
#futuro #jornada #protagonista #planejamentofinanceiro
https://t.co/AR9Fyl1Jib</t>
  </si>
  <si>
    <t>🚨💸 Saber lidar com as emergências financeiras melhora a qualidade de vida.
#emergencia #financeira #planejamentofinanceiro #futuro #futurodasfinanças
https://t.co/ScCrgw9CLK</t>
  </si>
  <si>
    <t>1 -  Faça um orçamento detalhado e corte gastos.
2 - Evite fazer novas dívidas e procure formas de economizar dinheiro.
3 - Contrate a Life! 
Entre em contato conosco através do nosso site https://t.co/s4TRDsQ32L
#dividas #dicas #organizaçãofinanceira https://t.co/r3sFhAMYeM</t>
  </si>
  <si>
    <t>E aí, já conferiu o mais recente episódio do Investidores da Quebrada? 👇
https://t.co/8oeiNUhNKu
#StudioMadeHits #InvestidoresdaQuebrada #TVMadeHits #liberdade #planejamentofinanceiro #riqueza #dinheiroextra #empresas #empreendimento #favelado #versosdefavela #favelados #podcast https://t.co/sgg4ieBhHE</t>
  </si>
  <si>
    <t>Será que não compensa fazer para você o que você faz para os outros? 🤔💼
 Episódio novo toda segunda, às 17:00.🚀🎙️
#StudioMadeHits  #empreendedor  #opções #organizacaofinanceira #quebradas  #podcast #podcasts #podcaster #trendingvideo #tiktokvideo #instavideos #viralvideo https://t.co/OybshZg6ml</t>
  </si>
  <si>
    <t>Investidores da Quebrada está te convidando! 🎙️📈 #StudioMadeHits  #investidoresdesucesso #investidoresbrasil #investidoresiniciantes #liberdade #planejamentofinanceiro #riqueza #quebrada  #podcast #newpodcast #podcast #hastag #videostaredits #comment4comment #trending https://t.co/3P8KDrOCdA</t>
  </si>
  <si>
    <t>Vamos combinar, pizza é viciante, né? 🍕😄
#StudioMadeHits #InvestidoresdaQuebrada #TVMadeHits #liberdade #planejamentofinanceiro #riqueza #dinheiroextra #empresas #empreendimento #favelado #versosdefavela #favelados #podcast #podcasts #podcaster #followers #newpost #1000views https://t.co/SxsbmQw9Tp</t>
  </si>
  <si>
    <t>A espera valeu a pena! 🔥#StudioMadeHits #InvestidoresdaQuebrada  #investidoresdesucesso #investidoresbrasil #investidoresiniciantes #liberdade #planejamentofinanceiro #riqueza  #quebradavenceu #podcastshow #newpodcast #podcast #hastag #videostaredits #comment4comment #trending https://t.co/SXd2FOdyiw</t>
  </si>
  <si>
    <t>6-💡 Robert Kiyosaki compartilha estratégias para investir sabiamente e  construir um portfólio financeiro sólido, independentemente de sua renda  atual. Todos podem investir no seu futuro! #Investimento  #PlanejamentoFinanceiro</t>
  </si>
  <si>
    <t>Você sabe a importância em ter investimentos ligados à moeda forte?
#mercadofinanceiro #contentmakersis #protecaodepatrimonio #rentabilidade #planejamentofinanceiro #2023 https://t.co/tm24KfPAxy</t>
  </si>
  <si>
    <t>Você sabe a importância em ter investimentos ligados à moeda forte?
#mercadofinanceiro #contentmakersis #protecaodepatrimonio #rentabilidade #planejamentofinanceiro #2023 https://t.co/FxypeMaLGQ</t>
  </si>
  <si>
    <t>Conta de novembro da sanasa QUITADA #planejamentofinanceiro #redpill #machoalfa</t>
  </si>
  <si>
    <t>#FinançasPessoais
2. #Investimentos
3. #EducaçãoFinanceira
4. #DicasFinanceiras
5. #PlanejamentoFinanceiro
6. #Dinheiro
7. #Economia
8. #MercadoFinanceiro
9. #Criptomoedas
10. #Negócios
@realpolkabridge @polkadot @cz_binance https://t.co/V2izjsYINM</t>
  </si>
  <si>
    <t>1. #FinançasPessoais
2. #Investimentos
3. #EducaçãoFinanceira
4. #DicasFinanceiras
5. #PlanejamentoFinanceiro
6. #Dinheiro
7. #Economia
8. #MercadoFinanceiro
9. #Criptomoedas
10. #Negócios https://t.co/tqE3hAkjT7</t>
  </si>
  <si>
    <t>1. #FinançasPessoais
2. #Investimentos
3. #EducaçãoFinanceira
4. #DicasFinanceiras
5. #PlanejamentoFinanceiro
6. #Dinheiro
7. #Economia
8. #MercadoFinanceiro
9. #Criptomoedas
10. #Negócios https://t.co/stwidY8dNi</t>
  </si>
  <si>
    <t>Acabei de ler este ótimo artigo sobre #dicasdeinvestimento para iniciantes! É como uma cidade vibrante e cosmopolita, cheio de informações valiosas para alcançar seus objetivos financeiros. #investir #planejamentofinanceiro</t>
  </si>
  <si>
    <t>Você pode investir esses valores em renda fixa com rentabilidade acima de 100% do CDI, inclusive no Pic Pay. 
Acredite: vai fazer diferença.
#planejamentofinanceiro #dinheironobolso #dinheiro #investimentos</t>
  </si>
  <si>
    <t>#planejamentofinanceiro #dinheironobolso #financas #investimentos #organizacaofinanceira</t>
  </si>
  <si>
    <t>💡 Dicas para declarar e reduzir o Imposto de Renda (IR)
#ImpostoDeRenda #DicasFiscais #PlanejamentoFinanceiro #Advogado #Contador #OrientaçãoProfissional  #RestituiçãoIR  #Doações #ResponsabilidadeSocial  #PrevidênciaPrivada #BenefíciosFiscais  #AtualizaçõesFiscais  #Rendimentos</t>
  </si>
  <si>
    <t>Fala com a gente!
Vida Toda Corretora – 41 98714-4855 / 41 99151-0102
vidatoda@vidatodacorretora.com.br
https://t.co/ATG7OSbPmE
#corretordeseguros #planejamentofinanceiro #umatodeamor #segurodevida #seguroresponsabilidadecivil #consorcio #rc https://t.co/SfCwye3VEe</t>
  </si>
  <si>
    <t>Boa Viagem!
Vida Toda Corretora – 41 98714-4855 / 41 99151-0102
vidatoda@vidatodacorretora.com.br
https://t.co/ATG7OSbPmE
#corretordeseguros #planejamentofinanceiro #umatodeamor #segurodevida #seguroresponsabilidadecivil #consorcio #rc https://t.co/GyYN1qq6cY</t>
  </si>
  <si>
    <t>Fala com a gente!
Vida Toda Corretora – 41 98714-4855 / 41 99151-0102
vidatoda@vidatodacorretora.com.br
https://t.co/ATG7OSbPmE
#corretordeseguros #planejamentofinanceiro #umatodeamor #segurodevida #seguroresponsabilidadecivil #consorcio #rc https://t.co/QzGNtjDWo1</t>
  </si>
  <si>
    <t>Vem pra vida!
Vida Toda Corretora – 41 98714-4855 / 41 99151-0102
vidatoda@vidatodacorretora.com.br
https://t.co/ATG7OSbPmE
#corretordeseguros #planejamentofinanceiro #umatodeamor #rc #segurodevida #seguroresponsabilidadecivil #consorcio https://t.co/Zr2N9nBZTI</t>
  </si>
  <si>
    <t>Boa Viagem!
Vida Toda Corretora – 41 98714-4855 / 41 99151-0102
vidatoda@vidatodacorretora.com.br
https://t.co/ATG7OSbPmE
#corretordeseguros #planejamentofinanceiro #umatodeamor #segurodevida #seguroresponsabilidadecivil #consorcio #rc https://t.co/eJpvmVLTKd</t>
  </si>
  <si>
    <t>Vem pra vida!
Vida Toda Corretora – 41 98714-4855 / 41 99151-0102
vidatoda@vidatodacorretora.com.br
https://t.co/ATG7OSbPmE
#corretordeseguros #planejamentofinanceiro #umatodeamor #rc #segurodevida #seguroresponsabilidadecivil #consorcio https://t.co/62xsHr4RxS</t>
  </si>
  <si>
    <t>💸💥 Quer multiplicar seu dinheiro? 💰🚀 Lembre-se: investir é como plantar uma árvore - com tempo, paciência e cuidado, você colherá frutos incríveis! 🌳🍎 #investimentos #finanças #crescimento #planejamentofinanceiro #dinheiroextra</t>
  </si>
  <si>
    <t>Um ponto crucial da administração do consultório é a #GestãoFinanceira. 💲
Veja no reel algumas dicas fundamentais! 
Veja os detalhes sobre as dicas:
https://t.co/VZrkRuO9T5
#Finanças #Financeiro #FluxoDeCaixa #ConsultórioMédico #ControleFinanceiro #PlanejamentoFinanceiro https://t.co/VxYBWBb4CW</t>
  </si>
  <si>
    <t>💡
#cm #organizaçãofinanceira #comportamento #gestãoremotadeaaz #homeoffice #remotework #nomadesdigitais #produtividade #culturaremota #estilodevida #proposito #worklifebalance  #tecnologia #worklife #carreira #trabalho #educação #desenvolvimentohumano #robinsonshiba https://t.co/AxAA2XSG8Q</t>
  </si>
  <si>
    <t>Empreendedores, vamos falar de planejamento financeiro! 💰📝 É prever necessidades e oportunidades do seu negócio, entender custos, lucros, investimentos. Com a Snapfi, o planejamento é eficiente e descomplicado. Vamos juntos nessa! 🚀 #PlanejamentoFinanceiro #Empreendedorismo https://t.co/KRmu4xCeH5</t>
  </si>
  <si>
    <t>#investimentos #investimento #bolsadevalores #bovespa #rendavariavel #ações #mercadofinanceiro #liberdadefinanceira #finanças #planejamentofinanceiro #trader #stocks  #dinheiro #henleinvestimentos #economia #dividendos #ibovespa #agro #agronegocio #soja #milho #keplerweber https://t.co/6OtaOVbeb4</t>
  </si>
  <si>
    <t>"Seja bem-vindo(a) ao meu mundo de investimentos! Hoje compartilho dicas valiosas para começar a investir com segurança, planejamento e visão de longo prazo. Vamos juntos rumo à independência financeira! 💸💪 #Investimentos #PlanejamentoFinanceiro"</t>
  </si>
  <si>
    <t>O touro está de olho. Seus investimentos estão sobre controle?
Moprify - A melhor visão dos seus investimentos.
#investimentos #bullmarket #fiis #ações #planejamentoFinanceiro #moprify #mercadofinanceiro #controledeinvestimentos https://t.co/a7DkeiPR0s</t>
  </si>
  <si>
    <t>Brain Evolution System!
https://t.co/jiYvvsKR5E
#mercadofinanceiro #personalfinance #financetips #educacaofinanceira #independenciafinanceira #planejamentofinanceiro #educaçãofinanceira</t>
  </si>
  <si>
    <t>@djefvlogg #planejamentofinanceiro</t>
  </si>
  <si>
    <t>Conheça a funcionalidade "Categorias" do Contas Online e simplifique a sua gestão financeira. 🚀
Saiba mais clicando no link!
📲 https://t.co/YeavCtI9km
#finanças #gestaofinanceira #softwarefinanças #organizacaofinanceira https://t.co/rGl6vMEHkU</t>
  </si>
  <si>
    <t>Preparado para controlar suas finanças e finalmente quitar suas dívidas? Confira como! 📚
#FinançasPessoais #PlanejamentoFinanceiro #ContasOnline #PagarDívidas https://t.co/X0SrzBsdC4</t>
  </si>
  <si>
    <t>Não se prenda mais apenas ao mercado local, diversifique de maneira simples e barata no mercado internacional 
#Investimentos #ETFs #Finanças #Diversificação #EducaçãoFinanceira #PlanejamentoFinanceiro</t>
  </si>
  <si>
    <t>Bora colocar em prática ⁉️
#finanças #investimentos #PlanejamentoFinanceiro #investidores</t>
  </si>
  <si>
    <t>Sobre PLANOS e PLANEJAMENTO.
"Nunca confunda ajuste de rota de um plano com mudança de plano, pois quando os planos mudam os objetivos (desejos) também mudam."
#planejamentofinanceiro
#financaspessoais</t>
  </si>
  <si>
    <t>Saiba que não dar um bom encaminhamento para o Planejamento Financeiro ainda este ano, pode comprometer o futuro de seu negócio, leia a matéria:
https://t.co/1eB2EQgI4q
#planejamentofinanceiro #contador #contabilidadeempresarial #fy #fyp #foryou #foryourpage https://t.co/NVxoELFCu2</t>
  </si>
  <si>
    <t>🕊️ Quem aí prometeu que ia investir melhor em 2023? Se for o caso, este fio veio para te ajudar a cumprir a promessa. (1/7)
#planejamentofinanceiro #metas2023 #investiremcripto #bitcoinbrasil #ethereumbrasil https://t.co/iKLUUfxjBd</t>
  </si>
  <si>
    <t>📈📉 Análise do mercado financeiro as 12h!. 
As oscilações do mercado são oportunidades para quem está preparado. Mantenha-se atualizado, avalie seus objetivos financeiros e diversifique seus investimentos para obter melhores resultados.
#Investimentos #PlanejamentoFinanceiro</t>
  </si>
  <si>
    <t>Lembrando que a economia é dinâmica e esses indicadores podem variar. É sempre bom acompanhar as atualizações e entender como eles impactam nossa vida e investimentos. Estar informado é a chave para um planejamento financeiro sólido! 💪💰 #Investimentos #PlanejamentoFinanceiro</t>
  </si>
  <si>
    <t>Explorando as vantagens e considerações a fazer antes de contratar uma assessoria contábil para MEI.
#LobsContabilidade #Assessoria #Consultoria #Contabilidade #MEI #Planejamentofinanceiro
https://t.co/wWhjCg5onl https://t.co/ikYJMJOW9J</t>
  </si>
  <si>
    <t>O planejamento financeiro permite que o MEI tenha uma visão clara das suas receitas e despesas.
#LobsContabilidade #Finanças #Gestão #Investimento #MEI #Negócio #Planejamentofinanceiro
https://t.co/K5MLxByxMJ https://t.co/Z1C3DXeGRZ</t>
  </si>
  <si>
    <t>1.Não cometa o mesmo erro que eu: como perdi o meu saque aniversário do FGTS por causa de um vacilo com o aplicativo #vamostestar #FGTS #SaqueAniversário #ErroNoAplicativo #Vacilo #Cuidado #DicaDeEconomia #PlanejamentoFinanceiro 
https://t.co/dWKrz1zLFQ</t>
  </si>
  <si>
    <t>2/ A impulsividade e a dificuldade de planejamento e organização podem tornar desafiador para aqueles com TDAH ou autismo manter um orçamento ou fazer planos financeiros de longo prazo. #ADHD  #TDAH #autismo #planejamentofinanceiro https://t.co/ZnRjQry7ov</t>
  </si>
  <si>
    <t>O sistema Computar oferece recursos integrados que simplificam e esclarecem o controle das finanças.
Clique no link da bio e peça sua demonstração.
#Computar #gestão #financeiro #sistemadegestão #gestãofinanceira #advocacia #advogados #gestãoparaadvocacia #organizaçãofinanceira https://t.co/kk2uiBrHqv</t>
  </si>
  <si>
    <t>Você sabia que o INSS pode ser o seu melhor amigo na hora de garantir a sua segurança financeira? Não deixe de contribuir e planejar o seu futuro com essa proteção incrível! 💪 #INSS #segurançafinanceira #planejamentofinanceiro</t>
  </si>
  <si>
    <t>📢🔝 Você está cansado de perder o controle das suas finanças pessoais?
#controlefinanceiro #investimentoobjetivo #finançaspessoais #educaçãofinanceira #metasfinanceiras #planejamentofinanceiro https://t.co/9qk1GC0vAo</t>
  </si>
  <si>
    <t>😟 A preocupação é natural quando se trata de investimentos, mas não deixe que ela domine suas decisões.
👆 Clique no link da BIOS e fique atualizado
#investimento #investimentoobjetivo #preocupação #planejamentofinanceiro #finançaspessoais #tomandodecisões https://t.co/Q9m3Hi27D0</t>
  </si>
  <si>
    <t>Endividamento
Clique no Link da BIO
#Endividamento #investimentoobjetivo #LiberdadeFinanceira #Aposentadoria #PlanejamentoFinanceiro #EducaçãoFinanceira https://t.co/FdWzfGwo52</t>
  </si>
  <si>
    <t>Endividamento
Clique no Link da BIO
#Endividamento #investimentoobjetivo #LiberdadeFinanceira #Aposentadoria #PlanejamentoFinanceiro #EducaçãoFinanceira https://t.co/QpxccABxXd</t>
  </si>
  <si>
    <t>Endividamento
Clique no Link da BIO
#Endividamento #investimentoobjetivo #LiberdadeFinanceira #Aposentadoria #PlanejamentoFinanceiro #EducaçãoFinanceira https://t.co/MSxc0XukWa</t>
  </si>
  <si>
    <t>Endividamento
Clique no Link da BIO
#Endividamento #investimentoobjetivo #LiberdadeFinanceira #Aposentadoria #PlanejamentoFinanceiro #EducaçãoFinanceira https://t.co/JJ7quKZ8OI</t>
  </si>
  <si>
    <t>📊💸🇧🇷📚 O endividamento das famílias no Brasil são alarmantes.
#endividamento #investimentoobjetivo #educacaofinanceira #controlefinanceiro #vidafinanceira #comportamento #gatilhosmentais #planejamentofinanceiro https://t.co/MqNwZjoDhg</t>
  </si>
  <si>
    <t>💰 Como conquistar a liberdade financeira? 🚀 Afinal todos procuram esta resposta.
#finanças #investimentoobjetivo #investimentos #liberdadefinanceira #planejamentofinanceiro #endividamento https://t.co/U3WpwJBTcK</t>
  </si>
  <si>
    <t>🎉💰🎉 Quer saber como conquistar a liberdade financeira?
#liberdadefinanceira #finançaspessoais #investimentos #planejamentofinanceiro #investimentoobjetivo https://t.co/L99JggNgmL</t>
  </si>
  <si>
    <t>🚫💸 Os 5 itens que impedem a conquista da liberdade financeira afinal quais são?
#liberdadefinanceira #educacaofinanceira #orçamentopessoal #planejamentofinanceiro https://t.co/j5itusENPv</t>
  </si>
  <si>
    <t>Endividamento
Clique no Link da BIO
#Endividamento #investimentoobjetivo #LiberdadeFinanceira #Aposentadoria #PlanejamentoFinanceiro #EducaçãoFinanceira https://t.co/O3NTWszN3q</t>
  </si>
  <si>
    <t>Endividamento
Clique no Link da BIO
#Endividamento #investimentoobjetivo #LiberdadeFinanceira #Aposentadoria #PlanejamentoFinanceiro #EducaçãoFinanceira https://t.co/T0o30nPLij</t>
  </si>
  <si>
    <t>💪✨ Muitas pessoas deixam de investir e cuidar de suas finanças pessoais por medo da falta de segurança financeira.
#planejamentofinanceiro #controleemocional #segurançafinanceira #investimentos #crescimentopatrimonial https://t.co/HdHUL6cmyB</t>
  </si>
  <si>
    <t>🤔💰🚫 Você sabe quais são os efeitos do endividamento na sua vida?
#endividamento #planejamentofinanceiro #investimentoobjetivo #dividasnuncamais #insonia #liberdadefinanceira #fiquelivredasdividas #vidafinanceirasaudavel https://t.co/RpTYIRFwID</t>
  </si>
  <si>
    <t>Endividamento
Clique no Link da BIO
#Endividamento #investimentoobjetivo #LiberdadeFinanceira #Aposentadoria #PlanejamentoFinanceiro #EducaçãoFinanceira https://t.co/RcElFo2eyi</t>
  </si>
  <si>
    <t>⏰Descubra Investimentos Inteligentes para a sua Liberdade Financeira
👇
https://t.co/99kFM6CL0H
#liberdadefinanceira #investimentos #dinheirointeligente #planejamentofinanceiro #investimentosconscientes #investimentosinteligentes https://t.co/Rg5CnEdxYI</t>
  </si>
  <si>
    <t>Endividamento
Clique no Link da BIO
#Endividamento #investimentoobjetivo #LiberdadeFinanceira #Aposentadoria #PlanejamentoFinanceiro #EducaçãoFinanceira https://t.co/RywgyU1yHI</t>
  </si>
  <si>
    <t>Endividamento
Clique no Link da BIO
#Endividamento #investimentoobjetivo #LiberdadeFinanceira #Aposentadoria #PlanejamentoFinanceiro #EducaçãoFinanceira https://t.co/qzqhmwVYbM</t>
  </si>
  <si>
    <t>📚💰 Aprender sobre finanças é o passo mais importante para o sucesso nos investimentos.
#planejamentofinanceiro #investimentoobjetivo #finançaspessoais #educaçãofinanceira #investimentos #crecimentopatrimonial https://t.co/QLk3X1VYnv</t>
  </si>
  <si>
    <t>🤑💰 Quer conquistar a tão sonhada liberdade financeira?
#FinançasPessoais #EducaçãoFinanceira #PlanejamentoFinanceiro #LiberdadeFinanceira https://t.co/U4MMEEKy9F</t>
  </si>
  <si>
    <t>3 - A leitura também pode ajudar o investidor a desenvolver habilidades importantes, como análise financeira, gestão de riscos e #planejamentofinanceiro.</t>
  </si>
  <si>
    <t>Conte com a minha ajuda para atingir seus objetivos financeiros! ✍️🗒🎯
#Investimentos #planejamentofinanceiro #educacaofinanceira #objetivos #metas #metasfinanceiras #assessordeinvestimentos #XP #xpinvestimentos #Nortus #NortusInvestimentos</t>
  </si>
  <si>
    <t>#personalfinance #mercadofinanceiro #finances #educacaofinanceira #independenciafinanceira #planejamentofinanceiro #refinance #sucessofinanceiro #financeiro #financetips #inteligenciafinanceira #gestaofinanceira #carfinance</t>
  </si>
  <si>
    <t>📉 Em tempos de economia instável e desse DESGOVERNO, é hora de 🚦 desacelerar e pisar no freio financeiro. 
Evite gastos desnecessários, faça investimentos inteligentes e libere sua criatividade pra gerar mais oportunidades! 💰💡 #Economia #Investimentos #PlanejamentoFinanceiro</t>
  </si>
  <si>
    <t>Não é sobre quanto você ganha.
É sobre saber como administrar o que você tem. 
#finanças #educaçãofinanceira #organizaçãofinanceira https://t.co/fNMsh2YHGl</t>
  </si>
  <si>
    <t>Planejamento financeiro é a chave para o sucesso! Invista em um consórcio e transforme seus sonhos em realidade. Com parcelas fixas e sem juros, você pode realizar seus projetos com tranquilidade e segurança. #consórcio #planejamentofinanceiro #realizaçãodesonhos</t>
  </si>
  <si>
    <t>É com grande entusiasmo que lanço o meu primeiro curso de #finanças pessoais. O curso pretende fornecer maior conhecimento sobre sua vida financeira, gerando consciência sobre o seu atual momento financeiro.
Link de inscrição: https://t.co/hZEtVl9lO4
#planejamentofinanceiro</t>
  </si>
  <si>
    <t>1/5 A importância das finanças pessoais não pode ser subestimada. Elas são a base para alcançarmos nossos objetivos financeiros e garantirmos uma vida financeira saudável. #finançaspessoais #planejamentofinanceiro</t>
  </si>
  <si>
    <t>#Orçamento no #LibreOfficeCalc
Insira #despesas e receitas mensais e veja o balanço. 
Fórmulas para calcular totaḷ:
 =SOMA(C2:C3) 
onde C é a coluna e o N.º é o numero da linha;
para calcular o balanço
=C5-C16
 #PlanejamentoFinanceiro https://t.co/weEynrY8Q3</t>
  </si>
  <si>
    <t>Isso faz sentido para você?
Deixa seu comentario aqui abaixo.
Mersificação Q
#investimentos #planejamentofinanceiro
#braveheart #caioleal</t>
  </si>
  <si>
    <t>Você trabalha duro e não tem tempo para se preocupar com as finanças? Conte com um consultor financeiro especializado para cuidar do seu dinheiro e garantir um futuro próspero! #PlanejamentoFinanceiro #QualidadeDeVida https://t.co/8b0RFrkn1u</t>
  </si>
  <si>
    <t>6️⃣ Lembre-se: ao escolher a data de fechamento da sua fatura, considere o dia do seu pagamento e os seus compromissos financeiros fixos para evitar qualquer inconveniente. 🗓️💰💳
#dicasfinanceiras #planejamentofinanceiro</t>
  </si>
  <si>
    <t>5️⃣ Esta mudança permite um melhor planejamento financeiro, dando ao consumidor mais controle sobre seus gastos e facilitando o cumprimento dos prazos de pagamento.💡💳⏳
#planejamentofinanceiro #controlefinanceiro</t>
  </si>
  <si>
    <t>2️⃣ Este tópico é muito relevante! Por quê? Porque a data de fechamento da fatura do cartão de crédito afeta diretamente o planejamento financeiro de muitas pessoas. 💼💰💡
#finanças #planejamentofinanceiro #bancos #cartaodecredito</t>
  </si>
  <si>
    <t>Falando sobre #finançaspessoais e #comportamento, Walter Moreira Neto, CFP® explica como a síndrome do FOMO (Fear of Missing Out) pode afetar a sua vida e os seus #investimentos.
https://t.co/cmTIjDePUG
#investimentofinanceiro #cfp #vida #investimentos #planejamentofinanceiro https://t.co/Vhge5v2W4g</t>
  </si>
  <si>
    <t>Esta publicação esclarece como o mercado de trabalho em gestão financeira está evoluindo e dá uma visão geral do que esperar do desenvolvimento profissional em carreira financeira. Saiba mais: https://t.co/L6Ym2Wxxb2
 #GestãoFinanceira #MercadoDeTrabalho #PlanejamentoFinanceiro</t>
  </si>
  <si>
    <t>Protegendo o Futuro dos Negócios: Descubra como o Seguro de Vida Empresarial assegura a continuidade e sucesso das empresas familiares.
#seguros #segurodevida #sucessao #sucessaopatrimonial #planejamentofinanceiro #impostos #herança
 https://t.co/K3KRF3b4Wi via @LinkedIn</t>
  </si>
  <si>
    <t>Em análise pelo Senado, o texto-base da reforma tributária propõe mudanças no sistema de impostos sobre heranças. Mas e no seu patrimônio? Qual deve ser o impacto?#segurodevida #sucessaopatrimonial #planejamentofinanceiro #impostos #reformatributaria
https://t.co/1tHDJIJyza</t>
  </si>
  <si>
    <t>#planejamentofinanceiro #viverderenda #educacaofinanceira #comoinvestir #mercadofinanceiro #investimentos #liberdadefinanceira #BCFF #BCFF11 #MAXIRENDA #BTG #rendimentos https://t.co/4ykJpq6fSL</t>
  </si>
  <si>
    <t>e oeste da Europa, sob arrendamentos líquidos de longo prazo com escalonamentos de aluguel embutidos.
#investimentosbrasileexterior #investimentobrasil #investimentoexterior #reit #reits #ações #dividendos #longoprazo #liberdadefinanceira #planejamentofinanceiro #viverderenda</t>
  </si>
  <si>
    <t>17 anos de crescimento trimestral, um histórico mais longo do que qualquer outra empresa no S&amp;amp;P 500. 
#investimentosbrasileexterior #investimentobrasil #investimentoexterior #reit #reits #ações #dividendos #longoprazo #liberdadefinanceira #planejamentofinanceiro #viverderenda</t>
  </si>
  <si>
    <t>#planejamentofinanceiro #viverderenda #educacaofinanceira #comoinvestir #mercadofinanceiro #investimentos #liberdadefinanceira #irdm11 #irdm #CRI #papel #iridium #BTG #btgpactual https://t.co/JUj9vhf8zg</t>
  </si>
  <si>
    <t>localizadas em todos os 48 estados continentais e contendo aproximadamente 40,1 milhões de pés quadrados de espaço bruto para venda.
#investimentosbrasileexterior #investimentobrasil #investimentoexterior #reits #ações #longoprazo #liberdadefinanceira #planejamentofinanceiro</t>
  </si>
  <si>
    <t>propriedades de armazenamento remoto em Indiana, Ohio, Illinois e Kentucky.
#investimentosbrasileexterior #investimentobrasil #investimentoexterior #reit #reits #ações #dividendos #longoprazo #liberdadefinanceira #planejamentofinanceiro #viverderenda #educacaofinanceira</t>
  </si>
  <si>
    <t>e médica; agências de pesquisa do governo dos EUA; organizações sem fins lucrativos; e empresas de capital de risco. 
#investimentosbrasileexterior #investimentobrasil #investimentoexterior #reit #reits #ações #dividendos #longoprazo #liberdadefinanceira #planejamentofinanceiro</t>
  </si>
  <si>
    <t>No oriente a carpa significa boa sorte, sucesso, vida longa e perseverança. É um peixe muito valorizado e respeitado. Ela ensina a agradecer diariamente pelo dinheiro que você tem e pelo dinheiro que ainda virá. #riqueza #finanças #organizaçãofinanceira #sorte #sucesso #mindset https://t.co/A7ZmdYEGdU</t>
  </si>
  <si>
    <t>Educação financeira é essencial para alcançar a estabilidade financeira. Ter o controle das suas finanças é uma habilidade fundamental para garantir a sua tranquilidade financeira e para alcançar seus objetivos de vida.#educacaofinanceira #planejamentofinanceiro #financaspessoais</t>
  </si>
  <si>
    <t>Descubra a Regra da Riqueza 50-30-20! Aprenda a dividir seu orçamento de forma inteligente e alcance a prosperidade financeira. 
Saiba mais no link: https://t.co/dnXDhCLstU
#FinançasPessoais #PlanejamentoFinanceiro</t>
  </si>
  <si>
    <t>Dizer adeus às despesas desorganizadas e conquistar o controle financeiro nunca foi tão fácil! Descubra como criar um orçamento simples e prático para alcançar seus objetivos financeiros. #ControleFinanceiro #PlanejamentoFinanceiro #OrçamentoSimples" https://t.co/IXqvjFGFAb</t>
  </si>
  <si>
    <t>#planejamentofinanceiro #bolsadevalores #mercadofinaceiro #financas #ibovespa #EconomiaFamiliar</t>
  </si>
  <si>
    <t>Nesse artigo, nosso assessor de investimentos Thiago Gomes traz dicas valiosas de como começar a planejar o seu futuro. Leia: https://t.co/hKNTsXJlQZ 
#planejamentofinanceiro #patrimônio #dinheiro #btg #perspective https://t.co/4KP6xkYZ7l</t>
  </si>
  <si>
    <t>🚨📅 Fique atento ao prazo de entrega da declaração do Imposto de Renda e evite multas desnecessárias! Confira no nosso blog as penas em caso de atraso?"
https://t.co/DTfx2SVxzB 
#Contabilidade #ImpostoDeRenda #FinançasPessoais #PlanejamentoFinanceiro https://t.co/28mshDVCjX</t>
  </si>
  <si>
    <t>Como planejar suas #finançaspessoais? 
👉 https://t.co/q1BKiQQGiR
#planejamentofinanceiro
#investimentos
#rendafixa
#orçamentodoméstico
#updateyourfinances
#updateconsultoria</t>
  </si>
  <si>
    <t>Comenta QUERO e vou te enviar o link da plataforma de investimentos de alta rentabilidade.
🎯| Siga @gaspartrajano
📥| Salve para ver depois de novo!⠀
.
.
.
#poupardinheiro
#inteligenciafinanceira
#organizacaofinanceira
#saudefinanceira
#dicasfinanceiras https://t.co/dUXPeRf2Wg</t>
  </si>
  <si>
    <t>💼💰 A disciplina é fundamental para o sucesso nos investimentos. Crie um plano financeiro, defina metas e acompanhe seu progresso regularmente. 
Pequenos passos podem levar a grandes resultados! #Investimentos #PlanejamentoFinanceiro #XZiBank</t>
  </si>
  <si>
    <t>Maximize a gestão financeira da sua empresa com um plano de contas contábil eficiente. Saiba como no nosso novo artigo! #planocontas #gestãofinanceira #organizaçãofinanceira https://t.co/Kz7h78ltvo</t>
  </si>
  <si>
    <t>📈💼 Aumente seu patrimônio, invista com sabedoria e conquiste seus objetivos financeiros! ✨💰 Com um planejamento sólido e estratégico, você está no caminho certo para o sucesso. Vamos juntos nessa jornada de prosperidade! 💪🚀 #Patrimônio #Investimento #PlanejamentoFinanceiro https://t.co/lGOtN1cCqP</t>
  </si>
  <si>
    <t>Fuja dos juros do financiamento! 💰✋ O Consórcio é a alternativa inteligente para planejar suas compras sem pagar juros abusivos! 💪💡 #consorcio  #semjuros #planejamentofinanceiro https://t.co/WG7eBaB7D0</t>
  </si>
  <si>
    <t>Progressive Car Insurance Near Me
Are you looking to buy Progressive Car Insurance? This article will give you the secrets to getting the best insurance rates.
Website:- https://t.co/VjVbG9wdsW
#agentfrio #planejamentofinanceiro #blindagempatrimonial #seguros #segurosdevida https://t.co/ctiIAeVG2N</t>
  </si>
  <si>
    <t>#capitaldegiro #emprestimoparaempresas #metalurgia #investimento #crescimentodeempresas #financiamento #negócios #produtividade #estratégia #planejamentofinanceiro #capitalizeja</t>
  </si>
  <si>
    <t>#emprestimoparaempresas #transporte #investimento #crescimentodeempresas #financiamento #negócios #logística #eficiência #planejamentofinanceiro #capitalizeja</t>
  </si>
  <si>
    <t>A educação financeira é fundamental para o controle do dinheiro, evitando dívidas e alcançando estabilidade financeira. Saiba mais: https://t.co/eEQKqPFbdm
 #controledegastos #educaçãofinanceira #equilíbriofinanceiro #investimentos #planejamentofinanceiro</t>
  </si>
  <si>
    <t>Aprender a cuidar do seu dinheiro é fundamental para construir um futuro financeiro estável. Educação financeira é a chave. Saiba mais: https://t.co/dRIDQK6Dqz
 #finançaspessoais #investimentos #orçamento #planejamentofinanceiro #poupança</t>
  </si>
  <si>
    <t>Aprenda a fazer seu planejamento financeiro pessoal, organizar suas finanças, economizar e investir para alcançar objetivos. Saiba mais: https://t.co/B9ax6dgmxH
 #investimentos #metasfinanceiras #orçamento #planejamentofinanceiro #poupança</t>
  </si>
  <si>
    <t>O planejamento financeiro mantém suas finanças pessoais em ordem. Saiba mais: https://t.co/LpKZk491iB
 #economiadoméstica #finançaspessoais #gestãofinanceira #orçamentopessoal #planejamentofinanceiro</t>
  </si>
  <si>
    <t>Consórcios são alternativas planejadas para realizar sonhos de consumo. Saiba mais: https://t.co/kOh1wFGvva
 #compradebens #consórcio #financiamento #investimento #planejamentofinanceiro</t>
  </si>
  <si>
    <t>Gestão financeira é crucial para o sucesso de uma empresa. Aprenda a gerenciar suas finanças. Saiba mais: https://t.co/HjLNxPoUaE
 #contabilidade #finanças #fluxodecaixa #gestão #planejamentofinanceiro</t>
  </si>
  <si>
    <t>Com o fim de 2022 e a expectativa da chegada dos gastos recorrentes no início de 2023, muitos brasileiros já precisam se programar financeiramente para gastos como o IPVA [https://t.co/eFHyQ1LiPz] #IPVA #IPVA2023 #planejamentofinanceiro #impostos https://t.co/tSGjciDby4</t>
  </si>
  <si>
    <t>Não deixe seu futuro financeiro ao acaso! Invista tempo e esforço em um planejamento financeiro sólido para garantir uma jornada tranquila rumo à estabilidade e prosperidade. 💰✨ #PlanejamentoFinanceiro #EstabilidadeFinanceira #ProsperidadeFinanceira #RumoAoSucesso
Agende um… https://t.co/5DgbQ1dkJA</t>
  </si>
  <si>
    <t>5 Dicas Essenciais para Realizar o Sonho da Casa Própria! 🏡💫
#imovelstar #casapropria #realizandosonhos #compradesdecasa #investimentoimobiliario #planejamentofinanceiro #economiaparacasa #mercadoimobiliário #creditoimobiliario #familiafeliz #meular https://t.co/leyq4vsUUx</t>
  </si>
  <si>
    <t>Dica Rápida:
Legenda: "💡 Dica do dia: Economizar é tão importante quanto ganhar. Mantenha um registro de suas despesas para identificar onde você pode cortar gastos e direcionar esse dinheiro para seus objetivos financeiros. 💪💸 #Economizar #PlanejamentoFinanceiro</t>
  </si>
  <si>
    <t>O dinheiro não deve ser um fim em si mesmo, mas sim uma ferramenta para alcançar seus objetivos e sonhos. Invista em suas metas financeiras e comece a construir um futuro mais próspero para você e sua família. #planejamentofinanceiro #metasfinanceiras</t>
  </si>
  <si>
    <t>Não importa quanto você ganha - se você não sabe como administrar seu dinheiro, nunca terá a sensação de estar financeiramente seguro. Invista em sua educação financeira e comece a tomar controle de sua vida. #educaçãofinanceira #planejamentofinanceiro</t>
  </si>
  <si>
    <t>Se você quer ter sucesso financeiro, precisa ter um plano. Comece organizando suas finanças e definindo seus objetivos para o futuro. #organizaçãofinanceira #sucessofinanceiro https://t.co/mpTrvBsAac</t>
  </si>
  <si>
    <t>Finanças desorganizadas só causam estresse . . .
#finanças #controlefinanceiro #organizaçãofinanceira</t>
  </si>
  <si>
    <t>#controlefinanceiro #finanças #organizaçãofinanceira ⚡ https://t.co/cFKb5ZN4I3</t>
  </si>
  <si>
    <t>Lembre-se sempre: o sucesso financeiro não acontece da noite para o dia. É construído com paciência, disciplina e decisões inteligentes. 💪💼 #Finanças #educacaofinanceira #financeiro #Financial #planejamentofinanceiro</t>
  </si>
  <si>
    <t>Planejamento:
A falta de planejamento antes de fazer qualquer coisa, é a maior armadilha para o seu bolso.
Não deixe seu dinheiro ir pelo ralo por não planejar sua vida, seus negócios, suas compras, suas viagens etc…..
#planejamentofinanceiro</t>
  </si>
  <si>
    <t>Fuja das dívidas com esses 5 passos comprovados. Saiba mais: https://t.co/PouELjvYAS
 #SairDasDívidas #FinançasSaudáveis #PlanejamentoFinanceiro</t>
  </si>
  <si>
    <t>Desvendando o consórcio: uma alternativa de investimento a considerar. Saiba mais: https://t.co/UvmqYYw1dy
 #Consórcio #InvestimentoProgramado #PlanejamentoFinanceiro</t>
  </si>
  <si>
    <t>Planejar o futuro financeiro é um dos maiores desafios que os casais enfrentam. Saiba como planejamento financeiro para casais. Saiba mais: https://t.co/iXHZHhqIez
 #finanças #investimento #planejamentofinanceiro</t>
  </si>
  <si>
    <t>Descubra dicas práticas sobre como lidar com a dívida e saiba como criar um plano de pagamento para ajudar a gerenciar suas finanças. Saiba mais: https://t.co/cdPwZALR5A
 #dívida #finanças #planejamentofinanceiro</t>
  </si>
  <si>
    <t>Have you ever wondered which is the largest company in the world?
#finance #liberdadefinanceira #personalfinance #mercadofinanceiro #finances #educacaofinanceira #independenciafinanceira #planejamentofinanceiro #refinance #sucessofinanceiro #financeiro #financetips https://t.co/hGSQPYyvJD</t>
  </si>
  <si>
    <t>Previsibilidade e bem-estar já nos primeiros dias! Esses são só alguns benefícios de uso da Organizze. Confira mais alguns na segunda imagem! 😉
Acesse a loja de aplicativos do seu celular, baixe o app da Organizze e comece a viver em paz com as suas finanças. https://t.co/K72gXNqMbK</t>
  </si>
  <si>
    <t>Já parou para pensar nos seus sonhos e metas financeiras? Junho é um ótimo mês para traçar um plano e começar a persegui-los com determinação💪✨
#PlanejamentoFinanceiro #Organizze</t>
  </si>
  <si>
    <t>Organizzação é a chave para o sucesso! 
Comece a semana agendando suas contas e compromissos financeiros no Organizze. Receba notificações e evite atrasos, garantindo o equilíbrio financeiro. 💪💼 
#OrganizaçãoFinanceira #OrganizzeApp</t>
  </si>
  <si>
    <t>Ontem foi organizar as finanças do mês no @organizze. Não sosseguei até descobrir onde estava um valor de R$ 5,50 de alguma despesa que não foi lançada. Pois sou desses. Nem  5 centavos passa fora do planejado. https://t.co/8gChdFJ5KM</t>
  </si>
  <si>
    <t>#organizze #financaspessoais #app #web #planejamentofinanceiro #gestaofinanceira</t>
  </si>
  <si>
    <t>💰 Trabalhador autônomo organizado: saiba como criar um planejamento financeiro
#mercadofinanceiro #investimentos
https://t.co/5eOdq1vNyB</t>
  </si>
  <si>
    <t>#organizzados #planejamentofinanceiro #financaspessoais #organizze</t>
  </si>
  <si>
    <t>O que imaginam x o que é verdade sobre planejamento financeiro. 
E você, o que pensava a respeito de um planejamento financeiro?
#finanças #investimentos #planejamentofinanceiro #2023 https://t.co/Dy608sS80x</t>
  </si>
  <si>
    <t>E eu nem falei das três coisas que todo mundo diz que pode fazer sozinho mas nunca faz… algum palpite? 
#movimento #futuro #foconoobjetivo #saude #planejamentofinanceiro https://t.co/Jw2VbbcEUK</t>
  </si>
  <si>
    <t>A conta demora mas ela chega. A escolha do quanto vamos pagar é nossa e não precisa ser caro.
#planejamentofinanceiro #investimentos #saudefinanceira #futuro #consultoriafinanceirapessoal https://t.co/oIk8Qn3Op6</t>
  </si>
  <si>
    <t>Nem todo o Faturamento que entra na conta da sua empresa é lucro!
Saiba mais sobre em:
https://t.co/je2QaLNOpn
#chatguru #planejamentofinanceiro #fluxodecaixa #comogerenciar #empresas #dicasdegestao https://t.co/AMfGbnsVGv</t>
  </si>
  <si>
    <t>Assessores de Investimentos, Corretores de Seguros e Corretores de Imóveis terão um melhor resultado se passarem a atuar com um modelo de atendimento de planejamento financeiro, disponível na ISI Educacional. #planejamentofinanceiro #investimentos #seguros #imoveis</t>
  </si>
  <si>
    <t>... Dessa forma, haverá evolução na jornada rumo as metas e objetivos futuros.  
A Brava pode te ajudar a atingir seus objetivos financeiros. 
Entre em contato! 
#desafios #planejamentofinanceiro #assessoria #empresas</t>
  </si>
  <si>
    <t>O conceito de retornos compostos funciona muito bem a longo prazo, sendo assim, não perca tempo e comece a se planejar financeiramente AGORA! 
Conte com a Brava para te auxiliar! 
#planejamentofinanceiro #juroscompostos #aposentadoria #motivacional</t>
  </si>
  <si>
    <t>#planejamentofinanceiro #motivacional #mercadofinanceiro #aposentadoria</t>
  </si>
  <si>
    <t>Entre em contato com a Brava!
#investimentos #planejamentofinanceiro #mercadofinanceiro #sonho</t>
  </si>
  <si>
    <t>Conte com a Brava para te ajudar com sua carteira de investimentos! 
#Bolsadevalores #Efeitomanada #planejamentofinanceiro #assessoria #contrarian #carteiraadministada</t>
  </si>
  <si>
    <t>... direção ao sucesso pois até os mais experientes precisam de uma perspectiva externa para não se perder.
Conte com a Brava para te acompanhar nessa jornada!
#Planejamentofinanceiro #independenciafinanceira #investimentos #assessoria</t>
  </si>
  <si>
    <t>... emocionais incluindo o excesso de confiança.  
Conte com a Brava! 
#viescomportamental #rapidoedevagar #planejamentofinanceiro #assessoria</t>
  </si>
  <si>
    <t>💰 Dica de ouro: Antes de investir, tenha suas finanças pessoais em ordem. Estabeleça metas financeiras claras e crie um plano para alcançá-las. #FinançasPessoais #PlanejamentoFinanceiro</t>
  </si>
  <si>
    <t>Confira as condições para saber se você precisa declarar seu IR em 2023 e evite surpresas desagradáveis! 🏦📊 #impostoderenda #finanças #planejamentofinanceiro https://t.co/AhRW8RZ5kk</t>
  </si>
  <si>
    <t>A importância do planejamento financeiro a longo prazo e como isso pode garantir um futuro financeiro estável https://t.co/VbY5ZFWekx #planejamentofinanceiro #desenvolvimentopessoal</t>
  </si>
  <si>
    <t>https://t.co/Smf6rnp1xk
#ControleDeGastos #SaúdeFinanceira #MetasFinanceiras #PlanejamentoFinanceiro #EducaçãoFinanceira #DicasFinanceiras #VidaFinanceira #EquilíbrioFinanceiro #OrganizaçãoFinanceira #IndependênciaFinanceira</t>
  </si>
  <si>
    <t>Em nosso novo artigo, você encontrará dicas essenciais para reduzir despesas, aumentar sua poupança e construir um futuro financeiramente sólido. 💪💼
https://t.co/Wi7Y34mODy
 #OrçamentoPessoal #MetasFinanceiras #PlanejamentoFinanceiro</t>
  </si>
  <si>
    <t>Invista nas vendas a prazo e não se preocupe. Cliente Dank! FIDC recebe à vista seus recebíveis, mantendo o fluxo de caixa sempre equilibrado.  😉
Saiba mais:  📞47 3054 3398 (WhatsApp) 
#Dank #FIDC #antecipacaoderecebiveis #planejamentofinanceiro #gestaofinanceira #economia https://t.co/YHZv3rPElH</t>
  </si>
  <si>
    <t>Hey, 
Cliente Dank FIDC, mantenha o cadastro da sua empresa atualizado e quando precisar, tenha acesso a acesso aos seus recebíveis de forma ágil e  segura!
Entre em contato e saiba mais: 📞47 3054 3398 (WhatsApp) 
#Dank #FIDC #antecipacaoderecebiveis #planejamentofinanceiro https://t.co/BV0ilQ2P3F</t>
  </si>
  <si>
    <t>Antecipar seus Recebíveis é:
🔅 Fácil  
🔅 Rápido 
🔅 Seguro  
🔅 E 100% online!
Simples assim👍! Converse com um de nossos especialistas através do WhatsApp: 📞47 3054 3398  (ou link na bio👆).  
#Dank #FIDC #antecipacaoderecebiveis #planejamentofinanceiro #gestaofinanceira https://t.co/5kNKsMo16n</t>
  </si>
  <si>
    <t>#CavukaJoséAmaral
#inteligenciafinanceira #dinheiro #financas #financaspessoais #educacaofinanceira #investimento #finançaspessoais #planejamentofinanceiro #financaparatodos #sonhos #gestãofinanceira via Izabel Rocha Transformasie
#VamosConversando https://t.co/dvTDnRF8dt</t>
  </si>
  <si>
    <t>O planejamento financeiro pessoal é crucial para garantir estabilidade e alcançar objetivos.
[...] Leia mais no Blog!
#FinançasPessoais #EducaçãoFinanceira #Investimentos #Poupança #OrçamentoFamiliar #GestãoDoDinheiro #PlanejamentoFinanceiro
https://t.co/Sn5Ityvyom https://t.co/bSsn77dzVv</t>
  </si>
  <si>
    <t>A segurança financeira é fundamental para reduzir o estresse e garantir o bem-estar.
[...] Leia mais no Blog!
#FinançasPessoais #EducaçãoFinanceira #Investimentos #Poupança #OrçamentoFamiliar #GestãoDoDinheiro #PlanejamentoFinanceiro #Endividamento
https://t.co/sUXPJ4dRXw https://t.co/m2ELI5ojG5</t>
  </si>
  <si>
    <t>As taxas de juros em contas de poupança têm um impacto significativo no retorno do seu dinheiro ao longo do tempo. 
#FinançasPessoais #EducaçãoFinanceira #Investimentos #PlanejamentoFinanceiro #DicasFinanceiras #OrçamentoPessoal #Poupança
https://t.co/z0qj2zCiFQ https://t.co/zKlQb1uwvj</t>
  </si>
  <si>
    <t>Muitas pessoas lutam para equilibrar o orçamento e acabam ficando no vermelho.
[...] Leia mais no Blog!
#FinançasPessoais #EducaçãoFinanceira #Investimentos #Poupança #OrçamentoFamiliar #GestãoDoDinheiro #PlanejamentoFinanceiro #Endividamento
https://t.co/G8w9GJKam2 https://t.co/z5NhwtOh5p</t>
  </si>
  <si>
    <t>Aprenda a dominar a arte de pensar sobre dinheiro e gerenciar suas finanças de forma eficiente.
[...] Leia mais no Blog!
#FinançasPessoais #EducaçãoFinanceira #Investimentos #Poupança #OrçamentoFamiliar #GestãoDoDinheiro #PlanejamentoFinanceiro
https://t.co/rTdmiyYxMv https://t.co/DVIVn7wdW1</t>
  </si>
  <si>
    <t>Leia mais sobre a resenha do livro Mindset Financeiro, disponível na Amazon.
[...] Leia mais no Blog!
#FinançasPessoais #EducaçãoFinanceira #Investimentos #Poupança #OrçamentoFamiliar #GestãoDoDinheiro #PlanejamentoFinanceiro #Endividamento
https://t.co/RDAeAJ6P0R https://t.co/oOqE3drE6h</t>
  </si>
  <si>
    <t>Investir é importante para garantir um futuro financeiro estável e confortável.
[...] Leia mais no Blog!
#FinançasPessoais #EducaçãoFinanceira #Investimentos #Poupança #OrçamentoFamiliar #GestãoDoDinheiro #PlanejamentoFinanceiro #Endividamento
https://t.co/bTa5VPvph5 https://t.co/mdWBPCasuT</t>
  </si>
  <si>
    <t>Um plano financeiro pessoal é essencial para alcançar a estabilidade financeira a longo prazo.
[...] Leia mais no Blog!
#FinançasPessoais #EducaçãoFinanceira #Investimentos #Poupança #OrçamentoFamiliar #GestãoDoDinheiro #PlanejamentoFinanceiro
https://t.co/lArAnX82Yd https://t.co/bBQjSDkecD</t>
  </si>
  <si>
    <t>Descubra como uma mentalidade financeira pode mudar sua vida para melhor.
[...] Leia mais no Blog!
#FinançasPessoais #EducaçãoFinanceira #Investimentos #Poupança #OrçamentoFamiliar #GestãoDoDinheiro #PlanejamentoFinanceiro #Endividamento #Aposentadoria
https://t.co/oVAKNYUZ5F https://t.co/VNvIM8ZjX5</t>
  </si>
  <si>
    <t>Descubra a importância de ter uma reserva de emergência para lidar com despesas inesperadas.
[...] Leia mais no Blog!
#FinançasPessoais #EducaçãoFinanceira #Investimentos #Poupança #OrçamentoFamiliar #GestãoDoDinheiro #PlanejamentoFinanceiro
https://t.co/glE27Zd5aF https://t.co/KjStm8WjGe</t>
  </si>
  <si>
    <t>Descubra neste artigo as três verdades fundamentais que você precisa aceitar para ficar rico.
[...] Leia mais no Blog!
#FinançasPessoais #EducaçãoFinanceira #Investimentos #Poupança #OrçamentoFamiliar #GestãoDoDinheiro #PlanejamentoFinanceiro
https://t.co/nCfEwUPTLb https://t.co/8XRTeilU1u</t>
  </si>
  <si>
    <t>O Brasil é um país de contrastes, onde a riqueza e a pobreza coexistem lado a lado.
[...] Leia mais no Blog!
#FinançasPessoais #EducaçãoFinanceira #Investimentos #Poupança #OrçamentoFamiliar #GestãoDoDinheiro #PlanejamentoFinanceiro #Endividamento
https://t.co/Ue7m4R9RQB https://t.co/unp5tvC53P</t>
  </si>
  <si>
    <t>Descubra os 5 passos práticos para aumentar seu patrimônio e construir riqueza.
[...] Leia mais no Blog!
#FinançasPessoais #EducaçãoFinanceira #Investimentos #Poupança #OrçamentoFamiliar #GestãoDoDinheiro #PlanejamentoFinanceiro #Endividamento
https://t.co/gli1DbzVfS https://t.co/17ua4B95ll</t>
  </si>
  <si>
    <t>Para aumentar seu patrimônio, é essencial adotar um mindset financeiro adequado.
[...] Leia mais no Blog!
#FinançasPessoais #EducaçãoFinanceira #Investimentos #Poupança #OrçamentoFamiliar #GestãoDoDinheiro #PlanejamentoFinanceiro #Endividamento
https://t.co/knsmwHzTZU https://t.co/7XB4SG0yAP</t>
  </si>
  <si>
    <t>Viver uma vida frugal não significa abrir mão de tudo o que você ama, mas sim fazer escolhas conscientes e adotar hábitos financeiros 
#FinançasPessoais #EducaçãoFinanceira #Investimentos #PlanejamentoFinanceiro #DicasFinanceiras #OrçamentoPessoal
https://t.co/ktZfOqoyfX https://t.co/VvezshV4Pq</t>
  </si>
  <si>
    <t>Viver uma vida frugal não significa abrir mão de tudo o que você ama, mas sim fazer escolhas conscientes e adotar hábitos financeiros 
#FinançasPessoais #EducaçãoFinanceira #Investimentos #PlanejamentoFinanceiro #DicasFinanceiras #OrçamentoPessoal
https://t.co/ktZfOqoyfX https://t.co/Ylu8Naltip</t>
  </si>
  <si>
    <t>As taxas de juros em contas de poupança têm um impacto significativo no retorno do seu dinheiro ao longo do tempo. 
#FinançasPessoais #EducaçãoFinanceira #Investimentos #PlanejamentoFinanceiro #DicasFinanceiras #OrçamentoPessoal #Poupança
https://t.co/G69VoUBQwQ https://t.co/5LgbQZDR2P</t>
  </si>
  <si>
    <t>A maioria dos brasileiros tem uma visão negativa de sua situação financeira.
[...] Leia mais no Blog!
#FinançasPessoais #EducaçãoFinanceira #Investimentos #Poupança #OrçamentoFamiliar #GestãoDoDinheiro #PlanejamentoFinanceiro #Endividamento
https://t.co/G3dWRKkMb3 https://t.co/XBPcccw4RK</t>
  </si>
  <si>
    <t>Educação Financeira através da Inteligência Artificial. A inteligência artificial (IA)
[...] Leia mais no Blog!
#FinançasPessoais #EducaçãoFinanceira #Investimentos #Poupança #OrçamentoFamiliar #GestãoDoDinheiro #PlanejamentoFinanceiro #Endividamento
https://t.co/h4gmABzp0B https://t.co/bRZhdBSj3f</t>
  </si>
  <si>
    <t>Descubra por que a segurança financeira deve ser sua principal prioridade.
[...] Leia mais no Blog!
#FinançasPessoais #EducaçãoFinanceira #Investimentos #Poupança #OrçamentoFamiliar #GestãoDoDinheiro #PlanejamentoFinanceiro #Endividamento #Aposentadori
https://t.co/o490JP39Y7 https://t.co/vPtlDBF5dI</t>
  </si>
  <si>
    <t>Descubra 6 passos eficazes para quitar suas dívidas e evitar novas despesas.
[...] Leia mais no Blog!
#FinançasPessoais #EducaçãoFinanceira #Investimentos #Poupança #OrçamentoFamiliar #GestãoDoDinheiro #PlanejamentoFinanceiro #Endividamento
https://t.co/ErnNucQ86x https://t.co/JBlrRXU236</t>
  </si>
  <si>
    <t>Gostou do conteúdo?
Segue aê ➡️ @workshopdantas
#educacaofinanceira #empreendedor #dinheiro #finanças #reflexao #empreendedorismo #vendermais #organizacaofinanceira #rendaextra #rendaextraemcasa #marketingdigital #vendedor #direita #conservador @roxmo https://t.co/Q1ucx4Xvon</t>
  </si>
  <si>
    <t>A casa caiu pra @LulaOficial
Gostou do conteúdo?
Segue aê ➡️ @workshopdantas
#educacaofinanceira #empreendedor #dinheiro #finanças #reflexao #empreendedorismo #vendermais #organizacaofinanceira #rendaextra #marketingdigital #vendedor #direita #conservador #hugocarvajal https://t.co/JLBv6RNJnv</t>
  </si>
  <si>
    <t>Gostou do conteúdo?
Segue aê ➡️ @workshopdantas
#educacaofinanceira #empreendedor #dinheiro #finanças #reflexao #empreendedorismo #vendermais #organizacaofinanceira #rendaextra #rendaextraemcasa #marketingdigital #vendedor #direita #conservador @rmotta2 https://t.co/bMIoHTQCnE</t>
  </si>
  <si>
    <t>Gostou do conteúdo?
Segue aê ➡️ @workshopdantas
@Damadeferroofic #empreendedor #dinheiro #finanças #reflexao #empreendedorismo #vendermais #organizacaofinanceira #rendaextra #rendaextraemcasa #marketingdigital #vendedor #direita #conservador #margaretthatcher https://t.co/YgWWLLQNFV</t>
  </si>
  <si>
    <t>Gostou do conteúdo?
Segue aê ➡️ @workshopdantas
#educacaofinanceira #empreendedor #dinheiro #finanças #reflexao #empreendedorismo #vendermais #organizacaofinanceira #rendaextra #rendaextraemcasa #marketingdigital #vendedor #direita #conservador #jimryun https://t.co/yQlK9Pfwdw</t>
  </si>
  <si>
    <t>Gostou do conteúdo?
Segue aê ➡️ @workshopdantas
#educacaofinanceira #empreendedor #dinheiro #finanças #reflexao #empreendedorismo #vendermais #organizacaofinanceira #rendaextra #rendaextraemcasa #marketingdigital #vendedor #direita #conservador #petralha https://t.co/pzdSPQPiTy</t>
  </si>
  <si>
    <t>Gostou do conteúdo?
Segue aê ➡️ @workshopdantas
#educacaofinanceira #empreendedor #dinheiro #finanças #reflexao #empreendedorismo #vendermais #organizacaofinanceira #rendaextra #rendaextraemcasa #marketingdigital #vendedor #direita #conservador #JanVanEllam https://t.co/HYrgcHys3x</t>
  </si>
  <si>
    <t>Gostou do conteúdo?
Segue aê ➡️ @workshopdantas
#educacaofinanceira #empreendedor #dinheiro #finanças #reflexao #empreendedorismo #vendermais #organizacaofinanceira #rendaextra #rendaextraemcasa #marketingdigital #vendedor #direita #conservador #EuSigoBolsonaro https://t.co/hI3pMbtUNM</t>
  </si>
  <si>
    <t>Direita conservadora, vamos nos unir e derrotar essa esquerda que rouba nosso país!
Gostou do conteúdo?
Segue aê ➡️ @workshopdantas
#educacaofinanceira #reflexao #empreendedorismo #vendermais #organizacaofinanceira #rendaextraemcasa #marketingdigital 
 #direita #conservador https://t.co/rQvpgHi6vD</t>
  </si>
  <si>
    <t>Gostou do conteúdo?
Segue aê ➡️ @workshopdantas
#educacaofinanceira #empreendedor #dinheiro #finanças #reflexao #empreendedorismo #vendermais #organizacaofinanceira #rendaextra #rendaextraemcasa #marketingdigital #vendedor #filosofia #freud https://t.co/olpgFNo4dR</t>
  </si>
  <si>
    <t>Gostou do conteúdo?
Segue aê ➡️ @workshopdantas
#educacaofinanceira #empreendedor #dinheiro #finanças #reflexao #empreendedorismo #vendermais #organizacaofinanceira #rendaextra #rendaextraemcasa #marketingdigital #vendedor #direita #conservador #fazueli https://t.co/brVp3APExQ</t>
  </si>
  <si>
    <t>🛒 Adquira a maior grade de canais !
Gostou do conteúdo?
Segue aê ➡️ @workshopdantas
#educacaofinanceira #empreendedor #dinheiro #finanças #reflexao #empreendedorismo #vendermais #organizacaofinanceira #rendaextra #rendaextraemcasa #marketingdigital #vendedor #tvonline https://t.co/ZX0NO8bTfX</t>
  </si>
  <si>
    <t>Gostou do conteúdo?
Segue aê ➡️ @workshopdantas
#educacaofinanceira #empreendedor #dinheiro #finanças #reflexao #empreendedorismo #vendermais #organizacaofinanceira #rendaextra #rendaextraemcasa #marketingdigital #vendedor #direita #conservador #haddadposte https://t.co/Jo6RZLA8jS</t>
  </si>
  <si>
    <t>Gostou do conteúdo?
Segue aê ➡️ @workshopdantas
#educacaofinanceira #empreendedor #dinheiro #finanças #reflexao #empreendedorismo #vendermais #organizacaofinanceira #rendaextra #rendaextraemcasa #marketingdigital #vendedor #direita #conservador #JidduKrishnamurti https://t.co/4sdslZVVN3</t>
  </si>
  <si>
    <t>Gostou do conteúdo?
Segue aê ➡️ @workshopdantas
#educacaofinanceira #empreendedor #dinheiro #finanças #reflexao #empreendedorismo #vendermais #organizacaofinanceira #rendaextra #rendaextraemcasa #marketingdigital #vendedor #direita #conservador #flaviodinocomunista https://t.co/XfZPoGBbdQ</t>
  </si>
  <si>
    <t>Gostou do conteúdo?
Segue aê ➡️ @workshopdantas
#educacaofinanceira #empreendedor #dinheiro #finanças #reflexao #empreendedorismo #vendermais #organizacaofinanceira #rendaextra #rendaextraemcasa #marketingdigital #vendedor #sportrecife #maiordonordeste https://t.co/KZEUlt17Qz</t>
  </si>
  <si>
    <t>Gostou do conteúdo?
Segue aê ➡️ @workshopdantas
#educacaofinanceira #empreendedor #dinheiro #finanças #reflexao #empreendedorismo #vendermais #organizacaofinanceira #rendaextra #rendaextraemcasa #marketingdigital #vendedor #direita #conservador #olavotemrazao https://t.co/LLEz2CNBya</t>
  </si>
  <si>
    <t>Gostou do conteúdo?
Segue aê ➡️ @workshopdantas
#educacaofinanceira #empreendedor #dinheiro #finanças #reflexao #empreendedorismo #vendermais #organizacaofinanceira #rendaextra #rendaextraemcasa #marketingdigital #vendedor #direita #conservador #zedirceu #petêadmitiu https://t.co/BOgCe1KnUc</t>
  </si>
  <si>
    <t>Gostou do conteúdo?
Segue aê ➡️ @workshopdantas
#educacaofinanceira #empreendedor #dinheiro #finanças #reflexao #empreendedorismo #vendermais #organizacaofinanceira #rendaextra #rendaextraemcasa #marketingdigital #vendedor #direita #conservador #napoleonhill https://t.co/QfJutJsScH</t>
  </si>
  <si>
    <t>Gostou do conteúdo?
Segue aê ➡️ @workshopdantas
#educacaofinanceira #empreendedor #dinheiro #finanças #reflexao #empreendedorismo #vendermais #organizacaofinanceira #rendaextra #rendaextraemcasa #marketingdigital #vendedor #direita #conservador #streaming https://t.co/39V33Y0wvI</t>
  </si>
  <si>
    <t>Gostou do conteúdo?
Segue aê ➡️ @workshopdantas
#educacaofinanceira #empreendedor #dinheiro #finanças #reflexao #empreendedorismo #vendermais #organizacaofinanceira #rendaextra #rendaextraemcasa #marketingdigital #vendedor #direita #conservador #nom https://t.co/pv17et6z0Q</t>
  </si>
  <si>
    <t>Gostou do conteúdo?
Segue aê ➡️ @workshopdantas
#educacaofinanceira #empreendedor #dinheiro #finanças #reflexao #empreendedorismo #vendermais #organizacaofinanceira #rendaextra #rendaextraemcasa #marketingdigital #vendedor #direita #conservador #JimCaviezel https://t.co/yx7kaVzD8F</t>
  </si>
  <si>
    <t>Gostou do conteúdo?
Segue aê ➡️ @workshopdantas
#educacaofinanceira #empreendedor #dinheiro #finanças #reflexao #empreendedorismo #vendermais #organizacaofinanceira #rendaextra #rendaextraemcasa #marketingdigital #vendedor #direita #conservador #rodolfoabrantes https://t.co/phozslIZpe</t>
  </si>
  <si>
    <t>Hoje tem Sport!
Gostou do conteúdo?
Segue aê ➡️ @workshopdantas
#educacaofinanceira #empreendedor #dinheiro #finanças #reflexao #empreendedorismo #vendermais #organizacaofinanceira #rendaextra #rendaextraemcasa #marketingdigital #vendedor #crb #sport #serieb2023 https://t.co/3P9O2p6kce</t>
  </si>
  <si>
    <t>Gostou do conteúdo?
Segue aê ➡️ @workshopdantas
#educacaofinanceira #empreendedor #dinheiro #finanças #reflexao #empreendedorismo #vendermais #organizacaofinanceira #rendaextra #rendaextraemcasa #marketingdigital #JohnnyDepp https://t.co/gzLoYiY7Zq</t>
  </si>
  <si>
    <t>Gostou do conteúdo?
Segue aê ➡️ @workshopdantas
#educacaofinanceira #empreendedor #dinheiro #finanças #reflexao #empreendedorismo #vendermais #organizacaofinanceira #rendaextra #rendaextraemcasa #marketingdigital #vendedor #direita #conservador #pilhado https://t.co/eXb61y5lGE</t>
  </si>
  <si>
    <t>Gostou do conteúdo?
Segue aê ➡️ @workshopdantas
#educacaofinanceira #empreendedor #dinheiro #finanças #reflexao #empreendedorismo #vendermais #organizacaofinanceira #rendaextra #rendaextraemcasa #marketingdigital #vendedor #direita #conservador #victorfasano https://t.co/T76eN7uZIK</t>
  </si>
  <si>
    <t>Gostou do conteúdo?
Segue aê ➡️ @workshopdantas
#educacaofinanceira #empreendedor #dinheiro #finanças #reflexao #empreendedorismo #vendermais #organizacaofinanceira #rendaextra #rendaextraemcasa #marketingdigital #vendedor #nom #iluminate #desperte https://t.co/wXI2khBtvt</t>
  </si>
  <si>
    <t>Gostou do conteúdo?
Segue aê ➡️ @workshopdantas
#educacaofinanceira #empreendedor #dinheiro #finanças #reflexao #empreendedorismo #vendermais #organizacaofinanceira #rendaextra #rendaextraemcasa #marketingdigital #vendedor #direita #conservador #FAZOL #magazineluiza https://t.co/44MEbmkRoT</t>
  </si>
  <si>
    <t>Gostou do conteúdo?
Segue aê ➡️ @workshopdantas
#educacaofinanceira #empreendedor #dinheiro #finanças #reflexao #empreendedorismo #vendermais #organizacaofinanceira #rendaextra #rendaextraemcasa #marketingdigital #vendedor #direita #conservador #8dejaneiro https://t.co/m1GM6gexab</t>
  </si>
  <si>
    <t>Gostou do conteúdo?
Segue aê ➡️ @workshopdantas
#educacaofinanceira #empreendedor #dinheiro #finanças #reflexao #empreendedorismo #vendermais #organizacaofinanceira #rendaextra #rendaextraemcasa #marketingdigital #vendedor #direita #conservador https://t.co/nTW40XR362</t>
  </si>
  <si>
    <t>Gostou do conteúdo?
Segue aê ➡️ @workshopdantas
#educacaofinanceira #empreendedor #dinheiro #finanças #reflexao #empreendedorismo #vendermais #organizacaofinanceira #rendaextra #marketingdigital #vendedor #direita #conservador #pedofilia #CriancaEsperanca #FazoL https://t.co/wSVLk5ibYI</t>
  </si>
  <si>
    <t>Gostou do conteúdo?
Segue aê ➡️ @workshopdantas
#educacaofinanceira #empreendedor #dinheiro #finanças #reflexao #empreendedorismo #vendermais #organizacaofinanceira #rendaextra #rendaextraemcasa #marketingdigital #vendedor #direita #conservador #thomasedison https://t.co/LNDpkgoFgZ</t>
  </si>
  <si>
    <t>Gostou do conteúdo?
Segue aê ➡️ @workshopdantas
#educacaofinanceira #empreendedor #dinheiro #finanças #reflexao #empreendedorismo #vendermais #organizacaofinanceira #rendaextra #rendaextraemcasa #marketingdigital #vendedor #direita #conservador #josephpulitzer https://t.co/AgXvRGuFIX</t>
  </si>
  <si>
    <t>Gostou do conteúdo?
Segue aê ➡️ @workshopdantas
#educacaofinanceira #empreendedor #dinheiro #finanças #reflexao #empreendedorismo #vendermais #organizacaofinanceira #rendaextra #rendaextraemcasa #marketingdigital #vendedor #direita #conservador #napoleaobonaparte https://t.co/5FbUtjhRXk</t>
  </si>
  <si>
    <t>Gostou do conteúdo?
Segue aê ➡️ @workshopdantas
#educacaofinanceira #empreendedor #dinheiro #finanças #reflexao #empreendedorismo #vendermais #organizacaofinanceira #rendaextra #rendaextraemcasa #marketingdigital #vendedor #direita #conservador #frankzappa https://t.co/QGidm7SUaC</t>
  </si>
  <si>
    <t>Gostou do conteúdo?
Segue aê ➡️ @workshopdantas
#educacaofinanceira #empreendedor #dinheiro #finanças #reflexao #empreendedorismo #vendermais #organizacaofinanceira #rendaextra #rendaextraemcasa #marketingdigital #vendedor #direita #conservador #SoundOfFreedom #Timballard https://t.co/8ygoC1WdQ9</t>
  </si>
  <si>
    <t>Gostou do conteúdo?
Segue aê ➡️ @workshopdantas
#educacaofinanceira #empreendedor #dinheiro #finanças #reflexao #empreendedorismo #vendermais #organizacaofinanceira #rendaextra #rendaextraemcasa #marketingdigital #vendedor #direita #conservador #SoundOfFreedom https://t.co/yJerz5PDMz</t>
  </si>
  <si>
    <t>Gostou do conteúdo?
Segue aê ➡️ @workshopdantas
#educacaofinanceira #empreendedor #dinheiro #finanças #reflexao #empreendedorismo #vendermais #organizacaofinanceira #rendaextra #rendaextraemcasa #marketingdigital #vendedor #direita #conservador #billmurray https://t.co/QWEhCvKbMf</t>
  </si>
  <si>
    <t>Gostou do conteúdo?
Segue aê ➡️ @workshopdantas
#educacaofinanceira #empreendedor #dinheiro #finanças #reflexao #empreendedorismo #vendermais #organizacaofinanceira #rendaextra #rendaextraemcasa #marketingdigital #vendedor #sportrecife #serieb #maiordonordeste https://t.co/0FR5hn7BHP</t>
  </si>
  <si>
    <t>Gostou do conteúdo?
Segue aê ➡️ @workshopdantas
#educacaofinanceira #empreendedor #dinheiro #finanças #reflexao #empreendedorismo #vendermais #organizacaofinanceira #rendaextra #rendaextraemcasa #marketingdigital #vendedor #direita #conservador #genfigueiredo https://t.co/9rMmEdzSt9</t>
  </si>
  <si>
    <t>Gostou do conteúdo?
Segue aê ➡️ @workshopdantas
#educacaofinanceira #empreendedor #dinheiro #finanças #reflexao #empreendedorismo #vendermais #organizacaofinanceira #rendaextra #rendaextraemcasa #marketingdigital #vendedor #direita #conservador #rogerscruton https://t.co/WwEr4p8MMp</t>
  </si>
  <si>
    <t>Gostou do conteúdo?
Segue aê ➡️ @workshopdantas
#educacaofinanceira #empreendedor #dinheiro #finanças #reflexao #empreendedorismo #vendermais #organizacaofinanceira #rendaextra #rendaextraemcasa #marketingdigital #vendedor #epoca #guerra #winstonchurchill https://t.co/fsySUfWg3J</t>
  </si>
  <si>
    <t>Gostou do conteúdo?
Segue aê ➡️ @workshopdantas
#educacaofinanceira #empreendedor #dinheiro #finanças #reflexao #empreendedorismo #vendermais #organizacaofinanceira #rendaextra #rendaextraemcasa #marketingdigital #vendedor #direita #conservador #sergiomoro https://t.co/BdFaEeUQhe</t>
  </si>
  <si>
    <t>Gostou do conteúdo?
Segue aê ➡️ @workshopdantas
#educacaofinanceira #empreendedor #dinheiro #finanças #reflexao #empreendedorismo #vendermais #organizacaofinanceira #rendaextra #rendaextraemcasa #marketingdigital #vendedor #direita #conservador #LuladraoDesgracaEDestruicao https://t.co/A11lLP9JrJ</t>
  </si>
  <si>
    <t>Gostou do conteúdo?
Segue aê ➡️ @workshopdantas
#educacaofinanceira #empreendedor #dinheiro #finanças #reflexao #empreendedorismo #vendermais #organizacaofinanceira #rendaextra #rendaextraemcasa #marketingdigital #vendedor  #tiagomedeiros #SantaCruz #SportRecife https://t.co/w22YiR058r</t>
  </si>
  <si>
    <t>Gostou do conteúdo?
Segue aê ➡️ @workshopdantas
#educacaofinanceira #empreendedor #dinheiro #finanças #reflexao #empreendedorismo #vendermais #organizacaofinanceira #rendaextra #rendaextraemcasa #marketingdigital #vendedor #direita #conservador #flaviodinocomrabopreso https://t.co/M1axAkuVVR</t>
  </si>
  <si>
    <t>Gostou do conteúdo?
Segue aê ➡️ @workshopdantas
#educacaofinanceira #empreendedor #dinheiro #finanças #reflexao #empreendedorismo #vendermais #organizacaofinanceira #rendaextra #rendaextraemcasa #marketingdigital #vendedor #direita #conservador https://t.co/HBe3QMGOW6</t>
  </si>
  <si>
    <t>Gostou do conteúdo?
Segue aê ➡️ @workshopdantas
#educacaofinanceira #empreendedor #dinheiro #finanças #reflexao #empreendedorismo #vendermais #organizacaofinanceira #rendaextra #rendaextraemcasa #marketingdigital #vendedor #direita #conservador #contradrogas https://t.co/bLlSGdUTrw</t>
  </si>
  <si>
    <t>Gostou do conteúdo?
Segue aê ➡️ @workshopdantas
#educacaofinanceira #empreendedor #dinheiro #finanças #reflexao #empreendedorismo #vendermais #organizacaofinanceira #rendaextra #rendaextraemcasa #marketingdigital #vendedor #direita #conservador #brasil #santacruz #feminina https://t.co/H5bSnoCzZD</t>
  </si>
  <si>
    <t>Gostou do conteúdo?
Segue aê ➡️ @workshopdantas
#educacaofinanceira #empreendedor #dinheiro #finanças #reflexao #empreendedorismo #vendermais #organizacaofinanceira #rendaextra #rendaextraemcasa #marketingdigital #vendedor #direita #conservador #robertadams https://t.co/qNCe3beKsP</t>
  </si>
  <si>
    <t>Gostou do conteúdo?
Segue aê ➡️ @workshopdantas
#educacaofinanceira #empreendedor #dinheiro #finanças #reflexao #empreendedorismo #vendermais #organizacaofinanceira #rendaextra #rendaextraemcasa #marketingdigital #vendedor #direita #conservador #arthurschopenhauer https://t.co/FCGrdEF1HL</t>
  </si>
  <si>
    <t>Gostou do conteúdo?
Segue aê ➡️ @workshopdantas
#educacaofinanceira #empreendedor #dinheiro #finanças #reflexao #empreendedorismo #vendermais #organizacaofinanceira #rendaextra #rendaextraemcasa #marketingdigital #vendedor #direita #conservador #brucedickinson #ironmaiden https://t.co/iKIHJNmSA7</t>
  </si>
  <si>
    <t>Gostou do conteúdo?
Segue aê ➡️ @workshopdantas
#educacaofinanceira #empreendedor #dinheiro #finanças #reflexao #empreendedorismo #vendermais #organizacaofinanceira #rendaextra #rendaextraemcasa #marketingdigital #vendedor #morpheus #matrix https://t.co/3gYllBrYbZ</t>
  </si>
  <si>
    <t>Gostou do conteúdo?
Segue aê ➡️ Workshops Dantas 
#educacaofinanceira #empreendedor #dinheiro #finanças #reflexao #empreendedorismo #vendermais #organizacaofinanceira #rendaextra #marketingdigital #vendedor #direita #conservador #contranovaordemmundial #AgainstTheNewWorldOrder https://t.co/3U2tpOCGcs</t>
  </si>
  <si>
    <t>Gostou do conteúdo?
Segue aê ➡️ @workshopdantas
#educacaofinanceira #empreendedor #dinheiro #finanças #reflexao #empreendedorismo #vendermais #organizacaofinanceira #rendaextra #rendaextraemcasa #marketingdigital #vendedor #direita #conservador #FAZOL #casasbahia https://t.co/QgrVi6s1kc</t>
  </si>
  <si>
    <t>Gostou do conteúdo?
Segue aê ➡️ @workshopdantas
#educacaofinanceira #empreendedor #dinheiro #finanças #reflexao #empreendedorismo #vendermais #organizacaofinanceira #rendaextra #rendaextraemcasa #marketingdigital #vendedor #direita #conservador https://t.co/1VgJPPkbNY</t>
  </si>
  <si>
    <t>Gostou do conteúdo?
Segue aê ➡️ @workshopdantas
#educacaofinanceira #empreendedor #dinheiro #finanças #reflexao #empreendedorismo #vendermais #organizacaofinanceira #rendaextra #rendaextraemcasa #marketingdigital #vendedor #direita #conservador https://t.co/AHvfbl4sBc</t>
  </si>
  <si>
    <t>Gostou do conteúdo?
Segue aê ➡️ @workshopdantas
#educacaofinanceira #empreendedor #dinheiro #finanças #reflexao #empreendedorismo #vendermais #organizacaofinanceira #rendaextra #rendaextraemcasa #marketingdigital #vendedor #direita #conservador #bolsonarosempretemrazao https://t.co/oNWeDRsO47</t>
  </si>
  <si>
    <t>Gostou do conteúdo?
Segue aê ➡️ @workshopdantas
#educacaofinanceira #empreendedor #dinheiro #finanças #reflexao #empreendedorismo #vendermais #organizacaofinanceira #rendaextra #rendaextraemcasa #marketingdigital #vendedor #direita #conservador https://t.co/U7OfwrZvZp</t>
  </si>
  <si>
    <t>Gostou do conteúdo?
Segue aê ➡️ @workshopdantas
#educacaofinanceira #empreendedor #dinheiro #finanças #reflexao #empreendedorismo #vendermais #organizacaofinanceira #rendaextra #rendaextraemcasa #marketingdigital #vendedor #direita #conservador #alanwatts https://t.co/7ba0naLJQC</t>
  </si>
  <si>
    <t>Gostou do conteúdo?
Segue aê ➡️ @workshopdantas
#educacaofinanceira #empreendedor #dinheiro #finanças #reflexao #empreendedorismo #vendermais #organizacaofinanceira #rendaextra #rendaextraemcasa #marketingdigital #vendedor #direita #conservador #frankshermanland https://t.co/qLp0p8Xgvn</t>
  </si>
  <si>
    <t>Gostou do conteúdo?
Segue aê ➡️ @workshopdantas
#educacaofinanceira #empreendedor #dinheiro #finanças #reflexao #empreendedorismo #vendermais #organizacaofinanceira #rendaextra #rendaextraemcasa #marketingdigital #vendedor #direita #conservador #esquerdamaldita https://t.co/HbVKbLncHa</t>
  </si>
  <si>
    <t>Gostou do conteúdo?
Segue aê ➡️ @workshopdantas
#educacaofinanceira #empreendedor #dinheiro #finanças #reflexao #empreendedorismo #vendermais #organizacaofinanceira #rendaextra #rendaextraemcasa #marketingdigital #vendedor #direita #conservador #stevenlawson https://t.co/mk7D9lamHX</t>
  </si>
  <si>
    <t>Gostou do conteúdo?
Segue aê ➡️ @workshopdantas
#educacaofinanceira #empreendedor #dinheiro #finanças #reflexao #empreendedorismo #vendermais #organizacaofinanceira #rendaextra #rendaextraemcasa #marketingdigital #vendedor #direita #conservador #olavotemrazao https://t.co/G8LmEkZWIQ</t>
  </si>
  <si>
    <t>"Vantagens de ter um IPTV"
Gostou do conteúdo?
Segue aê ➡️ @workshopdantas
#educacaofinanceira #empreendedor #dinheiro #finanças #reflexao #empreendedorismo #vendermais #organizacaofinanceira #rendaextra #rendaextraemcasa #marketingdigital #vendedor #IPTV https://t.co/PVF2LSsSrw</t>
  </si>
  <si>
    <t>Gostou do conteúdo?
Segue aê ➡️ @workshopdantas
#educacaofinanceira #empreendedor #dinheiro #finanças #reflexao #empreendedorismo #vendermais #organizacaofinanceira #rendaextra #rendaextraemcasa #marketingdigital #vendedor #sportrecife https://t.co/z2rcPOWUvS</t>
  </si>
  <si>
    <t>Gostou do conteúdo?
Segue aê ➡️ @workshopdantas
#educacaofinanceira #empreendedor #dinheiro #finanças #reflexao #empreendedorismo #vendermais #organizacaofinanceira #rendaextra #rendaextraemcasa #marketingdigital #vendedor #direita #conservador #Bolsonaro https://t.co/Md4h4tFasu</t>
  </si>
  <si>
    <t>Gostou do conteúdo?
Segue aê ➡️ @workshopdantas
#educacaofinanceira #empreendedor #dinheiro #finanças #reflexao #empreendedorismo #vendermais #organizacaofinanceira #rendaextra #rendaextraemcasa #marketingdigital #vendedor #direita #conservador #martincooper https://t.co/6yfeGDGsNo</t>
  </si>
  <si>
    <t>Surreal!
Gostou do conteúdo?
Segue aê ➡️ @workshopdantas
#educacaofinanceira #empreendedor #dinheiro #finanças #reflexao #empreendedorismo #vendermais #organizacaofinanceira #rendaextra #rendaextraemcasa #marketingdigital #vendedor #direita #conservador #cuidadocomsuaface https://t.co/cC6hPViO2z</t>
  </si>
  <si>
    <t>Gostou do conteúdo?
Segue aê ➡️ @workshopdantas
#educacaofinanceira #empreendedor #dinheiro #finanças #reflexao #empreendedorismo #vendermais #organizacaofinanceira #rendaextra #rendaextraemcasa #marketingdigital #vendedor #direita #conservador #elonmusk https://t.co/ZsOl04FZD0</t>
  </si>
  <si>
    <t>Gostou do conteúdo?
Segue aê ➡️ @workshopdantas
#educacaofinanceira #empreendedor #dinheiro #finanças #reflexao #empreendedorismo #vendermais #organizacaofinanceira #rendaextra #rendaextraemcasa #marketingdigital #vendedor #santacruz #serieD https://t.co/mGZx1rbjbV</t>
  </si>
  <si>
    <t>Gostou do conteúdo?
Segue aê ➡️ @workshopdantas
#educacaofinanceira #empreendedor #dinheiro #finanças #reflexao #empreendedorismo #vendermais #organizacaofinanceira #rendaextra #rendaextraemcasa #marketingdigital #vendedor #sportrecife https://t.co/X4ZhSGxw7u</t>
  </si>
  <si>
    <t>Gostou do conteúdo?
Segue aê ➡️ @workshopdantas
#educacaofinanceira #empreendedor #dinheiro #finanças #reflexao #empreendedorismo #vendermais #organizacaofinanceira #rendaextra #rendaextraemcasa #marketingdigital #vendedor #direita #conservador #jairbolsonaro https://t.co/MSYQGHXQor</t>
  </si>
  <si>
    <t>Gostou do conteúdo?
Segue aê ➡️ @workshopdantas
#educacaofinanceira #empreendedor #dinheiro #finanças #reflexao #empreendedorismo #vendermais #organizacaofinanceira #rendaextra #rendaextraemcasa #marketingdigital #direita #conservador #imprensa #corrupcao #josephpulitzer https://t.co/80ysJ9Ga0m</t>
  </si>
  <si>
    <t>Gostou do conteúdo?
Segue aê ➡️ @workshopdantas
#educacaofinanceira #empreendedor #dinheiro #finanças #reflexao #empreendedorismo #vendermais #organizacaofinanceira #rendaextra #rendaextraemcasa #marketingdigital #vendedor #direita #conservador https://t.co/uDs0hcEdKc</t>
  </si>
  <si>
    <t>Gostou do conteúdo?
Segue aê ➡️ @workshopdantas
#educacaofinanceira #empreendedor #dinheiro #finanças #reflexao #empreendedorismo #vendermais #organizacaofinanceira #rendaextra #rendaextraemcasa #marketingdigital #vendedor #direita #conservador #billygraham https://t.co/8MUedB9RJ9</t>
  </si>
  <si>
    <t>Quer começar a criar o seu planejamento financeiro? Dê o play e confira como colocar em prática no seu dia a dia!
#Unicred #SomosCoop #EscolhaDiferente #EscolhaUnicred #PlanejamentoFinanceiro https://t.co/uuzJrUnCsk</t>
  </si>
  <si>
    <t>💼 Entenda sua situação financeira atual: Faça um levantamento de todas as suas receitas e despesas. Isso ajudará a identificar onde você está gastando mais e onde pode economizar. Organize-se com aplicativos de finanças pessoais ou planilhas! 📊 #PlanejamentoFinanceiro</t>
  </si>
  <si>
    <t>Preparamos algumas dicas de como organizar as despesas de início de ano e aproveitar melhor os descontos. 
Aproveite! 
https://t.co/qKNY68zxXY 
#organizaçãofinanceira  
#iniciodeano #2023 
#KakauProtege https://t.co/dZ6ndHalDD</t>
  </si>
  <si>
    <t>Tesouro Educa+: como investir para a faculdade do seu filho com o novo título do Tesouro Direto – e como o resto da família pode ajudar
#Educação #Planejamentofinanceiro #TesouroDireto
https://t.co/Jn3lhCehrc</t>
  </si>
  <si>
    <t>Pago pensão alimentícia para o meu filho, mas descobri que não sou o pai biológico. Posso reaver os valores?
#Planejamentofinanceiro
https://t.co/VkcyAd87aj</t>
  </si>
  <si>
    <t>Tenho plano de previdência antigo e vantajoso, mas não consigo escolher a tabela regressiva. Devo fazer portabilidade?
#Aposentadoria #ImpostodeRenda #Planejamentofinanceiro
https://t.co/jkuXULR3Kl</t>
  </si>
  <si>
    <t>Tesouro RendA+: o que acontece ao título público da aposentadoria se o investidor morrer?
#Aposentadoria #Planejamentofinanceiro #Previdênciaprivada
https://t.co/MKk5p15RrM</t>
  </si>
  <si>
    <t>Gerenciar as finanças do consultório é um desafio para muitos médicos. Saber como controlar as despesas e gerir os honorários é fundamental para o sucesso da sua clínica.
#medicina #planejamentofinanceiro #medicos #contabil https://t.co/vISq5fzvqe</t>
  </si>
  <si>
    <t>Dicas para um final de semana incrível sem comprometer o seu orçamento.🤩
.
.
#Plancredi #EconomiaNoFimDeSemana #DiversãoEconômica #PlanejamentoFinanceiro #FimDeSemanaSemGastos https://t.co/yLsamDYUOQ</t>
  </si>
  <si>
    <t>Analise a situação atual, controle os gastos, trace um plano de ação, controle o fluxo de caixa, mantenha um fundo de reserva e considere usar um ERP. #FinançasEmpresariais #PlanejamentoFinanceiro #ERP https://t.co/nwa1WTYwqy</t>
  </si>
  <si>
    <t>Planejamento Financeiro no Início do Ano é o tema de Direito Bancário com o Dr. Francisco Mendonça - advogado.
#direitobancario #planejamentofinanceiro #juros #taxadejuros #dívidas #bancos #direito
https://t.co/KYZmX6JCnt via @YouTube</t>
  </si>
  <si>
    <t>#Planejamentofinanceiro pessoal: dicas para alcançar estabilidade https://t.co/QpFeJmZkmX</t>
  </si>
  <si>
    <t>Como sobrevivem?
Fico horrorizada com isso. Fico com muita pena das famílias mais humildes. A inflação corroeu todo o nosso dinheiro.
#inflação #poderdecompra #economia #planejamentofinanceiro #listadecompras #brasilparaostrabalhadores #economizar</t>
  </si>
  <si>
    <t>Confira algumas dicas para ajudar você a traçar o caminho certo para desfrutar de uma vida tranquila e segura no futuro.
#OABPrevRS #PrevidênciaComplementar #AdvocaciaGaúcha #FôlegoFinanceiro #PlanejamentoFinanceiro</t>
  </si>
  <si>
    <t>Não espere o tempo passar e as oportunidades escaparem. Invista no seu Futuro hoje mesmo com o #OABPrevRS. E lembre-se: quanto antes você começar, maior será o potencial de crescimento e acumulação de recursos.
#PrevidênciaComplementar #PlanejamentoFinanceiro</t>
  </si>
  <si>
    <t>Como já dizia Renato Russo: por que esperar, se podemos começar agora mesmo. Quanto antes você começar a prevenir e a planejar, mais próximo você estará da realidade que você imagina.
#OABPrevRS #OABRS #CAARS #PrevidênciaComplementar #PlanejamentoFinanceiro https://t.co/LA6ZwmHuaI</t>
  </si>
  <si>
    <t>@misael_silvao1 Para tirar 2 anos sabáticos com renda de R$3.000/mês e custos mensais de R$2.000, poupe R$1.000/mês. Em 4 anos, você terá acumulado R$48.000 para cobrir seus gastos durante esse período. #Sabático #PlanejamentoFinanceiro</t>
  </si>
  <si>
    <t>#planejamentofinanceiro #bolsadevalores #mercadofinaceiro #financas #ibovespa #EconomiaFamiliar 
https://t.co/7bQBHFNGC9</t>
  </si>
  <si>
    <t>Para alcançar a #riqueza e #prosperidade através do #caminho você precisa alicerçar esses três pilares: #investimentos #financascomportamentais #planejamentofinanceiro</t>
  </si>
  <si>
    <t>Seguro de vida é uma forma de amor, para você e sua família! 
Proteja quem você ama a partir de hoje..
▶️ Me chame no Link da Bio!
#prudentialdobrasil #prudentialfranquia #planejamentofinanceiro #lifeplanner https://t.co/dyOBPWWF4u</t>
  </si>
  <si>
    <t>EXATAMENTE! 
Conforme o art. 6 da Lei 7713, o IR considera o capital das apólices de seguro como um rendimento isento de tributação.
▶️ Isso garante que a indenização seja paga ao beneficiário de forma líquida!
#prudentialdobrasil #prudentialfranquia #planejamentofinanceiro https://t.co/vJ4dMqA4N1</t>
  </si>
  <si>
    <t>▶️ A previdência faz parte do seu planejamento para aposentadoria.
▶️O Seguro de vida é uma proteção imediata. A qualquer momento que ocorra um evento coberto na apólice, o benefício é pago.
Ainda há dúvidas? Fale comigo!
#prudentialdobrasil #planejamentofinanceiro #lifeplanner https://t.co/ckBTAJbXG9</t>
  </si>
  <si>
    <t>O Seguro de Vida vem antes de qualquer Investimento, sem renda você não investe.
Se não há um Seguro de Vida em seu planejamento financeiro, está planejando errado!
#prudentialdobrasil #prudentialfranquia #planejamentofinanceiro #lifeplanner https://t.co/ANvRrmzePm</t>
  </si>
  <si>
    <t>O amor protege! 
Proteção e segurança para os filhos EM vida é a minha missão.
▶️ Me chame pelo link na Bio para uma conversa!
#prudentialdobrasil #prudentialfranquia #planejamentofinanceiro #lifeplanner https://t.co/yZknp5vGLj</t>
  </si>
  <si>
    <t>Tem alguém na sua vida que você ame? Ame DE VERDADE?
Seu cônjuge/ pais/ filhos?
Que não consegue imaginar eles com dificuldade sem ter você ali…
Proteja-os com um seguro de vida ainda hoje.
#PrudentialDoBrasil #PlanejamentoFinanceiro #LifePlanner https://t.co/3UqL47d4Ma</t>
  </si>
  <si>
    <t>A Pirâmide de Maslow também se aplica às finanças! Priorize as necessidades fisiológicas e de segurança antes de pensar em gastos supérfluos. Estabilidade financeira é a base para uma vida mais tranquila. 💰💡
#EducaçãoFinanceira #FinançasPessoais #PlanejamentoFinanceiro https://t.co/lg0I5UZCli</t>
  </si>
  <si>
    <t>VEM VER: 5 PASSOS PARA ORGANIZAR SUAS FINANÇAS PESSOAIS
Se você quer aprender a cuidar melhor do seu dinheiro e conquistar a estabilidade financeira, esse vídeo é para você!
Link para o vídeo na bio!
#finançaspessoais #controlefinanceiro #organizaçãofinanceira #orçamento https://t.co/Pfsy9HQu85</t>
  </si>
  <si>
    <t>VEM VER: 10ESTRATÉGIAS PARA ECONOMIZAR SEU DINHEIRO
Se você quer aprender a economizar seu dinheiro e conquistar a estabilidade financeira, esse vídeo é para você!
Link para o vídeo https://t.co/qsWq2xboaO
#finançaspessoais #controlefinanceiro #organizaçãofinanceira #orçamento https://t.co/rKZj7Mz5TJ</t>
  </si>
  <si>
    <t>Organização é a chave para um controle financeiro eficiente
Mantenha registros, acompanhe seus gastos e tome o controle da sua vida financeira📊
Isso é essencial! Faça boas escolhas!
#ControleFinanceiro #Orçamento #FinançasPessoais #OrganizaçãoFinanceira #LiberdaedeFinanceira</t>
  </si>
  <si>
    <t>Domine suas finanças com disciplina e determinação.
Crie um planejamento financeiro sólido e garanta sua tranquilidade financeira💪💸
Você consegue!
Faça boas escolhas!
#ControleFinanceiro #FinançasPessoais #OrganizaçãoFinanceira #LiberdadeFinanceira #Orçamento</t>
  </si>
  <si>
    <t>Planejamento financeiro é a chave para conquistar seus objetivos.
Trace metas claras e siga em frente rumo ao sucesso financeiro!
Saia das dívidas com controle e alcance sonhos planejando!
#FinançasPessoais #LiberdadeFinanceira #Finanças #Orçamento #PlanejamentoFinanceiro</t>
  </si>
  <si>
    <t>Auto conhecimento é tudo comece colocando no papel ou planilha tudo o que vc deseja para sua vida. Depois liste seus hábitos semanais e detalhe suas finanças.
 #investimento #planejamentofinanceiro 
#planejamento #educaçãofinanceira https://t.co/9y9LDd2y96</t>
  </si>
  <si>
    <t>Gustavo Cerbasi dá cinco dicas para aumentar a restituição do Imposto de Renda 
https://t.co/h0nwJvl67X</t>
  </si>
  <si>
    <t>Gostei da primeira dica: faça você mesmo a sua declaração. Além de permitir entender a fundo a sua situação financeira, economiza o serviço de um contador.
#saúdefinanceira #planejamentofinanceiro #impostoderenda</t>
  </si>
  <si>
    <t>Como retomar o controle do seu dinheiro sendo acompanhante 💰
Veja nossas dicas e dê o primeiro passo para gerenciar melhor suas finanças aqui: https://t.co/kyMCI0OaXT
#planejamentofinanceiro #dinheiro #finanças #pix https://t.co/bPUHtbx28F</t>
  </si>
  <si>
    <t>O consórcio é uma forma inteligente de planejar suas conquistas. Junte-se a um grupo de pessoas e realize seus sonhos sem pagar altas taxas de juros! #PlanejamentoFinanceiro</t>
  </si>
  <si>
    <t>A importância da educação financeira para a vida adulta https://t.co/9KQuG9ScfG 
#educaçãofinanceira #vidafinanceira #finançaspessoais #decisõesfinanceiras #investimentos #crescimentofinanceiro #estratégiasfinanceiras #planejamentofinanceiro #educaçãofinanceiraparavida https://t.co/mgB1GvFDce</t>
  </si>
  <si>
    <t>Como economizar dinheiro: dicas práticas para alcançar seus objetivos financeiros https://t.co/tF44nxsJZo
#economizardinheiro #financaspessoais #planejamentofinanceiro #dinheiroextra #poupança #vidaeconomica #metasfinanceiras #gastarcomsabedoria #investimentos #educaçãofinanceira https://t.co/iwLeOiWLXU</t>
  </si>
  <si>
    <t>10 Estratégias Para Alcançar a Independência Financeira https://t.co/SqFLRK4Zt0 
#independenciafinanceira #financaspessoais #investimentos #rendapassiva #gerenciamentodedividas #educacaofinanceira #aposentadoria #consultoriafinanceira #liberdadefinanceira #planejamentofinanceiro https://t.co/mZZ0UGoH8b</t>
  </si>
  <si>
    <t>Veja no vídeo a seguir cinco razões para fazer um curso de educação financeira. Aprenda a gerenciar o dinheiro que entra na sua conta, de forma a reduzir gastos e manter seu orçamento sempre positivo.    #RalBank #educaçãofinanceira #investimentos #planejamentofinanceiro https://t.co/oDZdT6uMxZ</t>
  </si>
  <si>
    <t>O gasto estimado com um filho até os 18 anos varia entre R$ 480 mil e R$ 1,2 milhão para famílias da classe C, segundo estudo do Insper.
Na classe B, o valor vai de R$ 1,2 milhão até R$ 2,4 milhões.
Já na classe A, é de pelo menos R$ 3,6 milhões.
(1/4)</t>
  </si>
  <si>
    <t>Ter uma reserva de emergência é fundamental para lidar com imprevistos e garantir tranquilidade financeira. Comece hoje a guardar uma parte de sua renda para essa finalidade! #reservadeemergencia #planejamentofinanceiro</t>
  </si>
  <si>
    <t>O Instagram é uma plataforma incrível para as marcas de escritório de investimentos se conectarem com seu público e construírem uma forte comunidade online. 
Saiba mais: https://t.co/UfovwYVCzX
#investimentos #finanças #mercadodeações #planejamentofinanceiro  #luhao https://t.co/60Z9M4hnsU</t>
  </si>
  <si>
    <t>#economia #finanças #planejamentofinanceiro</t>
  </si>
  <si>
    <t>"Está cansado de viver de salário em salário? Aprenda a economizar dinheiro de forma inteligente e construa sua independência financeira! #economia #finanças #planejamentofinanceiro"</t>
  </si>
  <si>
    <t>"Você sabia que pequenas mudanças no seu estilo de vida podem fazer uma grande diferença na sua conta bancária? Vou compartilhar algumas dicas para economizar dinheiro no dia a dia. #economia #finanças #planejamentofinanceiro"</t>
  </si>
  <si>
    <t>"Economizar dinheiro pode ser um desafio, mas com algumas dicas simples você pode começar a construir sua riqueza hoje mesmo! #economia #finanças #planejamentofinanceiro"</t>
  </si>
  <si>
    <t>"Irei trazer dicas práticas e simples para você economizar dinheiro no dia a dia. Desde pequenas mudanças até grandes estratégias financeiras, vamos juntos construir um futuro mais próspero! #economia #finanças #planejamentofinanceiro"</t>
  </si>
  <si>
    <t>comece a proteger suas finanças hoje mesmo! #finanças #planejamentofinanceiro"</t>
  </si>
  <si>
    <t>“O planejamento financeiro é a chave para a estabilidade econômica. Comece hoje mesmo a traçar seus objetivos, estabelecer um orçamento e econômico para o futuro . Lembre - se , pequenas mudanças hoje podem fazer uma grande diferença no longo prazo ! #planejamentofinanceiro</t>
  </si>
  <si>
    <t>"Não se preocupe se você ainda não tem muito dinheiro para investir. Com um bom planejamento financeiro e uma estratégia eficiente, qualquer um pode ter sucesso na bolsa de valores. #investimentos #bolsadevalores #planejamentofinanceiro"</t>
  </si>
  <si>
    <t>"Você já pensou em como será sua vida financeira daqui a 10 anos? E daqui a 20 anos? Vamos construir juntos um futuro próspero e tranquilo. #planejamentofinanceiro #educaçãofinanceira #investimentos"</t>
  </si>
  <si>
    <t>"A vida financeira é como uma escada: um degrau de cada vez. Se você quer chegar ao topo, precisa começar agora. #objetivosfinanceiros #planejamentofinanceiro #educacaofinanceira"</t>
  </si>
  <si>
    <t>É incrível pensar que, com dedicação e planejamento, é possível juntar 1 milhão de reais em um curto período de tempo. Mas, quanto tempo exatamente isso leva? A resposta pode surpreender você!
 #investimentos #milhão #planejamentofinanceiro https://t.co/o78f5EUwPB</t>
  </si>
  <si>
    <t>de aplicativos e da comunidade em geral é essencial para o sucesso desse projeto.
#Economia
#Finanças
#Investimentos
#Dinheiro
#Negócios
#MercadoFinanceiro
#GestãoFinanceira
#EducaçãoFinanceira
#Empreendedorismo
#PlanejamentoFinanceiro
#CrescimentoEconômico</t>
  </si>
  <si>
    <t>Quer saber mais?
Acesse: https://t.co/5ROjuRX0TU e conheça nossos serviços. (Link na Bio) 
#fwbplanejamentofinanceiro #planejamentofinanceiro #sonhos #investimentos #liberdadefinanceira #aposentadoria #planejamento https://t.co/EX2YX0ZLtd</t>
  </si>
  <si>
    <t>Really Help Full 🌝
#finance #liberdadefinanceira #personalfinance #mercadofinanceiro #finances #educacaofinanceira #independenciafinanceira #planejamentofinanceiro #refinance #sucessofinanceiro #financeiro #financetips #inteligenciafinanceira #gestaofinanceira #carfinance https://t.co/DsLTdwcNj1</t>
  </si>
  <si>
    <t>Deus nos chama a sermos bons administradores de nossos recursos. Planejar suas finanças é uma forma de honrar esse princípio. Compartilhe nos comentários uma dica financeira que você aprendeu na Bíblia! 💰✨ #ProsperidadeBíblica #PlanejamentoFinanceiro"</t>
  </si>
  <si>
    <t>Você sabe qual a real importância da gestão financeira para sua empresa?
#Vippibpofinanceiro #bpofinanceiro #Vippibpo #Vippi #assessoriafinanceira #planejamentofinanceiro #bpo #controladoria #finanças #financeiro #Empreendedorismo #Negocios #Outsourcing #vippicomvc #tatuape https://t.co/iYxlNNanxl</t>
  </si>
  <si>
    <t>Ao considerar uma empresa offshore, é importante contar com um planejador financeiro experiente para garantir conformidade e maximização dos benefícios. #planejamentofinanceiro #offshore</t>
  </si>
  <si>
    <t>💰💸 Quer aprender a gerenciar suas dívidas e se livrar das contas atrasadas? Confira agora no @zoomdinheiro as melhores dicas para uma gestão financeira saudável! #Dívidas #GerenciamentoDeDívidas #FinançasPessoais #PlanejamentoFinanceiro #ZoomDinheiro
https://t.co/L9LTcFafL3 https://t.co/pvaYYdN7Fd</t>
  </si>
  <si>
    <t>👵👴 Precisando de um empréstimo? Confira as melhores opções para idosos em 2023 no @zoomdinheiro! 💰💳 #Empréstimo #Idosos #ZoomDinheiro #Finanças #DinheiroExtra #PlanejamentoFinanceiro
https://t.co/1S0qyP5eRO https://t.co/opPRRjEvbH</t>
  </si>
  <si>
    <t>Entenda as principais causas da inadimplência e tome o controle da sua vida financeira! Com conhecimento e planejamento, é possível superar qualquer desafio.
https://t.co/BkkKpPpJKa
#inadimplência #finanças #planejamentofinanceiro https://t.co/S7Liq023Mt</t>
  </si>
  <si>
    <t>Limpar o nome é só o começo! Após regularizar sua situação, é importante manter-se atento aos prazos para evitar novas dívidas e conquistar uma vida financeira saudável.
https://t.co/BkkKpPpbUC
#LimpaNome #VidaFinanceira #OrganizaçãoFinanceira https://t.co/lY0wkaJWIq</t>
  </si>
  <si>
    <t>Chega de dívidas! Comece o mês com o pé direito e saia do vermelho de uma vez por todas.
💰 Ficou interessado? Contate-nos e Saiba Mais!
📲 (19) 99212-1763
#saindodovermelho #planejamentofinanceiro #tranquilidadefinanceira https://t.co/g5h5QTctiD</t>
  </si>
  <si>
    <t>Não sabe por onde começar a organizar suas finanças? Consulte suas dívidas com a gente!
https://t.co/BkkKpPpbUC
#consultadedívidas #organizaçãofinanceira #educaçãofinanceira #planejamentofinanceiro #vidafinanceira #nomelimpo #dívidas https://t.co/iqu9SiZoTn</t>
  </si>
  <si>
    <t>Você sabia que as empresas de proteção ao crédito podem impactar diretamente sua vida financeira?
https://t.co/BkkKpPpbUC
#inadimplência #vidafinanceira #educaçãofinanceira #planejamentofinanceiro #nomelimpo #dívidas https://t.co/0VfB019G44</t>
  </si>
  <si>
    <t>Não veja o planejamento financeiro como uma tarefa enfadonha, mas como um farol guiando seu negócio para além do horizonte de incertezas. Comece agora a navegada para a estabilidade financeira. #PlanejamentoFinanceiro</t>
  </si>
  <si>
    <t>Está com dificuldades de tirar seus sonhos do papel? 😓✨ Então você precisa anotar estas dicas! 📝
.
.
.
#planejamentofinanceiro #finanças #sonhosdevida #sonhoamericano #americandream https://t.co/ofCeceMwpM</t>
  </si>
  <si>
    <t>A verdadeira riqueza começa dentro de você, cultive um mindset próspero e alcance o sucesso financeiro.
#financaspessoais #organizacaofinanceira #investimentos #prosperidade #mepoupe</t>
  </si>
  <si>
    <t>Você sabe o que é gestão financeira? Sabia que a forma que você administra as suas finanças reflete o sucesso de seus negócios? #financas #financeiro #planejamentofinanceiro #controlefinanceiro #joaonetocontador @savaniabelezoti @fernando.alvesnegrao #profissaoempreendedorpodcast https://t.co/u5zd0mm7uo</t>
  </si>
  <si>
    <t>(2/2) Baixe gratuitamente o Guia CVM de Planejamento Financeiro em https://t.co/VRn4ojN9Ef
E lembre-se sempre de procurar orientações com profissionais regulamentados 😉
#cvmeducacional #investidor #investidores #investir #investimento #finançaspessoais #planejamentofinanceiro https://t.co/H3RtEZvd4B</t>
  </si>
  <si>
    <t>(1/2) Baixe gratuitamente o Guia CVM de Planejamento Financeiro em https://t.co/VRn4ojN9Ef
E lembre-se sempre de procurar orientações com profissionais regulamentados 😉
#cvmeducacional #investidor #investidores #investir #investimento #finançaspessoais #planejamentofinanceiro https://t.co/KpgGvy5Ua7</t>
  </si>
  <si>
    <t>#organizacaofinanceira é coisa séria https://t.co/IJxmbNh9bO</t>
  </si>
  <si>
    <t>top prazeres da vida adulta:
- acordar num hotel sabendo que vai ter café na manhã 
- pagar todas as contas e sobrar dinheiro
- acordar e ver que ainda da pra dormir mais um pouco
- chegar em casa depois de um dia difícil e tirar o tênis</t>
  </si>
  <si>
    <t>📣 Agilize seu negócio e ganhe mais crédito! 💪✨
#AntecipaçãoDeRecebíveis #GestãoFinanceira #CrescimentoEmpresarial #Empreendedorismo #NegócioEficiente #FluxoDeCaixa #SuporteFinanceiro #AgilidadeEmpresarial #PlanejamentoFinanceiro #CapitalDeGiro #LibereRecursos #MaisTempo https://t.co/Qfr35O4hLn</t>
  </si>
  <si>
    <t>Antes de buscar milagres nos investimentos, lembre-se: a educação financeira é o alicerce do sucesso. Descubra por que é crucial dominar suas finanças antes de mergulhar no mundo dos investimentos #EducaçãoFinanceira #Investimentos #PlanejamentoFinanceiro
https://t.co/t3rYX3u7Ik</t>
  </si>
  <si>
    <t>"Gerencie suas finanças pessoais: estabeleça metas, monitore gastos e invista com sabedoria. O futuro financeiro depende de decisões conscientes agora." #FinançasPessoais #PlanejamentoFinanceiro</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</si>
  <si>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https://t.co/ytyYffShUg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</si>
  <si>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https://t.co/gjkI0Se5Bp</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</si>
  <si>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https://t.co/yFbir3Lk92</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</si>
  <si>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https://t.co/1H6aaDnHAE</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</si>
  <si>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https://t.co/EOaUQ1ypWG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</si>
  <si>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https://t.co/xqH2Iz0Mj9</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</si>
  <si>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https://t.co/1jemkbSKPD</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</si>
  <si>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https://t.co/xpib7RUWqK</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</si>
  <si>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https://t.co/NzP1z899vv</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</si>
  <si>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https://t.co/sW4McA1tOO</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</si>
  <si>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https://t.co/QTd0mU2mnZ</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</si>
  <si>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https://t.co/V2EY0z70No</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</si>
  <si>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https://t.co/BwlwL1aruc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</si>
  <si>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https://t.co/uQLBzVFAGq</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</si>
  <si>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https://t.co/KaK53KZM1n</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</si>
  <si>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https://t.co/50EMiZ8Epi</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</si>
  <si>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https://t.co/vGas9R1c73</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</si>
  <si>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https://t.co/pqCwuqF1KT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</si>
  <si>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https://t.co/KV481qNzM4</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</si>
  <si>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https://t.co/I6Z7f6NDTU</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</si>
  <si>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https://t.co/wF39uCJcnE</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</si>
  <si>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https://t.co/5IwIuIhehQ</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</si>
  <si>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https://t.co/DawLbZcykU</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</si>
  <si>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https://t.co/c9bzEtdbFX</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</si>
  <si>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https://t.co/drPMXodQId</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</si>
  <si>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https://t.co/tMMC3l7wPc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</si>
  <si>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https://t.co/RO6YV97Blf</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</si>
  <si>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https://t.co/s5iu4kYJhB</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</si>
  <si>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https://t.co/0jedCmiFVg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</si>
  <si>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https://t.co/NiNRAY1nO9</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</si>
  <si>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https://t.co/HoMMTdkO6I</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</si>
  <si>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https://t.co/didmxbdIOx</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</si>
  <si>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https://t.co/qPFT28iYcK</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</si>
  <si>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https://t.co/Enp77Awxhc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</si>
  <si>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https://t.co/fWHnNUQnix</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</si>
  <si>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https://t.co/A9YlcdJVxJ</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</si>
  <si>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https://t.co/nd4t9Pb1lX</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</si>
  <si>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https://t.co/YTUH2EY46S</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</si>
  <si>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https://t.co/fEA5FoZVFF</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</si>
  <si>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https://t.co/7gp01utZ7r</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</si>
  <si>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https://t.co/RWYJSX2CG9</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</si>
  <si>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https://t.co/EfzBkzuvPY</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</si>
  <si>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https://t.co/JUJjM5IjsJ</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</si>
  <si>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https://t.co/ndF9w7Wpb8</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</si>
  <si>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https://t.co/u4Ud8GRKDk</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</si>
  <si>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https://t.co/9diVeX24FT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</si>
  <si>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https://t.co/UOi266Kbym</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</si>
  <si>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https://t.co/VhLtnLeGGy</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</si>
  <si>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https://t.co/GuX4njzZCf</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</si>
  <si>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https://t.co/yd4rJS7aSm</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</si>
  <si>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https://t.co/Vbk36bpat0</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</si>
  <si>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https://t.co/5Cd40OzVTg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</si>
  <si>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https://t.co/9zcqhrlfyV</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</si>
  <si>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https://t.co/lAK5ucrHYt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</si>
  <si>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https://t.co/yOBNuUNlDC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</si>
  <si>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https://t.co/mf1aoL2fCw</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</si>
  <si>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https://t.co/itJPpcpAP6</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</si>
  <si>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https://t.co/BWb8QGZEvt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</si>
  <si>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https://t.co/AmtWhTSBYN</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</si>
  <si>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https://t.co/lGnJRvFMlX</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</si>
  <si>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https://t.co/geAfZNuvxt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</si>
  <si>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https://t.co/TyszYGwzAC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</si>
  <si>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https://t.co/dlpA0O2k7u</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</si>
  <si>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https://t.co/BKDeBOzxy9</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</si>
  <si>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https://t.co/jboAvEElrs</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</si>
  <si>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https://t.co/gTgu4xA79d</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</si>
  <si>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https://t.co/WoquPvz6NP</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</si>
  <si>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https://t.co/BdB4QtSwFE</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</si>
  <si>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https://t.co/LmcSbhdux2</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</si>
  <si>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https://t.co/Eg1oIJvLUB</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</si>
  <si>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https://t.co/B8iEwQeVU8</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</si>
  <si>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https://t.co/7nNziLKDGT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</si>
  <si>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https://t.co/iIiBsUXq2b</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</si>
  <si>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https://t.co/rs9c6YU6a6</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</si>
  <si>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https://t.co/TajjJ6S2zj</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</si>
  <si>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https://t.co/V2iXBZamKG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</si>
  <si>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https://t.co/ybIq3w0O81</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</si>
  <si>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https://t.co/j4a3X7noAN</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</si>
  <si>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https://t.co/HogBffI7mI</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</si>
  <si>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https://t.co/xn2jko7h88</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</si>
  <si>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https://t.co/BnL9ysuvqZ</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</si>
  <si>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https://t.co/5PSdGV7xKz</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</si>
  <si>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https://t.co/R4ICRFocd2</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</si>
  <si>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https://t.co/8cnrtdE47T</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</si>
  <si>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https://t.co/UxZkxQXGuP</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</si>
  <si>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https://t.co/reaEDhBii3</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</si>
  <si>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https://t.co/JOUGYOexfJ</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</si>
  <si>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https://t.co/ZpB31KYeRD</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</si>
  <si>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https://t.co/qT9RclD3Di</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</si>
  <si>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https://t.co/EGZGmfWgLO</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</si>
  <si>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https://t.co/GPjrF4upek</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</si>
  <si>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https://t.co/OXiHjIPAnC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</si>
  <si>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https://t.co/bWrPdpgpVw</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</si>
  <si>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https://t.co/SksLbVzurC</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</si>
  <si>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https://t.co/BIyQsaPxlB</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</si>
  <si>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https://t.co/EuOAtWB9XB</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</si>
  <si>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https://t.co/iXUPfZTR8H</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</si>
  <si>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https://t.co/c8uXvAg4ri</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</si>
  <si>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https://t.co/cZ94Uubfok</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</si>
  <si>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https://t.co/XuWcgQWArb</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</si>
  <si>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https://t.co/5CGgEvjA1G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</si>
  <si>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https://t.co/N73LjITLPH</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</si>
  <si>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https://t.co/UbAzZC5qBA</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</si>
  <si>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https://t.co/P5duhhh5Ox</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</si>
  <si>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https://t.co/w1NbXifiEf</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</si>
  <si>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https://t.co/n2UyrfMLa1</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</si>
  <si>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https://t.co/XQSN58pbNr</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</si>
  <si>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https://t.co/v57BEOLSjy</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</si>
  <si>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https://t.co/YJWGZMXMoj</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</si>
  <si>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https://t.co/a2UvKDfnPx</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</si>
  <si>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https://t.co/JSe2qdyamQ</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</si>
  <si>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https://t.co/HQSs6i55p8</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</si>
  <si>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https://t.co/KTrjObrjh7</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</si>
  <si>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https://t.co/kd0ugk78Sf</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</si>
  <si>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https://t.co/yOwrdAaNuG</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</si>
  <si>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https://t.co/0ophi8OGht</t>
  </si>
  <si>
    <t>Estamos passando por aqui, para convidar você para entrar no nosso grupo de conteúdo do Telegram (https://t.co/2LWiRy4l02)
Esperamos você lá.
Dalton e Marcelo
#tdl #metodotdl #transformandodinherioemliberdade #daltonferreiracoach #mardelofelippecoach #planejamentofinanceiro https://t.co/QhEwSdujbr</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</si>
  <si>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https://t.co/YdW6slAire</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</si>
  <si>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https://t.co/JEZPPmscIZ</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</si>
  <si>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https://t.co/0cADsho9rx</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</si>
  <si>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https://t.co/sfUsEPisIn</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</si>
  <si>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https://t.co/8QfllXuJg5</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</si>
  <si>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https://t.co/JF7iA4sI2s</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</si>
  <si>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https://t.co/JOTsw7ddlv</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</si>
  <si>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https://t.co/xXhahNq74s</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</si>
  <si>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https://t.co/GkPa5wK5gm</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</si>
  <si>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https://t.co/FU31tdt4Tq</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</si>
  <si>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https://t.co/jHSnD0w3OW</t>
  </si>
  <si>
    <t>Estamos passando por aqui, para convidar você para entrar no nosso grupo de conteúdo do Telegram (https://t.co/2LWiRy3Nau)
Esperamos você lá.
Dalton e Marcelo
#tdl #metodotdl #transformandodinherioemliberdade #daltonferreiracoach #mardelofelippecoach #planejamentofinanceiro https://t.co/abIcTTbz9a</t>
  </si>
  <si>
    <t>Por fim, considere renegociar sua dívida, pois empréstimos bancários costumam ter taxas mais baixas que o crédito rotativo do cartão. Não se sobrecarregue, mantenha o foco no seu bem-estar financeiro com um planejamento adequado. 💪💰📉 #PlanejamentoFinanceiro</t>
  </si>
  <si>
    <t>Que seus sonhos estejam sempre a um passo de se tornarem realidade! 🌟✨ #SonhosQueValemAPena #PlanejamentoFinanceiro</t>
  </si>
  <si>
    <t>Mas aqui vai a grande lição: A moeda desempenha 3 funções - meio de troca, reserva de valor e unidade de conta. No entanto, o Real Brasileiro nem sempre é o melhor em ser uma reserva de valor, graças à um governo gastão e ineficiente. 📉😓 #PlanejamentoFinanceiro</t>
  </si>
  <si>
    <t>3️⃣ Ter um plano é crucial, mas ter um plano de contingência é ainda mais importante. O mundo é caótico e imprevisível. Flexibilidade é a chave para o sucesso financeiro. 🔄🗺️ #PlanejamentoFinanceiro</t>
  </si>
  <si>
    <t>🙈 Final de semana começando, você nos preparativos.
Saldo bancário, negativo 😅, Cartão de Crédito, bloqueado 🚫, Crédito do celular, zerado 📱 e na geladeira meio Dolly sem gás! 
😂 Até quando suportar essa situação? Hora de mudar essa realidade! 💪💰 #PlanejamentoFinanceiro…</t>
  </si>
  <si>
    <t>💡💵 Com dicas práticas e acessíveis, o livro oferece insights valiosos sobre investimentos, economia e como planejar o futuro financeiro. É uma leitura indispensável para quem busca melhorar suas finanças pessoais em conjunto. #PlanejamentoFinanceiro</t>
  </si>
  <si>
    <t>✅É muito melhor você ter um CUSTO FINANCEIRO DO QUE UM PREJUÍZO!
#contabilidade #contador #contabilidadeconsultiva #contabilidadeonline #planejamentofinanceiro https://t.co/oouQzNRHyu</t>
  </si>
  <si>
    <t>Com um consórcio, você tem mais flexibilidade para escolher a moto que deseja comprar. Você não fica limitado às opções de financiamento oferecidas 
#ConsórcioDeMoto
#CompraDeMoto
#PlanejamentoFinanceiro
#PoupançaForçada https://t.co/RTOCRNUcWr</t>
  </si>
  <si>
    <t>As finanças pessoais e o planejamento financeiro são aspectos essenciais da vida moderna. É importante que todos nós entendamos como gerenciar nosso dinheiro.
Mais: https://t.co/qcRJa7owvK 😉
#PobrePoupe #Finanças #EducaçãoFinanceira #FinançasPessoais #PlanejamentoFinanceiro https://t.co/tYxD5GJa0I</t>
  </si>
  <si>
    <t>Cinco Dicas de como montar um planejamento financeiro para alugar um imóvel com segurança - https://t.co/pNgEeL4P50 - #PlanejamentoFinanceiro</t>
  </si>
  <si>
    <t>E você? Até onde quer chegar?
Vem evoluir com a gente, somos a Evoy.
#evoy #evoyconsorcios #consorcios #carro #automovel #investimento #chegajunto #planejamento #investir #clientes #compra #realização #liberdadefinanceira #planejamentofinanceiro https://t.co/nHgJMCh5O6</t>
  </si>
  <si>
    <t>Está pensando em solicitar um crédito pessoal? Confira no vídeo qual a melhor hora para contratar e o que levar em consideração. 
#Unicred #SomosCoop #EscolhaDiferente #EscolhaUnicred #PlanejamentoFinanceiro https://t.co/Fmxs26XvgC</t>
  </si>
  <si>
    <t>Preparamos um artigo com as fórmulas desses cálculos! Acesse: https://t.co/VmxZ7Vyxqi 
#Sebrae #CarteiraEmpreendedora #Finanças #PlanejamentoFinanceiro</t>
  </si>
  <si>
    <t>eu amo que em dezembro paguei sem querer umas três/quatro vezes a mesma conta de gás e agora caminhamos ao segundo mês que ela vem zerada... #estrategia #organizacaofinanceira #coachvivi</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</si>
  <si>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https://t.co/VZ89rK1J9F</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</si>
  <si>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https://t.co/MQkF28azVY</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</si>
  <si>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https://t.co/Z3GBrOAiQe</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</si>
  <si>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https://t.co/egOxOYXtOB</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</si>
  <si>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https://t.co/oBVfaDUNBm</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</si>
  <si>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https://t.co/Bp6XEGZSgH</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</si>
  <si>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https://t.co/82gc7G3mCB</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</si>
  <si>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https://t.co/4TFAUIT1aM</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</si>
  <si>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https://t.co/BnZixNCxog</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</si>
  <si>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https://t.co/QnHFJQ4u9A</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</si>
  <si>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https://t.co/vooCVSheHO</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</si>
  <si>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https://t.co/ytikXbK8eM</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</si>
  <si>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https://t.co/0vXT1Q0w1K</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</si>
  <si>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https://t.co/vyxMBqVDPA</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</si>
  <si>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https://t.co/Gi65DmXgdq</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</si>
  <si>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https://t.co/b2ufJMj2jj</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</si>
  <si>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https://t.co/30cG4S5Mae</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</si>
  <si>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https://t.co/mCiAuZP30U</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</si>
  <si>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https://t.co/G612BvYPJs</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</si>
  <si>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https://t.co/sBorqRIKFl</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</si>
  <si>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https://t.co/8F1xueOsmu</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</si>
  <si>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https://t.co/QihHkAvcb8</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</si>
  <si>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https://t.co/k730Ec7dSW</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</si>
  <si>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https://t.co/0iPixaEDqm</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</si>
  <si>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https://t.co/uu47vgyPr6</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</si>
  <si>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https://t.co/s1m8j7SSRI</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</si>
  <si>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https://t.co/XqEYRl9nLI</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</si>
  <si>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https://t.co/S9ui9zQd0b</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</si>
  <si>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https://t.co/mWApxjJpfA</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</si>
  <si>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https://t.co/RjGiF7io76</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</si>
  <si>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https://t.co/Wgf7DxSsGJ</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</si>
  <si>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https://t.co/fawJ1q3ZRZ</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</si>
  <si>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https://t.co/yFMn8hSykK</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</si>
  <si>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https://t.co/RAE4Io6bi2</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</si>
  <si>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https://t.co/LRqRr0kU25</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</si>
  <si>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https://t.co/CnPFS2eJSO</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</si>
  <si>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https://t.co/eSchVFlBjJ</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</si>
  <si>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https://t.co/rS5QnJAQAF</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</si>
  <si>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https://t.co/8Ecceb071O</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</si>
  <si>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https://t.co/BuMU7VTqvN</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</si>
  <si>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https://t.co/FbN9M2GUS5</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</si>
  <si>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https://t.co/UbxhfVELy4</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</si>
  <si>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https://t.co/OG4e7787Lu</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</si>
  <si>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https://t.co/ABledVlw9h</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</si>
  <si>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https://t.co/j8LLSsCvcz</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</si>
  <si>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https://t.co/35ovsTvgmQ</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</si>
  <si>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https://t.co/RCtZ1Xd4rS</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</si>
  <si>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https://t.co/RD8KvK2rGM</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</si>
  <si>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https://t.co/zoG6ZijWMX</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</si>
  <si>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https://t.co/VUPrfs1uGc</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</si>
  <si>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https://t.co/q0GeREemKq</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</si>
  <si>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https://t.co/VSMqALEcQp</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</si>
  <si>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https://t.co/Tf2tKKC2WY</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</si>
  <si>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https://t.co/uFTf1ter9Y</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</si>
  <si>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https://t.co/msTZijQcK7</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</si>
  <si>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https://t.co/YiTWMDvjaz</t>
  </si>
  <si>
    <t>Estamos passando por aqui, para convidar você para entrar no nosso grupo de conteúdo do Telegram (https://t.co/VhvPnkuNAF)
Esperamos você lá.
Dalton e Marcelo
#tdl #metodotdl #transformandodinherioemliberdade #daltonferreiracoach #mardelofelippecoach #planejamentofinanceiro https://t.co/ejQqDksSCY</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</si>
  <si>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https://t.co/VQjCXg9xn5</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</si>
  <si>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https://t.co/NB84nuUxfD</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</si>
  <si>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https://t.co/da4vGvgXXv</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</si>
  <si>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https://t.co/DC79bornJz</t>
  </si>
  <si>
    <t>Estamos passando por aqui, para convidar você para entrar no nosso grupo de conteúdo do Telegram (https://t.co/VhvPnkufL7)
Esperamos você lá.
Dalton e Marcelo
#tdl #metodotdl #transformandodinherioemliberdade #daltonferreiracoach #mardelofelippecoach #planejamentofinanceiro https://t.co/0zXhPClQ6k</t>
  </si>
  <si>
    <t>Você sabe como a realização do forecast pode facilitar e apoiar a área comercial?
Saiba mais neste vídeo retirado do webinar “Como o forecast ajuda a área comercial a ter melhores resultados”. 📊
https://t.co/67Hwj3rDhE
#Tech6Group #Forecast #PlanejamentoFinanceiro</t>
  </si>
  <si>
    <t>Fazendo as contas!
Quem sabe assim não consigo mais coisas!
#organizacaofinanceira</t>
  </si>
  <si>
    <t>#Minimalismo #Finanças #IndependênciaFinanceira #VidaSimples #PlanejamentoFinanceiro</t>
  </si>
  <si>
    <t>"Assuma o controle de suas finanças! Comece definindo metas financeiras, criando um orçamento e monitorando seus gastos. O planejamento financeiro pessoal é a chave para alcançar estabilidade e segurança financeira #planejamentofinanceiro #finançaspessoais #metasfinanceiras"</t>
  </si>
  <si>
    <t>💰✂️ Quer aliviar o orçamento? Aprenda a economizar com 8 despesas mensais que você pode cortar! 
💡💸  Vamos juntos rumo à estabilidade financeira!  #EconomiaFinanceira #CorteDespesas #PlanejamentoFinanceiro
https://t.co/pKqLLAH9iE</t>
  </si>
  <si>
    <t>Descubra como aproveitar suas férias de fim de ano sem comprometer suas finanças. Nosso guia prático oferece dicas para um planejamento inteligente que permite que você desfrute das festas sem acumular dívidas.  #FériasEconômicas #PlanejamentoFinanceiro 
https://t.co/Jg4yEDWIe0</t>
  </si>
  <si>
    <t>💑💰 Vida a dois é maravilhosa, mas requer planejamento financeiro! Descubra dicas valiosas para casais morando juntos e conquistem estabilidade juntos. 💪🏡Vamos construir um futuro sólido e amoroso! ❤️ #FinançasDoCasal #VidaADois #PlanejamentoFinanceiro
https://t.co/2WTM3D63MT</t>
  </si>
  <si>
    <t>📊💰 Quer um 2023 financeiramente mais organizado? Siga esses 6 passos para um orçamento doméstico impecável! 💡💸
Quem aí está pronto para essa jornada? 💬🏡 #OrçamentoDoméstico #PlanejamentoFinanceiro #VidaFinanceiraOrganizada
https://t.co/ZMNOr6iErZ</t>
  </si>
  <si>
    <t>#gestão #planejamentofinanceiro #mantovani #mantovanicondominios #administração https://t.co/9L2uxPcwks</t>
  </si>
  <si>
    <t>#contabilidade #planejamento #contabeis #contador #riodejaneiro #riodasostras #jardimmarilea #cienciacontabeis #ServiçosContábeis #GestãoFinanceira
#ConsultoriaContábil
#SucessoFinanceiro
#OrganizaçãoFinanceira</t>
  </si>
  <si>
    <t>Quanto antes você começar a investir, melhor. O tempo está do seu lado! Não espere o momento perfeito, comece agora e colha os frutos no futuro. 🌱💰 #investimentos  #planejamentofinanceiro</t>
  </si>
  <si>
    <t>Pesquisa da American Psychological Association aponta que preocupações financeiras afetam as pessoas emocionalmente. 65% dos americanos afirmam que o dinheiro é uma fonte significativa de estresse, chegando a 82% entre as pessoas com menos de 43 anos. #PlanejamentoFinanceiro</t>
  </si>
  <si>
    <t>Análise ao nosso redor revela padrões interessantes na aposentadoria. Os que se aposentam cedo e deixam de exercer atividades úteis para a sociedade podem entrar em um ciclo negativo. Manter-se ativo traz benefícios cada vez maiores.#PlanejamentoDeVida #PlanejamentoFinanceiro</t>
  </si>
  <si>
    <t>Para alcançar o sucesso nos investimentos, os investidores precisam alocar seus orçamentos para pagar contas atuais, enfrentar dívidas, se preparar para imprevistos e investir para alcançar metas. #PlanejamentoFinanceiro</t>
  </si>
  <si>
    <t>Aposentadoria não é sinônimo de ociosidade! Viaje, divirta-se e cultive relacionamentos constantemente. Não deixe de lado o que importa. Viva a vida em sua plenitude. #PlanejamentoDeVida #PlanejamentoFinanceiro</t>
  </si>
  <si>
    <t>Muitos de nós sentem-se sobrecarregados ao pensar em economizar para a aposentadoria diante das necessidades de gastos atuais e das dívidas pendentes. Mas é possível planejar financeiramente o futuro. #Aposentadoria #PlanejamentoFinanceiro</t>
  </si>
  <si>
    <t>Quando os objetivos de vida da família são o ponto mais importante, aprendemos a equilibrar nossas finanças individuais com as metas compartilhadas. 
#planejamentofinanceiro</t>
  </si>
  <si>
    <t>Não deixe que a inércia financeira prejudique seu planejamento. É importante agir e tomar medidas para garantir um futuro financeiramente estável. Pequenos passos podem fazer a diferença. #PlanejamentoFinanceiro</t>
  </si>
  <si>
    <t>Definir objetivos de vida em família é como traçar um mapa para o futuro. É incrível como a clareza e direção podem nos impulsionar a conquistar o que desejamos.
#planejamentofinanceiro</t>
  </si>
  <si>
    <t>Para alcançar o sucesso financeiro, as famílias precisam alocar seus orçamentos para pagar contas atuais, enfrentar dívidas, se preparar para imprevistos e investir para alcançar metas. 
#planejamentofinanceiro</t>
  </si>
  <si>
    <t>A pirâmide demográfica do Brasil está se invertendo, com menos pessoas contribuindo e mais dependentes da Previdência. Precisamos repensar o sistema e criar alternativas para garantir a segurança financeira no futuro. #planejamentofinanceiro</t>
  </si>
  <si>
    <t>O planejamento financeiro é como uma bússola: aponta para o norte, mas precisa de recalibração. À medida que a vida muda, nossas finanças também se transformam. Recalibrar o plano permite adaptar metas, ajustar orçamentos e rever estratégias. #planejamentofinanceiro</t>
  </si>
  <si>
    <t>#EducaçãoFinanceira
#FinançasPessoais
#PlanejamentoFinanceiro
#LiberdadeFinanceira
#Investimentos
https://t.co/OrPmXtEQGP</t>
  </si>
  <si>
    <t>#planejamento #planejamentofinanceiro #aposentadoria</t>
  </si>
  <si>
    <t>Dica de sucesso para empreendedores e profissionais liberais
Planeje sua aposentadoria desde agora e colha os frutos no futuro. Não deixe para depois o que você pode fazer hoje #Aposentadoria #Empreendedorismo #ProfissionaisLiberais #PlanejamentoFinanceiro
https://t.co/EL2XGF0nd4</t>
  </si>
  <si>
    <t>O desenvolvimento de uma criança é o resultado que ela se aprende na escola e principalmente no ambiente familiar: _x000D__x000D_ #educacaofinanceira #criancas #dinheiro #mesada #planejamentofinanceiro #empatia #poupanca_x000D__x000D_https://t.co/XNkAgju6xG</t>
  </si>
  <si>
    <t>Eu Planejando Futuro do Consultorio Financeiro 😍🔥👀
Vem novidade por aí…
Quero saber!
O que pensa ser?
#sonhorealizado #sonhoseplanos #meta #planejamentofinanceiro #planejar https://t.co/njHjplcDcM</t>
  </si>
  <si>
    <t>🙏🏻 Gratidão a todos que tornaram esse dia especial! ✨
🥰 A inauguração da Bettero Consultoria foi um sucesso graças à presença de pessoas incríveis como vocês. 💚
.
.
.
#betteroconsultoria #lucianabettero #consultoriafinanceira #planejamentofinanceiro https://t.co/NADEJEE6MB</t>
  </si>
  <si>
    <t>Em setembro de 2022, tive a oportunidade de ministrar aulas para o projeto Jovem Aprendiz, e esse é um registro do dia especial. 
Fique atento ao meu perfil para não perder sua vaga no próximo projeto! 
#Educação #JovemAprendiz #Finanças #OrganizaçãoFinanceira #LucianaBettero https://t.co/RsRE2jHuAI</t>
  </si>
  <si>
    <t>e pelos bancos, o que indica presença de estrangeiros na compra de instituições financeiras.
#bolsa #bolsadevalores #bitcoins #mercado #planejamentofinanceiro #brasil 
Fonte: @pablospyer</t>
  </si>
  <si>
    <t>3 coisas que você não deve cortar do seu orçamento 
Moradia
Alimentação
Saúde
#economizeagua #sustentabilidade #dicas #finanças #dinheiro #planejamentofinanceiro #economia #emergência #poupança #FinançasPessoais #Orçamento #controlefinanceiro https://t.co/IbbrWDFixT</t>
  </si>
  <si>
    <t>Conheça 3 hábitos financeiros saudáveis
#finanças #planejamentofinanceiro #sucesso #metasfinanceiras #liberdadefinanceira #planejamentofinanceiro #FinançasPessoais #Orçamento #ControleFinanceiro https://t.co/BC2miUkCly</t>
  </si>
  <si>
    <t>Sigam nosso perfil @Invest.Space para acompanhar nosso conteúdo semanal desta serie.
#planejamentofinanceiro #india #viajar #organizacaofinanceira https://t.co/GoQI9wV2G8</t>
  </si>
  <si>
    <t>Assistam meu novo vídeo: Assim que vou conseguir!!! Iury a caminho das Índias. #investimento #viagem  #planejamentofinanceiro, pelo link: https://t.co/7OntxUE1kL.
#InvestSpace #economia #gestãofinanceira #investimentos</t>
  </si>
  <si>
    <t>Assistam meu novo vídeo: Esse será o meu custo!!   Iury a caminho das Índias. #investimento #viagem  #planejamentofinanceiro, pelo link: https://t.co/pi6RXsQGc3.
#InvestSpace #economia #gestãofinanceira #investimentos</t>
  </si>
  <si>
    <t>Atualização de Iury A caminho das Índias.
Acompanhe todos os domingos nos stories do perfil e todas as quintas temos um breve resumo aqui nos reels.
#planejamentofinanceiro #organizacaofinanceira #custos #viagem #india #viajar https://t.co/JRIusdNrRl</t>
  </si>
  <si>
    <t>SEJA BEM VINDO(A) AO NOSSO TWITTER
#GestãoFinanceira #Impostos #Finanças #Contador #Empreendedorismo #PequenasEmpresas #Negócios #PlanejamentoFinanceiro #SucessoFinanceiro #ContabilidadeFiscal #ConsultoriaContábil</t>
  </si>
  <si>
    <t>Carnaval passou e as dívidas ficaram? Não se preocupe, ainda dá tempo de começar o ano no azul! Confira nossas dicas de como pagar as dívidas pós-carnaval e retomar o controle das suas finanças 💸💳 #finanças #dívidas #planejamentofinanceiro #cdihoje https://t.co/m4HRXmmTVw</t>
  </si>
  <si>
    <t>#segurovida #planejamentofinanceiro #proteção #tranquilidade https://t.co/wx4MEaAy3Q</t>
  </si>
  <si>
    <t>Segue umas das várias opções de carta de crédito para este mês maio.
#consorcio #planejamentofinanceiro #seguro #oportunidade https://t.co/jRyVmZY4am</t>
  </si>
  <si>
    <t>Chegou a hora de adquirir sua moto, veículo, o seu imóvel...
Quer saber mais entre contato com a gente.
#consorcio #financiamento #seguro #oportunidade #planejamentofinanceiro https://t.co/2oOBfJkboG</t>
  </si>
  <si>
    <t>Várias opções de acordo com sua necessidade a partir de R$ 50 reais apenas.
Quer saber mais?
Fale com a gente.
#segurovida #planejamentofinanceiro #proteção #tranquilidade https://t.co/mM0LAtvfNH</t>
  </si>
  <si>
    <t>Várias opções de acordo com sua necessidade a partir de R$ 50 reais apenas.
Quer saber mais?
Fale com a gente.
#segurovida #planejamentofinanceiro #proteção #tranquilidade https://t.co/aikyc6t1uW</t>
  </si>
  <si>
    <t>Segue umas das várias opções de carta de crédito para este mês junho.
#consorcio #planejamentofinanceiro #seguro #oportunidade https://t.co/8SUnzaS38L</t>
  </si>
  <si>
    <t>Não se esqueça do seu seguro viagem, além de ser obrigatório em vários países, garante uma viagem mais tranquila, em caso de cancelamento de viagem, perda de bagagem, e despesas médicas, entre outros.
#segurovida #planejamentofinanceiro #proteção #tranquilidade #viagem #doença https://t.co/Uaa6QB3FHO</t>
  </si>
  <si>
    <t>Chegou a hora de proteger sua moto, veículo...
Quer saber mais entre contato com a gente.
#seguro #oportunidade #carro #moto #veículo #planejamentofinanceiro https://t.co/4O0v8JmQfm</t>
  </si>
  <si>
    <t>Segue umas das várias opções de carta de crédito para este mês.
#consorcio #planejamentofinanceiro #seguro #oportunidade https://t.co/9LmR8uofV5</t>
  </si>
  <si>
    <t>Segue umas das várias opções de carta de crédito para este mês.
Está condição é feita apenas uma vez por ano, vale até o dia 30/8.
Não perca está oportunidade!
#consorcio #planejamentofinanceiro #seguro #oportunidade https://t.co/0e9a7Zu99G</t>
  </si>
  <si>
    <t>Segue umas das várias opções de carta de crédito para este mês.
Não perca está oportunidade!
#consorcio #planejamentofinanceiro #seguro #oportunidade #casa #apartamento #investimento https://t.co/yTbalYW58R</t>
  </si>
  <si>
    <t>Várias opções de acordo com sua necessidade a partir de R$ 50 reais apenas.
Quer saber mais?
Fale com a gente.
#segurovida #planejamentofinanceiro #proteção #tranquilidade https://t.co/OqVxgXoZze</t>
  </si>
  <si>
    <t>Segue umas das várias opções de carta de crédito para este mês maio.
#consorcio #planejamentofinanceiro #seguro #oportunidade https://t.co/w1Zpnnum0Y</t>
  </si>
  <si>
    <t>Como está o seu planejamento financeiro?
#planejamentofinanceiro #protecao #seguro https://t.co/A3PASWlvuC</t>
  </si>
  <si>
    <t>Não importa quanto dinheiro você ganha, é importante aprender a gastar menos do que você ganha. Faça um orçamento e comece a investir após. #planejamentofinanceiro #segurança</t>
  </si>
  <si>
    <t>Com mais ETFs de renda fixa surgindo no mercado cada vez faz menos sentido investir via fundos CVM 555 de renda fixa. Isso que não considerei taxa de adm que normalmente nos ETFs são bem mais baratas. #ETFs #planejamentofinanceiro</t>
  </si>
  <si>
    <t>Como está a sua organização financeira? Foque na sua evolução.
#keepgrowing #keepgrowingmentoria #makeyourfuture #desenvolvimentopessoal #liberdadefinanceira #liberdade #inteligenciafinanceira #educaçãofinanceira #desenvolvimentofinanceiro #organizaçãofinanceira https://t.co/CYY5DgK4P8</t>
  </si>
  <si>
    <t>INSS, previdência privada, investimentos: saiba como autônomos devem planejar a aposentadoria
 https://t.co/uvFGyVbt1c #aposentadoria #inss #planejamentofinanceiro #aposentadoriaautonomos #FazoL https://t.co/RCssvskR3N</t>
  </si>
  <si>
    <t>Afinal, nós não somos invencíveis, nem imortais, muito menos perfeito! Então, se colocou a mão na consciência, agora, ainda dá tempo. E dois seguros resolvem esses GAPs na seu #planejamentofinanceiro:
&amp;gt; Seguro de Vida (com DIT)
&amp;gt; Seguro de Responsabilidade Civil Profissional!</t>
  </si>
  <si>
    <t>Os planos de previdência, como o PREVITÊ - novo benefício do CRA-SC, oferecem acesso à proteção em caso de morte ou invalidez total e permanente, desde o momento da contratação.
#previsc #crasc #planodeprevidencia #previdenciaprivada #planejamentofinanceiro #planoprevite https://t.co/w2TyIjh2MA</t>
  </si>
  <si>
    <t>Planejar a sua saúde financeira futura é essencial e, para que isso se torne realidade, há uma alternativa interessante que deixará o seu futuro tranquilo!
Acesse: https://t.co/coFwuBGb9G
#previsc #planejamentofinanceiro #finanças #futuro #saudefinanceira #planoprevite #crasc https://t.co/TnQExoGQ2h</t>
  </si>
  <si>
    <t>O CRA-SC tem como o benefício o PREVITÊ, um plano de previdência moderno e flexível disponível para todas as empresas associadas. Além de um benefício para os colaboradores, a empresa pode ter benefícios fiscais.
Acesse: https://t.co/coFwuBGb9G
#previsc #planejamentofinanceiro https://t.co/Ex6UFj5LvC</t>
  </si>
  <si>
    <t>Por que mulheres investem melhor? #DiaDaMulher #planejamentofinanceiro https://t.co/940WHpfhzV</t>
  </si>
  <si>
    <t>Planejamento financeiro é a base para tomar decisões estratégicas sólidas. Não subestime sua importância! #PlanejamentoFinanceiro</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</si>
  <si>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https://t.co/PSe3DPsdJA</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</si>
  <si>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https://t.co/s5CL3VESA6</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</si>
  <si>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https://t.co/qy1XaXRhfc</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</si>
  <si>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https://t.co/bAE6Pi4SiU</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</si>
  <si>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https://t.co/UsKz0lDWcq</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</si>
  <si>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https://t.co/kfkQYI2XJ1</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</si>
  <si>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https://t.co/x8zWKxBj7T</t>
  </si>
  <si>
    <t>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https://t.co/vqKO0qIzIU</t>
  </si>
  <si>
    <t>🎉 Hoje é o dia do contador! 🎉
A Barbi Contábil parabeniza a todos os profissionais
que cuidam das finanças e da contabilidade das
empresas!💼👏
.
#diadocontador #contabilidade #empresas
#gestãofinanceira #contadores #empreendedorismo
#sucesso #negócios #planejamentofinanceiro https://t.co/B1BSNpHIJC</t>
  </si>
  <si>
    <t>7"Você sabia que ter um fundo de emergência é essencial para lidar com imprevistos financeiros? Especialistas recomendam ter de 3 a 6 meses de despesas básicas guardadas para garantir sua segurança financeira. #FundoDeEmergência #PlanejamentoFinanceiro"</t>
  </si>
  <si>
    <t>3"Não deixe suas dívidas acumularem! Priorize o pagamento das dívidas com taxas de juros mais altas primeiro. Isso ajudará a economizar dinheiro a longo prazo. #Dívidas #PlanejamentoFinanceiro"</t>
  </si>
  <si>
    <t>Na jornada rumo à liberdade financeira, conte com a Lux para oferecer recursos e ferramentas essenciais que maximizam suas oportunidades de investimento. #InvestimentosInteligentes #PlanejamentoFinanceiro #DecisõesInformadas #LiberdadeFinanceira #ConsultoriaFinanceira #LuxCapital https://t.co/vwKKa3KO68</t>
  </si>
  <si>
    <t>Não importa se é para uma empresa ou para uso pessoal, a organização financeira é crucial para evitar problemas e garantir o sucesso financeiro. #organizaçãofinanceira #sucessofinanceiro</t>
  </si>
  <si>
    <t>👉💰💸 Como organizar suas finanças pessoais? Não é preciso fazer algo complexo para começar. Uma planilha simples já ajuda a evitar esquecer de pagar contas ou deixar boletos vencidos.
#finançaspessoais
#educaçãofinanceira
#investimentos
#planejamentofinanceiro
#economia</t>
  </si>
  <si>
    <t>💰💼 Dicas para gerenciar finanças
Lembre-se de buscar orientação profissional! 💡                           #FinançasEmpresariais
   #Orçamento
   #Impostos
   #PlanejamentoFinanceiro
    #Contabilidade
   #Despesas
   #MetasFinanceiras
   #GestãoFinanceira
   #SepararContas https://t.co/ZVknt9l884</t>
  </si>
  <si>
    <t>🇧🇷🚀 É um ótimo começo!
#robertogadelha #robertogadelhainvestimentos #recifeinvestimentos #pernambucoinvestimentos #dívidas #solução #dinheiro #planejamentofinanceiro em Recife, Brazil https://t.co/0rGhR1ksfR</t>
  </si>
  <si>
    <t>🇧🇷🚀 Vamos incluir as finanças no planejamento do novo ano?!
#robertogadelha #robertogadelhainvestimentos #finanças #planejamentofinanceiro #poupar #recifeinvestimentos em Recife, Brazil https://t.co/NpDmFE3OlL</t>
  </si>
  <si>
    <t>Você já parou para avaliar o seu desempenho financeiro pessoal? 
Leia mais em: https://t.co/Vhk2K1K8LQ
#análisedesempenhofinanceiro #finançaspessoais #planejamentofinanceiro #dinheiro #investimentos #educacaofinanceira #sabadou #like</t>
  </si>
  <si>
    <t>Você já parou para avaliar o seu desempenho financeiro pessoal? 
Leia mais em: https://t.co/Vhk2K1K8LQ
#análisedesempenhofinanceiro #finançaspessoais #planejamentofinanceiro #dinheiro #investimentos #educacaofinanceira #sabadou #like</t>
  </si>
  <si>
    <t>Eu sou #AssistenteVirtual e a #OrganizacaoFinanceira é uma das minhas atividades.
Eu posso te ajudar! Me chame: https://t.co/OucCu3UB1r
#EmersonAssistenteVirtual
#AssistenteVirtual https://t.co/tcjLxapy7b</t>
  </si>
  <si>
    <t>Descubra como investir no mercado imobiliário e alcance seus objetivos financeiros! Confira o novo artigo no nosso blog!
#InvestimentoImobiliário #MercadoImobiliário #Oportunidades #EstratégiasDeInvestimento #Rentabilidade #Patrimônio #RNAInvest #PlanejamentoFinanceiro https://t.co/0sr3gZoFA7</t>
  </si>
  <si>
    <t>🚀 Quer criar um plano de investimento eficiente e alcançar seus objetivos financeiros? Descubra o passo a passo no Blog da RNA Invest! Acesse agora e aprenda como diversificar sua carteira e alcançar a prosperidade financeira.
#Investimentos #PlanejamentoFinanceiro #RNAInvest https://t.co/rT249yI8Td</t>
  </si>
  <si>
    <t>Está buscando as melhores opções de investimento para planejar seu futuro financeiro? Confira nosso novo artigo "Previdência Privada vs outros tipos de investimento: Qual é o melhor?" Acesse agora: https://t.co/VbNPBXDKyp #PrevidênciaPrivada #Investimentos #PlanejamentoFinanceiro https://t.co/j01qhO2m2w</t>
  </si>
  <si>
    <t>Quer garantir uma aposentadoria tranquila? Conheça as 5 dicas essenciais para começar na Previdência Privada! Leia o artigo completo no Blog da RNA Invest e inicie sua jornada rumo à estabilidade financeira. 👉https://t.co/4YihbUK7mo👈
#PrevidênciaPrivada #PlanejamentoFinanceiro https://t.co/8SrahDIdz3</t>
  </si>
  <si>
    <t>Investir no Tesouro Direto é uma excelente opção para quem quer começar a investir. Quer saber? Leia já no nosso blog o guia completo de como investir no Tesouro Direto!.
#investimentos #tesourodireto #finanças #educacaofinanceira #planejamentofinanceiro #rentabilidade #segurança https://t.co/PjDJaqbz4a</t>
  </si>
  <si>
    <t>Cometer erros é normal para investidores iniciantes, mas alguns podem ser evitados! O RNA Invest listou os 5 erros mais comuns. 📈 Aprenda com essas dicas valiosas e evite esses tropeços. 🙌
Acesse: https://t.co/JJCIiGilMJ
#planejamentofinanceiro https://t.co/YLYDohzJw1</t>
  </si>
  <si>
    <t>Bom dia !!! Informações Financeiras do Brasil e do Mundo !!!
#investimentofinanceiro #investimentosinteligentes #planejamentofinanceiro #planejamentosucessorio https://t.co/7xdytozOzp</t>
  </si>
  <si>
    <t>“Como Sobreviver A Uma Recessão Em 5 Passos!” by Hilton Vieira
https://t.co/KhtnnkRHmQ
#planejamentofinanceiro #investimento #poupanca #gestaodedinheiro #economiapessoal #educacaofinanceira #liberdadefinanceira #segurancafinanceira #independenciafinanceira #rendapassiva https://t.co/w78jEsZapP</t>
  </si>
  <si>
    <t>“A previdência social está quebrada: não conte com ela para a sua aposentadoria!”
#previdenciasocial #planejamentofinanceiro #Brasil #investimentos
https://t.co/x843q131Mm https://t.co/nsI6jWcnd5</t>
  </si>
  <si>
    <t>Vejo no meu cotidiano várias pessoas na casa dos 50 a 60 anos que poderiam estar desfrutando dos benefícios de anos de trabalho mas por falta de #planejamentofinanceiro no passado, passam dificuldades. Se eles estão sofrendo agora imagine nós no futuro sem #planejamento hoje?!</t>
  </si>
  <si>
    <t>Contabilidade: A Chave para a Sustentabilidade Corporativa/Empresarial.♻️👥. Investir na contabilidade é investir no futuro sustentável dos negócios de serviços no Brasil. 💼🌿🚀#Contabilidade #Sustentabilidade #Serviços #Brasil #PlanejamentoFinanceiro https://t.co/j625o4OQUr</t>
  </si>
  <si>
    <t>Um bom planejamento financeiro permite que você não viva em função do dinheiro e entenda melhor seu estilo de vida, na prática. ​  
#PlanejamentoFinanceiro #Patrimonio #Embracon https://t.co/Bmd0xBI4Xk</t>
  </si>
  <si>
    <t>Existem algumas dicas básicas de como fazer seu lance da melhor forma. Anota aí📝✏️​  
➡️Comece guardando aos poucos;
➡️Planejamento financeiro;
➡️Não comprometa seu orçamento;😉  
#Consórcio #Embracon #PlanejamentoFinanceiro #ConsórcioEmbracon https://t.co/PwjD4jcFqW</t>
  </si>
  <si>
    <t>Que tal dar uma pausa na rotina para participar do bingo da Embracon? Bora jogar?​
Quantos pontos você fez?
#Embracon #Consórcio #Investimento #PlanejamentoFinanceiro #Lance https://t.co/J1LL001Afg</t>
  </si>
  <si>
    <t>#combustiveis  #Edenred #eficiencia #etanol #mobilidade #negociodesucesso #planejamentofinanceiro #repom #ticketlog https://t.co/Oauso3lZCq</t>
  </si>
  <si>
    <t>#GerenciamentoFinanceiro #ConcursosPúblicos #PlanejamentoFinanceiro #FinançasPessoais #Estudos #Disciplina</t>
  </si>
  <si>
    <t>"Não é só a vida amorosa que precisa de um plano, a vida financeira também! Ficar só na mão do destino é pior que marcar encontro pelo Tinder. #planejamentofinanceiro #dinheiro #comédia"</t>
  </si>
  <si>
    <t>O refinanciamento consiste em usar o bem como garantia de pagamento, o que permite taxas de juros mais atrativas e prazos mais longos de pagamento!
E aí, sabia disso? Comente aqui e siga nossas redes sociais para mais informações 😃
#refinanciamento  #planejamentofinanceiro https://t.co/0gLfPQsfOi</t>
  </si>
  <si>
    <t>💼 Um bom planejamento financeiro é fundamental para o sucesso do seu negócio. Estabeleça metas, acompanhe seus gastos e invista com sabedoria! 📊 #PlanejamentoFinanceiro #Metas #palestra #rh #empreededores #sebrae</t>
  </si>
  <si>
    <t>Minha contribuição para o Consultório Financeiro do @valoreconomico. Essa coluna é publicada semanalmente com artigos sobre #finançaspessoais e #planejamentofinanceiro por profissionais #CFP e representa  mais uma ação da #Planejar.
https://t.co/0iCOynAqr8</t>
  </si>
  <si>
    <t>Apresentamos a Grazi Uniformes, patrocinadora oficial do 5º encontro Fluir de 2023, responsável por fazer o Fluir crescer cada vez mais.
📱 (12) 3424-5565
Esperamos você! Inscreva-se acessando:
https://t.co/FG6iyb5ALs
#fluir #graziuniformes #financa #planejamentofinanceiro https://t.co/BlcKHun1xC</t>
  </si>
  <si>
    <t>Keli Dourado, do Ministério Fluir, tem um convite para você!
Assista o vídeo e venha para o 5° encontro Fluir!
Acesse o site no link da Bio e garanta já a sua vaga!
🌐https://t.co/rY0KwtYNWB
#fluir #financas #empreendedorismo #planejamentofinanceiro https://t.co/O1iPR2VbaE</t>
  </si>
  <si>
    <t>O tema do próximo Encontro Fluir é fundamental que a sua empresa domine: Finanças!
Ele será realizado dia 21 de julho, sexta-feira, às 19h30 na IBG Taubaté.
🌐 https://t.co/FG6iyb5ALs
📆 21/07, sexta-feira, às 19h30.
#fluir #ibg #educacaofinanceira #planejamentofinanceiro https://t.co/WFwuKS8QXN</t>
  </si>
  <si>
    <t>Apresentamos a vocês Coreval Materiais Elétricos, nossa patrocinadora oficial do 5º encontro Fluir de 2023, responsável por fazer o Fluir crescer mais.
Seja você também um Patrocinador!
(12) 99116-3265
#fluir #ibg #coreval #empreendedorismo #financas #planejamentofinanceiro https://t.co/er4JeQnDD4</t>
  </si>
  <si>
    <t>NÃO DESISTA DO SEU SONHO!👊
#família #sonhos  #casal #planejamentofinanceiro #finanças #imóvel #belem #belemdopara #carro #casa #imoveis  #rodobens #umarizal  #planejamento #economia #casapropria  #viagem https://t.co/EEa3u9Khhd</t>
  </si>
  <si>
    <t>A pergunta é: o que tá faltando pra tirar esse sonho do papel?
#consorcio #planejamento #planejamentofinanceiro #família #sonho #casapropria #carro em Belém Do Pará https://t.co/HTnxWcBZTN</t>
  </si>
  <si>
    <t>"Status é comprar o que não precisa com dinheiro que não tem, para impressionar pessoas que não gosta, sendo quem não é. Autenticidade é mais valioso."
#Radio54Online
#prosperidade
#abundância
#sucesso
#riqueza
#gratidão
#metasfinanceiras
#planejamentofinanceiro
#investimentos https://t.co/9lDQiHD0Nm</t>
  </si>
  <si>
    <t>Sabemos que a escassez de recursos financeiros pode ser um desafio para qualquer empresa.
✅ Consulte um contador ou assessor financeiro para orientações personalizadas e estratégias de gestão financeira eficazes.
#GestãoFinanceira #Estratégias #PlanejamentoFinanceiro 📈🌟 https://t.co/DPhPgPr4zj</t>
  </si>
  <si>
    <t>Por onde eu começo a Organizar o meu Financeiro? 
O ponto de partida é o seu rendimento. Ele norteará todo o restante, as suas despesas, o seu planejamento futuro e até mesmo te incentivará a buscar mais ganhos.
#organizacaofinanceira</t>
  </si>
  <si>
    <t>👀Preparamos um artigo com as fórmulas desses cálculos! Acesse: https://t.co/0gcI29x5Uh 
#Sebrae #CarteiraEmpreendedora #Finanças #PlanejamentoFinanceiro</t>
  </si>
  <si>
    <t>Podcast O Assunto é Dinheiro com Jana Arízio,  Planejadora e Educadora Financeira.
Entrevista completa no canal do Youtube da Clube FM Blumenau.
 #clubefmblumenau #videocast #blumenau #educacaofinanceira #planejamentofinanceiro https://t.co/c3mMBPcRB7</t>
  </si>
  <si>
    <t>A capacidade de se adaptar rapidamente é mais importante do que planejar o futuro.
#investimentos #planejamentofinanceiro</t>
  </si>
  <si>
    <t>O homem de bem deixa uma herança aos filhos de seus filhos, mas a riqueza do pecador é depositada para o justo.
Provérbios 13:22 ARC
https://t.co/CrJruVWn5M
#planejamentofinanceiro #legado</t>
  </si>
  <si>
    <t>"O consórcio é a solução ideal para quem quer investir na conquista de um bem, planejando a compra e economizando dinheiro."
Para mais informações link do WhatsApp 
https://t.co/v9OdPl8duy
#consorciocasa
#financiamento
#planejamentofinanceiro https://t.co/VvyJYPkwqO</t>
  </si>
  <si>
    <t>Existem diversas formas de ganhar dinheiro online, e a escolha depende dos seus interesses, habilidades e disposição para trabalhar.
#FinançasPessoais #Investimentos #EducaçãoFinanceira #TesouroDireto #FundosdeInvestimento #Ações #RendaFixa #Diversificação #PlanejamentoFinanceiro https://t.co/bkp5XXHbvw</t>
  </si>
  <si>
    <t>Existem várias regras que determinam quando e como você pode sacar o FGTS (Fundo de Garantia por Tempo de Serviço). 
#finanças #dinheiro #investimentos #economia #riqueza #negócios #investir #liberdadefinanceira #educaçãofinanceira #sucesso #planejamentofinanceiro https://t.co/UR93Oud0AM</t>
  </si>
  <si>
    <t>"No matter how much money you have, if you don't have financial education, you're a slave to money." -Robert Kiyosaki 
#EducaçãoFinanceira #LiberdadeFinanceira #GestãoDeDinheiro #PlanejamentoFinanceiro #FinançasPessoais #IndependenciaFinanceira</t>
  </si>
  <si>
    <t>"Não importa quanto dinheiro você tem, se você não tem educação financeira, você é um escravo do dinheiro." - Robert Kiyosaki
#EducaçãoFinanceira #LiberdadeFinanceira #GestãoDeDinheiro #PlanejamentoFinanceiro #FinançasPessoais #IndependenciaFinanceira</t>
  </si>
  <si>
    <t>Um consórcio para compra de um caminhão é uma modalidade de financiamento coletivo em que um grupo de pessoas se une para adquirir esse tipo de veículo. 
#instagood #planejamentofinanceiro #consorcio #consorcioveiculopesado https://t.co/ThF6Ie4fI7</t>
  </si>
  <si>
    <t>Planejamento e Assessoria Tributário.
#consultoriatributaria #trabalhos #financas #buscando #assessoriafinanceira #linkedinbrasil #saobernardodocampo #saopaulo #makingadifference #planejamentotributario #planejamentofinanceiro https://t.co/eMnzZuPnRa</t>
  </si>
  <si>
    <t>Os direitos do MEI são:
🔹Aposentadoria
🔹Auxílio-doença
🔹Salário-maternidade
🔹Auxílio-reclusão
🔹Pensão por morte
Gostou?... Curta, comente e compartilhe !
#empresa #empresario #bpofinanceiro #negocios #sucesso #bussiness #finanças #planejamentofinanceiro #MEI #impostos https://t.co/TDdl8nxRtC</t>
  </si>
  <si>
    <t>Vamos começar a falar sobre Organização Financeira:
Por que ter organização financeira na vida pessoal?
Porque o dinheiro pode não trazer felicidade, mas ajuda a alcançar nossos objetivos e transformar sonhos em realidade. 
#Twitter #coaching #organizacaofinanceira</t>
  </si>
  <si>
    <t>1️⃣ Faça um Orçamento: O primeiro passo para o sucesso financeiro é criar um orçamento. Anote suas receitas e despesas para entender para onde está indo seu dinheiro. Isso ajudará a identificar onde é possível economizar. #Orçamento #PlanejamentoFinanceiro</t>
  </si>
  <si>
    <t>Descubra os segredos para uma #AposentadoriaTranquila! Acesse agora mesmo nosso blog e aprenda estratégias financeiras e dicas valiosas para garantir uma vida confortável após o trabalho. Prepare-se para o futuro! 
https://t.co/vfS0L5JdMQ
 #planejamentofinanceiro #bemestar https://t.co/y7yfBLSo87</t>
  </si>
  <si>
    <t>Confira nossas dicas no novo artigo do Blog da LP4 Planejamento! Saiba como escolher o melhor plano, garantindo a segurança financeira da sua família. 👨‍👩‍👧‍👦
✅ Leia agora: https://t.co/KyE9tjXf6h
#SeguroDeVida #ProteçãoFamiliar #PlanejamentoFinanceiro #LP4Planejamento https://t.co/EtJeGk5Bm5</t>
  </si>
  <si>
    <t>Garanta a estabilidade financeira da sua família com dicas essenciais de #PlanejamentoFinanceiro. Descubra estratégias práticas para criar um plano sólido, economizar e gerenciar dívidas. Acesse o artigo completo no Blog da LP4. #FinançasFamiliares #EstabilidadeEconômica https://t.co/x8LSqTz1ii</t>
  </si>
  <si>
    <t>Descubra como poupar, calcular suas necessidades futuras, diversificar investimentos e muito mais. Não deixe para depois, comece a agir agora mesmo! 
Leia o artigo completo: https://t.co/kcZ32xAf8u
#Aposentadoria #PlanejamentoFinanceiro #EstabilidadeFinanceira #LP4Planejamento https://t.co/q6DUe83AeF</t>
  </si>
  <si>
    <t>📢 Organize suas finanças e conquiste suas metas! 💰Descubra dicas valiosas para um planejamento financeiro mensal eficiente. Acesse o artigo completo no Blog da LP4 Planejamento e transforme sua vida financeira! #OrganizaçãoFinanceira #PlanejamentoFinanceiro #FinançasPessoais https://t.co/Z5vzer4thU</t>
  </si>
  <si>
    <t>💑 Descubra como fazer um planejamento financeiro em casal para alcançar estabilidade e construir um futuro próspero juntos! 💰Acesse o artigo completo no Blog da LP4 Planejamento: https://t.co/cmHEpo9mNQ #PlanejamentoFinanceiro #Casais #EstabilidadeFinanceira #SucessoFinanceiro https://t.co/DxXT8JNLmo</t>
  </si>
  <si>
    <t>Aposentadoria tranquila está ao seu alcance! Descubra agora os melhores investimentos no nosso blog. Acesse e planeje seu futuro financeiro. 💼💰
https://t.co/P8TQXR7dbC
#Aposentadoria #Investimentos #PlanejamentoFinanceiro #FuturoSeguro #BlogLP4 https://t.co/L0VHdKOEfD</t>
  </si>
  <si>
    <t>Garanta sua segurança financeira na aposentadoria! Descubra como escolher um plano de previdência privada inteligente. Acesse o artigo completo no Blog da LP4 e transforme seu futuro.
https://t.co/g2D1k36i2j
 #previdênciaprivada #planejamentofinanceiro #aposentadoria https://t.co/3K1FrsdwFD</t>
  </si>
  <si>
    <t>Descubra a importância do seguro de vida no planejamento financeiro familiar. Proteja sua família e garanta um futuro seguro. Leia o artigo completo no Blog da LP4 Planejamento. #SeguroDeVida #PlanejamentoFinanceiro #Família #ProteçãoFinanceira #LP4Planejamento https://t.co/eMgqywrMRq</t>
  </si>
  <si>
    <t>🌟 Garanta seu futuro financeiro! Descubra os benefícios incríveis de uma previdência privada no Blog da LP4 Planejamento. 💰💼 Acesse agora ➡https://t.co/5y0oglBdsu⬅ #PrevidênciaPrivada #Investimentos #PlanejamentoFinanceiro #SucessoFinanceiro #Aposentadoria https://t.co/5Q1CrwTtHV</t>
  </si>
  <si>
    <t>Planejar sua aposentadoria é essencial!
Descubra os melhores investimentos para aposentadoria no Blog da LP4!
👉 https://t.co/S1Z0PC0IdE
#InvestimentosParaAposentadoria #PlanejamentoFinanceiro #Aposentadoria #FuturoFinanceiro #DicasFinanceiras #LP4 https://t.co/bZjrZdEsF0</t>
  </si>
  <si>
    <t>📣 Aprenda estratégias para poupar dinheiro no dia a dia e alcance estabilidade financeira! 💰💡 Descubra dicas práticas e eficazes no artigo da LP4 Planejamento. 💪💼 #FinançasPessoais #Economia #PouparDinheiro #PlanejamentoFinanceiro #LP4Planejamento #DicasFinanceiras https://t.co/dpX8zgISi6</t>
  </si>
  <si>
    <t>💰Dicas valiosas de planejamento financeiro para estudantes! Descubra estratégias para economizar dinheiro, aumentar sua renda e investir com inteligência. Leia o artigo completo no Blog da LP4.  https://t.co/KVFPuMXP6g #PlanejamentoFinanceiro #Estudantes #EducaçãoFinanceira https://t.co/pC89IYx0qK</t>
  </si>
  <si>
    <t>🚨🔥 Descubra os benefícios de um Fundo de Emergência e proteja suas finanças! Saiba como construí-lo no novo artigo da LP4 Planejamento. 💼💰 #FundoDeEmergência #PlanejamentoFinanceiro #LP4Planejamento #FinançasPessoais #Dinheiro #EducaçãoFinanceira #CTA https://t.co/Z0qF5RDAIQ</t>
  </si>
  <si>
    <t>Planejar a aposentadoria aos 30 anos? Sim, é possível! 💼💰 Descubra estratégias inteligentes e dicas práticas para garantir um futuro financeiro estável. Leia no Blog da LP4 Planejamento e Consultoria. #PlanejamentoFinanceiro #Aposentadoria #FuturoFinanceiro #LP4Consultoria https://t.co/yMfl8Zh0r5</t>
  </si>
  <si>
    <t>Conheça as opções disponíveis e escolha o seguro mais adequado para suas necessidades. Acesse o artigo completo no Blog da LP4 Planejamento e tome a decisão certa! 💡💼 #SeguroDeVida #ProteçãoFamiliar #PlanejamentoFinanceiro #FuturoSeguro #SegurançaFinanceira #LP4Planejamento https://t.co/LwMMNjesfQ</t>
  </si>
  <si>
    <t>🔍💼 Pais solteiros, descubra como planejar seu futuro financeiro e garantir o bem-estar dos filhos. Confira nossas dicas no Blog da LP4 Planejamento! 👉 https://t.co/pFCxDsChzy
#PlanejamentoFinanceiro #PaisSolteiros #EducaçãoFinanceira https://t.co/gfENkRORfs</t>
  </si>
  <si>
    <t>Agora me diz,o que é que você tá esperando pra começar se planejar???
#consorcio #planejamentofinanceiro #financiamento #autofinanciamento #investimentos https://t.co/vNS6NFPTL0</t>
  </si>
  <si>
    <t>Planeje sua aposentadoria | por: Lídia Luciara Silva Aleixo https://t.co/AEGHzP3R2K #Varginha via @Varginha_online</t>
  </si>
  <si>
    <t>Evolução contínua, muito mais do que o certificado, são os aprendizados gerados!
@ANBIMA_BR 
#planejamentofinanceiro https://t.co/VpSS7A7HJf</t>
  </si>
  <si>
    <t>The keys to your financial freedom. Play them wisely
.
.
.
#finance #libertadfinanciera #liberdadefinanceira #finances #personalfinance #financetips #mercadofinanceiro #educacionfinanciera #educacaofinanceira #planejamentofinanceiro #independenciafinanceira #educaçãofinanceira https://t.co/ltpHCoycnb</t>
  </si>
  <si>
    <t>Nome do Instagram: @gustavocamposguize Nome do canal no YouTube: O Almanaque Financeiro
 #trabalhovsnegócio #empreendedorismo #gestãodenegócios #finanças #planejamentofinanceiro #investimentos #educaçãofinanceira #negócios https://t.co/7h9jaT9G3h</t>
  </si>
  <si>
    <t>#planejamentofinanceiro
Necessitooooooo</t>
  </si>
  <si>
    <t>Seja diligente em gerenciar seus bens e planejar o futuro para que eles também possam ser uma bênção para outros e para a obra de Deus." #LESAdv #PrimeiroDeus #mordomia #planejamentofinanceiro #biblia</t>
  </si>
  <si>
    <t>#ProfRicardoViana #EducacaoFinanceira #FinancasPessoais #PlanejamentoFinanceiro #LiberdadeFinanceira #OrganizeSuasFinanças https://t.co/Wt5npzUBX0</t>
  </si>
  <si>
    <t>Comece a semana com o pé direito! Descubra como estabelecer uma rotina financeira saudável, definir metas alcançáveis e criar um orçamento realista. Aprenda a poupar desde o início da semana e evite gastos impulsivos. 
#EducaçãoFinanceira #PlanejamentoFinanceiro</t>
  </si>
  <si>
    <t>Você já ouviu falar sobre empréstimo de pagamento único? Vou explicar como funciona.
#ProfRicardoViana #MatemáticaFinanceira #EducaçãoFinanceira #ConcursoPúblico #Empréstimos #PlanejamentoFinanceiro #DicasDeFinanças https://t.co/Aq1zd1d2fu</t>
  </si>
  <si>
    <t>Alguns passos : 
#planejamentofinanceiro 
https://t.co/ncxHWO3hG8</t>
  </si>
  <si>
    <t>Cuidar das finanças do lar é um trabalho essencial para manter a harmonia e o equilíbrio. 💰🏠 Saiba mais em https://t.co/nUgCMI6joG 
 #EconomiaDoméstica #PlanejamentoFinanceiro #GestaumDigital https://t.co/Qty2SdnPrP</t>
  </si>
  <si>
    <t>#planejamentofinanceiro #orçamentoempresarial #gestãodecustos #lucros #pdca #consultoriafinanceira #assessoriafinanceira
#sucesso https://t.co/wY5z2CEAPz</t>
  </si>
  <si>
    <t>Sem tempo para gerenciar as finanças e os custos de seu empreendimento?
Entre em contato pelo email contato@seshatconsultoria.com.br e vamos conversar sobre soluções sob medida para suas necessidades.
#planejamentofinanceiro
#gestãofinanceira
#gestãodecustos https://t.co/5Bq80bm9S9</t>
  </si>
  <si>
    <t>A melhor época para comprar um consórcio é sempre cinco anos atrás.  
Comece hoje!
#consorcio 
#casapropria 
#planejamentofinanceiro</t>
  </si>
  <si>
    <t>Aprenda a elaborar um plano financeiro sólido e conquiste a estabilidade financeira que você sempre sonhou. 📈✅
 #PlanejamentoFinanceiro #SucessoFinanceiro #Estabilidade https://t.co/PW2glOl0hO</t>
  </si>
  <si>
    <t>4/11 📊📈 Faça um plano financeiro realista. Determine quanto você pode destinar para o pagamento das dívidas a cada mês e comprometa-se a cumprir esse plano. Lembre-se, pequenos passos consistentes podem levar a grandes conquistas! #PlanejamentoFinanceiro #MetasRealistas</t>
  </si>
  <si>
    <t>3/11 💰✅ O primeiro passo é encarar suas dívidas de frente. Liste todas elas e organize-as por ordem de prioridade. Dessa forma, você terá clareza sobre o tamanho do desafio e poderá focar suas energias em liquidá-las uma a uma. #OrganizaçãoFinanceira #ControleSuasDívidas</t>
  </si>
  <si>
    <t>💰🤑💸
Problemas financeiros 
LEIA EM: https://t.co/msgfr3WSJV
#problemasfinanceiros #planejamentofinanceiro #saúdemental #estresse #ansiedade #consultorfinanceiro #reservafinanceira #dívidas  #estabilidadefinanceira #saúdefinanceira #crédito #bemestar #qualidadedevida https://t.co/jxSBuqXxqJ</t>
  </si>
  <si>
    <t>ganhos gastos endividamento organizacaofinanceira financaspessoais planejamentofinanceiro</t>
  </si>
  <si>
    <t>investimento ativos liquidez planejamento planejamentofinanceiro finanças</t>
  </si>
  <si>
    <t>finanças pairicopaipobre planejamentofinanceiro dicasfinanceiras dicasdefinanças aposentadoria</t>
  </si>
  <si>
    <t>objetivos financaspessoais planejamentofinanceiro liberdadefinanceira dicasfinanceiras</t>
  </si>
  <si>
    <t>planejamentofinanceiro</t>
  </si>
  <si>
    <t>objetivos investimentosfinanceiros planejamento planejamentofinanceiro investir qualidadedevida</t>
  </si>
  <si>
    <t>habitossaudaveis mercadofinanceiro saudefinanceira financaspessoais planejamentofinanceiro dicasfinanceiras</t>
  </si>
  <si>
    <t>tranquilidade financas planejamentofinanceiro empreendedorismo poupar dinheiro dicasdefinanças investimento</t>
  </si>
  <si>
    <t>tranquilidade financeira qualidadedevida planejamentofinanceiro</t>
  </si>
  <si>
    <t>planejamentofinanceiro planejarépreciso futuro qualidadedevida finanças dicasfinanceiras investimento poupardinheiro aposentadoria</t>
  </si>
  <si>
    <t>planejamentofinanceiro finanças empreendedorismo qualidadedevida</t>
  </si>
  <si>
    <t>qualidadedevida investir enriquecer planejamentofinanceiro finanças</t>
  </si>
  <si>
    <t>economia tranquilidade financaspessoais dinheiro planejamentofinanceiro</t>
  </si>
  <si>
    <t>dinheiro planejamentofinanceiro finanças investir investimento orçamento</t>
  </si>
  <si>
    <t>borafalardeguito credibilidade banco credibilidadebancária organizacaofinanceira economia financas</t>
  </si>
  <si>
    <t>finance liberdadefinanceira personalfinance mercadofinanceiro finances educacaofinanceira independenciafinanceira planejamentofinanceiro refinance sucessofinanceiro financeiro financetips inteligenciafinanceira</t>
  </si>
  <si>
    <t>organizaçãofinanceira bússolafinanceira sucessofinanceiro</t>
  </si>
  <si>
    <t>taxadeinadimplência controlefinanceiro planejamentofinanceiro endividamento saúdefinanceira crédito dívidas negociação finançaspessoais scoredecrédito</t>
  </si>
  <si>
    <t>planejamentofinanceiro finanças</t>
  </si>
  <si>
    <t>planejamentofinanceiro finanças investimentos</t>
  </si>
  <si>
    <t>educadorfinanceiro planejamentofinanceiro investimentos</t>
  </si>
  <si>
    <t>amazon educacaofinanceira planejamentofinanceiro orcamentofinanceiro investimentos</t>
  </si>
  <si>
    <t>planejamentofinanceiro investimentos poupardinheiro bolsadevalores</t>
  </si>
  <si>
    <t>investimentos consultorfinanceiro planejamentofinanceiro</t>
  </si>
  <si>
    <t>financas investimentos planejamentofinanceiro</t>
  </si>
  <si>
    <t>finançaspessoais educaçãofinanceira planejamentofinanceiro investimentos controlefinanceiro</t>
  </si>
  <si>
    <t>investimentos mercadofinanceiro lucratividade estratégia oportunidades rendaextra sucessofinanceiro altaperformance diversificação planejamentofinanceiro investircominteligência</t>
  </si>
  <si>
    <t>familia filhos planejamentofinanceiro</t>
  </si>
  <si>
    <t>contabil contabilidadeconsultiva planejamentofinanceiro planilhasexcel controlefinanceiro fiscal contabilidadeonline simplesnacional notafiscal tributario impostosfederais planejamentotributario vitoria serra vilavelha espiritosanto</t>
  </si>
  <si>
    <t>carroseconsorcios sanave novabahiarenault carros planejamentofinanceiro</t>
  </si>
  <si>
    <t>consórcio planejamentofinanceiro thistorres educaçãofinanceira</t>
  </si>
  <si>
    <t>sebrae carteiraempreendedora finanças planejamentofinanceiro</t>
  </si>
  <si>
    <t>meunomelimpo cpfsujo educaçãofinanceira planejamentofinanceiro nomesujo dívidas spc serasa</t>
  </si>
  <si>
    <t>meunomelimpo cpfsujo educaçãofinanceira planejamentofinanceiro nomesujo dívidas spc</t>
  </si>
  <si>
    <t>designestratégico branding planejamentofinanceiro</t>
  </si>
  <si>
    <t>organizaçãofinanceira empreendedorismo educaçãofinanceira</t>
  </si>
  <si>
    <t>fontederenda planejamentofinanceiro cartaodecredito finanças empreendedorismo</t>
  </si>
  <si>
    <t>finanças objetivosfinanceiros planejamentofinanceiro</t>
  </si>
  <si>
    <t>trabalho economia prosperidade motivacional finanças sucesso organizacaofinanceira poupança money dinheiro</t>
  </si>
  <si>
    <t>iptu pagamentoparcelado planejamentofinanceiro prefeituradeitaguai trabalhandosempre</t>
  </si>
  <si>
    <t>janeiroeterno portobank organizacaofinanceira</t>
  </si>
  <si>
    <t>jazigo parquememorial parquememorialdegoiania planejamentofinanceiro planofunerario</t>
  </si>
  <si>
    <t>finançaspessoais dinheiro investimentos educaçãofinanceira planejamentofinanceiro</t>
  </si>
  <si>
    <t>financaspessoais controlefinanceiro libertesuasfinancas investimentoemsimesmo educacaofinanceira planejamentofinanceiro dicaseconomicas reservadeemergencia</t>
  </si>
  <si>
    <t>metasfinanceiras enriquecimentofinanceiro planejamentofinanceiro reservafinanceira rendaextra independênciafinanceira aposentadoria</t>
  </si>
  <si>
    <t>gestãofinanceira finanças controlefinanceiro planejamentofinanceiro</t>
  </si>
  <si>
    <t>investir investimentos investidor planejamentofinanceiro viverdedividendos mercadodecapitais inteligenciafinanceira</t>
  </si>
  <si>
    <t>tesourodireto sabiasque investment planejamentofinanceiro futuro fy fyp ceo</t>
  </si>
  <si>
    <t>mulher sucesso rendaexta família faturamento finançaspessoas organizaçãofinanceira mulherdesucesso empresaria</t>
  </si>
  <si>
    <t>planejamentofinanceiro educaçãofinanceira proteçãopatrimônio acúmuloeinvestimentos aposentadoria aquisiçãodebens</t>
  </si>
  <si>
    <t>planejamentofinanceiro vidafinanceira inteligenciafinanciera projeto igorvieira</t>
  </si>
  <si>
    <t>consultoriafinanceira planejamentofinanceiro investimentos rendapassiva</t>
  </si>
  <si>
    <t>prevcom previdenciaprivada planejamentofinanceiro</t>
  </si>
  <si>
    <t>organizacaofinanceira semanaenef resilienciafinanciera planejamentofinanceiro financaspessoais economiacomportamental sustentabilidade evertonlopesinvestidor</t>
  </si>
  <si>
    <t>realidadefinanceira resilienciafinanciera organizacaofinanceira rendapassiva evertonlopesinvestidor planejamentofinanceiro</t>
  </si>
  <si>
    <t>planosemetas sonhos planejamentofinanceiro finançaspessoais educaçãofinanceira objetivosemetas evertonlopesinvestidor</t>
  </si>
  <si>
    <t>organizaçãofinanceira planejamentofinanceiro</t>
  </si>
  <si>
    <t>pensecadasegundocomoummilionário evertonlopesinvestidor rendapassiva investimentos educaçãofinanceira planejamentofinanceiro</t>
  </si>
  <si>
    <t>educaçãofinanceira evertonlopesinvestidor moneysul planejamentofinanceiro finançaspessoais pensecadasegundocomoummilionário</t>
  </si>
  <si>
    <t>luacheiarosa planejamentofinanceiro objetivosemetas organizacaofinanceira evertonlopesinvestidor</t>
  </si>
  <si>
    <t>livrosdeeducaçãofinanceira educaçãofinanceira livros finançaspessoais planejamentofinanceiro finançaspessoais seubolsonodivã vivendoasuarealidadefinanceira evertonlopeseconomista</t>
  </si>
  <si>
    <t>trabalhonovo novotrabalho organizacao organizaçãofinanceira organizaçãoprofissional</t>
  </si>
  <si>
    <t>finanças planejamentofinanceiro</t>
  </si>
  <si>
    <t>planejamentofinanceiro investimentos carteiradeinvestimentos</t>
  </si>
  <si>
    <t>planejamentofinanceiro jornalcontabil</t>
  </si>
  <si>
    <t>mei planejamentofinanceiro</t>
  </si>
  <si>
    <t>educaçãofinanceiranaescola aprendendoafinanciar planejamentofinanceiro</t>
  </si>
  <si>
    <t>impostoderenda planejamentofinanceiro sucesso</t>
  </si>
  <si>
    <t>finanças economizar dinheiro finançaspessoais planejamentofinanceiro educacaofinanceira</t>
  </si>
  <si>
    <t>dividas finançaspessoais dívidas controlefinanceiro planejamentofinanceiro inteligenciafinanceira finanças empreendedorismo economizar poupar educaçãofinanceira</t>
  </si>
  <si>
    <t>finançaspessoais educaçãofinanceira finanças economizar planejamentofinanceiro dividas controlefinanceiro organizacaofinanceira</t>
  </si>
  <si>
    <t>planejamentofinanceiro finançaspessoais controlefinanceiro finanças educaçãofinanceira</t>
  </si>
  <si>
    <t>meta objetivo coachingfinanceiro investimentos dinheiro finanças planejamentofinanceiro finançaspessoais educaçãofinanceira williamhuntbrasil</t>
  </si>
  <si>
    <t>investimentos comoinvestir financas economizar dinheiro finançaspessoais planejamentofinanceiro educaçãofinanceira investir</t>
  </si>
  <si>
    <t>finançaspessoais economizar dinheiro poupar renda finanças planejamentofinanceiro inteligenciafinanceira educacaofinanceira</t>
  </si>
  <si>
    <t>financas planejamentofinanceiro economizar dinheiro finançaspessoais educaçãofinanceira</t>
  </si>
  <si>
    <t>finanças economizar dinheiro finançaspessoais investir planejamentofinanceiro educacaofinanceira</t>
  </si>
  <si>
    <t>economizar planejamentofinanceiro finançaspessoais dicasfinanceiras educaçãofinanceira financas reservadeemergencia</t>
  </si>
  <si>
    <t>saudefinanceira economizar dinheiro poupar investir renda finançaspessoais finanças planejamentofinanceiro inteligenciafinanceira educacaofinanceira</t>
  </si>
  <si>
    <t>poupança poupar economizar finançaspessoais educaçãofinanceira investimentos finanças planejamentofinanceiro liberdadefinanceira</t>
  </si>
  <si>
    <t>pairicopaipobre dicadeleitura finançaspessoais educaçãofinanceira investimentos finanças economizar dinheiro planejamentofinanceiro liberdadefinanceira inteligenciafinanceira empreendedorismo ganhardinheiro sucessofinanceiro</t>
  </si>
  <si>
    <t>finançaspessoais planejamentofinanceiro financas controlefinanceiro educacaofinanceira inteligenciafinanceira</t>
  </si>
  <si>
    <t>planejamentofinanceiro educacaofinanceira finanças economizar poupar dinheiro finançaspessoais</t>
  </si>
  <si>
    <t>financas planejamentofinanceiro independenciafinanceira financaspessoais investimento liberdadefinanceira educacaofinanceira</t>
  </si>
  <si>
    <t>finançaspessoais planejamentofinanceiro organizacaofinanceira inteligenciafinanceira educacaofinanceira gestaofinanceira orçamentofamiliar sucessofinanceiro vidadecasal</t>
  </si>
  <si>
    <t>educacaofinanceira finançaspessoais planejamentofinanceiro dinheiro controlefinanceiro renda sucessofinanceiro</t>
  </si>
  <si>
    <t>sonhos planejamentofinanceiro reflexao sucesso motivação mentalidadedesucesso empreendedor</t>
  </si>
  <si>
    <t>comoinvestir investimento financas planejamentofinanceiro ganhardinheiro independenciafinanceira liberdadefinanceira educaçãofinanceira</t>
  </si>
  <si>
    <t>financas economizar dinheiro finançaspessoais planejamentofinanceiro educaçãofinanceira</t>
  </si>
  <si>
    <t>educaçãofinanceira planejamentofinanceiro economizar poupar financas dicasfinanceiras controlefinanceiro finançaspessoais inteligenciafinanceira poupança organizacaofinanceira</t>
  </si>
  <si>
    <t>planejamentofinanceiro educacaofinanceira financaspessoais controlefinanceiro finanças sucessofinanceiro</t>
  </si>
  <si>
    <t>planejamentofinanceiro dinheiro controlefinanceiro finanças finançaspessoais educaçãofinanceira dicasfinanceiras</t>
  </si>
  <si>
    <t>financas orçamentofamiliar planejamentofinanceiro economizar dinheiro finançaspessoais educaçãofinanceira</t>
  </si>
  <si>
    <t>economizar investir finançaspessoais investimentos finanças planejamentofinanceiro inteligenciafinanceira sucessofinanceiro organizacaofinanceira educacaofinanceira</t>
  </si>
  <si>
    <t>educaçãofinanceira financaspessoais planejamentofinanceiro financas liberdadefinanceira habitos mentemilionaria independenciafinanceira</t>
  </si>
  <si>
    <t>prosperidade gratidão dicadeleitura livros leitura ficarrico riqueza ganhardinheiro williamhuntbrasil dinheiro financaspessoais educaçãofinanceira planejamentofinanceiro</t>
  </si>
  <si>
    <t>cartaodecredito finançaspessoais planejamentofinanceiro economizar dinheiro financas poupar educaçãofinanceira finanças vidafinanceira</t>
  </si>
  <si>
    <t>economizar dinheiro poupar finanças planejamentofinanceiro finançaspessoais educaçãofinanceira</t>
  </si>
  <si>
    <t>planejamentofinanceiro investimento comoinvestir financas economizar poupar investir finançaspessoais educaçãofinanceira</t>
  </si>
  <si>
    <t>investimentos comoinvestir financas economizar dinheiro finançaspessoais planejamentofinanceiro educaçãofinanceira</t>
  </si>
  <si>
    <t>pascoa economizar poupar finançaspessoais planejamentofinanceiro financas educaçãofinanceira</t>
  </si>
  <si>
    <t>economizar poupar finanças educacaofinanceira inteligenciafinanceira dinheironobolso planejamentofinanceiro economizardinheiro finançaspessoais</t>
  </si>
  <si>
    <t>economizar dinheiro finançaspessoais poupar renda financas planejamentofinanceiro inteligenciafinanceira educaçãofinanceira</t>
  </si>
  <si>
    <t>educaçãofinanceira financas planejamentofinanceiro dinheiro finançaspessoais educacaofinanceira</t>
  </si>
  <si>
    <t>carnaval economizar poupar finançaspessoais planejamentofinanceiro financas educaçãofinanceira</t>
  </si>
  <si>
    <t>planejamentofinanceiro controlefinanceiro finanças finançaspessoais educaçãofinanceira dicasfinanceiras</t>
  </si>
  <si>
    <t>finançaspessoais educacaofinanceira finanças planejamentofinanceiro inteligenciafinanceira organizacaofinanceira</t>
  </si>
  <si>
    <t>planejamentofinanceiro financas dinheiro</t>
  </si>
  <si>
    <t>finance liberdadefinanceira personalfinance mercadofinanceiro finances educacaofinanceira independenciafinanceira planejamentofinanceiro refinance sucessofinanceiro</t>
  </si>
  <si>
    <t>ademicon2023 ademicon consorcio investimentos planejamentofinanceiro</t>
  </si>
  <si>
    <t>consorcio planejamentofinanceiro investimentos futurogarantido aposentadoriaimobiliaria</t>
  </si>
  <si>
    <t>trendingreels barbie consorcio planejamentofinanceiro financialfreedom</t>
  </si>
  <si>
    <t>análisetécnica planejamentofinanceiro independenciafinanceira assessoriafinanceira patrimonio investimentos mercadofinanceiro</t>
  </si>
  <si>
    <t>planejamentofinanceiro planejamento financeiro chave metas poupar planejamento controle</t>
  </si>
  <si>
    <t>finance liberdadefinanceira personalfinance mercadofinanceiro finances educacaofinanceira independenciafinanceira planejamentofinanceiro refinance sucessofinanceiro financeiro financetips inteligencia</t>
  </si>
  <si>
    <t>finançaspessoais planejamentofinanceiro</t>
  </si>
  <si>
    <t>economia planejamentofinanceiro</t>
  </si>
  <si>
    <t>organizaçãofinanceira finanças</t>
  </si>
  <si>
    <t>simplesnacional demonstraçõesfinanceiras planejamentofinanceiro</t>
  </si>
  <si>
    <t>auditoria simplesnacional demonstraçõesfinanceiras planejamentofinanceiro contabilidadefiscal pequenasempresas microempresas empresário</t>
  </si>
  <si>
    <t>explore explorer explorar marketingdigital motivação planejamento estratégia sucesso negócios educaçãoexecutiva planejamentofinanceiro vendas</t>
  </si>
  <si>
    <t>empreender explore explorar marketingdigital motivação desenvolvimentopessoal estratégia sucesso negócios educaçãoexecutiva planejamentofinanceiro</t>
  </si>
  <si>
    <t>planejamento desenvolvimentopessoal estratégia sucesso inovação liderança negócios educaçãoexecutiva planejamentofinanceiro oportunidades orçamento</t>
  </si>
  <si>
    <t>empreender explore explorer explorar marketingdigital business planejamento desenvolvimentopessoal estratégia educaçãoexecutiva planejamentofinanceiro</t>
  </si>
  <si>
    <t>empreendedorismo explore explorer explorar marketingdigital business planejamento desenvolvimentopessoal estratégia sucesso planejamentofinanceiro negócios educaçãoexecutiva svb risco</t>
  </si>
  <si>
    <t>contabilidade finanças impostos gestãofinanceira planejamentofinanceiro consultoriacontábil auditoria</t>
  </si>
  <si>
    <t>educaçãofinanceira investirparacrescer rendapassiva planejamentofinanceiro investimentosseguros</t>
  </si>
  <si>
    <t>contabilidadeestratégica sucessoempresarial planejamentofinanceiro</t>
  </si>
  <si>
    <t>kakoramosoficial estrategiadqgre organizaçãofinanceira</t>
  </si>
  <si>
    <t>organizaçãofinanceira finançaspessoais planilhafinanceira</t>
  </si>
  <si>
    <t>finançaspessoais bancos organizaçãofinanceira</t>
  </si>
  <si>
    <t>organizaçãofinanceira liberdadefinanceira riqueza</t>
  </si>
  <si>
    <t>cartõesdecrédito organizaçãofinanceira</t>
  </si>
  <si>
    <t>finance liberdadefinanceira personalfinance mercadofinanceiro finances educacaofinanceira independenciafinanceira planejamentofinanceiro refinance sucessofinanceiro financeiro financetips</t>
  </si>
  <si>
    <t>educaçãofinanceira planejamentofinanceiro</t>
  </si>
  <si>
    <t>planejamentofinanceiro segurodevida revistaapolice</t>
  </si>
  <si>
    <t>evento planejamentofinanceiro revistaapolice</t>
  </si>
  <si>
    <t>consórcio financiamento investimento planejamentofinanceiro educaçãofinanceira poupejuros</t>
  </si>
  <si>
    <t>discovery explore explorer explorar finanças educaçãofinanceira finançaspessoais investimento planejamentofinanceiro</t>
  </si>
  <si>
    <t>finanças educaçãofinanceira finançaspessoais planejamentofinanceiro vidafinanceira liberdadefinanceira</t>
  </si>
  <si>
    <t>educaçãofinanceira finançaspessoais investimentos planejamentofinanceiro vidafinanceira</t>
  </si>
  <si>
    <t>finanças educaçãofinanceira finançaspessoais investimentos planejamentofinanceiro vidafinanceira dinheiro liberdadefinanceira</t>
  </si>
  <si>
    <t>dinheiro explore explorer explorar finanças educaçãofinanceira finançaspessoais investimento planejamentofinanceiro svb risco</t>
  </si>
  <si>
    <t>dinheiro financeiro explore explorer explorar finanças educaçãofinanceira finançaspessoais investimento planejamentofinanceiro inflação ipca juros</t>
  </si>
  <si>
    <t>partiuplanejar planejamentofinanceiro financas amandaparla</t>
  </si>
  <si>
    <t>assessoriadecobrança vempracobratec planejamentofinanceiro gestãoempresarial equipequalificada cobrançahumanizada recuperaçãodecrédito cobratecassis</t>
  </si>
  <si>
    <t>dianacionaldascomunicações rondon conexãofinanceira educaçãofinanceira planejamentofinanceiro</t>
  </si>
  <si>
    <t>decisões metas2023 planejamentofinanceiro financaspessoais dicasfinanceiras</t>
  </si>
  <si>
    <t>metas metas anonovo anonovo2023 planejamentofinanceiro</t>
  </si>
  <si>
    <t>planejamentofinanceiro financaspessoais finanças</t>
  </si>
  <si>
    <t>planejamentofinanceiro organizesuavida finanças</t>
  </si>
  <si>
    <t>tranquilidade finanças qualidadedevida prosperidade planejamentoestrategico planejamentofinanceiro</t>
  </si>
  <si>
    <t>futuro jornada protagonista planejamentofinanceiro</t>
  </si>
  <si>
    <t>emergencia financeira planejamentofinanceiro futuro futurodasfinanças</t>
  </si>
  <si>
    <t>dividas dicas organizaçãofinanceira</t>
  </si>
  <si>
    <t>studiomadehits investidoresdaquebrada tvmadehits liberdade planejamentofinanceiro riqueza dinheiroextra empresas empreendimento favelado versosdefavela favelados podcast</t>
  </si>
  <si>
    <t>studiomadehits empreendedor opções organizacaofinanceira quebradas podcast podcasts podcaster trendingvideo tiktokvideo instavideos viralvideo</t>
  </si>
  <si>
    <t>studiomadehits investidoresdesucesso investidoresbrasil investidoresiniciantes liberdade planejamentofinanceiro riqueza quebrada podcast newpodcast podcast hastag videostaredits comment4comment trending</t>
  </si>
  <si>
    <t>studiomadehits investidoresdaquebrada tvmadehits liberdade planejamentofinanceiro riqueza dinheiroextra empresas empreendimento favelado versosdefavela favelados podcast podcasts podcaster followers newpost 1000views</t>
  </si>
  <si>
    <t>studiomadehits investidoresdaquebrada investidoresdesucesso investidoresbrasil investidoresiniciantes liberdade planejamentofinanceiro riqueza quebradavenceu podcastshow newpodcast podcast hastag videostaredits comment4comment trending</t>
  </si>
  <si>
    <t>investimento planejamentofinanceiro</t>
  </si>
  <si>
    <t>mercadofinanceiro contentmakersis protecaodepatrimonio rentabilidade planejamentofinanceiro</t>
  </si>
  <si>
    <t>planejamentofinanceiro redpill machoalfa</t>
  </si>
  <si>
    <t>finançaspessoais investimentos educaçãofinanceira dicasfinanceiras planejamentofinanceiro dinheiro economia mercadofinanceiro criptomoedas negócios</t>
  </si>
  <si>
    <t>dicasdeinvestimento investir planejamentofinanceiro</t>
  </si>
  <si>
    <t>planejamentofinanceiro dinheironobolso dinheiro investimentos</t>
  </si>
  <si>
    <t>planejamentofinanceiro dinheironobolso financas investimentos organizacaofinanceira</t>
  </si>
  <si>
    <t>impostoderenda dicasfiscais planejamentofinanceiro advogado contador orientaçãoprofissional restituiçãoir doações responsabilidadesocial previdênciaprivada benefíciosfiscais atualizaçõesfiscais rendimentos</t>
  </si>
  <si>
    <t>corretordeseguros planejamentofinanceiro umatodeamor segurodevida seguroresponsabilidadecivil consorcio rc</t>
  </si>
  <si>
    <t>corretordeseguros planejamentofinanceiro umatodeamor rc segurodevida seguroresponsabilidadecivil consorcio</t>
  </si>
  <si>
    <t>investimentos finanças crescimento planejamentofinanceiro dinheiroextra</t>
  </si>
  <si>
    <t>gestãofinanceira finanças financeiro fluxodecaixa consultóriomédico controlefinanceiro planejamentofinanceiro</t>
  </si>
  <si>
    <t>cm organizaçãofinanceira comportamento gestãoremotadeaaz homeoffice remotework nomadesdigitais produtividade culturaremota estilodevida proposito worklifebalance tecnologia worklife carreira trabalho educação desenvolvimentohumano robinsonshiba</t>
  </si>
  <si>
    <t>planejamentofinanceiro empreendedorismo</t>
  </si>
  <si>
    <t>investimentos investimento bolsadevalores bovespa rendavariavel ações mercadofinanceiro liberdadefinanceira finanças planejamentofinanceiro trader stocks dinheiro henleinvestimentos economia dividendos ibovespa agro agronegocio soja milho keplerweber</t>
  </si>
  <si>
    <t>investimentos planejamentofinanceiro</t>
  </si>
  <si>
    <t>investimentos bullmarket fiis ações planejamentofinanceiro moprify mercadofinanceiro controledeinvestimentos</t>
  </si>
  <si>
    <t>mercadofinanceiro personalfinance financetips educacaofinanceira independenciafinanceira planejamentofinanceiro educaçãofinanceira</t>
  </si>
  <si>
    <t>finanças gestaofinanceira softwarefinanças organizacaofinanceira</t>
  </si>
  <si>
    <t>finançaspessoais planejamentofinanceiro contasonline pagardívidas</t>
  </si>
  <si>
    <t>investimentos etfs finanças diversificação educaçãofinanceira planejamentofinanceiro</t>
  </si>
  <si>
    <t>finanças investimentos planejamentofinanceiro investidores</t>
  </si>
  <si>
    <t>planejamentofinanceiro financaspessoais</t>
  </si>
  <si>
    <t>planejamentofinanceiro contador contabilidadeempresarial fy fyp foryou foryourpage</t>
  </si>
  <si>
    <t>planejamentofinanceiro metas2023 investiremcripto bitcoinbrasil ethereumbrasil</t>
  </si>
  <si>
    <t>lobscontabilidade assessoria consultoria contabilidade mei planejamentofinanceiro</t>
  </si>
  <si>
    <t>lobscontabilidade finanças gestão investimento mei negócio planejamentofinanceiro</t>
  </si>
  <si>
    <t>vamostestar fgts saqueaniversário erronoaplicativo vacilo cuidado dicadeeconomia planejamentofinanceiro</t>
  </si>
  <si>
    <t>adhd tdah autismo planejamentofinanceiro</t>
  </si>
  <si>
    <t>computar gestão financeiro sistemadegestão gestãofinanceira advocacia advogados gestãoparaadvocacia organizaçãofinanceira</t>
  </si>
  <si>
    <t>inss segurançafinanceira planejamentofinanceiro</t>
  </si>
  <si>
    <t>controlefinanceiro investimentoobjetivo finançaspessoais educaçãofinanceira metasfinanceiras planejamentofinanceiro</t>
  </si>
  <si>
    <t>investimento investimentoobjetivo preocupação planejamentofinanceiro finançaspessoais tomandodecisões</t>
  </si>
  <si>
    <t>endividamento investimentoobjetivo liberdadefinanceira aposentadoria planejamentofinanceiro educaçãofinanceira</t>
  </si>
  <si>
    <t>endividamento investimentoobjetivo educacaofinanceira controlefinanceiro vidafinanceira comportamento gatilhosmentais planejamentofinanceiro</t>
  </si>
  <si>
    <t>finanças investimentoobjetivo investimentos liberdadefinanceira planejamentofinanceiro endividamento</t>
  </si>
  <si>
    <t>liberdadefinanceira finançaspessoais investimentos planejamentofinanceiro investimentoobjetivo</t>
  </si>
  <si>
    <t>liberdadefinanceira educacaofinanceira orçamentopessoal planejamentofinanceiro</t>
  </si>
  <si>
    <t>planejamentofinanceiro controleemocional segurançafinanceira investimentos crescimentopatrimonial</t>
  </si>
  <si>
    <t>endividamento planejamentofinanceiro investimentoobjetivo dividasnuncamais insonia liberdadefinanceira fiquelivredasdividas vidafinanceirasaudavel</t>
  </si>
  <si>
    <t>liberdadefinanceira investimentos dinheirointeligente planejamentofinanceiro investimentosconscientes investimentosinteligentes</t>
  </si>
  <si>
    <t>planejamentofinanceiro investimentoobjetivo finançaspessoais educaçãofinanceira investimentos crecimentopatrimonial</t>
  </si>
  <si>
    <t>finançaspessoais educaçãofinanceira planejamentofinanceiro liberdadefinanceira</t>
  </si>
  <si>
    <t>investimentos planejamentofinanceiro educacaofinanceira objetivos metas metasfinanceiras assessordeinvestimentos xp xpinvestimentos nortus nortusinvestimentos</t>
  </si>
  <si>
    <t>personalfinance mercadofinanceiro finances educacaofinanceira independenciafinanceira planejamentofinanceiro refinance sucessofinanceiro financeiro financetips inteligenciafinanceira gestaofinanceira carfinance</t>
  </si>
  <si>
    <t>economia investimentos planejamentofinanceiro</t>
  </si>
  <si>
    <t>finanças educaçãofinanceira organizaçãofinanceira</t>
  </si>
  <si>
    <t>consórcio planejamentofinanceiro realizaçãodesonhos</t>
  </si>
  <si>
    <t>orçamento libreofficecalc despesas planejamentofinanceiro</t>
  </si>
  <si>
    <t>investimentos planejamentofinanceiro braveheart caioleal</t>
  </si>
  <si>
    <t>planejamentofinanceiro qualidadedevida</t>
  </si>
  <si>
    <t>dicasfinanceiras planejamentofinanceiro</t>
  </si>
  <si>
    <t>planejamentofinanceiro controlefinanceiro</t>
  </si>
  <si>
    <t>finanças planejamentofinanceiro bancos cartaodecredito</t>
  </si>
  <si>
    <t>finançaspessoais comportamento investimentos investimentofinanceiro cfp vida investimentos planejamentofinanceiro</t>
  </si>
  <si>
    <t>gestãofinanceira mercadodetrabalho planejamentofinanceiro</t>
  </si>
  <si>
    <t>seguros segurodevida sucessao sucessaopatrimonial planejamentofinanceiro impostos herança</t>
  </si>
  <si>
    <t>segurodevida sucessaopatrimonial planejamentofinanceiro impostos reformatributaria</t>
  </si>
  <si>
    <t>planejamentofinanceiro viverderenda educacaofinanceira comoinvestir mercadofinanceiro investimentos liberdadefinanceira bcff bcff11 maxirenda btg rendimentos</t>
  </si>
  <si>
    <t>investimentosbrasileexterior investimentobrasil investimentoexterior reit reits ações dividendos longoprazo liberdadefinanceira planejamentofinanceiro viverderenda</t>
  </si>
  <si>
    <t>planejamentofinanceiro viverderenda educacaofinanceira comoinvestir mercadofinanceiro investimentos liberdadefinanceira irdm11 irdm cri papel iridium btg btgpactual</t>
  </si>
  <si>
    <t>investimentosbrasileexterior investimentobrasil investimentoexterior reits ações longoprazo liberdadefinanceira planejamentofinanceiro</t>
  </si>
  <si>
    <t>investimentosbrasileexterior investimentobrasil investimentoexterior reit reits ações dividendos longoprazo liberdadefinanceira planejamentofinanceiro viverderenda educacaofinanceira</t>
  </si>
  <si>
    <t>investimentosbrasileexterior investimentobrasil investimentoexterior reit reits ações dividendos longoprazo liberdadefinanceira planejamentofinanceiro</t>
  </si>
  <si>
    <t>riqueza finanças organizaçãofinanceira sorte sucesso mindset</t>
  </si>
  <si>
    <t>educacaofinanceira planejamentofinanceiro financaspessoais</t>
  </si>
  <si>
    <t>controlefinanceiro planejamentofinanceiro orçamentosimples</t>
  </si>
  <si>
    <t>planejamentofinanceiro bolsadevalores mercadofinaceiro financas ibovespa economiafamiliar</t>
  </si>
  <si>
    <t>planejamentofinanceiro patrimônio dinheiro btg perspective</t>
  </si>
  <si>
    <t>contabilidade impostoderenda finançaspessoais planejamentofinanceiro</t>
  </si>
  <si>
    <t>finançaspessoais planejamentofinanceiro investimentos rendafixa orçamentodoméstico updateyourfinances updateconsultoria</t>
  </si>
  <si>
    <t>poupardinheiro inteligenciafinanceira organizacaofinanceira saudefinanceira dicasfinanceiras</t>
  </si>
  <si>
    <t>investimentos planejamentofinanceiro xzibank</t>
  </si>
  <si>
    <t>planocontas gestãofinanceira organizaçãofinanceira</t>
  </si>
  <si>
    <t>patrimônio investimento planejamentofinanceiro</t>
  </si>
  <si>
    <t>consorcio semjuros planejamentofinanceiro</t>
  </si>
  <si>
    <t>agentfrio planejamentofinanceiro blindagempatrimonial seguros segurosdevida</t>
  </si>
  <si>
    <t>capitaldegiro emprestimoparaempresas metalurgia investimento crescimentodeempresas financiamento negócios produtividade estratégia planejamentofinanceiro capitalizeja</t>
  </si>
  <si>
    <t>emprestimoparaempresas transporte investimento crescimentodeempresas financiamento negócios logística eficiência planejamentofinanceiro capitalizeja</t>
  </si>
  <si>
    <t>controledegastos educaçãofinanceira equilíbriofinanceiro investimentos planejamentofinanceiro</t>
  </si>
  <si>
    <t>finançaspessoais investimentos orçamento planejamentofinanceiro poupança</t>
  </si>
  <si>
    <t>investimentos metasfinanceiras orçamento planejamentofinanceiro poupança</t>
  </si>
  <si>
    <t>economiadoméstica finançaspessoais gestãofinanceira orçamentopessoal planejamentofinanceiro</t>
  </si>
  <si>
    <t>compradebens consórcio financiamento investimento planejamentofinanceiro</t>
  </si>
  <si>
    <t>contabilidade finanças fluxodecaixa gestão planejamentofinanceiro</t>
  </si>
  <si>
    <t>ipva ipva2023 planejamentofinanceiro impostos</t>
  </si>
  <si>
    <t>planejamentofinanceiro estabilidadefinanceira prosperidadefinanceira rumoaosucesso</t>
  </si>
  <si>
    <t>imovelstar casapropria realizandosonhos compradesdecasa investimentoimobiliario planejamentofinanceiro economiaparacasa mercadoimobiliário creditoimobiliario familiafeliz meular</t>
  </si>
  <si>
    <t>economizar planejamentofinanceiro</t>
  </si>
  <si>
    <t>planejamentofinanceiro metasfinanceiras</t>
  </si>
  <si>
    <t>organizaçãofinanceira sucessofinanceiro</t>
  </si>
  <si>
    <t>finanças controlefinanceiro organizaçãofinanceira</t>
  </si>
  <si>
    <t>controlefinanceiro finanças organizaçãofinanceira</t>
  </si>
  <si>
    <t>finanças educacaofinanceira financeiro financial planejamentofinanceiro</t>
  </si>
  <si>
    <t>sairdasdívidas finançassaudáveis planejamentofinanceiro</t>
  </si>
  <si>
    <t>consórcio investimentoprogramado planejamentofinanceiro</t>
  </si>
  <si>
    <t>finanças investimento planejamentofinanceiro</t>
  </si>
  <si>
    <t>dívida finanças planejamentofinanceiro</t>
  </si>
  <si>
    <t>planejamentofinanceiro organizze</t>
  </si>
  <si>
    <t>organizaçãofinanceira organizzeapp</t>
  </si>
  <si>
    <t>organizze financaspessoais app web planejamentofinanceiro gestaofinanceira</t>
  </si>
  <si>
    <t>mercadofinanceiro investimentos</t>
  </si>
  <si>
    <t>organizzados planejamentofinanceiro financaspessoais organizze</t>
  </si>
  <si>
    <t>finanças investimentos planejamentofinanceiro</t>
  </si>
  <si>
    <t>movimento futuro foconoobjetivo saude planejamentofinanceiro</t>
  </si>
  <si>
    <t>planejamentofinanceiro investimentos saudefinanceira futuro consultoriafinanceirapessoal</t>
  </si>
  <si>
    <t>chatguru planejamentofinanceiro fluxodecaixa comogerenciar empresas dicasdegestao</t>
  </si>
  <si>
    <t>planejamentofinanceiro investimentos seguros imoveis</t>
  </si>
  <si>
    <t>desafios planejamentofinanceiro assessoria empresas</t>
  </si>
  <si>
    <t>planejamentofinanceiro juroscompostos aposentadoria motivacional</t>
  </si>
  <si>
    <t>planejamentofinanceiro motivacional mercadofinanceiro aposentadoria</t>
  </si>
  <si>
    <t>investimentos planejamentofinanceiro mercadofinanceiro sonho</t>
  </si>
  <si>
    <t>bolsadevalores efeitomanada planejamentofinanceiro assessoria contrarian carteiraadministada</t>
  </si>
  <si>
    <t>planejamentofinanceiro independenciafinanceira investimentos assessoria</t>
  </si>
  <si>
    <t>viescomportamental rapidoedevagar planejamentofinanceiro assessoria</t>
  </si>
  <si>
    <t>impostoderenda finanças planejamentofinanceiro</t>
  </si>
  <si>
    <t>planejamentofinanceiro desenvolvimentopessoal</t>
  </si>
  <si>
    <t>controledegastos saúdefinanceira metasfinanceiras planejamentofinanceiro educaçãofinanceira dicasfinanceiras vidafinanceira equilíbriofinanceiro organizaçãofinanceira independênciafinanceira</t>
  </si>
  <si>
    <t>orçamentopessoal metasfinanceiras planejamentofinanceiro</t>
  </si>
  <si>
    <t>dank fidc antecipacaoderecebiveis planejamentofinanceiro gestaofinanceira economia</t>
  </si>
  <si>
    <t>dank fidc antecipacaoderecebiveis planejamentofinanceiro</t>
  </si>
  <si>
    <t>dank fidc antecipacaoderecebiveis planejamentofinanceiro gestaofinanceira</t>
  </si>
  <si>
    <t>cavukajoséamaral inteligenciafinanceira dinheiro financas financaspessoais educacaofinanceira investimento finançaspessoais planejamentofinanceiro financaparatodos sonhos gestãofinanceira vamosconversando</t>
  </si>
  <si>
    <t>finançaspessoais educaçãofinanceira investimentos poupança orçamentofamiliar gestãododinheiro planejamentofinanceiro</t>
  </si>
  <si>
    <t>finançaspessoais educaçãofinanceira investimentos poupança orçamentofamiliar gestãododinheiro planejamentofinanceiro endividamento</t>
  </si>
  <si>
    <t>finançaspessoais educaçãofinanceira investimentos planejamentofinanceiro dicasfinanceiras orçamentopessoal poupança</t>
  </si>
  <si>
    <t>finançaspessoais educaçãofinanceira investimentos poupança orçamentofamiliar gestãododinheiro planejamentofinanceiro endividamento aposentadoria</t>
  </si>
  <si>
    <t>finançaspessoais educaçãofinanceira investimentos planejamentofinanceiro dicasfinanceiras orçamentopessoal</t>
  </si>
  <si>
    <t>finançaspessoais educaçãofinanceira investimentos poupança orçamentofamiliar gestãododinheiro planejamentofinanceiro endividamento aposentadori</t>
  </si>
  <si>
    <t>educacaofinanceira empreendedor dinheiro finanças reflexao empreendedorismo vendermais organizacaofinanceira rendaextra rendaextraemcasa marketingdigital vendedor direita conservador</t>
  </si>
  <si>
    <t>educacaofinanceira empreendedor dinheiro finanças reflexao empreendedorismo vendermais organizacaofinanceira rendaextra marketingdigital vendedor direita conservador hugocarvajal</t>
  </si>
  <si>
    <t>empreendedor dinheiro finanças reflexao empreendedorismo vendermais organizacaofinanceira rendaextra rendaextraemcasa marketingdigital vendedor direita conservador margaretthatcher</t>
  </si>
  <si>
    <t>educacaofinanceira empreendedor dinheiro finanças reflexao empreendedorismo vendermais organizacaofinanceira rendaextra rendaextraemcasa marketingdigital vendedor direita conservador jimryun</t>
  </si>
  <si>
    <t>educacaofinanceira empreendedor dinheiro finanças reflexao empreendedorismo vendermais organizacaofinanceira rendaextra rendaextraemcasa marketingdigital vendedor direita conservador petralha</t>
  </si>
  <si>
    <t>educacaofinanceira empreendedor dinheiro finanças reflexao empreendedorismo vendermais organizacaofinanceira rendaextra rendaextraemcasa marketingdigital vendedor direita conservador janvanellam</t>
  </si>
  <si>
    <t>educacaofinanceira empreendedor dinheiro finanças reflexao empreendedorismo vendermais organizacaofinanceira rendaextra rendaextraemcasa marketingdigital vendedor direita conservador eusigobolsonaro</t>
  </si>
  <si>
    <t>educacaofinanceira reflexao empreendedorismo vendermais organizacaofinanceira rendaextraemcasa marketingdigital direita conservador</t>
  </si>
  <si>
    <t>educacaofinanceira empreendedor dinheiro finanças reflexao empreendedorismo vendermais organizacaofinanceira rendaextra rendaextraemcasa marketingdigital vendedor filosofia freud</t>
  </si>
  <si>
    <t>educacaofinanceira empreendedor dinheiro finanças reflexao empreendedorismo vendermais organizacaofinanceira rendaextra rendaextraemcasa marketingdigital vendedor direita conservador fazueli</t>
  </si>
  <si>
    <t>educacaofinanceira empreendedor dinheiro finanças reflexao empreendedorismo vendermais organizacaofinanceira rendaextra rendaextraemcasa marketingdigital vendedor tvonline</t>
  </si>
  <si>
    <t>educacaofinanceira empreendedor dinheiro finanças reflexao empreendedorismo vendermais organizacaofinanceira rendaextra rendaextraemcasa marketingdigital vendedor direita conservador haddadposte</t>
  </si>
  <si>
    <t>educacaofinanceira empreendedor dinheiro finanças reflexao empreendedorismo vendermais organizacaofinanceira rendaextra rendaextraemcasa marketingdigital vendedor direita conservador jiddukrishnamurti</t>
  </si>
  <si>
    <t>educacaofinanceira empreendedor dinheiro finanças reflexao empreendedorismo vendermais organizacaofinanceira rendaextra rendaextraemcasa marketingdigital vendedor direita conservador flaviodinocomunista</t>
  </si>
  <si>
    <t>educacaofinanceira empreendedor dinheiro finanças reflexao empreendedorismo vendermais organizacaofinanceira rendaextra rendaextraemcasa marketingdigital vendedor sportrecife maiordonordeste</t>
  </si>
  <si>
    <t>educacaofinanceira empreendedor dinheiro finanças reflexao empreendedorismo vendermais organizacaofinanceira rendaextra rendaextraemcasa marketingdigital vendedor direita conservador olavotemrazao</t>
  </si>
  <si>
    <t>educacaofinanceira empreendedor dinheiro finanças reflexao empreendedorismo vendermais organizacaofinanceira rendaextra rendaextraemcasa marketingdigital vendedor direita conservador zedirceu petêadmitiu</t>
  </si>
  <si>
    <t>educacaofinanceira empreendedor dinheiro finanças reflexao empreendedorismo vendermais organizacaofinanceira rendaextra rendaextraemcasa marketingdigital vendedor direita conservador napoleonhill</t>
  </si>
  <si>
    <t>educacaofinanceira empreendedor dinheiro finanças reflexao empreendedorismo vendermais organizacaofinanceira rendaextra rendaextraemcasa marketingdigital vendedor direita conservador streaming</t>
  </si>
  <si>
    <t>educacaofinanceira empreendedor dinheiro finanças reflexao empreendedorismo vendermais organizacaofinanceira rendaextra rendaextraemcasa marketingdigital vendedor direita conservador nom</t>
  </si>
  <si>
    <t>educacaofinanceira empreendedor dinheiro finanças reflexao empreendedorismo vendermais organizacaofinanceira rendaextra rendaextraemcasa marketingdigital vendedor direita conservador jimcaviezel</t>
  </si>
  <si>
    <t>educacaofinanceira empreendedor dinheiro finanças reflexao empreendedorismo vendermais organizacaofinanceira rendaextra rendaextraemcasa marketingdigital vendedor direita conservador rodolfoabrantes</t>
  </si>
  <si>
    <t>educacaofinanceira empreendedor dinheiro finanças reflexao empreendedorismo vendermais organizacaofinanceira rendaextra rendaextraemcasa marketingdigital vendedor crb sport serieb2023</t>
  </si>
  <si>
    <t>educacaofinanceira empreendedor dinheiro finanças reflexao empreendedorismo vendermais organizacaofinanceira rendaextra rendaextraemcasa marketingdigital johnnydepp</t>
  </si>
  <si>
    <t>educacaofinanceira empreendedor dinheiro finanças reflexao empreendedorismo vendermais organizacaofinanceira rendaextra rendaextraemcasa marketingdigital vendedor direita conservador pilhado</t>
  </si>
  <si>
    <t>educacaofinanceira empreendedor dinheiro finanças reflexao empreendedorismo vendermais organizacaofinanceira rendaextra rendaextraemcasa marketingdigital vendedor direita conservador victorfasano</t>
  </si>
  <si>
    <t>educacaofinanceira empreendedor dinheiro finanças reflexao empreendedorismo vendermais organizacaofinanceira rendaextra rendaextraemcasa marketingdigital vendedor nom iluminate desperte</t>
  </si>
  <si>
    <t>educacaofinanceira empreendedor dinheiro finanças reflexao empreendedorismo vendermais organizacaofinanceira rendaextra rendaextraemcasa marketingdigital vendedor direita conservador fazol magazineluiza</t>
  </si>
  <si>
    <t>educacaofinanceira empreendedor dinheiro finanças reflexao empreendedorismo vendermais organizacaofinanceira rendaextra rendaextraemcasa marketingdigital vendedor direita conservador 8dejaneiro</t>
  </si>
  <si>
    <t>educacaofinanceira empreendedor dinheiro finanças reflexao empreendedorismo vendermais organizacaofinanceira rendaextra marketingdigital vendedor direita conservador pedofilia criancaesperanca fazol</t>
  </si>
  <si>
    <t>educacaofinanceira empreendedor dinheiro finanças reflexao empreendedorismo vendermais organizacaofinanceira rendaextra rendaextraemcasa marketingdigital vendedor direita conservador thomasedison</t>
  </si>
  <si>
    <t>educacaofinanceira empreendedor dinheiro finanças reflexao empreendedorismo vendermais organizacaofinanceira rendaextra rendaextraemcasa marketingdigital vendedor direita conservador josephpulitzer</t>
  </si>
  <si>
    <t>educacaofinanceira empreendedor dinheiro finanças reflexao empreendedorismo vendermais organizacaofinanceira rendaextra rendaextraemcasa marketingdigital vendedor direita conservador napoleaobonaparte</t>
  </si>
  <si>
    <t>educacaofinanceira empreendedor dinheiro finanças reflexao empreendedorismo vendermais organizacaofinanceira rendaextra rendaextraemcasa marketingdigital vendedor direita conservador frankzappa</t>
  </si>
  <si>
    <t>educacaofinanceira empreendedor dinheiro finanças reflexao empreendedorismo vendermais organizacaofinanceira rendaextra rendaextraemcasa marketingdigital vendedor direita conservador soundoffreedom timballard</t>
  </si>
  <si>
    <t>educacaofinanceira empreendedor dinheiro finanças reflexao empreendedorismo vendermais organizacaofinanceira rendaextra rendaextraemcasa marketingdigital vendedor direita conservador soundoffreedom</t>
  </si>
  <si>
    <t>educacaofinanceira empreendedor dinheiro finanças reflexao empreendedorismo vendermais organizacaofinanceira rendaextra rendaextraemcasa marketingdigital vendedor direita conservador billmurray</t>
  </si>
  <si>
    <t>educacaofinanceira empreendedor dinheiro finanças reflexao empreendedorismo vendermais organizacaofinanceira rendaextra rendaextraemcasa marketingdigital vendedor sportrecife serieb maiordonordeste</t>
  </si>
  <si>
    <t>educacaofinanceira empreendedor dinheiro finanças reflexao empreendedorismo vendermais organizacaofinanceira rendaextra rendaextraemcasa marketingdigital vendedor direita conservador genfigueiredo</t>
  </si>
  <si>
    <t>educacaofinanceira empreendedor dinheiro finanças reflexao empreendedorismo vendermais organizacaofinanceira rendaextra rendaextraemcasa marketingdigital vendedor direita conservador rogerscruton</t>
  </si>
  <si>
    <t>educacaofinanceira empreendedor dinheiro finanças reflexao empreendedorismo vendermais organizacaofinanceira rendaextra rendaextraemcasa marketingdigital vendedor epoca guerra winstonchurchill</t>
  </si>
  <si>
    <t>educacaofinanceira empreendedor dinheiro finanças reflexao empreendedorismo vendermais organizacaofinanceira rendaextra rendaextraemcasa marketingdigital vendedor direita conservador sergiomoro</t>
  </si>
  <si>
    <t>educacaofinanceira empreendedor dinheiro finanças reflexao empreendedorismo vendermais organizacaofinanceira rendaextra rendaextraemcasa marketingdigital vendedor direita conservador luladraodesgracaedestruicao</t>
  </si>
  <si>
    <t>educacaofinanceira empreendedor dinheiro finanças reflexao empreendedorismo vendermais organizacaofinanceira rendaextra rendaextraemcasa marketingdigital vendedor tiagomedeiros santacruz sportrecife</t>
  </si>
  <si>
    <t>educacaofinanceira empreendedor dinheiro finanças reflexao empreendedorismo vendermais organizacaofinanceira rendaextra rendaextraemcasa marketingdigital vendedor direita conservador flaviodinocomrabopreso</t>
  </si>
  <si>
    <t>educacaofinanceira empreendedor dinheiro finanças reflexao empreendedorismo vendermais organizacaofinanceira rendaextra rendaextraemcasa marketingdigital vendedor direita conservador contradrogas</t>
  </si>
  <si>
    <t>educacaofinanceira empreendedor dinheiro finanças reflexao empreendedorismo vendermais organizacaofinanceira rendaextra rendaextraemcasa marketingdigital vendedor direita conservador brasil santacruz feminina</t>
  </si>
  <si>
    <t>educacaofinanceira empreendedor dinheiro finanças reflexao empreendedorismo vendermais organizacaofinanceira rendaextra rendaextraemcasa marketingdigital vendedor direita conservador robertadams</t>
  </si>
  <si>
    <t>educacaofinanceira empreendedor dinheiro finanças reflexao empreendedorismo vendermais organizacaofinanceira rendaextra rendaextraemcasa marketingdigital vendedor direita conservador arthurschopenhauer</t>
  </si>
  <si>
    <t>educacaofinanceira empreendedor dinheiro finanças reflexao empreendedorismo vendermais organizacaofinanceira rendaextra rendaextraemcasa marketingdigital vendedor direita conservador brucedickinson ironmaiden</t>
  </si>
  <si>
    <t>educacaofinanceira empreendedor dinheiro finanças reflexao empreendedorismo vendermais organizacaofinanceira rendaextra rendaextraemcasa marketingdigital vendedor morpheus matrix</t>
  </si>
  <si>
    <t>educacaofinanceira empreendedor dinheiro finanças reflexao empreendedorismo vendermais organizacaofinanceira rendaextra marketingdigital vendedor direita conservador contranovaordemmundial againstthenewworldorder</t>
  </si>
  <si>
    <t>educacaofinanceira empreendedor dinheiro finanças reflexao empreendedorismo vendermais organizacaofinanceira rendaextra rendaextraemcasa marketingdigital vendedor direita conservador fazol casasbahia</t>
  </si>
  <si>
    <t>educacaofinanceira empreendedor dinheiro finanças reflexao empreendedorismo vendermais organizacaofinanceira rendaextra rendaextraemcasa marketingdigital vendedor direita conservador bolsonarosempretemrazao</t>
  </si>
  <si>
    <t>educacaofinanceira empreendedor dinheiro finanças reflexao empreendedorismo vendermais organizacaofinanceira rendaextra rendaextraemcasa marketingdigital vendedor direita conservador alanwatts</t>
  </si>
  <si>
    <t>educacaofinanceira empreendedor dinheiro finanças reflexao empreendedorismo vendermais organizacaofinanceira rendaextra rendaextraemcasa marketingdigital vendedor direita conservador frankshermanland</t>
  </si>
  <si>
    <t>educacaofinanceira empreendedor dinheiro finanças reflexao empreendedorismo vendermais organizacaofinanceira rendaextra rendaextraemcasa marketingdigital vendedor direita conservador esquerdamaldita</t>
  </si>
  <si>
    <t>educacaofinanceira empreendedor dinheiro finanças reflexao empreendedorismo vendermais organizacaofinanceira rendaextra rendaextraemcasa marketingdigital vendedor direita conservador stevenlawson</t>
  </si>
  <si>
    <t>educacaofinanceira empreendedor dinheiro finanças reflexao empreendedorismo vendermais organizacaofinanceira rendaextra rendaextraemcasa marketingdigital vendedor iptv</t>
  </si>
  <si>
    <t>educacaofinanceira empreendedor dinheiro finanças reflexao empreendedorismo vendermais organizacaofinanceira rendaextra rendaextraemcasa marketingdigital vendedor sportrecife</t>
  </si>
  <si>
    <t>educacaofinanceira empreendedor dinheiro finanças reflexao empreendedorismo vendermais organizacaofinanceira rendaextra rendaextraemcasa marketingdigital vendedor direita conservador bolsonaro</t>
  </si>
  <si>
    <t>educacaofinanceira empreendedor dinheiro finanças reflexao empreendedorismo vendermais organizacaofinanceira rendaextra rendaextraemcasa marketingdigital vendedor direita conservador martincooper</t>
  </si>
  <si>
    <t>educacaofinanceira empreendedor dinheiro finanças reflexao empreendedorismo vendermais organizacaofinanceira rendaextra rendaextraemcasa marketingdigital vendedor direita conservador cuidadocomsuaface</t>
  </si>
  <si>
    <t>educacaofinanceira empreendedor dinheiro finanças reflexao empreendedorismo vendermais organizacaofinanceira rendaextra rendaextraemcasa marketingdigital vendedor direita conservador elonmusk</t>
  </si>
  <si>
    <t>educacaofinanceira empreendedor dinheiro finanças reflexao empreendedorismo vendermais organizacaofinanceira rendaextra rendaextraemcasa marketingdigital vendedor santacruz seried</t>
  </si>
  <si>
    <t>educacaofinanceira empreendedor dinheiro finanças reflexao empreendedorismo vendermais organizacaofinanceira rendaextra rendaextraemcasa marketingdigital vendedor direita conservador jairbolsonaro</t>
  </si>
  <si>
    <t>educacaofinanceira empreendedor dinheiro finanças reflexao empreendedorismo vendermais organizacaofinanceira rendaextra rendaextraemcasa marketingdigital direita conservador imprensa corrupcao josephpulitzer</t>
  </si>
  <si>
    <t>educacaofinanceira empreendedor dinheiro finanças reflexao empreendedorismo vendermais organizacaofinanceira rendaextra rendaextraemcasa marketingdigital vendedor direita conservador billygraham</t>
  </si>
  <si>
    <t>unicred somoscoop escolhadiferente escolhaunicred planejamentofinanceiro</t>
  </si>
  <si>
    <t>organizaçãofinanceira iniciodeano kakauprotege</t>
  </si>
  <si>
    <t>educação planejamentofinanceiro tesourodireto</t>
  </si>
  <si>
    <t>aposentadoria impostoderenda planejamentofinanceiro</t>
  </si>
  <si>
    <t>aposentadoria planejamentofinanceiro previdênciaprivada</t>
  </si>
  <si>
    <t>medicina planejamentofinanceiro medicos contabil</t>
  </si>
  <si>
    <t>plancredi economianofimdesemana diversãoeconômica planejamentofinanceiro fimdesemanasemgastos</t>
  </si>
  <si>
    <t>finançasempresariais planejamentofinanceiro erp</t>
  </si>
  <si>
    <t>direitobancario planejamentofinanceiro juros taxadejuros dívidas bancos direito</t>
  </si>
  <si>
    <t>inflação poderdecompra economia planejamentofinanceiro listadecompras brasilparaostrabalhadores economizar</t>
  </si>
  <si>
    <t>pairicopaipobre educaçãofinanceira finançaspessoais investimentos sucessofinanceiro empreendedorismo liberdadefinanceira planejamentofinanceiro educaçãofinanceiraparatodos riquezamental</t>
  </si>
  <si>
    <t>oabprevrs previdênciacomplementar advocaciagaúcha fôlegofinanceiro planejamentofinanceiro</t>
  </si>
  <si>
    <t>oabprevrs previdênciacomplementar planejamentofinanceiro</t>
  </si>
  <si>
    <t>oabprevrs oabrs caars previdênciacomplementar planejamentofinanceiro</t>
  </si>
  <si>
    <t>sabático planejamentofinanceiro</t>
  </si>
  <si>
    <t>riqueza prosperidade caminho investimentos financascomportamentais planejamentofinanceiro</t>
  </si>
  <si>
    <t>prudentialdobrasil prudentialfranquia planejamentofinanceiro lifeplanner</t>
  </si>
  <si>
    <t>prudentialdobrasil prudentialfranquia planejamentofinanceiro</t>
  </si>
  <si>
    <t>prudentialdobrasil planejamentofinanceiro lifeplanner</t>
  </si>
  <si>
    <t>educaçãofinanceira finançaspessoais planejamentofinanceiro</t>
  </si>
  <si>
    <t>finançaspessoais controlefinanceiro organizaçãofinanceira orçamento</t>
  </si>
  <si>
    <t>controlefinanceiro orçamento finançaspessoais organizaçãofinanceira liberdaedefinanceira</t>
  </si>
  <si>
    <t>controlefinanceiro finançaspessoais organizaçãofinanceira liberdadefinanceira orçamento</t>
  </si>
  <si>
    <t>finançaspessoais liberdadefinanceira finanças orçamento planejamentofinanceiro</t>
  </si>
  <si>
    <t>investimento planejamentofinanceiro planejamento educaçãofinanceira</t>
  </si>
  <si>
    <t>saúdefinanceira planejamentofinanceiro impostoderenda</t>
  </si>
  <si>
    <t>planejamentofinanceiro dinheiro finanças pix</t>
  </si>
  <si>
    <t>educaçãofinanceira vidafinanceira finançaspessoais decisõesfinanceiras investimentos crescimentofinanceiro estratégiasfinanceiras planejamentofinanceiro educaçãofinanceiraparavida</t>
  </si>
  <si>
    <t>economizardinheiro financaspessoais planejamentofinanceiro dinheiroextra poupança vidaeconomica metasfinanceiras gastarcomsabedoria investimentos educaçãofinanceira</t>
  </si>
  <si>
    <t>independenciafinanceira financaspessoais investimentos rendapassiva gerenciamentodedividas educacaofinanceira aposentadoria consultoriafinanceira liberdadefinanceira planejamentofinanceiro</t>
  </si>
  <si>
    <t>ralbank educaçãofinanceira investimentos planejamentofinanceiro</t>
  </si>
  <si>
    <t>reservadeemergencia planejamentofinanceiro</t>
  </si>
  <si>
    <t>investimentos finanças mercadodeações planejamentofinanceiro luhao</t>
  </si>
  <si>
    <t>economia finanças planejamentofinanceiro</t>
  </si>
  <si>
    <t>investimentos bolsadevalores planejamentofinanceiro</t>
  </si>
  <si>
    <t>planejamentofinanceiro educaçãofinanceira investimentos</t>
  </si>
  <si>
    <t>objetivosfinanceiros planejamentofinanceiro educacaofinanceira</t>
  </si>
  <si>
    <t>investimentos milhão planejamentofinanceiro</t>
  </si>
  <si>
    <t>economia finanças investimentos dinheiro negócios mercadofinanceiro gestãofinanceira educaçãofinanceira empreendedorismo planejamentofinanceiro crescimentoeconômico</t>
  </si>
  <si>
    <t>fwbplanejamentofinanceiro planejamentofinanceiro sonhos investimentos liberdadefinanceira aposentadoria planejamento</t>
  </si>
  <si>
    <t>finance liberdadefinanceira personalfinance mercadofinanceiro finances educacaofinanceira independenciafinanceira planejamentofinanceiro refinance sucessofinanceiro financeiro financetips inteligenciafinanceira gestaofinanceira carfinance</t>
  </si>
  <si>
    <t>prosperidadebíblica planejamentofinanceiro</t>
  </si>
  <si>
    <t>vippibpofinanceiro bpofinanceiro vippibpo vippi assessoriafinanceira planejamentofinanceiro bpo controladoria finanças financeiro empreendedorismo negocios outsourcing vippicomvc tatuape</t>
  </si>
  <si>
    <t>planejamentofinanceiro offshore</t>
  </si>
  <si>
    <t>dívidas gerenciamentodedívidas finançaspessoais planejamentofinanceiro zoomdinheiro</t>
  </si>
  <si>
    <t>empréstimo idosos zoomdinheiro finanças dinheiroextra planejamentofinanceiro</t>
  </si>
  <si>
    <t>inadimplência finanças planejamentofinanceiro</t>
  </si>
  <si>
    <t>limpanome vidafinanceira organizaçãofinanceira</t>
  </si>
  <si>
    <t>saindodovermelho planejamentofinanceiro tranquilidadefinanceira</t>
  </si>
  <si>
    <t>consultadedívidas organizaçãofinanceira educaçãofinanceira planejamentofinanceiro vidafinanceira nomelimpo dívidas</t>
  </si>
  <si>
    <t>inadimplência vidafinanceira educaçãofinanceira planejamentofinanceiro nomelimpo dívidas</t>
  </si>
  <si>
    <t>planejamentofinanceiro finanças sonhosdevida sonhoamericano americandream</t>
  </si>
  <si>
    <t>financaspessoais organizacaofinanceira investimentos prosperidade mepoupe</t>
  </si>
  <si>
    <t>financas financeiro planejamentofinanceiro controlefinanceiro joaonetocontador profissaoempreendedorpodcast</t>
  </si>
  <si>
    <t>cvmeducacional investidor investidores investir investimento finançaspessoais planejamentofinanceiro</t>
  </si>
  <si>
    <t>organizacaofinanceira</t>
  </si>
  <si>
    <t>antecipaçãoderecebíveis gestãofinanceira crescimentoempresarial empreendedorismo negócioeficiente fluxodecaixa suportefinanceiro agilidadeempresarial planejamentofinanceiro capitaldegiro libererecursos maistempo</t>
  </si>
  <si>
    <t>educaçãofinanceira investimentos planejamentofinanceiro</t>
  </si>
  <si>
    <t>tdl metodotdl transformandodinherioemliberdade daltonferreiracoach mardelofelippecoach planejamentofinanceiro</t>
  </si>
  <si>
    <t>sonhosquevalemapena planejamentofinanceiro</t>
  </si>
  <si>
    <t>contabilidade contador contabilidadeconsultiva contabilidadeonline planejamentofinanceiro</t>
  </si>
  <si>
    <t>consórciodemoto comprademoto planejamentofinanceiro poupançaforçada</t>
  </si>
  <si>
    <t>pobrepoupe finanças educaçãofinanceira finançaspessoais planejamentofinanceiro</t>
  </si>
  <si>
    <t>evoy evoyconsorcios consorcios carro automovel investimento chegajunto planejamento investir clientes compra realização liberdadefinanceira planejamentofinanceiro</t>
  </si>
  <si>
    <t>estrategia organizacaofinanceira coachvivi</t>
  </si>
  <si>
    <t>tech6group forecast planejamentofinanceiro</t>
  </si>
  <si>
    <t>minimalismo finanças independênciafinanceira vidasimples planejamentofinanceiro</t>
  </si>
  <si>
    <t>planejamentofinanceiro finançaspessoais metasfinanceiras</t>
  </si>
  <si>
    <t>economiafinanceira cortedespesas planejamentofinanceiro</t>
  </si>
  <si>
    <t>fériaseconômicas planejamentofinanceiro</t>
  </si>
  <si>
    <t>finançasdocasal vidaadois planejamentofinanceiro</t>
  </si>
  <si>
    <t>orçamentodoméstico planejamentofinanceiro vidafinanceiraorganizada</t>
  </si>
  <si>
    <t>gestão planejamentofinanceiro mantovani mantovanicondominios administração</t>
  </si>
  <si>
    <t>contabilidade planejamento contabeis contador riodejaneiro riodasostras jardimmarilea cienciacontabeis serviçoscontábeis gestãofinanceira consultoriacontábil sucessofinanceiro organizaçãofinanceira</t>
  </si>
  <si>
    <t>planejamentodevida planejamentofinanceiro</t>
  </si>
  <si>
    <t>aposentadoria planejamentofinanceiro</t>
  </si>
  <si>
    <t>educaçãofinanceira finançaspessoais planejamentofinanceiro liberdadefinanceira investimentos</t>
  </si>
  <si>
    <t>planejamento planejamentofinanceiro aposentadoria</t>
  </si>
  <si>
    <t>aposentadoria empreendedorismo profissionaisliberais planejamentofinanceiro</t>
  </si>
  <si>
    <t>educacaofinanceira criancas dinheiro mesada planejamentofinanceiro empatia poupanca</t>
  </si>
  <si>
    <t>sonhorealizado sonhoseplanos meta planejamentofinanceiro planejar</t>
  </si>
  <si>
    <t>betteroconsultoria lucianabettero consultoriafinanceira planejamentofinanceiro</t>
  </si>
  <si>
    <t>educação jovemaprendiz finanças organizaçãofinanceira lucianabettero</t>
  </si>
  <si>
    <t>bolsa bolsadevalores bitcoins mercado planejamentofinanceiro brasil</t>
  </si>
  <si>
    <t>economizeagua sustentabilidade dicas finanças dinheiro planejamentofinanceiro economia emergência poupança finançaspessoais orçamento controlefinanceiro</t>
  </si>
  <si>
    <t>finanças planejamentofinanceiro sucesso metasfinanceiras liberdadefinanceira planejamentofinanceiro finançaspessoais orçamento controlefinanceiro</t>
  </si>
  <si>
    <t>planejamentofinanceiro india viajar organizacaofinanceira</t>
  </si>
  <si>
    <t>investimento viagem planejamentofinanceiro investspace economia gestãofinanceira investimentos</t>
  </si>
  <si>
    <t>planejamentofinanceiro organizacaofinanceira custos viagem india viajar</t>
  </si>
  <si>
    <t>gestãofinanceira impostos finanças contador empreendedorismo pequenasempresas negócios planejamentofinanceiro sucessofinanceiro contabilidadefiscal consultoriacontábil</t>
  </si>
  <si>
    <t>finanças dívidas planejamentofinanceiro cdihoje</t>
  </si>
  <si>
    <t>segurovida planejamentofinanceiro proteção tranquilidade</t>
  </si>
  <si>
    <t>consorcio planejamentofinanceiro seguro oportunidade</t>
  </si>
  <si>
    <t>consorcio financiamento seguro oportunidade planejamentofinanceiro</t>
  </si>
  <si>
    <t>segurovida planejamentofinanceiro proteção tranquilidade viagem doença</t>
  </si>
  <si>
    <t>seguro oportunidade carro moto veículo planejamentofinanceiro</t>
  </si>
  <si>
    <t>consorcio planejamentofinanceiro seguro oportunidade casa apartamento investimento</t>
  </si>
  <si>
    <t>planejamentofinanceiro protecao seguro</t>
  </si>
  <si>
    <t>planejamentofinanceiro segurança</t>
  </si>
  <si>
    <t>etfs planejamentofinanceiro</t>
  </si>
  <si>
    <t>keepgrowing keepgrowingmentoria makeyourfuture desenvolvimentopessoal liberdadefinanceira liberdade inteligenciafinanceira educaçãofinanceira desenvolvimentofinanceiro organizaçãofinanceira</t>
  </si>
  <si>
    <t>aposentadoria inss planejamentofinanceiro aposentadoriaautonomos fazol</t>
  </si>
  <si>
    <t>previsc crasc planodeprevidencia previdenciaprivada planejamentofinanceiro planoprevite</t>
  </si>
  <si>
    <t>previsc planejamentofinanceiro finanças futuro saudefinanceira planoprevite crasc</t>
  </si>
  <si>
    <t>previsc planejamentofinanceiro</t>
  </si>
  <si>
    <t>diadamulher planejamentofinanceiro</t>
  </si>
  <si>
    <t>diadocontador contabilidade empresas gestãofinanceira contadores empreendedorismo sucesso negócios planejamentofinanceiro</t>
  </si>
  <si>
    <t>fundodeemergência planejamentofinanceiro</t>
  </si>
  <si>
    <t>dívidas planejamentofinanceiro</t>
  </si>
  <si>
    <t>investimentosinteligentes planejamentofinanceiro decisõesinformadas liberdadefinanceira consultoriafinanceira luxcapital</t>
  </si>
  <si>
    <t>finançaspessoais educaçãofinanceira investimentos planejamentofinanceiro economia</t>
  </si>
  <si>
    <t>finançasempresariais orçamento impostos planejamentofinanceiro contabilidade despesas metasfinanceiras gestãofinanceira separarcontas</t>
  </si>
  <si>
    <t>robertogadelha robertogadelhainvestimentos recifeinvestimentos pernambucoinvestimentos dívidas solução dinheiro planejamentofinanceiro</t>
  </si>
  <si>
    <t>robertogadelha robertogadelhainvestimentos finanças planejamentofinanceiro poupar recifeinvestimentos</t>
  </si>
  <si>
    <t>análisedesempenhofinanceiro finançaspessoais planejamentofinanceiro dinheiro investimentos educacaofinanceira sabadou like</t>
  </si>
  <si>
    <t>assistentevirtual organizacaofinanceira emersonassistentevirtual assistentevirtual</t>
  </si>
  <si>
    <t>investimentoimobiliário mercadoimobiliário oportunidades estratégiasdeinvestimento rentabilidade patrimônio rnainvest planejamentofinanceiro</t>
  </si>
  <si>
    <t>investimentos planejamentofinanceiro rnainvest</t>
  </si>
  <si>
    <t>previdênciaprivada investimentos planejamentofinanceiro</t>
  </si>
  <si>
    <t>previdênciaprivada planejamentofinanceiro</t>
  </si>
  <si>
    <t>investimentos tesourodireto finanças educacaofinanceira planejamentofinanceiro rentabilidade segurança</t>
  </si>
  <si>
    <t>investimentofinanceiro investimentosinteligentes planejamentofinanceiro planejamentosucessorio</t>
  </si>
  <si>
    <t>planejamentofinanceiro investimento poupanca gestaodedinheiro economiapessoal educacaofinanceira liberdadefinanceira segurancafinanceira independenciafinanceira rendapassiva</t>
  </si>
  <si>
    <t>previdenciasocial planejamentofinanceiro brasil investimentos</t>
  </si>
  <si>
    <t>planejamentofinanceiro planejamento</t>
  </si>
  <si>
    <t>contabilidade sustentabilidade serviços brasil planejamentofinanceiro</t>
  </si>
  <si>
    <t>planejamentofinanceiro patrimonio embracon</t>
  </si>
  <si>
    <t>consórcio embracon planejamentofinanceiro consórcioembracon</t>
  </si>
  <si>
    <t>embracon consórcio investimento planejamentofinanceiro lance</t>
  </si>
  <si>
    <t>combustiveis edenred eficiencia etanol mobilidade negociodesucesso planejamentofinanceiro repom ticketlog</t>
  </si>
  <si>
    <t>gerenciamentofinanceiro concursospúblicos planejamentofinanceiro finançaspessoais estudos disciplina</t>
  </si>
  <si>
    <t>planejamentofinanceiro dinheiro comédia</t>
  </si>
  <si>
    <t>refinanciamento planejamentofinanceiro</t>
  </si>
  <si>
    <t>planejamentofinanceiro metas palestra rh empreededores sebrae</t>
  </si>
  <si>
    <t>finançaspessoais planejamentofinanceiro cfp planejar</t>
  </si>
  <si>
    <t>fluir graziuniformes financa planejamentofinanceiro</t>
  </si>
  <si>
    <t>fluir financas empreendedorismo planejamentofinanceiro</t>
  </si>
  <si>
    <t>fluir ibg educacaofinanceira planejamentofinanceiro</t>
  </si>
  <si>
    <t>fluir ibg coreval empreendedorismo financas planejamentofinanceiro</t>
  </si>
  <si>
    <t>família sonhos casal planejamentofinanceiro finanças imóvel belem belemdopara carro casa imoveis rodobens umarizal planejamento economia casapropria viagem</t>
  </si>
  <si>
    <t>consorcio planejamento planejamentofinanceiro família sonho casapropria carro</t>
  </si>
  <si>
    <t>radio54online prosperidade abundância sucesso riqueza gratidão metasfinanceiras planejamentofinanceiro investimentos</t>
  </si>
  <si>
    <t>gestãofinanceira estratégias planejamentofinanceiro</t>
  </si>
  <si>
    <t>clubefmblumenau videocast blumenau educacaofinanceira planejamentofinanceiro</t>
  </si>
  <si>
    <t>planejamentofinanceiro legado</t>
  </si>
  <si>
    <t>consorciocasa financiamento planejamentofinanceiro</t>
  </si>
  <si>
    <t>finançaspessoais investimentos educaçãofinanceira tesourodireto fundosdeinvestimento ações rendafixa diversificação planejamentofinanceiro</t>
  </si>
  <si>
    <t>finanças dinheiro investimentos economia riqueza negócios investir liberdadefinanceira educaçãofinanceira sucesso planejamentofinanceiro</t>
  </si>
  <si>
    <t>educaçãofinanceira liberdadefinanceira gestãodedinheiro planejamentofinanceiro finançaspessoais independenciafinanceira</t>
  </si>
  <si>
    <t>instagood planejamentofinanceiro consorcio consorcioveiculopesado</t>
  </si>
  <si>
    <t>consultoriatributaria trabalhos financas buscando assessoriafinanceira linkedinbrasil saobernardodocampo saopaulo makingadifference planejamentotributario planejamentofinanceiro</t>
  </si>
  <si>
    <t>empresa empresario bpofinanceiro negocios sucesso bussiness finanças planejamentofinanceiro mei impostos</t>
  </si>
  <si>
    <t>twitter coaching organizacaofinanceira</t>
  </si>
  <si>
    <t>orçamento planejamentofinanceiro</t>
  </si>
  <si>
    <t>aposentadoriatranquila planejamentofinanceiro bemestar</t>
  </si>
  <si>
    <t>segurodevida proteçãofamiliar planejamentofinanceiro lp4planejamento</t>
  </si>
  <si>
    <t>planejamentofinanceiro finançasfamiliares estabilidadeeconômica</t>
  </si>
  <si>
    <t>aposentadoria planejamentofinanceiro estabilidadefinanceira lp4planejamento</t>
  </si>
  <si>
    <t>organizaçãofinanceira planejamentofinanceiro finançaspessoais</t>
  </si>
  <si>
    <t>planejamentofinanceiro casais estabilidadefinanceira sucessofinanceiro</t>
  </si>
  <si>
    <t>aposentadoria investimentos planejamentofinanceiro futuroseguro bloglp4</t>
  </si>
  <si>
    <t>previdênciaprivada planejamentofinanceiro aposentadoria</t>
  </si>
  <si>
    <t>segurodevida planejamentofinanceiro família proteçãofinanceira lp4planejamento</t>
  </si>
  <si>
    <t>previdênciaprivada investimentos planejamentofinanceiro sucessofinanceiro aposentadoria</t>
  </si>
  <si>
    <t>investimentosparaaposentadoria planejamentofinanceiro aposentadoria futurofinanceiro dicasfinanceiras lp4</t>
  </si>
  <si>
    <t>finançaspessoais economia poupardinheiro planejamentofinanceiro lp4planejamento dicasfinanceiras</t>
  </si>
  <si>
    <t>planejamentofinanceiro estudantes educaçãofinanceira</t>
  </si>
  <si>
    <t>fundodeemergência planejamentofinanceiro lp4planejamento finançaspessoais dinheiro educaçãofinanceira cta</t>
  </si>
  <si>
    <t>planejamentofinanceiro aposentadoria futurofinanceiro lp4consultoria</t>
  </si>
  <si>
    <t>segurodevida proteçãofamiliar planejamentofinanceiro futuroseguro segurançafinanceira lp4planejamento</t>
  </si>
  <si>
    <t>planejamentofinanceiro paissolteiros educaçãofinanceira</t>
  </si>
  <si>
    <t>consorcio planejamentofinanceiro financiamento autofinanciamento investimentos</t>
  </si>
  <si>
    <t>varginha</t>
  </si>
  <si>
    <t>finance libertadfinanciera liberdadefinanceira finances personalfinance financetips mercadofinanceiro educacionfinanciera educacaofinanceira planejamentofinanceiro independenciafinanceira educaçãofinanceira</t>
  </si>
  <si>
    <t>trabalhovsnegócio empreendedorismo gestãodenegócios finanças planejamentofinanceiro investimentos educaçãofinanceira negócios</t>
  </si>
  <si>
    <t>lesadv primeirodeus mordomia planejamentofinanceiro biblia</t>
  </si>
  <si>
    <t>profricardoviana educacaofinanceira financaspessoais planejamentofinanceiro liberdadefinanceira organizesuasfinanças</t>
  </si>
  <si>
    <t>profricardoviana matemáticafinanceira educaçãofinanceira concursopúblico empréstimos planejamentofinanceiro dicasdefinanças</t>
  </si>
  <si>
    <t>economiadoméstica planejamentofinanceiro gestaumdigital</t>
  </si>
  <si>
    <t>planejamentofinanceiro orçamentoempresarial gestãodecustos lucros pdca consultoriafinanceira assessoriafinanceira sucesso</t>
  </si>
  <si>
    <t>planejamentofinanceiro gestãofinanceira gestãodecustos</t>
  </si>
  <si>
    <t>consorcio casapropria planejamentofinanceiro</t>
  </si>
  <si>
    <t>planejamentofinanceiro sucessofinanceiro estabilidade</t>
  </si>
  <si>
    <t>planejamentofinanceiro metasrealistas</t>
  </si>
  <si>
    <t>organizaçãofinanceira controlesuasdívidas</t>
  </si>
  <si>
    <t>problemasfinanceiros planejamentofinanceiro saúdemental estresse ansiedade consultorfinanceiro reservafinanceira dívidas estabilidadefinanceira saúdefinanceira crédito bemestar qualidadedevida</t>
  </si>
  <si>
    <t>instagram.com</t>
  </si>
  <si>
    <t>bit.ly</t>
  </si>
  <si>
    <t>gov.br</t>
  </si>
  <si>
    <t>spr.ly</t>
  </si>
  <si>
    <t>com.br</t>
  </si>
  <si>
    <t>youtu.be</t>
  </si>
  <si>
    <t>webnode.page</t>
  </si>
  <si>
    <t>wix.to</t>
  </si>
  <si>
    <t>youtube.com</t>
  </si>
  <si>
    <t>brainev.com</t>
  </si>
  <si>
    <t>lobscontabil.com</t>
  </si>
  <si>
    <t>hotmart.com</t>
  </si>
  <si>
    <t>lnkd.in</t>
  </si>
  <si>
    <t>carreiraprofissional.com</t>
  </si>
  <si>
    <t>linkedin.com</t>
  </si>
  <si>
    <t>mla.bs</t>
  </si>
  <si>
    <t>code.blog</t>
  </si>
  <si>
    <t>vegansav.com</t>
  </si>
  <si>
    <t>net.br</t>
  </si>
  <si>
    <t>wp.me</t>
  </si>
  <si>
    <t>sincronizze.com</t>
  </si>
  <si>
    <t>seudinheiro.com</t>
  </si>
  <si>
    <t>sejahojediferente.com</t>
  </si>
  <si>
    <t>odysee.com</t>
  </si>
  <si>
    <t>anchor.fm</t>
  </si>
  <si>
    <t>rb.gy</t>
  </si>
  <si>
    <t>globo.com</t>
  </si>
  <si>
    <t>tinyurl.com</t>
  </si>
  <si>
    <t>kiwify.app</t>
  </si>
  <si>
    <t>wordpress.com</t>
  </si>
  <si>
    <t>medium.com</t>
  </si>
  <si>
    <t>edenred.com</t>
  </si>
  <si>
    <t>bible.com</t>
  </si>
  <si>
    <t>wa.me</t>
  </si>
  <si>
    <t>realpolkabridge polkadot cz_binance</t>
  </si>
  <si>
    <t>workshopdantas roxmo</t>
  </si>
  <si>
    <t>lulaoficial workshopdantas</t>
  </si>
  <si>
    <t>workshopdantas rmotta2</t>
  </si>
  <si>
    <t>workshopdantas damadeferroofic</t>
  </si>
  <si>
    <t>pablospyer</t>
  </si>
  <si>
    <t>https://t.co/kvmz8ZYwcd https://pbs.twimg.com/media/FvPeGg4XgAIo7u3.jpg</t>
  </si>
  <si>
    <t>https://t.co/ur7vlZ3Sfp https://pbs.twimg.com/media/F0IW7NQWIBciZG0.jpg</t>
  </si>
  <si>
    <t>https://t.co/qSb8uus4M7 https://pbs.twimg.com/media/F0EK_f8XwAQHfSu.jpg</t>
  </si>
  <si>
    <t>https://t.co/wUomgEBsbd https://pbs.twimg.com/media/Fz7XUjFWYAI1TnO.jpg</t>
  </si>
  <si>
    <t>https://t.co/7yAlbMFy3B https://pbs.twimg.com/media/Fz7WO8JXsAAkgG7.jpg</t>
  </si>
  <si>
    <t>https://t.co/njWht7Em0M https://pbs.twimg.com/ext_tw_video_thumb/1672293117364453384/pu/img/c7eQh9UFS4Aq9Yx4.jpg</t>
  </si>
  <si>
    <t>https://t.co/OfyD4Fc3FF https://pbs.twimg.com/media/FzGFUKRXsAIJmLc.jpg</t>
  </si>
  <si>
    <t>https://t.co/96ENAtNPke https://t.co/96ENAtNPke https://t.co/96ENAtNPke https://pbs.twimg.com/media/FrgcPEdXoAILGyv.jpg https://pbs.twimg.com/media/FrgcPEfXsAUmV-S.jpg https://pbs.twimg.com/media/FrgcPEeX0AAipeF.jpg</t>
  </si>
  <si>
    <t>https://t.co/qnYeE90TC8 https://pbs.twimg.com/media/FtiHFtNWABAHZmG.jpg</t>
  </si>
  <si>
    <t>https://t.co/TA2FEoM5yQ https://pbs.twimg.com/media/FsfjtopWIBE0XUR.jpg</t>
  </si>
  <si>
    <t>https://t.co/WN7gjLQ9Ow https://pbs.twimg.com/media/FsaaG2NXgAcW63_.jpg</t>
  </si>
  <si>
    <t>https://t.co/D8VwE5BZaN https://pbs.twimg.com/media/FsVQc0tX0Akg7U9.jpg</t>
  </si>
  <si>
    <t>https://t.co/rxL89cZKuQ https://pbs.twimg.com/media/Fr6LYyYWAAke6vl.jpg</t>
  </si>
  <si>
    <t>https://t.co/5L4jNH9ycj https://pbs.twimg.com/ext_tw_video_thumb/1673708228201390083/pu/img/4MQib4dN7gF2G8ah.jpg</t>
  </si>
  <si>
    <t>https://t.co/hWRKgVAske https://pbs.twimg.com/ext_tw_video_thumb/1673451536746160128/pu/img/gB41KeGrM1IgBW7f.jpg</t>
  </si>
  <si>
    <t>https://t.co/IcioYySQVw https://pbs.twimg.com/ext_tw_video_thumb/1674070592687951872/pu/img/WUJubp_JbemJVIYB.jpg</t>
  </si>
  <si>
    <t>https://t.co/TAkHKRNy6C https://pbs.twimg.com/ext_tw_video_thumb/1675822069651501056/pu/img/sUZD4XEbjS7EAWb7.jpg</t>
  </si>
  <si>
    <t>https://t.co/a5OxIwWdYc https://pbs.twimg.com/ext_tw_video_thumb/1674795330565701637/pu/img/ZMVyZff3zQj4SZy7.jpg</t>
  </si>
  <si>
    <t>https://t.co/yLbQINIbJt https://pbs.twimg.com/ext_tw_video_thumb/1674432895526780929/pu/img/kylYXrEHzHQ2l7a-.jpg</t>
  </si>
  <si>
    <t>https://t.co/wDRplfUyp1 https://pbs.twimg.com/ext_tw_video_thumb/1675520131072507905/pu/img/t5qlKW_mNfr7z5wN.jpg</t>
  </si>
  <si>
    <t>https://t.co/50NZwGWPA3 https://pbs.twimg.com/ext_tw_video_thumb/1675157681525456896/pu/img/c0mfWPZUtdg5gnCm.jpg</t>
  </si>
  <si>
    <t>https://t.co/NAzwT0LlTz https://t.co/NAzwT0LlTz https://t.co/NAzwT0LlTz https://t.co/NAzwT0LlTz https://pbs.twimg.com/media/FvxYTlkXsAIKmgp.jpg https://pbs.twimg.com/media/FvxYUWpXsAQ4qge.jpg https://pbs.twimg.com/media/FvxYVO8XoAUfuGM.jpg https://pbs.twimg.com/media/FvxYWU2X0AM4ZAX.jpg</t>
  </si>
  <si>
    <t>https://t.co/QuvxnkdCUv https://pbs.twimg.com/ext_tw_video_thumb/1683472668274696193/pu/img/f57tyLT9i1dUxdbH.jpg</t>
  </si>
  <si>
    <t>https://t.co/5eyKiZIv21 https://pbs.twimg.com/media/F2n4lrLXQAAOIW_.jpg</t>
  </si>
  <si>
    <t>https://t.co/NtHN9rLPwz https://pbs.twimg.com/media/Fwu911oWAAAVom7.jpg</t>
  </si>
  <si>
    <t>https://t.co/GVuhtEE4QQ https://pbs.twimg.com/ext_tw_video_thumb/1665469865728131074/pu/img/ZznTvifBd8Tk0KNB.jpg</t>
  </si>
  <si>
    <t>https://t.co/TaDMadlJ0N https://pbs.twimg.com/ext_tw_video_thumb/1687934589967228929/pu/img/dOaJwE3A_Y3_ueAi.jpg</t>
  </si>
  <si>
    <t>https://t.co/VwTArcLt6m https://pbs.twimg.com/ext_tw_video_thumb/1685388877362601984/pu/img/IMWKBPfDVXSD6vZU.jpg</t>
  </si>
  <si>
    <t>https://t.co/Hu9vhzxpsd https://pbs.twimg.com/ext_tw_video_thumb/1664696055798149120/pu/img/3J_FbkSYSW39DC8l.jpg</t>
  </si>
  <si>
    <t>https://t.co/JPVK4mt6Zb https://pbs.twimg.com/media/FlgDKjxXEAYS3JC.jpg</t>
  </si>
  <si>
    <t>https://t.co/x6IRre9275 https://pbs.twimg.com/media/FwPyarYXsAIKtHm.jpg</t>
  </si>
  <si>
    <t>https://t.co/28EnScGsj0 https://pbs.twimg.com/media/Fy77-W0WwAI2e-e.jpg</t>
  </si>
  <si>
    <t>https://t.co/26nlHnydfu https://pbs.twimg.com/media/Fs4bYqGX0AIY29T.png</t>
  </si>
  <si>
    <t>https://t.co/Mzzsk8im3w https://pbs.twimg.com/media/Fwed7i_XsAMnwbo.jpg</t>
  </si>
  <si>
    <t>https://t.co/7vQ88Q5NN3 https://pbs.twimg.com/media/FvmRswXWAAAsZ1N.jpg</t>
  </si>
  <si>
    <t>https://t.co/C8V3ibJLJT https://pbs.twimg.com/media/FzGGMwhWwAQeRI9.jpg</t>
  </si>
  <si>
    <t>https://t.co/dEnevzHdNM https://pbs.twimg.com/media/FxoMon3WcAAeOTH.jpg</t>
  </si>
  <si>
    <t>https://t.co/DP4hGkYlta https://pbs.twimg.com/media/F1l26cLXsAAESKT.jpg</t>
  </si>
  <si>
    <t>https://t.co/JAnsvlsgEN https://pbs.twimg.com/media/F4qS67TWQAA6qdh.jpg</t>
  </si>
  <si>
    <t>https://t.co/QCFG7yZJmG https://pbs.twimg.com/media/Fxw6zMYWAAM-IfU.jpg</t>
  </si>
  <si>
    <t>https://t.co/kJzJXGBIW1 https://pbs.twimg.com/ext_tw_video_thumb/1692117222754250752/pu/img/i8UvOdjVFqfvOZki.jpg</t>
  </si>
  <si>
    <t>https://t.co/EA6YrgFUDs https://pbs.twimg.com/media/FyAzks9WcAEAf9M.jpg</t>
  </si>
  <si>
    <t>https://t.co/KkD4qTplsY https://pbs.twimg.com/media/F1zloYxWcAA--4K.jpg</t>
  </si>
  <si>
    <t>https://t.co/TBCim3axNP https://pbs.twimg.com/media/Fv33mvfWcBU4Txc.jpg</t>
  </si>
  <si>
    <t>https://t.co/fDS4QD7GjH https://pbs.twimg.com/media/FvD2xnAWYA84OIZ.jpg</t>
  </si>
  <si>
    <t>https://t.co/ge3yfNjdDg https://pbs.twimg.com/media/Fs9bQyNXsAANI6e.jpg</t>
  </si>
  <si>
    <t>https://t.co/gkSeFG5SPr https://pbs.twimg.com/media/F3gygA8XgAAqJlH.jpg</t>
  </si>
  <si>
    <t>https://t.co/Q7Md3TIk2p https://pbs.twimg.com/media/F2Epw19XYAE_L1Z.jpg</t>
  </si>
  <si>
    <t>https://t.co/gj3PlDPjBo https://pbs.twimg.com/media/F1lhk60WwAA34Oj.jpg</t>
  </si>
  <si>
    <t>https://t.co/9iBtpSUPyP https://pbs.twimg.com/media/F1BPQGHWwAo4wOI.jpg</t>
  </si>
  <si>
    <t>https://t.co/FSP9Bzvjz4 https://pbs.twimg.com/media/Fz5xjKQXwAAXGEp.jpg</t>
  </si>
  <si>
    <t>https://t.co/PJ61jCR6zI https://pbs.twimg.com/media/FzA5StbWAAAZ9ex.jpg</t>
  </si>
  <si>
    <t>https://t.co/74O6SAe4nl https://pbs.twimg.com/media/FyGsYjoWcAIwRaa.jpg</t>
  </si>
  <si>
    <t>https://t.co/UWAbfrjpiU https://pbs.twimg.com/media/FvD7DXpWcAE6BwN.jpg</t>
  </si>
  <si>
    <t>https://t.co/5ZlWFIgLO5 https://pbs.twimg.com/media/FrROOutXoAQkKDg.jpg</t>
  </si>
  <si>
    <t>https://t.co/zwi1VxUpLC https://t.co/zwi1VxUpLC https://pbs.twimg.com/media/FrHc8kqXoCM1lnH.jpg https://pbs.twimg.com/media/FrHc8koXoAYrHka.jpg</t>
  </si>
  <si>
    <t>https://t.co/QXqXOau39M https://t.co/QXqXOau39M https://pbs.twimg.com/media/F49qt6QXIAA5uj1.jpg https://pbs.twimg.com/media/F49qt6PXwAA6ye4.jpg</t>
  </si>
  <si>
    <t>https://t.co/tmOm217hb1 https://pbs.twimg.com/media/Fz5tIh5XgAUhWNk.jpg</t>
  </si>
  <si>
    <t>https://t.co/nEA2FZNjNP https://pbs.twimg.com/media/FyxFu1IWAAE9i7k.jpg</t>
  </si>
  <si>
    <t>https://t.co/Jc3XEF1ZcF https://pbs.twimg.com/media/FxpCW4rWYAAtS6l.jpg</t>
  </si>
  <si>
    <t>https://t.co/pzWldZGeqB https://pbs.twimg.com/media/FvDahdUXgAA3awb.jpg</t>
  </si>
  <si>
    <t>https://t.co/FXhKYZxxpo https://t.co/FXhKYZxxpo https://t.co/FXhKYZxxpo https://t.co/FXhKYZxxpo https://pbs.twimg.com/media/FqO7YUuWAAAZh-4.jpg https://pbs.twimg.com/media/FqO7YUvWwAECVrL.jpg https://pbs.twimg.com/media/FqO7YUtWYAgZNwK.jpg https://pbs.twimg.com/media/FqO7YU8WYBQni9p.jpg</t>
  </si>
  <si>
    <t>https://t.co/JHS5t33x6N https://pbs.twimg.com/media/Fp_IffiX0AMrhxy.jpg</t>
  </si>
  <si>
    <t>https://t.co/G130Djnya6 https://pbs.twimg.com/media/F5xIKkoXAAAsvr6.jpg</t>
  </si>
  <si>
    <t>https://t.co/qQOiGt62hf https://pbs.twimg.com/media/F48VFn9WAAIoeiY.jpg</t>
  </si>
  <si>
    <t>https://t.co/yfMEmR8IKx https://pbs.twimg.com/media/F1BZf-8XgAAGjC7.jpg</t>
  </si>
  <si>
    <t>https://t.co/GDPmFbopGp https://pbs.twimg.com/media/FyG-XYaaMAIBWTj.jpg</t>
  </si>
  <si>
    <t>https://t.co/g6rIVNyqWY https://t.co/g6rIVNyqWY https://t.co/g6rIVNyqWY https://t.co/g6rIVNyqWY https://pbs.twimg.com/media/Fr_lvLYXsAEKAxJ.jpg https://pbs.twimg.com/media/Fr_lvLZXwAYhOTQ.jpg https://pbs.twimg.com/media/Fr_lvLbX0AUf4rX.jpg https://pbs.twimg.com/media/Fr_lvLYXwAQdB8m.jpg</t>
  </si>
  <si>
    <t>https://t.co/YXYqLBO441 https://pbs.twimg.com/media/Fr1MLWGXwAEApMG.jpg</t>
  </si>
  <si>
    <t>https://t.co/HOqgles0xO https://pbs.twimg.com/media/F50x3LNXIAAKGeC.jpg</t>
  </si>
  <si>
    <t>https://t.co/UkcNjyqkuA https://pbs.twimg.com/media/F1Bo-gMWcAMjssd.jpg</t>
  </si>
  <si>
    <t>https://t.co/KaXWjVFbK7 https://pbs.twimg.com/media/FtnxNH7X0AAC4Zv.jpg</t>
  </si>
  <si>
    <t>https://t.co/TFIWMflrLI https://pbs.twimg.com/media/Fpk7zVaXsAEgy74.jpg</t>
  </si>
  <si>
    <t>https://t.co/JK7PnW7nfi https://t.co/JK7PnW7nfi https://pbs.twimg.com/media/FpLR2lXaMAcF8LJ.jpg https://pbs.twimg.com/media/FpLR2lZacAMWqsd.jpg</t>
  </si>
  <si>
    <t>https://t.co/z5ik2kKt2Y https://pbs.twimg.com/media/F50571KW4AAC2_m.jpg</t>
  </si>
  <si>
    <t>https://t.co/9S7YlsYdwG https://pbs.twimg.com/media/F3havjJWMAAz6a7.jpg</t>
  </si>
  <si>
    <t>https://t.co/V83S5Hr9yo https://pbs.twimg.com/media/F1GthTjWYAUZb36.jpg</t>
  </si>
  <si>
    <t>https://t.co/5na7jwjVof https://pbs.twimg.com/media/F0dhBSOXoAAauci.jpg</t>
  </si>
  <si>
    <t>https://t.co/9aBnM6csdl https://pbs.twimg.com/media/FyHvcFUWAAETjuh.jpg</t>
  </si>
  <si>
    <t>https://t.co/c9vX65ALYO https://pbs.twimg.com/media/FtYUXO0XgB0_ZFc.jpg</t>
  </si>
  <si>
    <t>https://t.co/e5L4MH70Ls https://pbs.twimg.com/media/FtHFXRLWcAIpILN.jpg</t>
  </si>
  <si>
    <t>https://t.co/mz4NRbkK37 https://t.co/mz4NRbkK37 https://pbs.twimg.com/media/Fmmc04BXwAEB9iJ.jpg https://pbs.twimg.com/media/Fmmc04BWYAg7Cjf.jpg</t>
  </si>
  <si>
    <t>https://t.co/JXhzFocVUD https://t.co/JXhzFocVUD https://pbs.twimg.com/media/F527pgvWIAAIVXV.jpg https://pbs.twimg.com/media/F527pguXEAAOB9g.jpg</t>
  </si>
  <si>
    <t>https://t.co/liCCdhF1v8 https://pbs.twimg.com/media/FtmhCeQXsAE8-iG.jpg</t>
  </si>
  <si>
    <t>https://t.co/U4iQ8HYGEw https://t.co/U4iQ8HYGEw https://t.co/U4iQ8HYGEw https://t.co/U4iQ8HYGEw https://pbs.twimg.com/media/FonbtPFWcAMZdXq.jpg https://pbs.twimg.com/media/FonbtPDXEAEJUXw.jpg https://pbs.twimg.com/media/FonbtPCXwAITQrM.jpg https://pbs.twimg.com/media/FonbtPmX0AAHr8q.jpg</t>
  </si>
  <si>
    <t>https://t.co/LaX8lQxAIm https://pbs.twimg.com/media/F6k2jhFWQAADG1X.jpg</t>
  </si>
  <si>
    <t>https://t.co/SmhJhejSOA https://pbs.twimg.com/media/FyG47aYaMAAZax7.jpg</t>
  </si>
  <si>
    <t>https://t.co/BbeZGrlrVX https://pbs.twimg.com/media/FwSF3deXoAA3ZES.jpg</t>
  </si>
  <si>
    <t>https://t.co/MV9zIDl2vH https://pbs.twimg.com/ext_tw_video_thumb/1647672973900259328/pu/img/D7rxd_eFPXBSXcTg.jpg</t>
  </si>
  <si>
    <t>https://t.co/93yAcgAtic https://pbs.twimg.com/media/Fz85_TOaUAEwlp4.jpg</t>
  </si>
  <si>
    <t>https://t.co/sOiIRR4aWr https://pbs.twimg.com/media/FmIg1EaXEBUpFK6.jpg</t>
  </si>
  <si>
    <t>https://t.co/sZdAwhQhvN https://pbs.twimg.com/media/FmGXkCJXoAI6Wmh.jpg</t>
  </si>
  <si>
    <t>https://t.co/TNZPXbI3Ax https://pbs.twimg.com/ext_tw_video_thumb/1672288617429970944/pu/img/DZEtnZpx5xjX3BxL.jpg</t>
  </si>
  <si>
    <t>https://t.co/mpVERRizo8 https://t.co/mpVERRizo8 https://t.co/mpVERRizo8 https://t.co/mpVERRizo8 https://pbs.twimg.com/media/Flixe5tXkAEkOZW.jpg https://pbs.twimg.com/media/Flixe_HWYAIhe3o.jpg https://pbs.twimg.com/media/FlixfFNXgAAkFuG.jpg https://pbs.twimg.com/media/FlixfLmWIAIIMs8.jpg</t>
  </si>
  <si>
    <t>https://t.co/jl1gVdUfSu https://pbs.twimg.com/tweet_video_thumb/FsnomMSXgAAGUWi.jpg</t>
  </si>
  <si>
    <t>https://t.co/cQIjQGnVbz https://pbs.twimg.com/media/FrTIg9NXwAE7ifm.jpg</t>
  </si>
  <si>
    <t>https://t.co/nBWCKMrVSH https://t.co/nBWCKMrVSH https://t.co/nBWCKMrVSH https://t.co/nBWCKMrVSH https://pbs.twimg.com/media/FrTIbBYWcAA4TmY.jpg https://pbs.twimg.com/media/FrTIbCyWIAMrG4Q.jpg https://pbs.twimg.com/media/FrTIbESWYAE5pxk.jpg https://pbs.twimg.com/media/FrTIbFmWAAEjU70.jpg</t>
  </si>
  <si>
    <t>https://t.co/5DKtieGvGN https://t.co/5DKtieGvGN https://t.co/5DKtieGvGN https://t.co/5DKtieGvGN https://pbs.twimg.com/media/FrTISj2WwAIlzqC.jpg https://pbs.twimg.com/media/FrTISj6WAAAelSA.jpg https://pbs.twimg.com/media/FrTISkgXoAEty9q.jpg https://pbs.twimg.com/media/FrTISlMXsAEPTDW.jpg</t>
  </si>
  <si>
    <t>https://t.co/PICvraesIm https://t.co/PICvraesIm https://t.co/PICvraesIm https://t.co/PICvraesIm https://pbs.twimg.com/media/FrNpUhYXwAQ8ocW.jpg https://pbs.twimg.com/media/FrNpUiXX0AIhUEc.jpg https://pbs.twimg.com/media/FrNpUjYXgAApm45.jpg https://pbs.twimg.com/media/FrNpUkRWIAE9bfi.jpg</t>
  </si>
  <si>
    <t>https://t.co/Si18edIFOs https://t.co/Si18edIFOs https://t.co/Si18edIFOs https://t.co/Si18edIFOs https://pbs.twimg.com/media/FrNpO_VWwAQP0fa.jpg https://pbs.twimg.com/media/FrNpO_LWYAox-4Y.jpg https://pbs.twimg.com/media/FrNpO_6XoAEo-tQ.jpg https://pbs.twimg.com/media/FrNpPArWIAQbGG6.jpg</t>
  </si>
  <si>
    <t>https://t.co/ybCiJHMCo2 https://t.co/ybCiJHMCo2 https://t.co/ybCiJHMCo2 https://t.co/ybCiJHMCo2 https://pbs.twimg.com/media/FrIpecnXgAcfk2k.jpg https://pbs.twimg.com/media/FrIpec6WIAAkm57.jpg https://pbs.twimg.com/media/FrIpedwWcAE3pYi.jpg https://pbs.twimg.com/media/FrIpeeXWcAAT2KJ.jpg</t>
  </si>
  <si>
    <t>https://t.co/EKfqUWOlzO https://pbs.twimg.com/media/FrCySoPWcAALrRa.jpg</t>
  </si>
  <si>
    <t>https://t.co/4HOvzdS2E3 https://t.co/4HOvzdS2E3 https://t.co/4HOvzdS2E3 https://t.co/4HOvzdS2E3 https://pbs.twimg.com/media/FrCyK8IXgAM-KXm.jpg https://pbs.twimg.com/media/FrCyK9pXgAA51C2.jpg https://pbs.twimg.com/media/FrCyLASWcAIXkVV.jpg https://pbs.twimg.com/media/FrCyLBKWAAA5g7G.jpg</t>
  </si>
  <si>
    <t>https://t.co/g6pEZ7xka5 https://t.co/g6pEZ7xka5 https://t.co/g6pEZ7xka5 https://t.co/g6pEZ7xka5 https://pbs.twimg.com/media/FrCyDIRXwAAnk1s.jpg https://pbs.twimg.com/media/FrCyDIQXsA4VsDD.jpg https://pbs.twimg.com/media/FrCyDJiWYAAVFfz.jpg https://pbs.twimg.com/media/FrCyDKZWYAUJaep.jpg</t>
  </si>
  <si>
    <t>https://t.co/bCepwcZQ6n https://t.co/bCepwcZQ6n https://t.co/bCepwcZQ6n https://t.co/bCepwcZQ6n https://pbs.twimg.com/media/Fq-hxaCWAAE4kl8.jpg https://pbs.twimg.com/media/Fq-hxaDWAAAzE6b.jpg https://pbs.twimg.com/media/Fq-hxaUXsAAqt7Q.jpg https://pbs.twimg.com/media/Fq-hxbGWYAUcwWG.jpg</t>
  </si>
  <si>
    <t>https://t.co/akcOWGQHQ4 https://pbs.twimg.com/media/FyqBI61XsAIV3s9.jpg</t>
  </si>
  <si>
    <t>https://t.co/T95LLuMCBt https://pbs.twimg.com/media/FulJiPoWIBIg-tH.jpg</t>
  </si>
  <si>
    <t>https://t.co/NqBvWc0oR3 https://pbs.twimg.com/media/Fx8gF-3acAQPSCC.jpg</t>
  </si>
  <si>
    <t>https://t.co/Y511BxDs2B https://pbs.twimg.com/media/FsqZv6pWcAE-J1s.jpg</t>
  </si>
  <si>
    <t>https://t.co/7cF4IChhZ8 https://pbs.twimg.com/media/F4_FcEuWUAA3MaJ.jpg</t>
  </si>
  <si>
    <t>https://t.co/SawaDaqzeR https://t.co/SawaDaqzeR https://t.co/SawaDaqzeR https://t.co/SawaDaqzeR https://pbs.twimg.com/media/FrRs8hRXoAEnIrS.jpg https://pbs.twimg.com/media/FrRs8hRXgAIN8oW.jpg https://pbs.twimg.com/media/FrRs8iPWAAILxQX.jpg https://pbs.twimg.com/media/FrRs8jSXgAMoQ77.jpg</t>
  </si>
  <si>
    <t>https://t.co/GfanUUHdHF https://pbs.twimg.com/media/FtM_WpxX0AYiFOl.jpg</t>
  </si>
  <si>
    <t>https://t.co/oIyVAYsM1d https://pbs.twimg.com/media/FsjnCJ_WcAECcoy.jpg</t>
  </si>
  <si>
    <t>https://t.co/nstiMyHpxg https://pbs.twimg.com/media/FsZf1z1WAAM3W4s.jpg</t>
  </si>
  <si>
    <t>https://t.co/J2t344NBWV https://t.co/J2t344NBWV https://t.co/J2t344NBWV https://t.co/J2t344NBWV https://pbs.twimg.com/media/Fq9EtEGWAAkdjKW.jpg https://pbs.twimg.com/media/Fq9EtECXsAIpyXm.jpg https://pbs.twimg.com/media/Fq9EtEsXgAIvruH.jpg https://pbs.twimg.com/media/Fq9EtFwWcAkFlpO.jpg</t>
  </si>
  <si>
    <t>https://t.co/eWr3TyLLui https://t.co/eWr3TyLLui https://t.co/eWr3TyLLui https://t.co/eWr3TyLLui https://pbs.twimg.com/media/Fq37xiSWwBUUD1d.jpg https://pbs.twimg.com/media/Fq37xiUWwBoRtIL.jpg https://pbs.twimg.com/media/Fq37xigWwAsoUiI.jpg https://pbs.twimg.com/media/Fq37xjLWwBcPQRZ.jpg</t>
  </si>
  <si>
    <t>https://t.co/HKvnqCfUeJ https://pbs.twimg.com/media/F3wmjxEXcAA_8Y2.jpg</t>
  </si>
  <si>
    <t>https://t.co/FWCY2NEnSE https://pbs.twimg.com/media/FvYF92YWYAI-Bw8.jpg</t>
  </si>
  <si>
    <t>https://t.co/r3sFhAMYeM https://pbs.twimg.com/media/FvXc45eX0AMhOn0.jpg</t>
  </si>
  <si>
    <t>https://t.co/sgg4ieBhHE https://t.co/sgg4ieBhHE https://t.co/sgg4ieBhHE https://t.co/sgg4ieBhHE https://pbs.twimg.com/media/F5N5CtpWMAAJhOu.jpg https://pbs.twimg.com/media/F5N5C6WW4AAQi1A.jpg https://pbs.twimg.com/media/F5N5DJ0XYAAgDVf.jpg https://pbs.twimg.com/media/F5N5DVuXMAA85G3.jpg</t>
  </si>
  <si>
    <t>https://t.co/OybshZg6ml https://pbs.twimg.com/ext_tw_video_thumb/1702653239001325569/pu/img/KdTvqIEp3DwXhOX6.jpg</t>
  </si>
  <si>
    <t>https://t.co/3P8KDrOCdA https://pbs.twimg.com/ext_tw_video_thumb/1703741475702378496/pu/img/VKiAT-mAajE0uA79.jpg</t>
  </si>
  <si>
    <t>https://t.co/SxsbmQw9Tp https://pbs.twimg.com/ext_tw_video_thumb/1702094306733957120/pu/img/LlIwMQpWVmyMgd2S.jpg</t>
  </si>
  <si>
    <t>https://t.co/SXd2FOdyiw https://pbs.twimg.com/ext_tw_video_thumb/1699802772479045632/pu/img/bVrIFcWvI5jEMZxg.jpg</t>
  </si>
  <si>
    <t>https://t.co/V2izjsYINM https://pbs.twimg.com/ext_tw_video_thumb/1666468989218828288/pu/img/4EYnLVmsQChh0HW4.jpg</t>
  </si>
  <si>
    <t>https://t.co/tqE3hAkjT7 https://pbs.twimg.com/ext_tw_video_thumb/1664341273342361600/pu/img/-aNSP3rVASadM_zw.jpg</t>
  </si>
  <si>
    <t>https://t.co/stwidY8dNi https://pbs.twimg.com/ext_tw_video_thumb/1666474818454126592/pu/img/vzBrbd1nevmfwxO9.jpg</t>
  </si>
  <si>
    <t>https://t.co/SfCwye3VEe https://pbs.twimg.com/media/Fo1c9omWAAAdIjK.jpg</t>
  </si>
  <si>
    <t>https://t.co/GyYN1qq6cY https://pbs.twimg.com/media/FowTXY8XsAE4FIG.jpg</t>
  </si>
  <si>
    <t>https://t.co/QzGNtjDWo1 https://pbs.twimg.com/media/FwZieVwWIAAgPTB.jpg</t>
  </si>
  <si>
    <t>https://t.co/Zr2N9nBZTI https://pbs.twimg.com/media/FyFr3olWwAErEHi.jpg</t>
  </si>
  <si>
    <t>https://t.co/eJpvmVLTKd https://pbs.twimg.com/media/F0BSBglXwAA1l_E.jpg</t>
  </si>
  <si>
    <t>https://t.co/62xsHr4RxS https://pbs.twimg.com/media/FpKDVG4XEAAq4WJ.jpg</t>
  </si>
  <si>
    <t>https://t.co/VxYBWBb4CW https://pbs.twimg.com/ext_tw_video_thumb/1621259846979883011/pu/img/baEybwz7OH6qAQ4C.jpg</t>
  </si>
  <si>
    <t>https://t.co/AxAA2XSG8Q https://pbs.twimg.com/media/FsT3JUmX0AE9nxO.jpg</t>
  </si>
  <si>
    <t>https://t.co/KRmu4xCeH5 https://pbs.twimg.com/media/Fxnx7DIXsAE8mxz.jpg</t>
  </si>
  <si>
    <t>https://t.co/6OtaOVbeb4 https://pbs.twimg.com/media/F0t2x-IWYAArkil.jpg</t>
  </si>
  <si>
    <t>https://t.co/a7DkeiPR0s https://pbs.twimg.com/media/FzKPXI6WcAILLxm.jpg</t>
  </si>
  <si>
    <t>https://t.co/rGl6vMEHkU https://t.co/rGl6vMEHkU https://pbs.twimg.com/media/F3QfePJWgAA_wtQ.jpg https://pbs.twimg.com/media/F3QfflGWcAECCDn.jpg</t>
  </si>
  <si>
    <t>https://t.co/X0SrzBsdC4 https://t.co/X0SrzBsdC4 https://t.co/X0SrzBsdC4 https://t.co/X0SrzBsdC4 https://pbs.twimg.com/media/F5Rq3KKXYAMsB2v.jpg https://pbs.twimg.com/media/F5Rq4CkXYAAcW0s.jpg https://pbs.twimg.com/media/F5Rq5DqXYAQn9Wh.jpg https://pbs.twimg.com/media/F5Rq6ABXYAQYgkq.jpg</t>
  </si>
  <si>
    <t>https://t.co/NVxoELFCu2 https://pbs.twimg.com/media/FvYknHCWYAQTA2a.jpg</t>
  </si>
  <si>
    <t>https://t.co/iKLUUfxjBd https://pbs.twimg.com/media/FmIEAc5XkBMW7jl.jpg</t>
  </si>
  <si>
    <t>https://t.co/ikYJMJOW9J https://pbs.twimg.com/media/FyBnhQ7XsAI_g1y.png</t>
  </si>
  <si>
    <t>https://t.co/Z1C3DXeGRZ https://pbs.twimg.com/media/F1Qx2EWXoAEPSSk.png</t>
  </si>
  <si>
    <t>https://t.co/ZnRjQry7ov https://pbs.twimg.com/media/FqTlCNNXsAIp3fD.jpg</t>
  </si>
  <si>
    <t>https://t.co/kk2uiBrHqv https://pbs.twimg.com/media/F5IgxVdXkAEv-n_.jpg</t>
  </si>
  <si>
    <t>https://t.co/9qk1GC0vAo https://pbs.twimg.com/ext_tw_video_thumb/1669440951574581269/pu/img/wMkHNRJEt4jNF8Hn.jpg</t>
  </si>
  <si>
    <t>https://t.co/Q9m3Hi27D0 https://pbs.twimg.com/media/FxJLQQ5XwAMfPDw.jpg</t>
  </si>
  <si>
    <t>https://t.co/FdWzfGwo52 https://pbs.twimg.com/ext_tw_video_thumb/1674749821230407680/pu/img/U9lNIxKdZ_W2hmSp.jpg</t>
  </si>
  <si>
    <t>https://t.co/QpxccABxXd https://pbs.twimg.com/ext_tw_video_thumb/1673300261362708482/pu/img/zWB-_moqc9WSWUoK.jpg</t>
  </si>
  <si>
    <t>https://t.co/MSxc0XukWa https://pbs.twimg.com/ext_tw_video_thumb/1672922781669810178/pu/img/rV1uK8iVRzKh-TbB.jpg</t>
  </si>
  <si>
    <t>https://t.co/JJ7quKZ8OI https://pbs.twimg.com/ext_tw_video_thumb/1672575456413974528/pu/img/C12kv4FudRHMF_tn.jpg</t>
  </si>
  <si>
    <t>https://t.co/MqNwZjoDhg https://pbs.twimg.com/ext_tw_video_thumb/1653097180473827329/pu/img/MpYdW1C2dOH7VaKV.jpg</t>
  </si>
  <si>
    <t>https://t.co/U3WpwJBTcK https://pbs.twimg.com/ext_tw_video_thumb/1652734773092032513/pu/img/eeuC-_nOjyGoR4dC.jpg</t>
  </si>
  <si>
    <t>https://t.co/L99JggNgmL https://pbs.twimg.com/ext_tw_video_thumb/1652010002314346502/pu/img/wnnoMERieLdLMTDq.jpg</t>
  </si>
  <si>
    <t>https://t.co/j5itusENPv https://pbs.twimg.com/ext_tw_video_thumb/1651647610640277527/pu/img/LTy4rWoOUXL1-ayr.jpg</t>
  </si>
  <si>
    <t>https://t.co/O3NTWszN3q https://pbs.twimg.com/ext_tw_video_thumb/1674025031695843331/pu/img/_xW3K7nwr40fnII-.jpg</t>
  </si>
  <si>
    <t>https://t.co/T0o30nPLij https://pbs.twimg.com/ext_tw_video_thumb/1673677740841607172/pu/img/hJA_uWErEvAHvhKM.jpg</t>
  </si>
  <si>
    <t>https://t.co/HdHUL6cmyB https://pbs.twimg.com/ext_tw_video_thumb/1666414889907154947/pu/img/Sv8R6OyRGfHbhdI0.jpg</t>
  </si>
  <si>
    <t>https://t.co/RpTYIRFwID https://pbs.twimg.com/ext_tw_video_thumb/1654184308976898051/pu/img/Acg5wbe6WyMZkG1d.jpg</t>
  </si>
  <si>
    <t>https://t.co/RcElFo2eyi https://pbs.twimg.com/ext_tw_video_thumb/1674372341575438336/pu/img/9jD5u_J0lFtmC-8t.jpg</t>
  </si>
  <si>
    <t>https://t.co/Rg5CnEdxYI https://pbs.twimg.com/media/Fojbd8zWcAQrhW0.jpg</t>
  </si>
  <si>
    <t>https://t.co/RywgyU1yHI https://pbs.twimg.com/ext_tw_video_thumb/1675474592050102274/pu/img/jQMRj01J3IB9DaNz.jpg</t>
  </si>
  <si>
    <t>https://t.co/qzqhmwVYbM https://pbs.twimg.com/ext_tw_video_thumb/1675127287082041345/pu/img/GL6xMLrcfaUkck6e.jpg</t>
  </si>
  <si>
    <t>https://t.co/QLk3X1VYnv https://pbs.twimg.com/ext_tw_video_thumb/1663878240337899521/pu/img/K9uklS9iQids7o1n.jpg</t>
  </si>
  <si>
    <t>https://t.co/U4MMEEKy9F https://pbs.twimg.com/ext_tw_video_thumb/1649518586824728580/pu/img/mWA5Nppyys6XcjnI.jpg</t>
  </si>
  <si>
    <t>https://t.co/fNMsh2YHGl https://pbs.twimg.com/media/FtWlYSNWwAAchP9.jpg</t>
  </si>
  <si>
    <t>https://t.co/weEynrY8Q3 https://t.co/weEynrY8Q3 https://pbs.twimg.com/media/F4bxIOzW0AAbIsU.jpg https://pbs.twimg.com/media/F4bxLSjWAAAdQJe.jpg</t>
  </si>
  <si>
    <t>https://t.co/8b0RFrkn1u https://pbs.twimg.com/media/FxoLTXcWwAIV8-I.jpg</t>
  </si>
  <si>
    <t>https://t.co/Vhge5v2W4g https://pbs.twimg.com/media/FqnpbLnWYAYYys_.jpg</t>
  </si>
  <si>
    <t>https://t.co/4ykJpq6fSL https://pbs.twimg.com/media/FmVvlpeXEAEFD1X.jpg</t>
  </si>
  <si>
    <t>https://t.co/JUj9vhf8zg https://pbs.twimg.com/media/Fs5vrp-XwAI5tOq.jpg</t>
  </si>
  <si>
    <t>https://t.co/A7ZmdYEGdU https://pbs.twimg.com/media/FofQlkcXgAAlea6.jpg</t>
  </si>
  <si>
    <t>https://t.co/4KP6xkYZ7l https://pbs.twimg.com/media/FyhRI1MWwBUSczS.jpg</t>
  </si>
  <si>
    <t>https://t.co/28mshDVCjX https://pbs.twimg.com/media/FtIHKzRWABwqfPr.jpg</t>
  </si>
  <si>
    <t>https://t.co/dUXPeRf2Wg https://t.co/dUXPeRf2Wg https://pbs.twimg.com/media/F2ni1LyXQAAz76C.jpg https://pbs.twimg.com/media/F2ni1LyWcAAwhn-.jpg</t>
  </si>
  <si>
    <t>https://t.co/lGOtN1cCqP https://pbs.twimg.com/media/F0W9owtaYAAOnCn.jpg</t>
  </si>
  <si>
    <t>https://t.co/WG7eBaB7D0 https://pbs.twimg.com/media/F06wde_XwAIC60t.jpg</t>
  </si>
  <si>
    <t>https://t.co/ctiIAeVG2N https://pbs.twimg.com/media/Fls0mO3agAEHWIl.png</t>
  </si>
  <si>
    <t>https://t.co/tSGjciDby4 https://t.co/tSGjciDby4 https://t.co/tSGjciDby4 https://t.co/tSGjciDby4 https://pbs.twimg.com/media/FlcEIiLWIAA-Crq.jpg https://pbs.twimg.com/media/FlcEIiPWQAAtOSP.jpg https://pbs.twimg.com/media/FlcEIiMWYAAvpKt.jpg https://pbs.twimg.com/media/FlcEKtFWIAEh71b.jpg</t>
  </si>
  <si>
    <t>https://t.co/5DgbQ1dkJA https://pbs.twimg.com/media/F1kBE5qWcAITJ2G.jpg</t>
  </si>
  <si>
    <t>https://t.co/leyq4vsUUx https://t.co/leyq4vsUUx https://pbs.twimg.com/media/F6Zxz_WWsAAD8nn.jpg https://pbs.twimg.com/media/F6Zxz_UWgAA4Lxh.jpg</t>
  </si>
  <si>
    <t>https://t.co/mpTrvBsAac https://pbs.twimg.com/tweet_video_thumb/FphZgamWYAA8ZJK.jpg</t>
  </si>
  <si>
    <t>https://t.co/cFKb5ZN4I3 https://pbs.twimg.com/media/FzHLG7hX0AAdeAq.jpg</t>
  </si>
  <si>
    <t>https://t.co/hGSQPYyvJD https://pbs.twimg.com/media/FsqGUHhXoAMHUAu.jpg</t>
  </si>
  <si>
    <t>https://t.co/K72gXNqMbK https://t.co/K72gXNqMbK https://pbs.twimg.com/media/FnRFZPpX0BsJm9_.jpg https://pbs.twimg.com/media/FnRFZPVWQAAJj7i.jpg</t>
  </si>
  <si>
    <t>https://t.co/8gChdFJ5KM https://pbs.twimg.com/tweet_video_thumb/FnzdFxJaIAAw2th.jpg</t>
  </si>
  <si>
    <t>https://t.co/AMfGbnsVGv https://pbs.twimg.com/media/Fq219mSXgAAh1Go.jpg</t>
  </si>
  <si>
    <t>https://t.co/AhRW8RZ5kk https://pbs.twimg.com/media/FugVzDQWIA4ut6g.jpg</t>
  </si>
  <si>
    <t>https://t.co/YHZv3rPElH https://pbs.twimg.com/media/Fp3H6pyWcAUjIUj.jpg</t>
  </si>
  <si>
    <t>https://t.co/BV0ilQ2P3F https://pbs.twimg.com/media/Fp3HoeKWwAIeUpP.jpg</t>
  </si>
  <si>
    <t>https://t.co/5kNKsMo16n https://pbs.twimg.com/media/Fp3HipRWIAIdJhf.jpg</t>
  </si>
  <si>
    <t>https://t.co/bSsn77dzVv https://pbs.twimg.com/media/Ft6oZbgWIAEACUf.jpg</t>
  </si>
  <si>
    <t>https://t.co/m2ELI5ojG5 https://pbs.twimg.com/media/FtrJwCHXsAEhVRs.jpg</t>
  </si>
  <si>
    <t>https://t.co/zKlQb1uwvj https://pbs.twimg.com/media/FtnNh8rWAAAN9nq.jpg</t>
  </si>
  <si>
    <t>https://t.co/z5NhwtOh5p https://pbs.twimg.com/media/Fwu1zSQWIAEUXgp.jpg</t>
  </si>
  <si>
    <t>https://t.co/DVIVn7wdW1 https://pbs.twimg.com/media/Fx3Brm7WcAIOSrZ.jpg</t>
  </si>
  <si>
    <t>https://t.co/oOqE3drE6h https://pbs.twimg.com/media/FxubkaKWAAAVdGi.jpg</t>
  </si>
  <si>
    <t>https://t.co/mdWBPCasuT https://pbs.twimg.com/media/FvHz-0FXgAE_BYh.jpg</t>
  </si>
  <si>
    <t>https://t.co/bBQjSDkecD https://pbs.twimg.com/media/FuzSdKXWAAAyqdI.jpg</t>
  </si>
  <si>
    <t>https://t.co/VNvIM8ZjX5 https://pbs.twimg.com/media/FyLmuv5WAAIgfey.jpg</t>
  </si>
  <si>
    <t>https://t.co/KjStm8WjGe https://pbs.twimg.com/media/FyGdTkbWYAI6HPY.jpg</t>
  </si>
  <si>
    <t>https://t.co/8XRTeilU1u https://pbs.twimg.com/media/FyBNTbTXoAA6JGE.jpg</t>
  </si>
  <si>
    <t>https://t.co/unp5tvC53P https://pbs.twimg.com/media/F06mdf3WAAEVS7W.jpg</t>
  </si>
  <si>
    <t>https://t.co/17ua4B95ll https://pbs.twimg.com/media/FyvjGHaWYAIpjRl.jpg</t>
  </si>
  <si>
    <t>https://t.co/7XB4SG0yAP https://pbs.twimg.com/media/FxDiSmpXsAADGJv.jpg</t>
  </si>
  <si>
    <t>https://t.co/VvezshV4Pq https://pbs.twimg.com/media/FtnLWDUXoAERTxV.jpg</t>
  </si>
  <si>
    <t>https://t.co/Ylu8Naltip https://pbs.twimg.com/media/Ftm65aJX0AAxadJ.jpg</t>
  </si>
  <si>
    <t>https://t.co/5LgbQZDR2P https://pbs.twimg.com/media/FtiJkagXgAAntg7.jpg</t>
  </si>
  <si>
    <t>https://t.co/XBPcccw4RK https://pbs.twimg.com/media/F0weavkWIAAKZoM.jpg</t>
  </si>
  <si>
    <t>https://t.co/bRZhdBSj3f https://pbs.twimg.com/media/Fz3t8wcXgAAXYDX.jpg</t>
  </si>
  <si>
    <t>https://t.co/vPtlDBF5dI https://pbs.twimg.com/media/FygSvCiWAAA-Quu.jpg</t>
  </si>
  <si>
    <t>https://t.co/JBlrRXU236 https://pbs.twimg.com/media/FybDi0tWYAEuumf.jpg</t>
  </si>
  <si>
    <t>https://t.co/Q1ucx4Xvon https://pbs.twimg.com/media/F2HmMekbcAAuTpe.jpg</t>
  </si>
  <si>
    <t>https://t.co/JLBv6RNJnv https://pbs.twimg.com/media/F1wTODlXgAMFYga.jpg</t>
  </si>
  <si>
    <t>https://t.co/bMIoHTQCnE https://pbs.twimg.com/media/F01T9MnWYAAqxnf.jpg</t>
  </si>
  <si>
    <t>https://t.co/YgWWLLQNFV https://pbs.twimg.com/media/FzJrUt3WwAMaeyJ.jpg</t>
  </si>
  <si>
    <t>https://t.co/yQlK9Pfwdw https://pbs.twimg.com/media/F1t9oKRX0AE6DHn.jpg</t>
  </si>
  <si>
    <t>https://t.co/pzdSPQPiTy https://pbs.twimg.com/media/F1efxZDXoAErfdA.jpg</t>
  </si>
  <si>
    <t>https://t.co/HYrgcHys3x https://pbs.twimg.com/media/F1ePUiIXgAANAOY.jpg</t>
  </si>
  <si>
    <t>https://t.co/hI3pMbtUNM https://pbs.twimg.com/media/F1ScKvvWAAArolX.jpg</t>
  </si>
  <si>
    <t>https://t.co/rQvpgHi6vD https://pbs.twimg.com/media/F0sKijNXoAATLUe.jpg</t>
  </si>
  <si>
    <t>https://t.co/olpgFNo4dR https://pbs.twimg.com/media/Fzye3WCX0AE_wN-.jpg</t>
  </si>
  <si>
    <t>https://t.co/brVp3APExQ https://pbs.twimg.com/ext_tw_video_thumb/1674153873194229760/pu/img/JblQkNM2jhDEjpFw.jpg</t>
  </si>
  <si>
    <t>https://t.co/ZX0NO8bTfX https://pbs.twimg.com/media/Fy_JaLFWcAAWGjX.jpg</t>
  </si>
  <si>
    <t>https://t.co/Jo6RZLA8jS https://pbs.twimg.com/media/F3urOcmW8AAv6ne.jpg</t>
  </si>
  <si>
    <t>https://t.co/4sdslZVVN3 https://pbs.twimg.com/media/F2hAjCnXwAAM6pR.jpg</t>
  </si>
  <si>
    <t>https://t.co/XfZPoGBbdQ https://pbs.twimg.com/media/F2M0xBNW4AAMNrh.jpg</t>
  </si>
  <si>
    <t>https://t.co/KZEUlt17Qz https://pbs.twimg.com/ext_tw_video_thumb/1685117722953179136/pu/img/XBpb-CvjoiirR5pg.jpg</t>
  </si>
  <si>
    <t>https://t.co/LLEz2CNBya https://pbs.twimg.com/media/F2Iwz7cXoAkzpzv.jpg</t>
  </si>
  <si>
    <t>https://t.co/BOgCe1KnUc https://pbs.twimg.com/ext_tw_video_thumb/1684621704830586880/pu/img/9DW4swX3XfeDqdNM.jpg</t>
  </si>
  <si>
    <t>https://t.co/QfJutJsScH https://pbs.twimg.com/media/F1PIDcPXwAAgzmT.jpg</t>
  </si>
  <si>
    <t>https://t.co/39V33Y0wvI https://pbs.twimg.com/media/F1MXbF0XsAEWAGV.jpg</t>
  </si>
  <si>
    <t>https://t.co/pv17et6z0Q https://pbs.twimg.com/media/F1Jr5-1XsAESfrn.jpg</t>
  </si>
  <si>
    <t>https://t.co/yx7kaVzD8F https://pbs.twimg.com/media/F1EQExvX0AAVqQo.jpg</t>
  </si>
  <si>
    <t>https://t.co/phozslIZpe https://pbs.twimg.com/media/F0WgG-YX0AApQpp.jpg</t>
  </si>
  <si>
    <t>https://t.co/3P9O2p6kce https://pbs.twimg.com/media/F0RQVXnWcAIZOSy.jpg</t>
  </si>
  <si>
    <t>https://t.co/gzLoYiY7Zq https://pbs.twimg.com/media/Fzi97ssXoAExEo1.jpg</t>
  </si>
  <si>
    <t>https://t.co/eXb61y5lGE https://pbs.twimg.com/media/FzerwLJWcAApsxs.jpg</t>
  </si>
  <si>
    <t>https://t.co/T76eN7uZIK https://pbs.twimg.com/media/FzZEsBZWwAcBJoJ.jpg</t>
  </si>
  <si>
    <t>https://t.co/wXI2khBtvt https://pbs.twimg.com/media/FzPiDMeXwBsPfbe.jpg</t>
  </si>
  <si>
    <t>https://t.co/44MEbmkRoT https://pbs.twimg.com/media/F3kU0VWWUAA5nDy.jpg</t>
  </si>
  <si>
    <t>https://t.co/m1GM6gexab https://pbs.twimg.com/media/F3hWuRAXUAE7LuQ.jpg</t>
  </si>
  <si>
    <t>https://t.co/nTW40XR362 https://pbs.twimg.com/media/F3cPNk_WcAIp2Sm.jpg</t>
  </si>
  <si>
    <t>https://t.co/wSVLk5ibYI https://pbs.twimg.com/media/F3AcSdrXEAAZwWO.jpg</t>
  </si>
  <si>
    <t>https://t.co/LNDpkgoFgZ https://pbs.twimg.com/media/F3AE1xHXYAE8eQv.jpg</t>
  </si>
  <si>
    <t>https://t.co/AgXvRGuFIX https://pbs.twimg.com/media/F27UCmLXsAAGT9W.jpg</t>
  </si>
  <si>
    <t>https://t.co/5FbUtjhRXk https://pbs.twimg.com/media/F226OYvWoAEWj6j.jpg</t>
  </si>
  <si>
    <t>https://t.co/QGidm7SUaC https://pbs.twimg.com/media/F2Cn0h_WIAAxorE.jpg</t>
  </si>
  <si>
    <t>https://t.co/8ygoC1WdQ9 https://pbs.twimg.com/media/F1-wXV2XoAUNk18.jpg</t>
  </si>
  <si>
    <t>https://t.co/yJerz5PDMz https://pbs.twimg.com/media/F16uwbPWAAA4hfA.jpg</t>
  </si>
  <si>
    <t>https://t.co/QWEhCvKbMf https://pbs.twimg.com/media/F14w0dgaMAANj2-.jpg</t>
  </si>
  <si>
    <t>https://t.co/0FR5hn7BHP https://pbs.twimg.com/media/F1169YDXgAAyuwc.jpg</t>
  </si>
  <si>
    <t>https://t.co/9rMmEdzSt9 https://pbs.twimg.com/media/F0_P4OVXsAQbkoE.jpg</t>
  </si>
  <si>
    <t>https://t.co/WwEr4p8MMp https://pbs.twimg.com/media/F0Gw5NjX0AAk8vG.jpg</t>
  </si>
  <si>
    <t>https://t.co/fsySUfWg3J https://pbs.twimg.com/media/Fy5fU4nXwAIEtjP.jpg</t>
  </si>
  <si>
    <t>https://t.co/BdFaEeUQhe https://pbs.twimg.com/media/Fy19Oh0XwAEUNxz.jpg</t>
  </si>
  <si>
    <t>https://t.co/A11lLP9JrJ https://pbs.twimg.com/media/F5wRX0UWUAAzjhO.jpg</t>
  </si>
  <si>
    <t>https://t.co/w22YiR058r https://pbs.twimg.com/media/F4TFw6BWcAAhAvN.jpg</t>
  </si>
  <si>
    <t>https://t.co/M1axAkuVVR https://pbs.twimg.com/media/F3UwL6kWgAAAQYg.jpg</t>
  </si>
  <si>
    <t>https://t.co/HBe3QMGOW6 https://pbs.twimg.com/media/F3PpWvdW4AAeNNE.jpg</t>
  </si>
  <si>
    <t>https://t.co/bLlSGdUTrw https://pbs.twimg.com/media/F2rYXgNX0AATnXw.jpg</t>
  </si>
  <si>
    <t>https://t.co/H5bSnoCzZD https://pbs.twimg.com/media/F2iMcENW4AE12lX.jpg</t>
  </si>
  <si>
    <t>https://t.co/qNCe3beKsP https://pbs.twimg.com/media/F1o-zhCWcAAz-7f.jpg</t>
  </si>
  <si>
    <t>https://t.co/FCGrdEF1HL https://pbs.twimg.com/media/F1j1kr7XgAAPksI.jpg</t>
  </si>
  <si>
    <t>https://t.co/iKIHJNmSA7 https://pbs.twimg.com/media/F0wNyURXsAEjUmQ.jpg</t>
  </si>
  <si>
    <t>https://t.co/3gYllBrYbZ https://pbs.twimg.com/media/Fz3KWAtXoAArD1O.jpg</t>
  </si>
  <si>
    <t>https://t.co/3U2tpOCGcs https://pbs.twimg.com/media/F6ALf-tXQAArhe7.jpg</t>
  </si>
  <si>
    <t>https://t.co/QgrVi6s1kc https://pbs.twimg.com/media/F3mfXLPXsAEEL6x.jpg</t>
  </si>
  <si>
    <t>https://t.co/1VgJPPkbNY https://pbs.twimg.com/media/F3KxXYuWYAEAa0A.jpg</t>
  </si>
  <si>
    <t>https://t.co/AHvfbl4sBc https://pbs.twimg.com/media/F3GgkWGXQAAI-1T.jpg</t>
  </si>
  <si>
    <t>https://t.co/oNWeDRsO47 https://pbs.twimg.com/media/F2cXtRaWUAAhdOr.jpg</t>
  </si>
  <si>
    <t>https://t.co/U7OfwrZvZp https://pbs.twimg.com/media/F2XC8X8XsAAy_l4.jpg</t>
  </si>
  <si>
    <t>https://t.co/7ba0naLJQC https://pbs.twimg.com/media/F1ZZZ27WAAA_Nxe.jpg</t>
  </si>
  <si>
    <t>https://t.co/qLp0p8Xgvn https://pbs.twimg.com/media/F1UDR-MXsAA3UbA.jpg</t>
  </si>
  <si>
    <t>https://t.co/HbVKbLncHa https://pbs.twimg.com/media/F0ckDzjWYAIpJEN.jpg</t>
  </si>
  <si>
    <t>https://t.co/mk7D9lamHX https://pbs.twimg.com/media/FztMI9aXoAU9pde.jpg</t>
  </si>
  <si>
    <t>https://t.co/G8LmEkZWIQ https://pbs.twimg.com/media/FzoK5EgXwAI7Q1A.jpg</t>
  </si>
  <si>
    <t>https://t.co/PVF2LSsSrw https://pbs.twimg.com/media/Fzl6-4UWcAAWWqo.jpg</t>
  </si>
  <si>
    <t>https://t.co/z2rcPOWUvS https://pbs.twimg.com/media/F6JIOWGXYAAngAy.jpg</t>
  </si>
  <si>
    <t>https://t.co/Md4h4tFasu https://pbs.twimg.com/media/F58GUDVXAAAMXaK.jpg</t>
  </si>
  <si>
    <t>https://t.co/6yfeGDGsNo https://pbs.twimg.com/media/F2wluzZWEAEWi3e.jpg</t>
  </si>
  <si>
    <t>https://t.co/cC6hPViO2z https://pbs.twimg.com/ext_tw_video_thumb/1687406431551537152/pu/img/9DRrA9kzcJOfw7Wy.jpg</t>
  </si>
  <si>
    <t>https://t.co/ZsOl04FZD0 https://pbs.twimg.com/media/F2RxRFJXEAAV5Yx.jpg</t>
  </si>
  <si>
    <t>https://t.co/mGZx1rbjbV https://pbs.twimg.com/media/F1wmw3dWwAAjpDX.jpg</t>
  </si>
  <si>
    <t>https://t.co/X4ZhSGxw7u https://pbs.twimg.com/media/F1wcVU5XsAI1OnQ.jpg</t>
  </si>
  <si>
    <t>https://t.co/MSYQGHXQor https://pbs.twimg.com/media/F1vomguWIAkOUZW.jpg</t>
  </si>
  <si>
    <t>https://t.co/80ysJ9Ga0m https://pbs.twimg.com/media/F06ExcgX0AAz6sS.jpg</t>
  </si>
  <si>
    <t>https://t.co/uDs0hcEdKc https://pbs.twimg.com/media/F04D-mEX0AEh8IS.jpg</t>
  </si>
  <si>
    <t>https://t.co/8MUedB9RJ9 https://pbs.twimg.com/media/FzD9fIBXsAAwroE.jpg</t>
  </si>
  <si>
    <t>https://t.co/uuzJrUnCsk https://pbs.twimg.com/ext_tw_video_thumb/1664612941537193991/pu/img/wWZDYSZDvkWnMM4w.jpg</t>
  </si>
  <si>
    <t>https://t.co/dZ6ndHalDD https://pbs.twimg.com/media/FmTV4FgXoBwisKn.jpg</t>
  </si>
  <si>
    <t>https://t.co/vISq5fzvqe https://pbs.twimg.com/ext_tw_video_thumb/1662197040221151235/pu/img/_Nhwcm4nMJRB6i4Z.jpg</t>
  </si>
  <si>
    <t>https://t.co/yLsamDYUOQ https://pbs.twimg.com/media/F4ZhLHdWwAAi8tQ.jpg</t>
  </si>
  <si>
    <t>https://t.co/nwa1WTYwqy https://pbs.twimg.com/media/F0XxnxjaQAEdqQ1.jpg</t>
  </si>
  <si>
    <t>https://t.co/LA6ZwmHuaI https://pbs.twimg.com/media/FrlnqJkX0AIiIX6.png</t>
  </si>
  <si>
    <t>https://t.co/dyOBPWWF4u https://pbs.twimg.com/media/F0WxLnsXsAc5LMd.jpg</t>
  </si>
  <si>
    <t>https://t.co/vJ4dMqA4N1 https://pbs.twimg.com/media/F0NREcOWYAAXLbb.jpg</t>
  </si>
  <si>
    <t>https://t.co/ckBTAJbXG9 https://pbs.twimg.com/media/F0HmOOzWcAAj50I.jpg</t>
  </si>
  <si>
    <t>https://t.co/ANvRrmzePm https://pbs.twimg.com/media/F0xk8iXWcAs0m7T.jpg</t>
  </si>
  <si>
    <t>https://t.co/yZknp5vGLj https://pbs.twimg.com/media/FzyfFp9X0AI06FV.jpg</t>
  </si>
  <si>
    <t>https://t.co/3UqL47d4Ma https://pbs.twimg.com/media/F1aXIwhWIAI4LL4.jpg</t>
  </si>
  <si>
    <t>https://t.co/lg0I5UZCli https://pbs.twimg.com/media/FwRfDqZXgAIsFCz.jpg</t>
  </si>
  <si>
    <t>https://t.co/Pfsy9HQu85 https://pbs.twimg.com/media/FyYc6mRWAAc2Ith.jpg</t>
  </si>
  <si>
    <t>https://t.co/rKZj7Mz5TJ https://pbs.twimg.com/media/FyyN2S0XoAMOWph.jpg</t>
  </si>
  <si>
    <t>https://t.co/9y9LDd2y96 https://pbs.twimg.com/media/FtjtfMFXgAAmv3s.jpg</t>
  </si>
  <si>
    <t>https://t.co/bPUHtbx28F https://pbs.twimg.com/media/Fu1Ah3HWIA4PiG_.jpg</t>
  </si>
  <si>
    <t>https://t.co/mgB1GvFDce https://pbs.twimg.com/media/FuVfrbcXsAEj4Gc.jpg</t>
  </si>
  <si>
    <t>https://t.co/iwLeOiWLXU https://pbs.twimg.com/media/FuQ374MWwAEBdxx.jpg</t>
  </si>
  <si>
    <t>https://t.co/mZZ0UGoH8b https://pbs.twimg.com/media/FuLaqEPWAAkE3ot.jpg</t>
  </si>
  <si>
    <t>https://t.co/oDZdT6uMxZ https://pbs.twimg.com/ext_tw_video_thumb/1684561616283766784/pu/img/wa7BfRGX3TR8StAg.jpg</t>
  </si>
  <si>
    <t>https://t.co/60Z9M4hnsU https://pbs.twimg.com/media/FvHySBhWwAEXsIZ.jpg</t>
  </si>
  <si>
    <t>https://t.co/o78f5EUwPB https://pbs.twimg.com/media/FnC0cMTXgAABdmK.jpg</t>
  </si>
  <si>
    <t>https://t.co/EX2YX0ZLtd https://pbs.twimg.com/media/Fln-441WIAINyLF.jpg</t>
  </si>
  <si>
    <t>https://t.co/DsLTdwcNj1 https://pbs.twimg.com/media/F6ZZKTCb0AALCSI.jpg</t>
  </si>
  <si>
    <t>https://t.co/iYxlNNanxl https://pbs.twimg.com/media/FtD8zVzWwAI6KBy.jpg</t>
  </si>
  <si>
    <t>https://t.co/pvaYYdN7Fd https://pbs.twimg.com/media/Fs4pKUvWYAgQj4-.jpg</t>
  </si>
  <si>
    <t>https://t.co/opPRRjEvbH https://pbs.twimg.com/media/Fs4mtmEWIAAuSVe.jpg</t>
  </si>
  <si>
    <t>https://t.co/S7Liq023Mt https://pbs.twimg.com/ext_tw_video_thumb/1654547373765345281/pu/img/nDtcP6VmF8B6wQOK.jpg</t>
  </si>
  <si>
    <t>https://t.co/lY0wkaJWIq https://pbs.twimg.com/ext_tw_video_thumb/1654551361751588866/pu/img/jM389hY-NzCszXzf.jpg</t>
  </si>
  <si>
    <t>https://t.co/g5h5QTctiD https://pbs.twimg.com/media/FvYWq5GXoAIHYNL.jpg</t>
  </si>
  <si>
    <t>https://t.co/iqu9SiZoTn https://pbs.twimg.com/ext_tw_video_thumb/1653395372633468930/pu/img/sRPPjqAXJeyl7D5z.jpg</t>
  </si>
  <si>
    <t>https://t.co/0VfB019G44 https://pbs.twimg.com/ext_tw_video_thumb/1651927648191361027/pu/img/atCFUFTJBF0rIPGY.jpg</t>
  </si>
  <si>
    <t>https://t.co/ofCeceMwpM https://pbs.twimg.com/ext_tw_video_thumb/1692342315182874624/pu/img/Avhm9Ax8-cO8fHlk.jpg</t>
  </si>
  <si>
    <t>https://t.co/u5zd0mm7uo https://pbs.twimg.com/ext_tw_video_thumb/1634152162358882305/pu/img/3vqJJEhTbRPRaU3N.jpg</t>
  </si>
  <si>
    <t>https://t.co/H3RtEZvd4B https://t.co/H3RtEZvd4B https://t.co/H3RtEZvd4B https://t.co/H3RtEZvd4B https://pbs.twimg.com/media/Fn1ue6LX0AIAk2I.jpg https://pbs.twimg.com/media/Fn1ue6NWAAQaJ24.jpg https://pbs.twimg.com/media/Fn1ue6PWQAEEcfM.jpg https://pbs.twimg.com/media/Fn1ue6NX0AUxrra.jpg</t>
  </si>
  <si>
    <t>https://t.co/KpgGvy5Ua7 https://t.co/KpgGvy5Ua7 https://t.co/KpgGvy5Ua7 https://pbs.twimg.com/media/Fn1ueWZXgAUJ5ss.jpg https://pbs.twimg.com/media/Fn1ueWeXwAQ07Jd.jpg https://pbs.twimg.com/media/Fn1ueWbXEAEzYcj.jpg</t>
  </si>
  <si>
    <t>https://t.co/IJxmbNh9bO https://pbs.twimg.com/media/F3fT5wzXYAAofQR.jpg</t>
  </si>
  <si>
    <t>https://t.co/Qfr35O4hLn https://pbs.twimg.com/media/FwwMVWqWIBE7h8U.jpg</t>
  </si>
  <si>
    <t>https://t.co/ytyYffShUg https://pbs.twimg.com/media/FwR0M2JX0AEpx6U.jpg</t>
  </si>
  <si>
    <t>https://t.co/gjkI0Se5Bp https://pbs.twimg.com/media/FvJt6cSX0A0e5Na.jpg</t>
  </si>
  <si>
    <t>https://t.co/yFbir3Lk92 https://pbs.twimg.com/media/FulqzBgWwAIaFzT.jpg</t>
  </si>
  <si>
    <t>https://t.co/1H6aaDnHAE https://pbs.twimg.com/media/Ft8eDhqXgAAlNfT.jpg</t>
  </si>
  <si>
    <t>https://t.co/EOaUQ1ypWG https://pbs.twimg.com/media/Ftn3sA-WYAMAK9E.jpg</t>
  </si>
  <si>
    <t>https://t.co/xqH2Iz0Mj9 https://pbs.twimg.com/media/Fs5jhthXgAQ17PI.jpg</t>
  </si>
  <si>
    <t>https://t.co/1jemkbSKPD https://pbs.twimg.com/media/Fqzn-uhWIAQJQCf.jpg</t>
  </si>
  <si>
    <t>https://t.co/xpib7RUWqK https://pbs.twimg.com/media/FqueXaJWcAQVS1h.jpg</t>
  </si>
  <si>
    <t>https://t.co/NzP1z899vv https://pbs.twimg.com/media/FqpUzV8WIAAjb6v.jpg</t>
  </si>
  <si>
    <t>https://t.co/sW4McA1tOO https://pbs.twimg.com/media/FoolDdhWAAAi-yt.jpg</t>
  </si>
  <si>
    <t>https://t.co/QTd0mU2mnZ https://pbs.twimg.com/media/FojbeXlXEAMbSoU.jpg</t>
  </si>
  <si>
    <t>https://t.co/V2EY0z70No https://pbs.twimg.com/media/Fn1FJJMWIAEI3FU.jpg</t>
  </si>
  <si>
    <t>https://t.co/BwlwL1aruc https://pbs.twimg.com/media/FnL4be1WAAElQFS.jpg</t>
  </si>
  <si>
    <t>https://t.co/uQLBzVFAGq https://pbs.twimg.com/media/Fm3URlwWQBMGLoF.jpg</t>
  </si>
  <si>
    <t>https://t.co/KaK53KZM1n https://pbs.twimg.com/media/FmyJgwtXoA0F2iv.jpg</t>
  </si>
  <si>
    <t>https://t.co/50EMiZ8Epi https://pbs.twimg.com/media/Fw13RzGWICgUFfi.jpg</t>
  </si>
  <si>
    <t>https://t.co/vGas9R1c73 https://pbs.twimg.com/media/Fuq0XwBXgAISjQI.jpg</t>
  </si>
  <si>
    <t>https://t.co/pqCwuqF1KT https://pbs.twimg.com/media/FttBTqBX0AQXynJ.jpg</t>
  </si>
  <si>
    <t>https://t.co/KV481qNzM4 https://pbs.twimg.com/media/Fq4zGV7XoAI5Spo.jpg</t>
  </si>
  <si>
    <t>https://t.co/I6Z7f6NDTU https://pbs.twimg.com/media/Fo9LZ9gWYAApYXx.jpg</t>
  </si>
  <si>
    <t>https://t.co/wF39uCJcnE https://pbs.twimg.com/media/Fo4B4HpWcBIPufS.jpg</t>
  </si>
  <si>
    <t>https://t.co/5IwIuIhehQ https://pbs.twimg.com/media/FoEh6t7XgAEBPSz.jpg</t>
  </si>
  <si>
    <t>https://t.co/DawLbZcykU https://pbs.twimg.com/media/Fn_ZgknX0AA4Wq-.jpg</t>
  </si>
  <si>
    <t>https://t.co/c9bzEtdbFX https://pbs.twimg.com/media/Fn6OvmaXoBMoOdT.jpg</t>
  </si>
  <si>
    <t>https://t.co/drPMXodQId https://pbs.twimg.com/media/Fnv7pKjWYAAz7g8.jpg</t>
  </si>
  <si>
    <t>https://t.co/tMMC3l7wPc https://pbs.twimg.com/media/Fngg-LAWIBIwxB-.jpg</t>
  </si>
  <si>
    <t>https://t.co/RO6YV97Blf https://pbs.twimg.com/media/FnbVMtoXoAsw4Bh.jpg</t>
  </si>
  <si>
    <t>https://t.co/s5iu4kYJhB https://pbs.twimg.com/media/FnWTgTUXoAQ45VA.jpg</t>
  </si>
  <si>
    <t>https://t.co/0jedCmiFVg https://pbs.twimg.com/media/FnRDDS0X0BE5207.jpg</t>
  </si>
  <si>
    <t>https://t.co/NiNRAY1nO9 https://pbs.twimg.com/media/F0dmz60XwAAs9fZ.jpg</t>
  </si>
  <si>
    <t>https://t.co/HoMMTdkO6I https://pbs.twimg.com/media/F0YdOVMWYAc_xyp.jpg</t>
  </si>
  <si>
    <t>https://t.co/didmxbdIOx https://pbs.twimg.com/media/FzqG8bsXwAAxRBY.jpg</t>
  </si>
  <si>
    <t>https://t.co/qPFT28iYcK https://pbs.twimg.com/media/Fzk9VZgX0AAV6Bi.jpg</t>
  </si>
  <si>
    <t>https://t.co/Enp77Awxhc https://pbs.twimg.com/media/FyDHIgPXgAEhMV5.jpg</t>
  </si>
  <si>
    <t>https://t.co/fWHnNUQnix https://pbs.twimg.com/media/Fvoncu5WYAEVkzR.jpg</t>
  </si>
  <si>
    <t>https://t.co/A9YlcdJVxJ https://pbs.twimg.com/media/FvUBGsHXwAMvcdT.jpg</t>
  </si>
  <si>
    <t>https://t.co/nd4t9Pb1lX https://pbs.twimg.com/media/Frc0uBwWwAMf_i5.jpg</t>
  </si>
  <si>
    <t>https://t.co/YTUH2EY46S https://pbs.twimg.com/media/FrXrHnjXoAgpmWC.jpg</t>
  </si>
  <si>
    <t>https://t.co/fEA5FoZVFF https://pbs.twimg.com/media/FrShhVzXsAAfNTn.jpg</t>
  </si>
  <si>
    <t>https://t.co/7gp01utZ7r https://pbs.twimg.com/media/FrNX67tWIAQDS-C.jpg</t>
  </si>
  <si>
    <t>https://t.co/RWYJSX2CG9 https://pbs.twimg.com/media/FrIOXvNXgAEbQAF.jpg</t>
  </si>
  <si>
    <t>https://t.co/EfzBkzuvPY https://pbs.twimg.com/media/F08gW4tXgAAp4uP.jpg</t>
  </si>
  <si>
    <t>https://t.co/JUJjM5IjsJ https://pbs.twimg.com/media/F0JAcW9WwAItTOS.jpg</t>
  </si>
  <si>
    <t>https://t.co/ndF9w7Wpb8 https://pbs.twimg.com/media/FyxdbaPWwAAUvrB.jpg</t>
  </si>
  <si>
    <t>https://t.co/u4Ud8GRKDk https://pbs.twimg.com/media/FyxdbANWwAENhzM.jpg</t>
  </si>
  <si>
    <t>https://t.co/9diVeX24FT https://pbs.twimg.com/media/FysT3kxWcA0vQ9i.jpg</t>
  </si>
  <si>
    <t>https://t.co/UOi266Kbym https://pbs.twimg.com/media/FxZ6bjTXgAM8KAk.jpg</t>
  </si>
  <si>
    <t>https://t.co/VhLtnLeGGy https://pbs.twimg.com/media/FxUw2m8XwAAP9aV.jpg</t>
  </si>
  <si>
    <t>https://t.co/GuX4njzZCf https://pbs.twimg.com/media/FxFUGG5WAAMlavN.jpg</t>
  </si>
  <si>
    <t>https://t.co/yd4rJS7aSm https://pbs.twimg.com/media/FxAKfBvWIBQ914o.jpg</t>
  </si>
  <si>
    <t>https://t.co/Vbk36bpat0 https://pbs.twimg.com/media/Fw7A5IZWYAAhoMW.jpg</t>
  </si>
  <si>
    <t>https://t.co/5Cd40OzVTg https://pbs.twimg.com/media/FtivKVxXoAMjgwK.png</t>
  </si>
  <si>
    <t>https://t.co/9zcqhrlfyV https://pbs.twimg.com/media/FtdkiKMWcAM022_.jpg</t>
  </si>
  <si>
    <t>https://t.co/lAK5ucrHYt https://pbs.twimg.com/media/FtYa8GFWYAEmMOs.jpg</t>
  </si>
  <si>
    <t>https://t.co/yOBNuUNlDC https://pbs.twimg.com/media/FtD0mVKXgAMuBGu.jpg</t>
  </si>
  <si>
    <t>https://t.co/mf1aoL2fCw https://pbs.twimg.com/media/Fs-rBSUXwAIl4iW.jpg</t>
  </si>
  <si>
    <t>https://t.co/itJPpcpAP6 https://pbs.twimg.com/media/Fms_A3rXoAcXnpi.jpg</t>
  </si>
  <si>
    <t>https://t.co/BWb8QGZEvt https://pbs.twimg.com/media/Fmn1RwmXoA08KCY.jpg</t>
  </si>
  <si>
    <t>https://t.co/AmtWhTSBYN https://pbs.twimg.com/media/FmYYjeoXEAAkFU-.jpg</t>
  </si>
  <si>
    <t>https://t.co/lGnJRvFMlX https://pbs.twimg.com/media/FmTPFFoWYAAb2Pb.jpg</t>
  </si>
  <si>
    <t>https://t.co/geAfZNuvxt https://pbs.twimg.com/media/FmOFWy9WQAAZzwX.jpg</t>
  </si>
  <si>
    <t>https://t.co/TyszYGwzAC https://pbs.twimg.com/media/FmI7w8IWIAAVMtC.jpg</t>
  </si>
  <si>
    <t>https://t.co/dlpA0O2k7u https://pbs.twimg.com/media/FmDySDAX0BAWrrq.jpg</t>
  </si>
  <si>
    <t>https://t.co/BKDeBOzxy9 https://pbs.twimg.com/media/Fl0VcknWAAIy0el.jpg</t>
  </si>
  <si>
    <t>https://t.co/jboAvEElrs https://pbs.twimg.com/media/F03WxSJX0AIrdS4.jpg</t>
  </si>
  <si>
    <t>https://t.co/gTgu4xA79d https://pbs.twimg.com/media/FzLQvybXsAANWm8.jpg</t>
  </si>
  <si>
    <t>https://t.co/WoquPvz6NP https://pbs.twimg.com/media/FzGDy6EWIAE5hvM.jpg</t>
  </si>
  <si>
    <t>https://t.co/BdB4QtSwFE https://pbs.twimg.com/media/FxpV6h-WwAUNTOu.jpg</t>
  </si>
  <si>
    <t>https://t.co/LmcSbhdux2 https://pbs.twimg.com/media/FxkNmC1WcAAWGh0.jpg</t>
  </si>
  <si>
    <t>https://t.co/Eg1oIJvLUB https://pbs.twimg.com/media/FxfEB6lX0AYWh8B.jpg</t>
  </si>
  <si>
    <t>https://t.co/B8iEwQeVU8 https://pbs.twimg.com/media/FughNLfWIAgWOhI.jpg</t>
  </si>
  <si>
    <t>https://t.co/7nNziLKDGT https://pbs.twimg.com/media/FuL8-woWIAQD_ir.jpg</t>
  </si>
  <si>
    <t>https://t.co/iIiBsUXq2b https://pbs.twimg.com/media/FuGxPAgWwAESsxS.jpg</t>
  </si>
  <si>
    <t>https://t.co/rs9c6YU6a6 https://pbs.twimg.com/media/FuBnpFNX0AIS5te.jpg</t>
  </si>
  <si>
    <t>https://t.co/TajjJ6S2zj https://pbs.twimg.com/media/FpwpuGWWIAMe5vY.jpg</t>
  </si>
  <si>
    <t>https://t.co/V2iXBZamKG https://pbs.twimg.com/media/FprhuO0WAAAsx43.jpg</t>
  </si>
  <si>
    <t>https://t.co/ybIq3w0O81 https://pbs.twimg.com/media/FpmYIU1WAAIZ8fS.jpg</t>
  </si>
  <si>
    <t>https://t.co/j4a3X7noAN https://pbs.twimg.com/media/FpMoLkGWYAADEsP.jpg</t>
  </si>
  <si>
    <t>https://t.co/HogBffI7mI https://pbs.twimg.com/media/FpHemk3WYAAejZF.jpg</t>
  </si>
  <si>
    <t>https://t.co/xn2jko7h88 https://pbs.twimg.com/media/FpCVBNSXgAAfSPi.jpg</t>
  </si>
  <si>
    <t>https://t.co/BnL9ysuvqZ https://pbs.twimg.com/media/F1RKp5uXoAAxs7q.jpg</t>
  </si>
  <si>
    <t>https://t.co/5PSdGV7xKz https://pbs.twimg.com/media/FzvQghgWAAEgH1K.jpg</t>
  </si>
  <si>
    <t>https://t.co/R4ICRFocd2 https://pbs.twimg.com/media/FzA6ORXWAAECiPh.jpg</t>
  </si>
  <si>
    <t>https://t.co/8cnrtdE47T https://pbs.twimg.com/media/FwhQ70-XwAMVVl9.jpg</t>
  </si>
  <si>
    <t>https://t.co/UxZkxQXGuP https://pbs.twimg.com/media/FwcHVU-X0AET9cS.jpg</t>
  </si>
  <si>
    <t>https://t.co/reaEDhBii3 https://pbs.twimg.com/media/FwW9wNeWAAMVsY-.jpg</t>
  </si>
  <si>
    <t>https://t.co/JOUGYOexfJ https://pbs.twimg.com/media/Fs0X0E0XoAAYeE2.jpg</t>
  </si>
  <si>
    <t>https://t.co/ZpB31KYeRD https://pbs.twimg.com/media/Fsk7CbQXoAI-YXM.jpg</t>
  </si>
  <si>
    <t>https://t.co/qT9RclD3Di https://pbs.twimg.com/media/Fsfxei8XwAAWg7x.jpg</t>
  </si>
  <si>
    <t>https://t.co/EGZGmfWgLO https://pbs.twimg.com/media/FoeR9vkWYAobga5.jpg</t>
  </si>
  <si>
    <t>https://t.co/GPjrF4upek https://pbs.twimg.com/media/FoZISRcWcBEVYgQ.jpg</t>
  </si>
  <si>
    <t>https://t.co/OXiHjIPAnC https://pbs.twimg.com/media/FoT-r_YXgBU5abk.jpg</t>
  </si>
  <si>
    <t>https://t.co/bWrPdpgpVw https://pbs.twimg.com/media/FlvL1AoX0AUIgcn.jpg</t>
  </si>
  <si>
    <t>https://t.co/SksLbVzurC https://pbs.twimg.com/media/FlqCQUeWAAYzQ9R.jpg</t>
  </si>
  <si>
    <t>https://t.co/BIyQsaPxlB https://pbs.twimg.com/media/Flk4sfJWQAMfUx-.jpg</t>
  </si>
  <si>
    <t>https://t.co/EuOAtWB9XB https://pbs.twimg.com/media/FlfvD7aXEAE11cO.jpg</t>
  </si>
  <si>
    <t>https://t.co/iXUPfZTR8H https://pbs.twimg.com/media/F2jhP0zWsAEHuG9.jpg</t>
  </si>
  <si>
    <t>https://t.co/c8uXvAg4ri https://pbs.twimg.com/media/F0yL6C5WwAA7_0m.jpg</t>
  </si>
  <si>
    <t>https://t.co/cZ94Uubfok https://pbs.twimg.com/media/Fz5jt2gXwAU-xFv.jpg</t>
  </si>
  <si>
    <t>https://t.co/XuWcgQWArb https://pbs.twimg.com/media/Fz0aGe4XwAYQWo7.jpg</t>
  </si>
  <si>
    <t>https://t.co/5CGgEvjA1G https://pbs.twimg.com/media/FyiA__CWYAA0B31.jpg</t>
  </si>
  <si>
    <t>https://t.co/N73LjITLPH https://pbs.twimg.com/media/Fyc3FCcWcA8ff0O.jpg</t>
  </si>
  <si>
    <t>https://t.co/UbAzZC5qBA https://pbs.twimg.com/media/Fv9O3KKWAAQ-PJ6.png</t>
  </si>
  <si>
    <t>https://t.co/P5duhhh5Ox https://pbs.twimg.com/media/Fv4EO1XaMAImetw.png</t>
  </si>
  <si>
    <t>https://t.co/w1NbXifiEf https://pbs.twimg.com/media/Fvy6ne2XwAMf7XL.png</t>
  </si>
  <si>
    <t>https://t.co/n2UyrfMLa1 https://pbs.twimg.com/media/FvtxCRJWwAEBGZX.png</t>
  </si>
  <si>
    <t>https://t.co/XQSN58pbNr https://pbs.twimg.com/media/Fsan2muWcAccIIZ.jpg</t>
  </si>
  <si>
    <t>https://t.co/v57BEOLSjy https://pbs.twimg.com/media/FsVeMibXgAYjE0x.jpg</t>
  </si>
  <si>
    <t>https://t.co/YJWGZMXMoj https://pbs.twimg.com/media/FsQUt4FWcAMHRd2.jpg</t>
  </si>
  <si>
    <t>https://t.co/a2UvKDfnPx https://pbs.twimg.com/media/FsA30SNWwAAeybf.jpg</t>
  </si>
  <si>
    <t>https://t.co/JSe2qdyamQ https://pbs.twimg.com/media/Fr7uPH3WYAMu4Hw.jpg</t>
  </si>
  <si>
    <t>https://t.co/HQSs6i55p8 https://pbs.twimg.com/media/Fr2kpGjWwAAlAfd.jpg</t>
  </si>
  <si>
    <t>https://t.co/KTrjObrjh7 https://pbs.twimg.com/media/FrxbD5DWcAAdT0C.jpg</t>
  </si>
  <si>
    <t>https://t.co/kd0ugk78Sf https://pbs.twimg.com/media/FrsRfUiWcAApc48.jpg</t>
  </si>
  <si>
    <t>https://t.co/yOwrdAaNuG https://pbs.twimg.com/media/F2eXokmXEAEE9lb.jpg</t>
  </si>
  <si>
    <t>https://t.co/0ophi8OGht https://pbs.twimg.com/media/F0TUwknXwAAsHQd.jpg</t>
  </si>
  <si>
    <t>https://t.co/QhEwSdujbr https://pbs.twimg.com/media/F0OKCwQWAAAHBl0.jpg</t>
  </si>
  <si>
    <t>https://t.co/YdW6slAire https://pbs.twimg.com/media/FzVglsMXwAAL7Q1.jpg</t>
  </si>
  <si>
    <t>https://t.co/JEZPPmscIZ https://pbs.twimg.com/media/Fx99lOQWAAAfGRJ.jpg</t>
  </si>
  <si>
    <t>https://t.co/0cADsho9rx https://pbs.twimg.com/media/Fx42IDjWAAAfS4r.jpg</t>
  </si>
  <si>
    <t>https://t.co/sfUsEPisIn https://pbs.twimg.com/media/Fu1HiMMWYAAdb_E.jpg</t>
  </si>
  <si>
    <t>https://t.co/8QfllXuJg5 https://pbs.twimg.com/media/Fuv9-9bWcAALs-F.jpg</t>
  </si>
  <si>
    <t>https://t.co/JF7iA4sI2s https://pbs.twimg.com/media/FqkLN0_XgGIkaGC.jpg</t>
  </si>
  <si>
    <t>https://t.co/JOTsw7ddlv https://pbs.twimg.com/media/FqUuckuXoAAkorZ.jpg</t>
  </si>
  <si>
    <t>https://t.co/xXhahNq74s https://pbs.twimg.com/media/FqUucPlXgAADRmQ.jpg</t>
  </si>
  <si>
    <t>https://t.co/GkPa5wK5gm https://pbs.twimg.com/media/FqUub5uWAAACD5E.jpg</t>
  </si>
  <si>
    <t>https://t.co/FU31tdt4Tq https://pbs.twimg.com/media/FqKcWQdWcAAVI8e.jpg</t>
  </si>
  <si>
    <t>https://t.co/jHSnD0w3OW https://pbs.twimg.com/media/FqFRqRUWIAEQExd.jpg</t>
  </si>
  <si>
    <t>https://t.co/abIcTTbz9a https://pbs.twimg.com/media/FqAG2g7WYAIiyW-.jpg</t>
  </si>
  <si>
    <t>https://t.co/oouQzNRHyu https://t.co/oouQzNRHyu https://pbs.twimg.com/media/Fpck5QCWIAAJfHI.jpg https://pbs.twimg.com/media/Fpck5QMXsAIr58Z.jpg</t>
  </si>
  <si>
    <t>https://t.co/RTOCRNUcWr https://pbs.twimg.com/media/FzkGeDTXwB8RJhc.jpg</t>
  </si>
  <si>
    <t>https://t.co/tYxD5GJa0I https://pbs.twimg.com/media/FvN-tIVX0AAUXIM.jpg</t>
  </si>
  <si>
    <t>https://t.co/nHgJMCh5O6 https://pbs.twimg.com/media/FocoCW4WcAEftxQ.jpg</t>
  </si>
  <si>
    <t>https://t.co/Fmxs26XvgC https://pbs.twimg.com/ext_tw_video_thumb/1676214101616254977/pu/img/6ZY1HqTra4ev2A6D.jpg</t>
  </si>
  <si>
    <t>https://t.co/VZ89rK1J9F https://pbs.twimg.com/media/Fms_A4UXoAcsmXF.jpg</t>
  </si>
  <si>
    <t>https://t.co/MQkF28azVY https://pbs.twimg.com/media/Fmn1RudXEAEX2et.jpg</t>
  </si>
  <si>
    <t>https://t.co/Z3GBrOAiQe https://pbs.twimg.com/media/FmYYjZaWAAIc8-I.jpg</t>
  </si>
  <si>
    <t>https://t.co/egOxOYXtOB https://pbs.twimg.com/media/FmTPE82WYAAIKBC.jpg</t>
  </si>
  <si>
    <t>https://t.co/oBVfaDUNBm https://pbs.twimg.com/media/FmOFWvzX0Ag58Ya.jpg</t>
  </si>
  <si>
    <t>https://t.co/Bp6XEGZSgH https://pbs.twimg.com/media/FmI7w4cWIA4PBxd.jpg</t>
  </si>
  <si>
    <t>https://t.co/82gc7G3mCB https://pbs.twimg.com/media/FmDyR4dX0BAAEei.jpg</t>
  </si>
  <si>
    <t>https://t.co/4TFAUIT1aM https://pbs.twimg.com/media/Fl0VchvXoAATEfY.jpg</t>
  </si>
  <si>
    <t>https://t.co/BnZixNCxog https://pbs.twimg.com/media/FsfxegXX0AIzfMm.jpg</t>
  </si>
  <si>
    <t>https://t.co/QnHFJQ4u9A https://pbs.twimg.com/media/FojbeR5XsAARkK7.jpg</t>
  </si>
  <si>
    <t>https://t.co/vooCVSheHO https://pbs.twimg.com/media/FoeR9nPWIAAD9sW.jpg</t>
  </si>
  <si>
    <t>https://t.co/ytikXbK8eM https://pbs.twimg.com/media/FoZISKpWcAsE6I2.jpg</t>
  </si>
  <si>
    <t>https://t.co/0vXT1Q0w1K https://pbs.twimg.com/media/FoT-shEXgAA-Cky.jpg</t>
  </si>
  <si>
    <t>https://t.co/vyxMBqVDPA https://pbs.twimg.com/media/FlvL0_3X0AI2bPB.jpg</t>
  </si>
  <si>
    <t>https://t.co/Gi65DmXgdq https://pbs.twimg.com/media/FlqCQSPWAB0Lyd9.jpg</t>
  </si>
  <si>
    <t>https://t.co/b2ufJMj2jj https://pbs.twimg.com/media/Flk4sbwWYAg8fVD.jpg</t>
  </si>
  <si>
    <t>https://t.co/30cG4S5Mae https://pbs.twimg.com/media/FlfvD1-XwAEbdhD.jpg</t>
  </si>
  <si>
    <t>https://t.co/mCiAuZP30U https://pbs.twimg.com/media/FpwpuGoWYAQZKH2.jpg</t>
  </si>
  <si>
    <t>https://t.co/G612BvYPJs https://pbs.twimg.com/media/FprhuJTWIAUc8eg.jpg</t>
  </si>
  <si>
    <t>https://t.co/sBorqRIKFl https://pbs.twimg.com/media/FpmYITlXEAA7qS-.jpg</t>
  </si>
  <si>
    <t>https://t.co/8F1xueOsmu https://pbs.twimg.com/media/FpMoLeOX0BcEaTo.jpg</t>
  </si>
  <si>
    <t>https://t.co/QihHkAvcb8 https://pbs.twimg.com/media/FpHemgHWAAEhmrB.jpg</t>
  </si>
  <si>
    <t>https://t.co/k730Ec7dSW https://pbs.twimg.com/media/FpCVAgvXEAApQAv.jpg</t>
  </si>
  <si>
    <t>https://t.co/0iPixaEDqm https://pbs.twimg.com/media/Frc0t_aWIAAY3ad.jpg</t>
  </si>
  <si>
    <t>https://t.co/uu47vgyPr6 https://pbs.twimg.com/media/FrXrHiTXsAcxhAU.jpg</t>
  </si>
  <si>
    <t>https://t.co/s1m8j7SSRI https://pbs.twimg.com/media/FrShhSAWAAkv0D1.jpg</t>
  </si>
  <si>
    <t>https://t.co/XqEYRl9nLI https://pbs.twimg.com/media/FrNX6xpX0A4l7JY.jpg</t>
  </si>
  <si>
    <t>https://t.co/S9ui9zQd0b https://pbs.twimg.com/media/FrIOXo3X0AAfRSb.jpg</t>
  </si>
  <si>
    <t>https://t.co/mWApxjJpfA https://pbs.twimg.com/media/Fq4zGUFXoAgbc_z.jpg</t>
  </si>
  <si>
    <t>https://t.co/RjGiF7io76 https://pbs.twimg.com/media/Fo9LZ3RWIAkEMDq.jpg</t>
  </si>
  <si>
    <t>https://t.co/Wgf7DxSsGJ https://pbs.twimg.com/media/Fo4B4B2WYAIyrFk.jpg</t>
  </si>
  <si>
    <t>https://t.co/fawJ1q3ZRZ https://pbs.twimg.com/media/FoEh6qIX0AAZwef.jpg</t>
  </si>
  <si>
    <t>https://t.co/yFMn8hSykK https://pbs.twimg.com/media/Fn_ZgZ-XwAAxvyD.jpg</t>
  </si>
  <si>
    <t>https://t.co/RAE4Io6bi2 https://pbs.twimg.com/media/Fn6OvkuXoB40oMq.jpg</t>
  </si>
  <si>
    <t>https://t.co/LRqRr0kU25 https://pbs.twimg.com/media/Fnv7pIpXoCcRmKN.jpg</t>
  </si>
  <si>
    <t>https://t.co/CnPFS2eJSO https://pbs.twimg.com/media/Fngg-O3XwAA2aKG.jpg</t>
  </si>
  <si>
    <t>https://t.co/eSchVFlBjJ https://pbs.twimg.com/media/FnbVMnGXoBU4vp4.jpg</t>
  </si>
  <si>
    <t>https://t.co/rS5QnJAQAF https://pbs.twimg.com/media/FnWTgSgXoAwPNBY.jpg</t>
  </si>
  <si>
    <t>https://t.co/8Ecceb071O https://pbs.twimg.com/media/FnRDDTNWIAAPrWp.jpg</t>
  </si>
  <si>
    <t>https://t.co/BuMU7VTqvN https://pbs.twimg.com/media/FqpUzU7WAAMJVG_.jpg</t>
  </si>
  <si>
    <t>https://t.co/FbN9M2GUS5 https://pbs.twimg.com/media/FqkLNyMXgAc_YM4.jpg</t>
  </si>
  <si>
    <t>https://t.co/UbxhfVELy4 https://pbs.twimg.com/media/FqUucjAX0AotIxL.jpg</t>
  </si>
  <si>
    <t>https://t.co/OG4e7787Lu https://pbs.twimg.com/media/FqUucOLXgAAMM27.jpg</t>
  </si>
  <si>
    <t>https://t.co/ABledVlw9h https://pbs.twimg.com/media/FqUub0kWYAMBG2X.jpg</t>
  </si>
  <si>
    <t>https://t.co/j8LLSsCvcz https://pbs.twimg.com/media/FqKbRPtWAAAyZHC.jpg</t>
  </si>
  <si>
    <t>https://t.co/35ovsTvgmQ https://pbs.twimg.com/media/FqFRqK2WIAEXxXb.jpg</t>
  </si>
  <si>
    <t>https://t.co/RCtZ1Xd4rS https://pbs.twimg.com/media/FqAG2dSXwAAJH4e.jpg</t>
  </si>
  <si>
    <t>https://t.co/RD8KvK2rGM https://pbs.twimg.com/media/Fsan2fuX0AAMZSV.jpg</t>
  </si>
  <si>
    <t>https://t.co/zoG6ZijWMX https://pbs.twimg.com/media/FsVeMeBWwAQuMCP.jpg</t>
  </si>
  <si>
    <t>https://t.co/VUPrfs1uGc https://pbs.twimg.com/media/FsQUtv-X0AAZLxd.jpg</t>
  </si>
  <si>
    <t>https://t.co/q0GeREemKq https://pbs.twimg.com/media/FsA30PtWAAIo9A4.jpg</t>
  </si>
  <si>
    <t>https://t.co/VSMqALEcQp https://pbs.twimg.com/media/Fr7uPBqXoAMbcna.jpg</t>
  </si>
  <si>
    <t>https://t.co/Tf2tKKC2WY https://pbs.twimg.com/media/Fr2kpCCX0AEQVEy.jpg</t>
  </si>
  <si>
    <t>https://t.co/uFTf1ter9Y https://pbs.twimg.com/media/FrxbD06WcAcwJzx.jpg</t>
  </si>
  <si>
    <t>https://t.co/msTZijQcK7 https://pbs.twimg.com/media/FrsRfRgWAAIxcun.jpg</t>
  </si>
  <si>
    <t>https://t.co/YiTWMDvjaz https://pbs.twimg.com/media/Fqzn-uZXgAEHnIi.jpg</t>
  </si>
  <si>
    <t>https://t.co/ejQqDksSCY https://pbs.twimg.com/media/FqueYEAXwAAk1GM.jpg</t>
  </si>
  <si>
    <t>https://t.co/VQjCXg9xn5 https://pbs.twimg.com/media/FoolDatXwAErFpD.jpg</t>
  </si>
  <si>
    <t>https://t.co/NB84nuUxfD https://pbs.twimg.com/media/Fn1FJEbXgAIKWm_.jpg</t>
  </si>
  <si>
    <t>https://t.co/da4vGvgXXv https://pbs.twimg.com/media/FnL4bbGWYAAu1ql.jpg</t>
  </si>
  <si>
    <t>https://t.co/DC79bornJz https://pbs.twimg.com/media/Fm3URi_WQDAMLeb.jpg</t>
  </si>
  <si>
    <t>https://t.co/0zXhPClQ6k https://pbs.twimg.com/media/FmyJgwQXwAA7ATR.jpg</t>
  </si>
  <si>
    <t>https://t.co/9L2uxPcwks https://pbs.twimg.com/media/Fs9KkhbWwAQwtw6.jpg</t>
  </si>
  <si>
    <t>https://t.co/njHjplcDcM https://pbs.twimg.com/ext_tw_video_thumb/1659213011431858177/pu/img/3wd_OxFG4osNwKlz.jpg</t>
  </si>
  <si>
    <t>https://t.co/NADEJEE6MB https://pbs.twimg.com/ext_tw_video_thumb/1700226891502784512/pu/img/78hqR8ACNo5xWy92.jpg</t>
  </si>
  <si>
    <t>https://t.co/RsRE2jHuAI https://pbs.twimg.com/media/F6pSOgNXwAAnqOy.jpg</t>
  </si>
  <si>
    <t>https://t.co/IbbrWDFixT https://pbs.twimg.com/media/F3IoDjBWMAAe4aq.jpg</t>
  </si>
  <si>
    <t>https://t.co/BC2miUkCly https://t.co/BC2miUkCly https://t.co/BC2miUkCly https://pbs.twimg.com/media/F3DBrF_X0AAeuHJ.png https://pbs.twimg.com/media/F3DBrGBWoAA2sPk.jpg https://pbs.twimg.com/media/F3DBrF8XsAAn2y_.jpg</t>
  </si>
  <si>
    <t>https://t.co/GoQI9wV2G8 https://pbs.twimg.com/ext_tw_video_thumb/1638964215028281344/pu/img/ZdyiWG6CdTXZ-A0m.jpg</t>
  </si>
  <si>
    <t>https://t.co/JRIusdNrRl https://pbs.twimg.com/ext_tw_video_thumb/1647268874180493312/pu/img/o22uN973upNE63H9.jpg</t>
  </si>
  <si>
    <t>https://t.co/wx4MEaAy3Q https://pbs.twimg.com/media/FnWmFpLWYAYQVF3.jpg</t>
  </si>
  <si>
    <t>https://t.co/jRyVmZY4am https://pbs.twimg.com/media/FvVjTRlXsAMBJAY.jpg</t>
  </si>
  <si>
    <t>https://t.co/2oOBfJkboG https://pbs.twimg.com/media/FvKRDCeWIAAt3Gh.jpg</t>
  </si>
  <si>
    <t>https://t.co/mM0LAtvfNH https://pbs.twimg.com/media/F2N8tASXYAAx3M7.jpg</t>
  </si>
  <si>
    <t>https://t.co/aikyc6t1uW https://pbs.twimg.com/ext_tw_video_thumb/1671591841181966366/pu/img/a45qiXIRYQw7OhkB.jpg</t>
  </si>
  <si>
    <t>https://t.co/8SUnzaS38L https://pbs.twimg.com/media/FzEedaIWAAA3dZy.jpg</t>
  </si>
  <si>
    <t>https://t.co/Uaa6QB3FHO https://pbs.twimg.com/media/F2hneXYWkAAfY3h.jpg</t>
  </si>
  <si>
    <t>https://t.co/4O0v8JmQfm https://pbs.twimg.com/media/F2Er2L8XMAERkgy.jpg</t>
  </si>
  <si>
    <t>https://t.co/9LmR8uofV5 https://pbs.twimg.com/media/F0WkxZrXsAMb9gw.jpg</t>
  </si>
  <si>
    <t>https://t.co/0e9a7Zu99G https://pbs.twimg.com/media/F4ast2VW8AAfVva.jpg</t>
  </si>
  <si>
    <t>https://t.co/yTbalYW58R https://pbs.twimg.com/media/F6bbF5vWcAAs_Xy.jpg</t>
  </si>
  <si>
    <t>https://t.co/OqVxgXoZze https://pbs.twimg.com/ext_tw_video_thumb/1657180664427421696/pu/img/jBNvOJ8h9gVVxM8Y.jpg</t>
  </si>
  <si>
    <t>https://t.co/w1Zpnnum0Y https://pbs.twimg.com/media/FvumPlpXsAInuwo.jpg</t>
  </si>
  <si>
    <t>https://t.co/A3PASWlvuC https://pbs.twimg.com/ext_tw_video_thumb/1655691562150445059/pu/img/hNItWFVoHdTWKs7z.jpg</t>
  </si>
  <si>
    <t>https://t.co/CYY5DgK4P8 https://pbs.twimg.com/media/F02okcBWIAAG9Qw.jpg</t>
  </si>
  <si>
    <t>https://t.co/RCssvskR3N https://pbs.twimg.com/media/FuZTVgRXsAc2YIU.jpg</t>
  </si>
  <si>
    <t>https://t.co/w2TyIjh2MA https://pbs.twimg.com/media/Fuls7IqX0AEjn6l.jpg</t>
  </si>
  <si>
    <t>https://t.co/TnQExoGQ2h https://pbs.twimg.com/media/Fylri6VXsAA9sLj.jpg</t>
  </si>
  <si>
    <t>https://t.co/Ex6UFj5LvC https://pbs.twimg.com/media/FztZE0tXwAQzfKG.jpg</t>
  </si>
  <si>
    <t>https://t.co/940WHpfhzV https://pbs.twimg.com/ext_tw_video_thumb/1633595213938606080/pu/img/CZDO0E_RXO6Yf8oM.jpg</t>
  </si>
  <si>
    <t>https://t.co/PSe3DPsdJA https://pbs.twimg.com/ext_tw_video_thumb/1673798497223557120/pu/img/_5xv1zKvQemie_N9.jpg</t>
  </si>
  <si>
    <t>https://t.co/s5CL3VESA6 https://pbs.twimg.com/ext_tw_video_thumb/1673451535345303556/pu/img/fW2pvk0lO82QDhO2.jpg</t>
  </si>
  <si>
    <t>https://t.co/qy1XaXRhfc https://pbs.twimg.com/ext_tw_video_thumb/1675822069798383616/pu/img/FdaXtahQlNlHCT1R.jpg</t>
  </si>
  <si>
    <t>https://t.co/bAE6Pi4SiU https://pbs.twimg.com/ext_tw_video_thumb/1675610653074026496/pu/img/8xaLp17n2z9tTzOx.jpg</t>
  </si>
  <si>
    <t>https://t.co/UsKz0lDWcq https://pbs.twimg.com/ext_tw_video_thumb/1674161085975261186/pu/img/1V6lwn6eBv8PE_iJ.jpg</t>
  </si>
  <si>
    <t>https://t.co/kfkQYI2XJ1 https://pbs.twimg.com/ext_tw_video_thumb/1674885920405745666/pu/img/0EVCDnGohdnTBRVJ.jpg</t>
  </si>
  <si>
    <t>https://t.co/x8zWKxBj7T https://pbs.twimg.com/ext_tw_video_thumb/1674523501363953664/pu/img/rSQ45DUVkRfapzfl.jpg</t>
  </si>
  <si>
    <t>https://t.co/vqKO0qIzIU https://pbs.twimg.com/ext_tw_video_thumb/1675248641424908295/pu/img/Br694rBUMUn6Ju1C.jpg</t>
  </si>
  <si>
    <t>https://t.co/B1BSNpHIJC https://pbs.twimg.com/media/F6fOziVW8AA5-wo.jpg</t>
  </si>
  <si>
    <t>https://t.co/vwKKa3KO68 https://pbs.twimg.com/media/F2jgchVWcAAPFmx.jpg</t>
  </si>
  <si>
    <t>https://t.co/ZVknt9l884 https://pbs.twimg.com/ext_tw_video_thumb/1697593339397156864/pu/img/fRlpYy9n2NipuS6R.jpg</t>
  </si>
  <si>
    <t>https://t.co/tcjLxapy7b https://pbs.twimg.com/media/FwYEj_XWcAAl1Sb.png</t>
  </si>
  <si>
    <t>https://t.co/0sr3gZoFA7 https://pbs.twimg.com/media/FwVCInNXwAIVAUr.jpg</t>
  </si>
  <si>
    <t>https://t.co/rT249yI8Td https://pbs.twimg.com/media/Fyv0CRHXwAI1hVh.jpg</t>
  </si>
  <si>
    <t>https://t.co/j01qhO2m2w https://pbs.twimg.com/media/F0wRklFXgAECbAM.jpg</t>
  </si>
  <si>
    <t>https://t.co/8SrahDIdz3 https://pbs.twimg.com/media/Fz3pK2bWAAA5InR.jpg</t>
  </si>
  <si>
    <t>https://t.co/PjDJaqbz4a https://pbs.twimg.com/media/FwK5L7IWIAAD9jf.jpg</t>
  </si>
  <si>
    <t>https://t.co/YLYDohzJw1 https://pbs.twimg.com/media/FvxQwiFWAAIze0G.jpg</t>
  </si>
  <si>
    <t>https://t.co/w78jEsZapP https://pbs.twimg.com/media/FoPL5fFXwAMquVg.jpg</t>
  </si>
  <si>
    <t>https://t.co/nsI6jWcnd5 https://pbs.twimg.com/media/Fmw5e4lXoAAFd3y.jpg</t>
  </si>
  <si>
    <t>https://t.co/j625o4OQUr https://pbs.twimg.com/media/F6g6_o_XkAA58BY.jpg</t>
  </si>
  <si>
    <t>https://t.co/Bmd0xBI4Xk https://t.co/Bmd0xBI4Xk https://t.co/Bmd0xBI4Xk https://t.co/Bmd0xBI4Xk https://pbs.twimg.com/media/FsyitORWwAEADnY.jpg https://pbs.twimg.com/media/FsyitQuXgAQb5s5.jpg https://pbs.twimg.com/media/FsyitP6WIAAMBrn.jpg https://pbs.twimg.com/media/FsyitPdWYAUzSWw.jpg</t>
  </si>
  <si>
    <t>https://t.co/PwjD4jcFqW https://pbs.twimg.com/media/FxS8KSOXoAEETrw.jpg</t>
  </si>
  <si>
    <t>https://t.co/J1LL001Afg https://pbs.twimg.com/media/FtWe7OkX0AMm7wk.jpg</t>
  </si>
  <si>
    <t>https://t.co/0gLfPQsfOi https://pbs.twimg.com/media/F2ZTqawW0AABZji.jpg</t>
  </si>
  <si>
    <t>https://t.co/BlcKHun1xC https://pbs.twimg.com/ext_tw_video_thumb/1679468142328676353/pu/img/LZO9eKPmZvmDnfeU.jpg</t>
  </si>
  <si>
    <t>https://t.co/O1iPR2VbaE https://pbs.twimg.com/ext_tw_video_thumb/1680012872728956929/pu/img/erZ6cMOViwm95upH.jpg</t>
  </si>
  <si>
    <t>https://t.co/WFwuKS8QXN https://pbs.twimg.com/media/F0NZ-G4WIAIe2Tk.jpg</t>
  </si>
  <si>
    <t>https://t.co/er4JeQnDD4 https://pbs.twimg.com/ext_tw_video_thumb/1679190183785250816/pu/img/Qaisman1by3mUh69.jpg</t>
  </si>
  <si>
    <t>https://t.co/9lDQiHD0Nm https://pbs.twimg.com/media/Fpb3VNXX0Aw_zYQ.jpg</t>
  </si>
  <si>
    <t>https://t.co/DPhPgPr4zj https://pbs.twimg.com/media/F7Bk5LvXwAAzJ3i.jpg</t>
  </si>
  <si>
    <t>https://t.co/c3mMBPcRB7 https://pbs.twimg.com/ext_tw_video_thumb/1680756966430326785/pu/img/St0olVtCuCUSH_tR.jpg</t>
  </si>
  <si>
    <t>https://t.co/VvyJYPkwqO https://pbs.twimg.com/media/Fvr2NJZXoAAtacA.jpg</t>
  </si>
  <si>
    <t>https://t.co/bkp5XXHbvw https://pbs.twimg.com/ext_tw_video_thumb/1655538258669981697/pu/img/tO38AR0946YhoUbw.jpg</t>
  </si>
  <si>
    <t>https://t.co/UR93Oud0AM https://pbs.twimg.com/ext_tw_video_thumb/1655281073226383360/pu/img/jS7cfKXgDb0_QqSa.jpg</t>
  </si>
  <si>
    <t>https://t.co/ThF6Ie4fI7 https://pbs.twimg.com/media/F6EtNwPakAA6Ey8.jpg</t>
  </si>
  <si>
    <t>https://t.co/TDdl8nxRtC https://pbs.twimg.com/media/Fu_M3pBWcAARnsQ.jpg</t>
  </si>
  <si>
    <t>https://t.co/y7yfBLSo87 https://pbs.twimg.com/media/Fx8Z2KfaQAAJLvb.jpg</t>
  </si>
  <si>
    <t>https://t.co/EtJeGk5Bm5 https://pbs.twimg.com/media/Fx3Cm5OWwAgATlM.jpg</t>
  </si>
  <si>
    <t>https://t.co/x8LSqTz1ii https://pbs.twimg.com/media/Fylh_QQX0AE2si1.jpg</t>
  </si>
  <si>
    <t>https://t.co/q6DUe83AeF https://pbs.twimg.com/media/FycdvGOWYAkl5oq.jpg</t>
  </si>
  <si>
    <t>https://t.co/Z5vzer4thU https://pbs.twimg.com/media/F0MObh4WcAEyK-V.jpg</t>
  </si>
  <si>
    <t>https://t.co/DxXT8JNLmo https://pbs.twimg.com/media/F0HETv5WAAUQ_Po.jpg</t>
  </si>
  <si>
    <t>https://t.co/L0VHdKOEfD https://pbs.twimg.com/media/Fyv2Zs6WYAEDmtM.jpg</t>
  </si>
  <si>
    <t>https://t.co/3K1FrsdwFD https://pbs.twimg.com/media/FyqkrcBX0AI8ilq.jpg</t>
  </si>
  <si>
    <t>https://t.co/eMgqywrMRq https://pbs.twimg.com/media/F01e08UWYAEyEZi.jpg</t>
  </si>
  <si>
    <t>https://t.co/5Q1CrwTtHV https://pbs.twimg.com/media/FzD6dJqXoAE1aZb.jpg</t>
  </si>
  <si>
    <t>https://t.co/bZjrZdEsF0 https://pbs.twimg.com/media/FxdZizEWAAEUXhd.jpg</t>
  </si>
  <si>
    <t>https://t.co/dpX8zgISi6 https://pbs.twimg.com/media/F0r0uVjXwAIPE6l.jpg</t>
  </si>
  <si>
    <t>https://t.co/pC89IYx0qK https://pbs.twimg.com/media/F0XK1fBagAASN-D.jpg</t>
  </si>
  <si>
    <t>https://t.co/Z0qF5RDAIQ https://pbs.twimg.com/media/FzyeesDWcAcWXEd.jpg</t>
  </si>
  <si>
    <t>https://t.co/yMfl8Zh0r5 https://pbs.twimg.com/media/Fy_Zy3KWIAQmHsR.jpg</t>
  </si>
  <si>
    <t>https://t.co/LwMMNjesfQ https://pbs.twimg.com/media/F2dfpmQX0AAfimq.jpg</t>
  </si>
  <si>
    <t>https://t.co/gfENkRORfs https://pbs.twimg.com/media/F1aTAuDWYAAFYOo.jpg</t>
  </si>
  <si>
    <t>https://t.co/vNS6NFPTL0 https://pbs.twimg.com/media/FohWrEWXwAAxOVO.jpg</t>
  </si>
  <si>
    <t>https://t.co/VpSS7A7HJf https://pbs.twimg.com/media/F7EZRUzWcAAzJqv.jpg</t>
  </si>
  <si>
    <t>https://t.co/ltpHCoycnb https://pbs.twimg.com/media/F0z3GWlWwAEx-kT.png</t>
  </si>
  <si>
    <t>https://t.co/7h9jaT9G3h https://pbs.twimg.com/media/FuWhlqxWcAYEkGi.jpg</t>
  </si>
  <si>
    <t>https://t.co/Wt5npzUBX0 https://pbs.twimg.com/media/Fz8j7zaWwAAJqL8.jpg</t>
  </si>
  <si>
    <t>https://t.co/Aq1zd1d2fu https://pbs.twimg.com/ext_tw_video_thumb/1678532203452432388/pu/img/k8Aq4WCDavi_A2uJ.jpg</t>
  </si>
  <si>
    <t>https://t.co/Qty2SdnPrP https://pbs.twimg.com/media/F4EOT95XwAAEGoT.jpg</t>
  </si>
  <si>
    <t>https://t.co/wY5z2CEAPz https://pbs.twimg.com/media/Fw3ThF7X0AUj4XO.jpg</t>
  </si>
  <si>
    <t>https://t.co/5Bq80bm9S9 https://pbs.twimg.com/media/FwwRd6DX0AAqjKG.jpg</t>
  </si>
  <si>
    <t>https://t.co/PW2glOl0hO https://pbs.twimg.com/media/F0bjiijWIAAfGS-.jpg</t>
  </si>
  <si>
    <t>https://t.co/jxSBuqXxqJ https://pbs.twimg.com/media/FtLi3pYXoAI2Z5C.jpg</t>
  </si>
  <si>
    <t>photo</t>
  </si>
  <si>
    <t>video</t>
  </si>
  <si>
    <t>photo photo photo</t>
  </si>
  <si>
    <t>photo photo photo photo</t>
  </si>
  <si>
    <t>photo photo</t>
  </si>
  <si>
    <t>animated_gif</t>
  </si>
  <si>
    <t>Twitter for Android</t>
  </si>
  <si>
    <t>Twitter Web App</t>
  </si>
  <si>
    <t>Twitter for iPhone</t>
  </si>
  <si>
    <t>RD Station</t>
  </si>
  <si>
    <t>mLabs - Gestão de Redes Sociais</t>
  </si>
  <si>
    <t>Metricool</t>
  </si>
  <si>
    <t>Instagram</t>
  </si>
  <si>
    <t>Etus Brasil</t>
  </si>
  <si>
    <t>Sprinklr Publishing</t>
  </si>
  <si>
    <t>Twitter for iPad</t>
  </si>
  <si>
    <t>Chatify Marketing</t>
  </si>
  <si>
    <t>Wix Apps</t>
  </si>
  <si>
    <t>Canva</t>
  </si>
  <si>
    <t>TweetDeck</t>
  </si>
  <si>
    <t>Blog2Social APP</t>
  </si>
  <si>
    <t>1675568370941304834DirPrev</t>
  </si>
  <si>
    <t>1662265880124747779carreirapro</t>
  </si>
  <si>
    <t>Jetpack.com</t>
  </si>
  <si>
    <t>aleatoriando.com.br</t>
  </si>
  <si>
    <t>IFTTT</t>
  </si>
  <si>
    <t>1662267944577949713invistafina</t>
  </si>
  <si>
    <t xml:space="preserve">SocialChamp IO </t>
  </si>
  <si>
    <t>Revive Social App</t>
  </si>
  <si>
    <t>LinkedIn</t>
  </si>
  <si>
    <t>Buffer</t>
  </si>
  <si>
    <t>Zapier.com</t>
  </si>
  <si>
    <t>GoDaddy Social App</t>
  </si>
  <si>
    <t>erased16587447_wZghjUYMYh</t>
  </si>
  <si>
    <t>erased21172478_wwjC1hTmu5</t>
  </si>
  <si>
    <t xml:space="preserve">Buzzmonitor </t>
  </si>
  <si>
    <t>Sociabble For Twitter</t>
  </si>
  <si>
    <t>Zoho Social</t>
  </si>
  <si>
    <t>pt</t>
  </si>
  <si>
    <t>en</t>
  </si>
  <si>
    <t>und</t>
  </si>
  <si>
    <t>qme</t>
  </si>
  <si>
    <t>es</t>
  </si>
  <si>
    <t>qht</t>
  </si>
  <si>
    <t>ca</t>
  </si>
  <si>
    <t>15:16:08</t>
  </si>
  <si>
    <t>15:43:44</t>
  </si>
  <si>
    <t>14:15:54</t>
  </si>
  <si>
    <t>14:05:11</t>
  </si>
  <si>
    <t>14:10:01</t>
  </si>
  <si>
    <t>14:16:08</t>
  </si>
  <si>
    <t>14:12:55</t>
  </si>
  <si>
    <t>14:31:08</t>
  </si>
  <si>
    <t>14:21:33</t>
  </si>
  <si>
    <t>14:06:49</t>
  </si>
  <si>
    <t>14:10:10</t>
  </si>
  <si>
    <t>14:19:35</t>
  </si>
  <si>
    <t>13:58:16</t>
  </si>
  <si>
    <t>14:11:13</t>
  </si>
  <si>
    <t>17:16:46</t>
  </si>
  <si>
    <t>13:24:17</t>
  </si>
  <si>
    <t>15:46:15</t>
  </si>
  <si>
    <t>23:49:37</t>
  </si>
  <si>
    <t>17:21:35</t>
  </si>
  <si>
    <t>17:20:06</t>
  </si>
  <si>
    <t>15:13:46</t>
  </si>
  <si>
    <t>13:04:56</t>
  </si>
  <si>
    <t>18:08:45</t>
  </si>
  <si>
    <t>17:59:21</t>
  </si>
  <si>
    <t>22:28:44</t>
  </si>
  <si>
    <t>05:26:01</t>
  </si>
  <si>
    <t>05:21:15</t>
  </si>
  <si>
    <t>01:14:03</t>
  </si>
  <si>
    <t>17:25:43</t>
  </si>
  <si>
    <t>05:14:59</t>
  </si>
  <si>
    <t>21:07:28</t>
  </si>
  <si>
    <t>13:52:10</t>
  </si>
  <si>
    <t>18:10:24</t>
  </si>
  <si>
    <t>20:02:15</t>
  </si>
  <si>
    <t>20:00:54</t>
  </si>
  <si>
    <t>20:00:50</t>
  </si>
  <si>
    <t>20:00:32</t>
  </si>
  <si>
    <t>13:48:42</t>
  </si>
  <si>
    <t>15:01:57</t>
  </si>
  <si>
    <t>22:01:57</t>
  </si>
  <si>
    <t>15:01:54</t>
  </si>
  <si>
    <t>11:01:36</t>
  </si>
  <si>
    <t>15:01:44</t>
  </si>
  <si>
    <t>15:01:32</t>
  </si>
  <si>
    <t>15:01:50</t>
  </si>
  <si>
    <t>15:01:36</t>
  </si>
  <si>
    <t>10:21:51</t>
  </si>
  <si>
    <t>18:00:02</t>
  </si>
  <si>
    <t>02:44:05</t>
  </si>
  <si>
    <t>21:59:37</t>
  </si>
  <si>
    <t>18:47:36</t>
  </si>
  <si>
    <t>23:12:04</t>
  </si>
  <si>
    <t>13:42:37</t>
  </si>
  <si>
    <t>17:26:03</t>
  </si>
  <si>
    <t>21:39:03</t>
  </si>
  <si>
    <t>12:52:45</t>
  </si>
  <si>
    <t>21:25:51</t>
  </si>
  <si>
    <t>21:12:37</t>
  </si>
  <si>
    <t>20:36:48</t>
  </si>
  <si>
    <t>18:11:02</t>
  </si>
  <si>
    <t>15:28:55</t>
  </si>
  <si>
    <t>11:21:55</t>
  </si>
  <si>
    <t>22:28:27</t>
  </si>
  <si>
    <t>10:45:12</t>
  </si>
  <si>
    <t>15:21:27</t>
  </si>
  <si>
    <t>13:29:06</t>
  </si>
  <si>
    <t>11:34:02</t>
  </si>
  <si>
    <t>12:17:57</t>
  </si>
  <si>
    <t>12:54:49</t>
  </si>
  <si>
    <t>21:50:28</t>
  </si>
  <si>
    <t>15:55:02</t>
  </si>
  <si>
    <t>07:58:49</t>
  </si>
  <si>
    <t>10:06:39</t>
  </si>
  <si>
    <t>21:11:21</t>
  </si>
  <si>
    <t>15:35:10</t>
  </si>
  <si>
    <t>21:43:48</t>
  </si>
  <si>
    <t>01:11:45</t>
  </si>
  <si>
    <t>08:13:49</t>
  </si>
  <si>
    <t>11:46:28</t>
  </si>
  <si>
    <t>10:12:54</t>
  </si>
  <si>
    <t>12:03:28</t>
  </si>
  <si>
    <t>10:16:10</t>
  </si>
  <si>
    <t>17:00:00</t>
  </si>
  <si>
    <t>22:00:01</t>
  </si>
  <si>
    <t>19:00:01</t>
  </si>
  <si>
    <t>01:29:54</t>
  </si>
  <si>
    <t>12:00:02</t>
  </si>
  <si>
    <t>12:00:03</t>
  </si>
  <si>
    <t>15:13:10</t>
  </si>
  <si>
    <t>12:00:00</t>
  </si>
  <si>
    <t>14:56:48</t>
  </si>
  <si>
    <t>17:25:07</t>
  </si>
  <si>
    <t>12:00:01</t>
  </si>
  <si>
    <t>15:39:19</t>
  </si>
  <si>
    <t>17:59:40</t>
  </si>
  <si>
    <t>16:23:04</t>
  </si>
  <si>
    <t>13:14:44</t>
  </si>
  <si>
    <t>15:02:06</t>
  </si>
  <si>
    <t>14:34:25</t>
  </si>
  <si>
    <t>14:30:00</t>
  </si>
  <si>
    <t>14:17:28</t>
  </si>
  <si>
    <t>14:43:47</t>
  </si>
  <si>
    <t>20:32:25</t>
  </si>
  <si>
    <t>12:13:31</t>
  </si>
  <si>
    <t>14:34:09</t>
  </si>
  <si>
    <t>15:40:56</t>
  </si>
  <si>
    <t>18:47:22</t>
  </si>
  <si>
    <t>12:37:11</t>
  </si>
  <si>
    <t>19:02:52</t>
  </si>
  <si>
    <t>09:03:08</t>
  </si>
  <si>
    <t>22:57:07</t>
  </si>
  <si>
    <t>17:01:05</t>
  </si>
  <si>
    <t>11:10:04</t>
  </si>
  <si>
    <t>09:40:15</t>
  </si>
  <si>
    <t>00:04:00</t>
  </si>
  <si>
    <t>21:01:00</t>
  </si>
  <si>
    <t>21:02:00</t>
  </si>
  <si>
    <t>11:14:37</t>
  </si>
  <si>
    <t>11:13:54</t>
  </si>
  <si>
    <t>23:50:57</t>
  </si>
  <si>
    <t>23:50:33</t>
  </si>
  <si>
    <t>23:50:06</t>
  </si>
  <si>
    <t>22:16:34</t>
  </si>
  <si>
    <t>22:16:12</t>
  </si>
  <si>
    <t>22:59:08</t>
  </si>
  <si>
    <t>19:39:57</t>
  </si>
  <si>
    <t>19:39:25</t>
  </si>
  <si>
    <t>19:38:53</t>
  </si>
  <si>
    <t>23:49:17</t>
  </si>
  <si>
    <t>10:20:05</t>
  </si>
  <si>
    <t>12:18:03</t>
  </si>
  <si>
    <t>18:35:39</t>
  </si>
  <si>
    <t>11:00:02</t>
  </si>
  <si>
    <t>13:02:27</t>
  </si>
  <si>
    <t>12:57:22</t>
  </si>
  <si>
    <t>13:44:41</t>
  </si>
  <si>
    <t>14:12:38</t>
  </si>
  <si>
    <t>13:22:05</t>
  </si>
  <si>
    <t>22:33:12</t>
  </si>
  <si>
    <t>00:35:47</t>
  </si>
  <si>
    <t>02:05:13</t>
  </si>
  <si>
    <t>13:01:51</t>
  </si>
  <si>
    <t>18:16:00</t>
  </si>
  <si>
    <t>13:11:00</t>
  </si>
  <si>
    <t>15:13:43</t>
  </si>
  <si>
    <t>20:23:51</t>
  </si>
  <si>
    <t>17:10:53</t>
  </si>
  <si>
    <t>15:44:38</t>
  </si>
  <si>
    <t>14:53:55</t>
  </si>
  <si>
    <t>15:46:17</t>
  </si>
  <si>
    <t>17:03:13</t>
  </si>
  <si>
    <t>17:05:35</t>
  </si>
  <si>
    <t>12:24:10</t>
  </si>
  <si>
    <t>13:08:31</t>
  </si>
  <si>
    <t>20:19:33</t>
  </si>
  <si>
    <t>16:00:41</t>
  </si>
  <si>
    <t>14:07:31</t>
  </si>
  <si>
    <t>15:32:40</t>
  </si>
  <si>
    <t>15:41:01</t>
  </si>
  <si>
    <t>15:41:05</t>
  </si>
  <si>
    <t>15:25:59</t>
  </si>
  <si>
    <t>14:00:57</t>
  </si>
  <si>
    <t>15:14:10</t>
  </si>
  <si>
    <t>13:01:15</t>
  </si>
  <si>
    <t>23:05:02</t>
  </si>
  <si>
    <t>11:59:21</t>
  </si>
  <si>
    <t>12:03:30</t>
  </si>
  <si>
    <t>22:58:12</t>
  </si>
  <si>
    <t>15:12:34</t>
  </si>
  <si>
    <t>18:12:50</t>
  </si>
  <si>
    <t>01:35:53</t>
  </si>
  <si>
    <t>01:18:35</t>
  </si>
  <si>
    <t>13:55:54</t>
  </si>
  <si>
    <t>15:35:50</t>
  </si>
  <si>
    <t>18:41:02</t>
  </si>
  <si>
    <t>15:59:05</t>
  </si>
  <si>
    <t>16:42:54</t>
  </si>
  <si>
    <t>14:09:25</t>
  </si>
  <si>
    <t>15:16:19</t>
  </si>
  <si>
    <t>01:09:31</t>
  </si>
  <si>
    <t>09:00:16</t>
  </si>
  <si>
    <t>09:00:14</t>
  </si>
  <si>
    <t>09:00:33</t>
  </si>
  <si>
    <t>09:00:36</t>
  </si>
  <si>
    <t>09:00:35</t>
  </si>
  <si>
    <t>09:00:18</t>
  </si>
  <si>
    <t>00:40:04</t>
  </si>
  <si>
    <t>18:00:00</t>
  </si>
  <si>
    <t>13:30:22</t>
  </si>
  <si>
    <t>13:38:40</t>
  </si>
  <si>
    <t>00:44:29</t>
  </si>
  <si>
    <t>18:39:02</t>
  </si>
  <si>
    <t>16:30:52</t>
  </si>
  <si>
    <t>10:46:53</t>
  </si>
  <si>
    <t>23:28:33</t>
  </si>
  <si>
    <t>14:40:59</t>
  </si>
  <si>
    <t>16:41:54</t>
  </si>
  <si>
    <t>17:43:40</t>
  </si>
  <si>
    <t>02:14:57</t>
  </si>
  <si>
    <t>12:24:41</t>
  </si>
  <si>
    <t>18:14:45</t>
  </si>
  <si>
    <t>17:07:22</t>
  </si>
  <si>
    <t>16:00:53</t>
  </si>
  <si>
    <t>12:43:10</t>
  </si>
  <si>
    <t>14:03:07</t>
  </si>
  <si>
    <t>19:29:37</t>
  </si>
  <si>
    <t>20:57:57</t>
  </si>
  <si>
    <t>15:44:56</t>
  </si>
  <si>
    <t>22:00:51</t>
  </si>
  <si>
    <t>17:00:05</t>
  </si>
  <si>
    <t>20:25:26</t>
  </si>
  <si>
    <t>15:00:53</t>
  </si>
  <si>
    <t>12:00:52</t>
  </si>
  <si>
    <t>12:00:51</t>
  </si>
  <si>
    <t>11:00:52</t>
  </si>
  <si>
    <t>12:00:43</t>
  </si>
  <si>
    <t>18:01:01</t>
  </si>
  <si>
    <t>18:01:02</t>
  </si>
  <si>
    <t>18:00:57</t>
  </si>
  <si>
    <t>12:00:49</t>
  </si>
  <si>
    <t>13:00:49</t>
  </si>
  <si>
    <t>12:01:02</t>
  </si>
  <si>
    <t>18:00:53</t>
  </si>
  <si>
    <t>11:00:54</t>
  </si>
  <si>
    <t>21:00:34</t>
  </si>
  <si>
    <t>13:00:47</t>
  </si>
  <si>
    <t>12:01:07</t>
  </si>
  <si>
    <t>21:01:03</t>
  </si>
  <si>
    <t>19:14:42</t>
  </si>
  <si>
    <t>14:24:23</t>
  </si>
  <si>
    <t>05:11:34</t>
  </si>
  <si>
    <t>12:14:06</t>
  </si>
  <si>
    <t>12:27:19</t>
  </si>
  <si>
    <t>04:00:36</t>
  </si>
  <si>
    <t>12:25:21</t>
  </si>
  <si>
    <t>13:37:59</t>
  </si>
  <si>
    <t>13:36:00</t>
  </si>
  <si>
    <t>01:12:02</t>
  </si>
  <si>
    <t>15:29:22</t>
  </si>
  <si>
    <t>18:33:30</t>
  </si>
  <si>
    <t>18:33:29</t>
  </si>
  <si>
    <t>18:33:28</t>
  </si>
  <si>
    <t>13:11:26</t>
  </si>
  <si>
    <t>08:02:50</t>
  </si>
  <si>
    <t>16:06:24</t>
  </si>
  <si>
    <t>23:39:22</t>
  </si>
  <si>
    <t>08:42:25</t>
  </si>
  <si>
    <t>10:17:25</t>
  </si>
  <si>
    <t>12:24:25</t>
  </si>
  <si>
    <t>22:03:21</t>
  </si>
  <si>
    <t>10:19:09</t>
  </si>
  <si>
    <t>10:39:54</t>
  </si>
  <si>
    <t>10:55:49</t>
  </si>
  <si>
    <t>01:34:35</t>
  </si>
  <si>
    <t>13:04:30</t>
  </si>
  <si>
    <t>00:31:09</t>
  </si>
  <si>
    <t>14:53:07</t>
  </si>
  <si>
    <t>20:00:14</t>
  </si>
  <si>
    <t>17:33:11</t>
  </si>
  <si>
    <t>17:00:37</t>
  </si>
  <si>
    <t>02:09:07</t>
  </si>
  <si>
    <t>15:51:00</t>
  </si>
  <si>
    <t>11:01:00</t>
  </si>
  <si>
    <t>16:16:49</t>
  </si>
  <si>
    <t>14:03:10</t>
  </si>
  <si>
    <t>12:51:56</t>
  </si>
  <si>
    <t>10:00:21</t>
  </si>
  <si>
    <t>19:37:58</t>
  </si>
  <si>
    <t>16:58:06</t>
  </si>
  <si>
    <t>08:54:21</t>
  </si>
  <si>
    <t>08:53:54</t>
  </si>
  <si>
    <t>08:54:09</t>
  </si>
  <si>
    <t>08:54:03</t>
  </si>
  <si>
    <t>08:53:55</t>
  </si>
  <si>
    <t>05:13:51</t>
  </si>
  <si>
    <t>03:54:40</t>
  </si>
  <si>
    <t>13:08:57</t>
  </si>
  <si>
    <t>16:44:33</t>
  </si>
  <si>
    <t>07:52:17</t>
  </si>
  <si>
    <t>10:30:00</t>
  </si>
  <si>
    <t>10:30:01</t>
  </si>
  <si>
    <t>21:48:29</t>
  </si>
  <si>
    <t>16:37:11</t>
  </si>
  <si>
    <t>02:13:31</t>
  </si>
  <si>
    <t>18:44:04</t>
  </si>
  <si>
    <t>12:27:09</t>
  </si>
  <si>
    <t>05:37:05</t>
  </si>
  <si>
    <t>14:29:54</t>
  </si>
  <si>
    <t>07:30:59</t>
  </si>
  <si>
    <t>07:31:02</t>
  </si>
  <si>
    <t>21:08:17</t>
  </si>
  <si>
    <t>21:15:16</t>
  </si>
  <si>
    <t>13:00:01</t>
  </si>
  <si>
    <t>11:46:35</t>
  </si>
  <si>
    <t>13:25:57</t>
  </si>
  <si>
    <t>21:03:05</t>
  </si>
  <si>
    <t>21:02:36</t>
  </si>
  <si>
    <t>20:00:25</t>
  </si>
  <si>
    <t>20:27:16</t>
  </si>
  <si>
    <t>13:43:51</t>
  </si>
  <si>
    <t>15:03:20</t>
  </si>
  <si>
    <t>17:01:20</t>
  </si>
  <si>
    <t>12:00:31</t>
  </si>
  <si>
    <t>16:39:44</t>
  </si>
  <si>
    <t>15:05:30</t>
  </si>
  <si>
    <t>14:39:02</t>
  </si>
  <si>
    <t>17:03:52</t>
  </si>
  <si>
    <t>19:41:18</t>
  </si>
  <si>
    <t>15:28:59</t>
  </si>
  <si>
    <t>18:20:53</t>
  </si>
  <si>
    <t>17:12:57</t>
  </si>
  <si>
    <t>11:03:18</t>
  </si>
  <si>
    <t>20:11:08</t>
  </si>
  <si>
    <t>12:30:03</t>
  </si>
  <si>
    <t>04:30:03</t>
  </si>
  <si>
    <t>21:08:42</t>
  </si>
  <si>
    <t>18:06:58</t>
  </si>
  <si>
    <t>03:03:27</t>
  </si>
  <si>
    <t>03:02:08</t>
  </si>
  <si>
    <t>03:01:46</t>
  </si>
  <si>
    <t>18:19:43</t>
  </si>
  <si>
    <t>12:26:49</t>
  </si>
  <si>
    <t>12:18:37</t>
  </si>
  <si>
    <t>17:56:39</t>
  </si>
  <si>
    <t>12:17:01</t>
  </si>
  <si>
    <t>12:41:35</t>
  </si>
  <si>
    <t>20:38:07</t>
  </si>
  <si>
    <t>12:08:11</t>
  </si>
  <si>
    <t>12:29:18</t>
  </si>
  <si>
    <t>12:35:52</t>
  </si>
  <si>
    <t>12:36:35</t>
  </si>
  <si>
    <t>12:08:34</t>
  </si>
  <si>
    <t>12:08:14</t>
  </si>
  <si>
    <t>12:06:19</t>
  </si>
  <si>
    <t>12:43:49</t>
  </si>
  <si>
    <t>17:47:06</t>
  </si>
  <si>
    <t>16:35:14</t>
  </si>
  <si>
    <t>18:21:14</t>
  </si>
  <si>
    <t>12:56:54</t>
  </si>
  <si>
    <t>12:26:24</t>
  </si>
  <si>
    <t>13:00:32</t>
  </si>
  <si>
    <t>12:36:03</t>
  </si>
  <si>
    <t>10:57:50</t>
  </si>
  <si>
    <t>22:23:41</t>
  </si>
  <si>
    <t>11:29:17</t>
  </si>
  <si>
    <t>13:52:24</t>
  </si>
  <si>
    <t>11:30:05</t>
  </si>
  <si>
    <t>11:25:20</t>
  </si>
  <si>
    <t>10:13:28</t>
  </si>
  <si>
    <t>03:14:09</t>
  </si>
  <si>
    <t>16:51:35</t>
  </si>
  <si>
    <t>12:02:23</t>
  </si>
  <si>
    <t>20:32:50</t>
  </si>
  <si>
    <t>12:48:01</t>
  </si>
  <si>
    <t>11:20:42</t>
  </si>
  <si>
    <t>09:23:29</t>
  </si>
  <si>
    <t>11:19:36</t>
  </si>
  <si>
    <t>02:39:26</t>
  </si>
  <si>
    <t>16:23:51</t>
  </si>
  <si>
    <t>17:48:20</t>
  </si>
  <si>
    <t>11:47:25</t>
  </si>
  <si>
    <t>22:55:42</t>
  </si>
  <si>
    <t>10:26:20</t>
  </si>
  <si>
    <t>09:06:38</t>
  </si>
  <si>
    <t>11:54:09</t>
  </si>
  <si>
    <t>11:27:08</t>
  </si>
  <si>
    <t>11:44:12</t>
  </si>
  <si>
    <t>13:37:31</t>
  </si>
  <si>
    <t>17:09:37</t>
  </si>
  <si>
    <t>11:06:36</t>
  </si>
  <si>
    <t>21:16:05</t>
  </si>
  <si>
    <t>21:25:10</t>
  </si>
  <si>
    <t>11:52:54</t>
  </si>
  <si>
    <t>10:10:28</t>
  </si>
  <si>
    <t>11:58:46</t>
  </si>
  <si>
    <t>15:27:31</t>
  </si>
  <si>
    <t>11:46:51</t>
  </si>
  <si>
    <t>17:45:41</t>
  </si>
  <si>
    <t>23:00:12</t>
  </si>
  <si>
    <t>13:49:57</t>
  </si>
  <si>
    <t>00:35:25</t>
  </si>
  <si>
    <t>09:47:40</t>
  </si>
  <si>
    <t>10:33:34</t>
  </si>
  <si>
    <t>10:26:03</t>
  </si>
  <si>
    <t>17:58:12</t>
  </si>
  <si>
    <t>15:18:23</t>
  </si>
  <si>
    <t>13:02:59</t>
  </si>
  <si>
    <t>10:32:15</t>
  </si>
  <si>
    <t>10:44:18</t>
  </si>
  <si>
    <t>09:43:45</t>
  </si>
  <si>
    <t>14:55:04</t>
  </si>
  <si>
    <t>12:17:08</t>
  </si>
  <si>
    <t>12:18:42</t>
  </si>
  <si>
    <t>11:44:14</t>
  </si>
  <si>
    <t>09:50:50</t>
  </si>
  <si>
    <t>17:26:39</t>
  </si>
  <si>
    <t>21:11:54</t>
  </si>
  <si>
    <t>12:01:12</t>
  </si>
  <si>
    <t>16:09:19</t>
  </si>
  <si>
    <t>11:46:34</t>
  </si>
  <si>
    <t>10:57:45</t>
  </si>
  <si>
    <t>11:39:25</t>
  </si>
  <si>
    <t>10:44:40</t>
  </si>
  <si>
    <t>16:09:10</t>
  </si>
  <si>
    <t>11:22:29</t>
  </si>
  <si>
    <t>11:58:56</t>
  </si>
  <si>
    <t>01:30:12</t>
  </si>
  <si>
    <t>11:08:55</t>
  </si>
  <si>
    <t>22:25:30</t>
  </si>
  <si>
    <t>10:00:14</t>
  </si>
  <si>
    <t>10:13:48</t>
  </si>
  <si>
    <t>10:22:25</t>
  </si>
  <si>
    <t>23:49:04</t>
  </si>
  <si>
    <t>23:03:30</t>
  </si>
  <si>
    <t>19:17:37</t>
  </si>
  <si>
    <t>09:41:03</t>
  </si>
  <si>
    <t>00:18:22</t>
  </si>
  <si>
    <t>11:14:01</t>
  </si>
  <si>
    <t>12:44:22</t>
  </si>
  <si>
    <t>23:30:08</t>
  </si>
  <si>
    <t>21:30:52</t>
  </si>
  <si>
    <t>22:38:34</t>
  </si>
  <si>
    <t>11:00:09</t>
  </si>
  <si>
    <t>11:01:04</t>
  </si>
  <si>
    <t>11:00:47</t>
  </si>
  <si>
    <t>20:40:53</t>
  </si>
  <si>
    <t>19:00:29</t>
  </si>
  <si>
    <t>17:50:17</t>
  </si>
  <si>
    <t>16:33:34</t>
  </si>
  <si>
    <t>13:49:39</t>
  </si>
  <si>
    <t>12:56:44</t>
  </si>
  <si>
    <t>10:21:01</t>
  </si>
  <si>
    <t>14:56:42</t>
  </si>
  <si>
    <t>17:58:44</t>
  </si>
  <si>
    <t>14:00:10</t>
  </si>
  <si>
    <t>20:40:56</t>
  </si>
  <si>
    <t>19:58:37</t>
  </si>
  <si>
    <t>10:13:17</t>
  </si>
  <si>
    <t>13:08:45</t>
  </si>
  <si>
    <t>16:51:53</t>
  </si>
  <si>
    <t>14:26:34</t>
  </si>
  <si>
    <t>18:05:03</t>
  </si>
  <si>
    <t>12:03:23</t>
  </si>
  <si>
    <t>16:09:08</t>
  </si>
  <si>
    <t>19:29:01</t>
  </si>
  <si>
    <t>00:28:07</t>
  </si>
  <si>
    <t>00:32:22</t>
  </si>
  <si>
    <t>16:02:00</t>
  </si>
  <si>
    <t>22:13:00</t>
  </si>
  <si>
    <t>16:00:01</t>
  </si>
  <si>
    <t>01:37:47</t>
  </si>
  <si>
    <t>09:39:12</t>
  </si>
  <si>
    <t>10:48:32</t>
  </si>
  <si>
    <t>20:30:14</t>
  </si>
  <si>
    <t>02:21:56</t>
  </si>
  <si>
    <t>17:38:31</t>
  </si>
  <si>
    <t>20:06:31</t>
  </si>
  <si>
    <t>18:40:22</t>
  </si>
  <si>
    <t>13:50:45</t>
  </si>
  <si>
    <t>18:19:06</t>
  </si>
  <si>
    <t>18:26:11</t>
  </si>
  <si>
    <t>12:00:46</t>
  </si>
  <si>
    <t>16:25:16</t>
  </si>
  <si>
    <t>16:21:17</t>
  </si>
  <si>
    <t>15:36:29</t>
  </si>
  <si>
    <t>15:35:56</t>
  </si>
  <si>
    <t>17:33:48</t>
  </si>
  <si>
    <t>15:34:35</t>
  </si>
  <si>
    <t>15:17:58</t>
  </si>
  <si>
    <t>12:56:59</t>
  </si>
  <si>
    <t>23:31:29</t>
  </si>
  <si>
    <t>22:39:11</t>
  </si>
  <si>
    <t>02:47:02</t>
  </si>
  <si>
    <t>22:36:54</t>
  </si>
  <si>
    <t>11:26:44</t>
  </si>
  <si>
    <t>14:56:52</t>
  </si>
  <si>
    <t>12:50:24</t>
  </si>
  <si>
    <t>21:37:08</t>
  </si>
  <si>
    <t>14:29:42</t>
  </si>
  <si>
    <t>16:55:16</t>
  </si>
  <si>
    <t>16:44:32</t>
  </si>
  <si>
    <t>10:00:02</t>
  </si>
  <si>
    <t>10:00:00</t>
  </si>
  <si>
    <t>20:00:00</t>
  </si>
  <si>
    <t>13:46:54</t>
  </si>
  <si>
    <t>12:34:59</t>
  </si>
  <si>
    <t>17:55:08</t>
  </si>
  <si>
    <t>01:07:30</t>
  </si>
  <si>
    <t>01:30:25</t>
  </si>
  <si>
    <t>11:20:28</t>
  </si>
  <si>
    <t>00:01:08</t>
  </si>
  <si>
    <t>00:01:06</t>
  </si>
  <si>
    <t>11:44:31</t>
  </si>
  <si>
    <t>11:41:37</t>
  </si>
  <si>
    <t>18:35:06</t>
  </si>
  <si>
    <t>00:41:53</t>
  </si>
  <si>
    <t>13:13:58</t>
  </si>
  <si>
    <t>21:00:55</t>
  </si>
  <si>
    <t>21:00:58</t>
  </si>
  <si>
    <t>21:00:52</t>
  </si>
  <si>
    <t>21:00:50</t>
  </si>
  <si>
    <t>21:10:13</t>
  </si>
  <si>
    <t>21:00:27</t>
  </si>
  <si>
    <t>21:00:33</t>
  </si>
  <si>
    <t>21:00:36</t>
  </si>
  <si>
    <t>21:00:30</t>
  </si>
  <si>
    <t>21:00:32</t>
  </si>
  <si>
    <t>21:10:10</t>
  </si>
  <si>
    <t>21:05:02</t>
  </si>
  <si>
    <t>21:00:49</t>
  </si>
  <si>
    <t>21:00:54</t>
  </si>
  <si>
    <t>21:07:14</t>
  </si>
  <si>
    <t>21:00:31</t>
  </si>
  <si>
    <t>21:00:47</t>
  </si>
  <si>
    <t>21:05:41</t>
  </si>
  <si>
    <t>21:10:04</t>
  </si>
  <si>
    <t>21:35:01</t>
  </si>
  <si>
    <t>21:00:51</t>
  </si>
  <si>
    <t>21:00:39</t>
  </si>
  <si>
    <t>21:00:42</t>
  </si>
  <si>
    <t>21:00:44</t>
  </si>
  <si>
    <t>21:00:48</t>
  </si>
  <si>
    <t>21:00:46</t>
  </si>
  <si>
    <t>21:00:59</t>
  </si>
  <si>
    <t>21:01:02</t>
  </si>
  <si>
    <t>21:00:56</t>
  </si>
  <si>
    <t>21:05:29</t>
  </si>
  <si>
    <t>21:00:57</t>
  </si>
  <si>
    <t>21:01:01</t>
  </si>
  <si>
    <t>21:01:04</t>
  </si>
  <si>
    <t>21:00:25</t>
  </si>
  <si>
    <t>21:00:38</t>
  </si>
  <si>
    <t>21:01:08</t>
  </si>
  <si>
    <t>21:00:43</t>
  </si>
  <si>
    <t>21:15:31</t>
  </si>
  <si>
    <t>20:55:18</t>
  </si>
  <si>
    <t>21:10:17</t>
  </si>
  <si>
    <t>20:53:36</t>
  </si>
  <si>
    <t>21:18:01</t>
  </si>
  <si>
    <t>21:00:53</t>
  </si>
  <si>
    <t>21:00:40</t>
  </si>
  <si>
    <t>21:05:35</t>
  </si>
  <si>
    <t>20:55:15</t>
  </si>
  <si>
    <t>21:02:17</t>
  </si>
  <si>
    <t>21:05:30</t>
  </si>
  <si>
    <t>21:01:05</t>
  </si>
  <si>
    <t>21:05:42</t>
  </si>
  <si>
    <t>21:10:21</t>
  </si>
  <si>
    <t>21:00:35</t>
  </si>
  <si>
    <t>21:05:18</t>
  </si>
  <si>
    <t>20:55:11</t>
  </si>
  <si>
    <t>06:03:23</t>
  </si>
  <si>
    <t>21:51:47</t>
  </si>
  <si>
    <t>00:25:00</t>
  </si>
  <si>
    <t>04:30:04</t>
  </si>
  <si>
    <t>03:20:12</t>
  </si>
  <si>
    <t>20:10:13</t>
  </si>
  <si>
    <t>23:20:07</t>
  </si>
  <si>
    <t>17:01:07</t>
  </si>
  <si>
    <t>16:53:49</t>
  </si>
  <si>
    <t>23:27:45</t>
  </si>
  <si>
    <t>13:18:09</t>
  </si>
  <si>
    <t>12:59:30</t>
  </si>
  <si>
    <t>18:28:51</t>
  </si>
  <si>
    <t>11:43:37</t>
  </si>
  <si>
    <t>21:01:07</t>
  </si>
  <si>
    <t>21:00:41</t>
  </si>
  <si>
    <t>21:00:37</t>
  </si>
  <si>
    <t>21:10:09</t>
  </si>
  <si>
    <t>16:55:27</t>
  </si>
  <si>
    <t>00:54:31</t>
  </si>
  <si>
    <t>05:56:32</t>
  </si>
  <si>
    <t>01:11:56</t>
  </si>
  <si>
    <t>13:43:56</t>
  </si>
  <si>
    <t>13:32:47</t>
  </si>
  <si>
    <t>12:13:48</t>
  </si>
  <si>
    <t>12:39:20</t>
  </si>
  <si>
    <t>13:59:41</t>
  </si>
  <si>
    <t>13:15:40</t>
  </si>
  <si>
    <t>12:23:06</t>
  </si>
  <si>
    <t>00:52:22</t>
  </si>
  <si>
    <t>17:03:24</t>
  </si>
  <si>
    <t>12:07:20</t>
  </si>
  <si>
    <t>01:01:00</t>
  </si>
  <si>
    <t>09:39:00</t>
  </si>
  <si>
    <t>11:27:00</t>
  </si>
  <si>
    <t>13:41:01</t>
  </si>
  <si>
    <t>17:03:36</t>
  </si>
  <si>
    <t>10:42:00</t>
  </si>
  <si>
    <t>17:03:11</t>
  </si>
  <si>
    <t>12:00:13</t>
  </si>
  <si>
    <t>16:01:43</t>
  </si>
  <si>
    <t>17:50:03</t>
  </si>
  <si>
    <t>12:53:56</t>
  </si>
  <si>
    <t>15:46:29</t>
  </si>
  <si>
    <t>15:03:16</t>
  </si>
  <si>
    <t>19:17:47</t>
  </si>
  <si>
    <t>17:00:28</t>
  </si>
  <si>
    <t>15:46:20</t>
  </si>
  <si>
    <t>02:01:33</t>
  </si>
  <si>
    <t>23:55:58</t>
  </si>
  <si>
    <t>18:01:48</t>
  </si>
  <si>
    <t>20:11:32</t>
  </si>
  <si>
    <t>20:11:31</t>
  </si>
  <si>
    <t>16:01:31</t>
  </si>
  <si>
    <t>14:44:59</t>
  </si>
  <si>
    <t>15:54:55</t>
  </si>
  <si>
    <t>22:56:13</t>
  </si>
  <si>
    <t>04:10:00</t>
  </si>
  <si>
    <t>23:34:25</t>
  </si>
  <si>
    <t>16:33:55</t>
  </si>
  <si>
    <t>18:52:11</t>
  </si>
  <si>
    <t>13:38:05</t>
  </si>
  <si>
    <t>12:13:33</t>
  </si>
  <si>
    <t>21:23:40</t>
  </si>
  <si>
    <t>12:14:32</t>
  </si>
  <si>
    <t>00:30:31</t>
  </si>
  <si>
    <t>00:24:31</t>
  </si>
  <si>
    <t>00:27:19</t>
  </si>
  <si>
    <t>00:53:21</t>
  </si>
  <si>
    <t>21:50:07</t>
  </si>
  <si>
    <t>20:51:37</t>
  </si>
  <si>
    <t>14:17:58</t>
  </si>
  <si>
    <t>17:38:59</t>
  </si>
  <si>
    <t>11:23:02</t>
  </si>
  <si>
    <t>18:48:11</t>
  </si>
  <si>
    <t>21:10:35</t>
  </si>
  <si>
    <t>14:07:06</t>
  </si>
  <si>
    <t>12:19:09</t>
  </si>
  <si>
    <t>22:27:21</t>
  </si>
  <si>
    <t>18:00:01</t>
  </si>
  <si>
    <t>22:01:56</t>
  </si>
  <si>
    <t>11:01:37</t>
  </si>
  <si>
    <t>21:01:30</t>
  </si>
  <si>
    <t>21:01:27</t>
  </si>
  <si>
    <t>21:02:03</t>
  </si>
  <si>
    <t>21:01:34</t>
  </si>
  <si>
    <t>21:07:47</t>
  </si>
  <si>
    <t>00:35:42</t>
  </si>
  <si>
    <t>00:35:40</t>
  </si>
  <si>
    <t>21:02:05</t>
  </si>
  <si>
    <t>02:29:20</t>
  </si>
  <si>
    <t>13:34:32</t>
  </si>
  <si>
    <t>12:52:55</t>
  </si>
  <si>
    <t>21:39:19</t>
  </si>
  <si>
    <t>22:36:37</t>
  </si>
  <si>
    <t>18:58:12</t>
  </si>
  <si>
    <t>16:08:46</t>
  </si>
  <si>
    <t>02:25:23</t>
  </si>
  <si>
    <t>12:00:47</t>
  </si>
  <si>
    <t>13:20:20</t>
  </si>
  <si>
    <t>12:05:31</t>
  </si>
  <si>
    <t>12:45:29</t>
  </si>
  <si>
    <t>13:18:21</t>
  </si>
  <si>
    <t>11:57:23</t>
  </si>
  <si>
    <t>22:40:09</t>
  </si>
  <si>
    <t>15:15:24</t>
  </si>
  <si>
    <t>21:02:42</t>
  </si>
  <si>
    <t>02:02:00</t>
  </si>
  <si>
    <t>12:29:28</t>
  </si>
  <si>
    <t>12:31:21</t>
  </si>
  <si>
    <t>11:59:06</t>
  </si>
  <si>
    <t>11:53:52</t>
  </si>
  <si>
    <t>19:19:44</t>
  </si>
  <si>
    <t>14:41:53</t>
  </si>
  <si>
    <t>21:30:04</t>
  </si>
  <si>
    <t>10:02:00</t>
  </si>
  <si>
    <t>10:25:20</t>
  </si>
  <si>
    <t>00:40:22</t>
  </si>
  <si>
    <t>17:30:45</t>
  </si>
  <si>
    <t>18:05:42</t>
  </si>
  <si>
    <t>12:45:54</t>
  </si>
  <si>
    <t>15:17:26</t>
  </si>
  <si>
    <t>20:01:03</t>
  </si>
  <si>
    <t>10:12:56</t>
  </si>
  <si>
    <t>11:20:54</t>
  </si>
  <si>
    <t>12:39:19</t>
  </si>
  <si>
    <t>01:52:06</t>
  </si>
  <si>
    <t>22:51:38</t>
  </si>
  <si>
    <t>11:38:32</t>
  </si>
  <si>
    <t>12:04:14</t>
  </si>
  <si>
    <t>11:41:02</t>
  </si>
  <si>
    <t>18:39:05</t>
  </si>
  <si>
    <t>15:50:56</t>
  </si>
  <si>
    <t>15:47:59</t>
  </si>
  <si>
    <t>14:32:26</t>
  </si>
  <si>
    <t>14:43:54</t>
  </si>
  <si>
    <t>20:00:20</t>
  </si>
  <si>
    <t>15:14:46</t>
  </si>
  <si>
    <t>18:49:04</t>
  </si>
  <si>
    <t>13:45:16</t>
  </si>
  <si>
    <t>12:45:38</t>
  </si>
  <si>
    <t>13:25:17</t>
  </si>
  <si>
    <t>19:10:07</t>
  </si>
  <si>
    <t>11:58:23</t>
  </si>
  <si>
    <t>13:30:40</t>
  </si>
  <si>
    <t>12:55:08</t>
  </si>
  <si>
    <t>12:16:47</t>
  </si>
  <si>
    <t>13:15:43</t>
  </si>
  <si>
    <t>15:16:15</t>
  </si>
  <si>
    <t>15:00:50</t>
  </si>
  <si>
    <t>12:00:42</t>
  </si>
  <si>
    <t>13:59:36</t>
  </si>
  <si>
    <t>17:00:53</t>
  </si>
  <si>
    <t>15:51:06</t>
  </si>
  <si>
    <t>11:20:24</t>
  </si>
  <si>
    <t>19:46:48</t>
  </si>
  <si>
    <t>23:20:59</t>
  </si>
  <si>
    <t>04:43:45</t>
  </si>
  <si>
    <t>22:48:47</t>
  </si>
  <si>
    <t>10:56:32</t>
  </si>
  <si>
    <t>11:00:44</t>
  </si>
  <si>
    <t>15:18:51</t>
  </si>
  <si>
    <t>22:30:49</t>
  </si>
  <si>
    <t>21:36:54</t>
  </si>
  <si>
    <t>15:46:01</t>
  </si>
  <si>
    <t>03:44:54</t>
  </si>
  <si>
    <t>19:00:30</t>
  </si>
  <si>
    <t>14:32:17</t>
  </si>
  <si>
    <t>11:27:15</t>
  </si>
  <si>
    <t>20:32:31</t>
  </si>
  <si>
    <t>20:31:09</t>
  </si>
  <si>
    <t>09:00:31</t>
  </si>
  <si>
    <t>-53,1153475,-14,541895 
-53,1153475,-13,6337419 
-51,824126,-13,6337419 
-51,824126,-14,541895 
-53,1153475,-14,541895</t>
  </si>
  <si>
    <t>-38,638212,-3,88818 
-38,638212,-3,691356 
-38,401568,-3,691356 
-38,401568,-3,88818 
-38,638212,-3,88818</t>
  </si>
  <si>
    <t>-51,3061478,-30,2688069 
-51,3061478,-29,9308654 
-51,012471,-29,9308654 
-51,012471,-30,2688069 
-51,3061478,-30,2688069</t>
  </si>
  <si>
    <t>-46,826039,-24,008814 
-46,826039,-23,356792 
-46,365052,-23,356792 
-46,365052,-24,008814 
-46,826039,-24,008814</t>
  </si>
  <si>
    <t>-50,572817,-22,711389 
-50,572817,-22,444263 
-50,302395,-22,444263 
-50,302395,-22,711389 
-50,572817,-22,711389</t>
  </si>
  <si>
    <t>-47,2450492,-23,06071 
-47,2450492,-22,729279 
-46,815387,-22,729279 
-46,815387,-23,06071 
-47,2450492,-23,06071</t>
  </si>
  <si>
    <t>-47,369249,-22,9037433 
-47,369249,-22,783889 
-47,154339,-22,783889 
-47,154339,-22,9037433 
-47,369249,-22,9037433</t>
  </si>
  <si>
    <t>-35,019805,-8,157554 
-35,019805,-7,929652 
-34,858893,-7,929652 
-34,858893,-8,157554 
-35,019805,-8,157554</t>
  </si>
  <si>
    <t>-48,623684,-1,526453 
-48,623684,-1,019406 
-48,295911,-1,019406 
-48,295911,-1,526453 
-48,623684,-1,526453</t>
  </si>
  <si>
    <t>-42,9706787,-5,5866025 
-42,9706787,-4,7860339 
-42,5989669,-4,7860339 
-42,5989669,-5,5866025 
-42,9706787,-5,5866025</t>
  </si>
  <si>
    <t>Brasil</t>
  </si>
  <si>
    <t>BR</t>
  </si>
  <si>
    <t>Água Boa, Brasil</t>
  </si>
  <si>
    <t>Fortaleza, Brasil</t>
  </si>
  <si>
    <t>Porto Alegre, Brasil</t>
  </si>
  <si>
    <t>São Paulo, Brasil</t>
  </si>
  <si>
    <t>Assis, Brasil</t>
  </si>
  <si>
    <t>Campinas, Brasil</t>
  </si>
  <si>
    <t>Sumaré, Brasil</t>
  </si>
  <si>
    <t>Recife, Brasil</t>
  </si>
  <si>
    <t>Belém, Brasil</t>
  </si>
  <si>
    <t>Teresina, Brasil</t>
  </si>
  <si>
    <t>e931294bf2dde4a2</t>
  </si>
  <si>
    <t>d16815010421ff73</t>
  </si>
  <si>
    <t>894146230dd1d42d</t>
  </si>
  <si>
    <t>68e019afec7d0ba5</t>
  </si>
  <si>
    <t>42e6f98f749a02e0</t>
  </si>
  <si>
    <t>0933c11f6b472a2b</t>
  </si>
  <si>
    <t>87dba8639bbe2f22</t>
  </si>
  <si>
    <t>f207b85be9f1513e</t>
  </si>
  <si>
    <t>f3587bc643e7d7b8</t>
  </si>
  <si>
    <t>8bc4eeacf63235f9</t>
  </si>
  <si>
    <t>Água Boa</t>
  </si>
  <si>
    <t>Fortaleza</t>
  </si>
  <si>
    <t>Porto Alegre</t>
  </si>
  <si>
    <t>São Paulo</t>
  </si>
  <si>
    <t>Assis</t>
  </si>
  <si>
    <t>Campinas</t>
  </si>
  <si>
    <t>Sumaré</t>
  </si>
  <si>
    <t>Recife</t>
  </si>
  <si>
    <t>Belém</t>
  </si>
  <si>
    <t>Teresina</t>
  </si>
  <si>
    <t>city</t>
  </si>
  <si>
    <t>3_1653909691662041090</t>
  </si>
  <si>
    <t>3_1675927217761558551</t>
  </si>
  <si>
    <t>3_1675632622381285380</t>
  </si>
  <si>
    <t>3_1675012859443437570</t>
  </si>
  <si>
    <t>3_1675011663580344320</t>
  </si>
  <si>
    <t>7_1672293117364453384</t>
  </si>
  <si>
    <t>3_1671263518132252674</t>
  </si>
  <si>
    <t>3_1637089509769715714 3_1637089509778108421 3_1637089509773922304</t>
  </si>
  <si>
    <t>3_1646214195908575248</t>
  </si>
  <si>
    <t>3_1641530962344288273</t>
  </si>
  <si>
    <t>3_1641168556644597767</t>
  </si>
  <si>
    <t>3_1640806095361921033</t>
  </si>
  <si>
    <t>3_1638900572366438409</t>
  </si>
  <si>
    <t>7_1673708228201390083</t>
  </si>
  <si>
    <t>7_1673451536746160128</t>
  </si>
  <si>
    <t>7_1674070592687951872</t>
  </si>
  <si>
    <t>7_1675822069651501056</t>
  </si>
  <si>
    <t>7_1674795330565701637</t>
  </si>
  <si>
    <t>7_1674432895526780929</t>
  </si>
  <si>
    <t>7_1675520131072507905</t>
  </si>
  <si>
    <t>7_1675157681525456896</t>
  </si>
  <si>
    <t>3_1656295856490917890 3_1656295869665226756 3_1656295884777299973 3_1656295903542628355</t>
  </si>
  <si>
    <t>7_1683472668274696193</t>
  </si>
  <si>
    <t>3_1687152861556195328</t>
  </si>
  <si>
    <t>3_1660629620243169280</t>
  </si>
  <si>
    <t>7_1665469865728131074</t>
  </si>
  <si>
    <t>7_1687934589967228929</t>
  </si>
  <si>
    <t>7_1685388877362601984</t>
  </si>
  <si>
    <t>7_1664696055798149120</t>
  </si>
  <si>
    <t>3_1610040346720800774</t>
  </si>
  <si>
    <t>3_1658435627937935362</t>
  </si>
  <si>
    <t>3_1670549560496668674</t>
  </si>
  <si>
    <t>3_1643281024468635650</t>
  </si>
  <si>
    <t>3_1659468634039758851</t>
  </si>
  <si>
    <t>3_1655514536118452224</t>
  </si>
  <si>
    <t>3_1671264490472521732</t>
  </si>
  <si>
    <t>3_1664656904302260224</t>
  </si>
  <si>
    <t>3_1682506682167963648</t>
  </si>
  <si>
    <t>3_1696329750707322880</t>
  </si>
  <si>
    <t>3_1665270613391310851</t>
  </si>
  <si>
    <t>7_1692117222754250752</t>
  </si>
  <si>
    <t>3_1666388567763873793</t>
  </si>
  <si>
    <t>3_1683472842736693248</t>
  </si>
  <si>
    <t>3_1656752482897260565</t>
  </si>
  <si>
    <t>3_1653092395389444111</t>
  </si>
  <si>
    <t>3_1643632732927406080</t>
  </si>
  <si>
    <t>3_1691157185668022272</t>
  </si>
  <si>
    <t>3_1684673654708199425</t>
  </si>
  <si>
    <t>3_1682483222691627008</t>
  </si>
  <si>
    <t>3_1679929798947160074</t>
  </si>
  <si>
    <t>3_1674900960290783232</t>
  </si>
  <si>
    <t>3_1670898455349166080</t>
  </si>
  <si>
    <t>3_1666802874985115650</t>
  </si>
  <si>
    <t>3_1653097098550603777</t>
  </si>
  <si>
    <t>3_1636018579605790724</t>
  </si>
  <si>
    <t>3_1635331072903847971 3_1635331072895459334</t>
  </si>
  <si>
    <t>3_1697692921506504704 3_1697692921502351360</t>
  </si>
  <si>
    <t>3_1674896104733769733</t>
  </si>
  <si>
    <t>3_1669786232685985793</t>
  </si>
  <si>
    <t>3_1664715973205581824</t>
  </si>
  <si>
    <t>3_1653061331585564672</t>
  </si>
  <si>
    <t>3_1631353516592594944 3_1631353516596838401 3_1631353516588425224 3_1631353516651339796</t>
  </si>
  <si>
    <t>3_1630242033498574851</t>
  </si>
  <si>
    <t>3_1701314105708052480</t>
  </si>
  <si>
    <t>3_1697598770911772674</t>
  </si>
  <si>
    <t>3_1679941067016208384</t>
  </si>
  <si>
    <t>3_1666822646003281922</t>
  </si>
  <si>
    <t>3_1639281388057767937 3_1639281388061966342 3_1639281388070359045 3_1639281388057772036</t>
  </si>
  <si>
    <t>3_1638549597227302913</t>
  </si>
  <si>
    <t>3_1701571058187313152</t>
  </si>
  <si>
    <t>3_1679958084012109827</t>
  </si>
  <si>
    <t>3_1646612346549293056</t>
  </si>
  <si>
    <t>3_1628398493378260993</t>
  </si>
  <si>
    <t>3_1626593151107608583 3_1626593151116013571</t>
  </si>
  <si>
    <t>3_1701579934261501952</t>
  </si>
  <si>
    <t>3_1691201433012416512</t>
  </si>
  <si>
    <t>3_1680314923681734661</t>
  </si>
  <si>
    <t>3_1677416060918669312</t>
  </si>
  <si>
    <t>3_1666876602846674945</t>
  </si>
  <si>
    <t>3_1645525103197782045</t>
  </si>
  <si>
    <t>3_1644312342505615362</t>
  </si>
  <si>
    <t>3_1614994373594300417 3_1614994373594210312</t>
  </si>
  <si>
    <t>3_1701722556053463040 3_1701722556049330176</t>
  </si>
  <si>
    <t>3_1646524202634162177</t>
  </si>
  <si>
    <t>3_1624070710833344515 3_1624070710824996865 3_1624070710820847618 3_1624070710971846656</t>
  </si>
  <si>
    <t>3_1704953917740564480</t>
  </si>
  <si>
    <t>3_1666816667937288192</t>
  </si>
  <si>
    <t>3_1658597750630490112</t>
  </si>
  <si>
    <t>7_1647672973900259328</t>
  </si>
  <si>
    <t>3_1675121346060374017</t>
  </si>
  <si>
    <t>3_1612887712641519637</t>
  </si>
  <si>
    <t>3_1612736786882600962</t>
  </si>
  <si>
    <t>7_1672288617429970944</t>
  </si>
  <si>
    <t>3_1610232011230253057 3_1610232012681404418 3_1610232014317256704 3_1610232016032636930</t>
  </si>
  <si>
    <t>16_1642099281984192512</t>
  </si>
  <si>
    <t>3_1636153033154347009</t>
  </si>
  <si>
    <t>3_1636152931194925056 3_1636152931572391939 3_1636152931975061505 3_1636152932327358465</t>
  </si>
  <si>
    <t>3_1636152785828757506 3_1636152785845485568 3_1636152786004975617 3_1636152786189529089</t>
  </si>
  <si>
    <t>3_1635766890944512004 3_1635766891208757250 3_1635766891481366528 3_1635766891720351745</t>
  </si>
  <si>
    <t>3_1635766795905712132 3_1635766795863744522 3_1635766796060958721 3_1635766796266381316</t>
  </si>
  <si>
    <t>3_1635415217743036423 3_1635415217822638080 3_1635415218049150977 3_1635415218212728832</t>
  </si>
  <si>
    <t>3_1635002697844682752</t>
  </si>
  <si>
    <t>3_1635002565745147907 3_1635002566151995392 3_1635002566860763138 3_1635002567095615488</t>
  </si>
  <si>
    <t>3_1635002431565185024 3_1635002431560986638 3_1635002431904833536 3_1635002432135520261</t>
  </si>
  <si>
    <t>3_1634703059933593601 3_1634703059937787904 3_1634703060009201664 3_1634703060218830853</t>
  </si>
  <si>
    <t>3_1669288602126233602</t>
  </si>
  <si>
    <t>3_1650931591068131346</t>
  </si>
  <si>
    <t>3_1666085674297225220</t>
  </si>
  <si>
    <t>3_1642294062605561857</t>
  </si>
  <si>
    <t>3_1697792670637117440</t>
  </si>
  <si>
    <t>3_1636052351621505025 3_1636052351621496834 3_1636052351881445378 3_1636052352162562051</t>
  </si>
  <si>
    <t>3_1644727947322970118</t>
  </si>
  <si>
    <t>3_1641816088403931137</t>
  </si>
  <si>
    <t>3_1641104492274778115</t>
  </si>
  <si>
    <t>3_1634600730743930889 3_1634600730727264258 3_1634600730903412738 3_1634600731188555785</t>
  </si>
  <si>
    <t>3_1634239068241313813 3_1634239068249702426 3_1634239068300034059 3_1634239068480389143</t>
  </si>
  <si>
    <t>3_1692269955893391360</t>
  </si>
  <si>
    <t>3_1654516473233039362</t>
  </si>
  <si>
    <t>3_1654471308187521027</t>
  </si>
  <si>
    <t>3_1698834571968524288 3_1698834575378538496 3_1698834579530932224 3_1698834582726979584</t>
  </si>
  <si>
    <t>7_1702653239001325569</t>
  </si>
  <si>
    <t>7_1703741475702378496</t>
  </si>
  <si>
    <t>7_1702094306733957120</t>
  </si>
  <si>
    <t>7_1699802772479045632</t>
  </si>
  <si>
    <t>7_1666468989218828288</t>
  </si>
  <si>
    <t>7_1664341273342361600</t>
  </si>
  <si>
    <t>7_1666474818454126592</t>
  </si>
  <si>
    <t>3_1625057254490636288</t>
  </si>
  <si>
    <t>3_1624694858127486977</t>
  </si>
  <si>
    <t>3_1659121786108125184</t>
  </si>
  <si>
    <t>3_1666731940634869761</t>
  </si>
  <si>
    <t>3_1675429247261851648</t>
  </si>
  <si>
    <t>3_1626506814081667072</t>
  </si>
  <si>
    <t>7_1621259846979883011</t>
  </si>
  <si>
    <t>3_1640707903790239745</t>
  </si>
  <si>
    <t>3_1664627534045097985</t>
  </si>
  <si>
    <t>3_1678565886989328384</t>
  </si>
  <si>
    <t>3_1671556039399862274</t>
  </si>
  <si>
    <t>3_1690010364493070336 3_1690010387565932545</t>
  </si>
  <si>
    <t>3_1699100455278698499 3_1699100470420135936 3_1699100487893606404 3_1699100504096202756</t>
  </si>
  <si>
    <t>3_1654550167427637252</t>
  </si>
  <si>
    <t>3_1612856022355382291</t>
  </si>
  <si>
    <t>3_1666445683304411138</t>
  </si>
  <si>
    <t>3_1681023365866299393</t>
  </si>
  <si>
    <t>3_1631680791083200514</t>
  </si>
  <si>
    <t>3_1698456041418100737</t>
  </si>
  <si>
    <t>7_1669440951574581269</t>
  </si>
  <si>
    <t>3_1662473955238723587</t>
  </si>
  <si>
    <t>7_1674749821230407680</t>
  </si>
  <si>
    <t>7_1673300261362708482</t>
  </si>
  <si>
    <t>7_1672922781669810178</t>
  </si>
  <si>
    <t>7_1672575456413974528</t>
  </si>
  <si>
    <t>7_1653097180473827329</t>
  </si>
  <si>
    <t>7_1652734773092032513</t>
  </si>
  <si>
    <t>7_1652010002314346502</t>
  </si>
  <si>
    <t>7_1651647610640277527</t>
  </si>
  <si>
    <t>7_1674025031695843331</t>
  </si>
  <si>
    <t>7_1673677740841607172</t>
  </si>
  <si>
    <t>7_1666414889907154947</t>
  </si>
  <si>
    <t>7_1654184308976898051</t>
  </si>
  <si>
    <t>7_1674372341575438336</t>
  </si>
  <si>
    <t>3_1623788973251260420</t>
  </si>
  <si>
    <t>7_1675474592050102274</t>
  </si>
  <si>
    <t>7_1675127287082041345</t>
  </si>
  <si>
    <t>7_1663878240337899521</t>
  </si>
  <si>
    <t>7_1649518586824728580</t>
  </si>
  <si>
    <t>3_1645403075497082880</t>
  </si>
  <si>
    <t>3_1695307433466318848 3_1695307486012506112</t>
  </si>
  <si>
    <t>3_1664655439605186562</t>
  </si>
  <si>
    <t>3_1633092993082089478</t>
  </si>
  <si>
    <t>3_1613818734061228033</t>
  </si>
  <si>
    <t>3_1643373709829324802</t>
  </si>
  <si>
    <t>3_1623495534546747392</t>
  </si>
  <si>
    <t>3_1668672874100473877</t>
  </si>
  <si>
    <t>3_1644384696086691868</t>
  </si>
  <si>
    <t>3_1687128938751934464 3_1687128938751881216</t>
  </si>
  <si>
    <t>3_1676954944233168896</t>
  </si>
  <si>
    <t>3_1679473731637329922</t>
  </si>
  <si>
    <t>3_1610939123145277441</t>
  </si>
  <si>
    <t>3_1609759936468099072 3_1609759936484884480 3_1609759936472309760 3_1609759973755461633</t>
  </si>
  <si>
    <t>3_1682377119509147650</t>
  </si>
  <si>
    <t>3_1704174646998773760 3_1704174646990372864</t>
  </si>
  <si>
    <t>16_1628149678725292032</t>
  </si>
  <si>
    <t>3_1671340256648482816</t>
  </si>
  <si>
    <t>3_1642272694304481283</t>
  </si>
  <si>
    <t>3_1617994466131955739 3_1617994466047967232</t>
  </si>
  <si>
    <t>16_1620413057108418560</t>
  </si>
  <si>
    <t>3_1634162309659590656</t>
  </si>
  <si>
    <t>3_1650593230222663694</t>
  </si>
  <si>
    <t>3_1629678450641367045</t>
  </si>
  <si>
    <t>3_1629678138283180034</t>
  </si>
  <si>
    <t>3_1629678038186074114</t>
  </si>
  <si>
    <t>3_1647939668497801217</t>
  </si>
  <si>
    <t>3_1646850440796024833</t>
  </si>
  <si>
    <t>3_1646573121887928320</t>
  </si>
  <si>
    <t>3_1660620780294512641</t>
  </si>
  <si>
    <t>3_1665700392124968962</t>
  </si>
  <si>
    <t>3_1665095537043832832</t>
  </si>
  <si>
    <t>3_1653370798680276993</t>
  </si>
  <si>
    <t>3_1651926561778434048</t>
  </si>
  <si>
    <t>3_1667148502885859330</t>
  </si>
  <si>
    <t>3_1666786296625258498</t>
  </si>
  <si>
    <t>3_1666416858268934144</t>
  </si>
  <si>
    <t>3_1679462736755818497</t>
  </si>
  <si>
    <t>3_1669677781079187458</t>
  </si>
  <si>
    <t>3_1662077071739301888</t>
  </si>
  <si>
    <t>3_1646570718488928257</t>
  </si>
  <si>
    <t>3_1646552634214567936</t>
  </si>
  <si>
    <t>3_1646216922487291904</t>
  </si>
  <si>
    <t>3_1678750205896695808</t>
  </si>
  <si>
    <t>3_1674756264503508992</t>
  </si>
  <si>
    <t>3_1668604261284839424</t>
  </si>
  <si>
    <t>3_1668235715019169793</t>
  </si>
  <si>
    <t>3_1684880837651951616</t>
  </si>
  <si>
    <t>3_1683241492930854915</t>
  </si>
  <si>
    <t>3_1679090546902458368</t>
  </si>
  <si>
    <t>3_1671516415361204227</t>
  </si>
  <si>
    <t>3_1683077014658469889</t>
  </si>
  <si>
    <t>3_1681988656733593601</t>
  </si>
  <si>
    <t>3_1681970568768225280</t>
  </si>
  <si>
    <t>3_1681140269343703040</t>
  </si>
  <si>
    <t>3_1678446874808786944</t>
  </si>
  <si>
    <t>3_1674387835120504833</t>
  </si>
  <si>
    <t>7_1674153873194229760</t>
  </si>
  <si>
    <t>3_1670775438266757120</t>
  </si>
  <si>
    <t>3_1692134349691351040</t>
  </si>
  <si>
    <t>3_1686669031191855104</t>
  </si>
  <si>
    <t>3_1685248702309392384</t>
  </si>
  <si>
    <t>7_1685117722953179136</t>
  </si>
  <si>
    <t>3_1684962879278129161</t>
  </si>
  <si>
    <t>7_1684621704830586880</t>
  </si>
  <si>
    <t>3_1680907047385153536</t>
  </si>
  <si>
    <t>3_1680712840125067265</t>
  </si>
  <si>
    <t>3_1680524254826180609</t>
  </si>
  <si>
    <t>3_1680141810243457024</t>
  </si>
  <si>
    <t>3_1676922477950259200</t>
  </si>
  <si>
    <t>3_1676553289335205890</t>
  </si>
  <si>
    <t>3_1673296094875328513</t>
  </si>
  <si>
    <t>3_1672994630705508352</t>
  </si>
  <si>
    <t>3_1672599834694434823</t>
  </si>
  <si>
    <t>3_1671928431200682011</t>
  </si>
  <si>
    <t>3_1691406024370966528</t>
  </si>
  <si>
    <t>3_1691197012916523009</t>
  </si>
  <si>
    <t>3_1690836911043014658</t>
  </si>
  <si>
    <t>3_1688880963793653760</t>
  </si>
  <si>
    <t>3_1688855182027743233</t>
  </si>
  <si>
    <t>3_1688520051383578624</t>
  </si>
  <si>
    <t>3_1688210191655804929</t>
  </si>
  <si>
    <t>3_1684530781555662848</t>
  </si>
  <si>
    <t>3_1684258700708519941</t>
  </si>
  <si>
    <t>3_1683975457652211712</t>
  </si>
  <si>
    <t>3_1683836988515037184</t>
  </si>
  <si>
    <t>3_1683637030553616384</t>
  </si>
  <si>
    <t>3_1679789750859837444</t>
  </si>
  <si>
    <t>3_1675815033295589376</t>
  </si>
  <si>
    <t>3_1670377324200574978</t>
  </si>
  <si>
    <t>3_1670128725373992961</t>
  </si>
  <si>
    <t>3_1701253860117860352</t>
  </si>
  <si>
    <t>3_1694696803797463040</t>
  </si>
  <si>
    <t>3_1690310216405909504</t>
  </si>
  <si>
    <t>3_1689950862100062208</t>
  </si>
  <si>
    <t>3_1687398908698284032</t>
  </si>
  <si>
    <t>3_1686752474244243457</t>
  </si>
  <si>
    <t>3_1682726465538781184</t>
  </si>
  <si>
    <t>3_1682364471438704640</t>
  </si>
  <si>
    <t>3_1678731919188537345</t>
  </si>
  <si>
    <t>3_1674717115947917312</t>
  </si>
  <si>
    <t>3_1702373303183163392</t>
  </si>
  <si>
    <t>3_1691558355557396481</t>
  </si>
  <si>
    <t>3_1689607825549320193</t>
  </si>
  <si>
    <t>3_1689307881508651008</t>
  </si>
  <si>
    <t>3_1686342652009009152</t>
  </si>
  <si>
    <t>3_1685967977995284480</t>
  </si>
  <si>
    <t>3_1681629811645480960</t>
  </si>
  <si>
    <t>3_1681253643180290048</t>
  </si>
  <si>
    <t>3_1677349034015481858</t>
  </si>
  <si>
    <t>3_1674015403306098693</t>
  </si>
  <si>
    <t>3_1673662187099897858</t>
  </si>
  <si>
    <t>3_1673503957233070080</t>
  </si>
  <si>
    <t>3_1703003020387115008</t>
  </si>
  <si>
    <t>3_1702086125731381248</t>
  </si>
  <si>
    <t>3_1687765446357815297</t>
  </si>
  <si>
    <t>7_1687406431551537152</t>
  </si>
  <si>
    <t>3_1685596698796560384</t>
  </si>
  <si>
    <t>3_1683262981692375040</t>
  </si>
  <si>
    <t>3_1683251513441890306</t>
  </si>
  <si>
    <t>3_1683194634070007817</t>
  </si>
  <si>
    <t>3_1679425696056201216</t>
  </si>
  <si>
    <t>3_1679284084961431553</t>
  </si>
  <si>
    <t>3_1671114172925456384</t>
  </si>
  <si>
    <t>7_1664612941537193991</t>
  </si>
  <si>
    <t>3_1613649726032814108</t>
  </si>
  <si>
    <t>7_1662197040221151235</t>
  </si>
  <si>
    <t>3_1695149153360199680</t>
  </si>
  <si>
    <t>3_1677012101884428289</t>
  </si>
  <si>
    <t>3_1637453913346527234</t>
  </si>
  <si>
    <t>3_1676941249457139719</t>
  </si>
  <si>
    <t>3_1676272623049662464</t>
  </si>
  <si>
    <t>3_1675873668524568576</t>
  </si>
  <si>
    <t>3_1678827752282025995</t>
  </si>
  <si>
    <t>3_1674388080986411010</t>
  </si>
  <si>
    <t>3_1681697687588970498</t>
  </si>
  <si>
    <t>3_1658555079304118274</t>
  </si>
  <si>
    <t>3_1668052505018630151</t>
  </si>
  <si>
    <t>3_1669865525751554051</t>
  </si>
  <si>
    <t>3_1646326783879380992</t>
  </si>
  <si>
    <t>3_1652047588789461006</t>
  </si>
  <si>
    <t>3_1649830038206918657</t>
  </si>
  <si>
    <t>3_1649504865360461825</t>
  </si>
  <si>
    <t>3_1649120829798481929</t>
  </si>
  <si>
    <t>7_1684561616283766784</t>
  </si>
  <si>
    <t>3_1653368929681588225</t>
  </si>
  <si>
    <t>3_1616990662657802240</t>
  </si>
  <si>
    <t>3_1610598595043926018</t>
  </si>
  <si>
    <t>3_1704147542450360320</t>
  </si>
  <si>
    <t>3_1644091822946304002</t>
  </si>
  <si>
    <t>3_1643296171379548168</t>
  </si>
  <si>
    <t>3_1643293478791553024</t>
  </si>
  <si>
    <t>7_1654547373765345281</t>
  </si>
  <si>
    <t>7_1654551361751588866</t>
  </si>
  <si>
    <t>3_1654534839243087874</t>
  </si>
  <si>
    <t>7_1653395372633468930</t>
  </si>
  <si>
    <t>7_1651927648191361027</t>
  </si>
  <si>
    <t>7_1692342315182874624</t>
  </si>
  <si>
    <t>7_1634152162358882305</t>
  </si>
  <si>
    <t>3_1620572918215331842 3_1620572918223601668 3_1620572918232006657 3_1620572918223720453</t>
  </si>
  <si>
    <t>3_1620572908610355205 3_1620572908631343108 3_1620572908618715137</t>
  </si>
  <si>
    <t>3_1691053174407258112</t>
  </si>
  <si>
    <t>3_1660715923592847377</t>
  </si>
  <si>
    <t>3_1658578326821261313</t>
  </si>
  <si>
    <t>3_1653504863991484429</t>
  </si>
  <si>
    <t>3_1650968163218014210</t>
  </si>
  <si>
    <t>3_1648069034565402624</t>
  </si>
  <si>
    <t>3_1646619474328444931</t>
  </si>
  <si>
    <t>3_1643360344843190276</t>
  </si>
  <si>
    <t>3_1633935829654446084</t>
  </si>
  <si>
    <t>3_1633573414844657668</t>
  </si>
  <si>
    <t>3_1633211055915540480</t>
  </si>
  <si>
    <t>3_1624151357014802432</t>
  </si>
  <si>
    <t>3_1623788980440338435</t>
  </si>
  <si>
    <t>3_1620527464312086529</t>
  </si>
  <si>
    <t>3_1617628367196389377</t>
  </si>
  <si>
    <t>3_1616181239953637395</t>
  </si>
  <si>
    <t>3_1615817562243178509</t>
  </si>
  <si>
    <t>3_1661114985227886632</t>
  </si>
  <si>
    <t>3_1651330533505335298</t>
  </si>
  <si>
    <t>3_1646981894687412228</t>
  </si>
  <si>
    <t>3_1634299898840457218</t>
  </si>
  <si>
    <t>3_1625600899883098112</t>
  </si>
  <si>
    <t>3_1625238579164114962</t>
  </si>
  <si>
    <t>3_1621614633474818049</t>
  </si>
  <si>
    <t>3_1621253544484524032</t>
  </si>
  <si>
    <t>3_1620889864316100627</t>
  </si>
  <si>
    <t>3_1620165175595655168</t>
  </si>
  <si>
    <t>3_1619080318517911570</t>
  </si>
  <si>
    <t>3_1618715530470334475</t>
  </si>
  <si>
    <t>3_1618361824260366340</t>
  </si>
  <si>
    <t>3_1617991890003021841</t>
  </si>
  <si>
    <t>3_1677422428367077376</t>
  </si>
  <si>
    <t>3_1677060043286405127</t>
  </si>
  <si>
    <t>3_1673798584305696768</t>
  </si>
  <si>
    <t>3_1673436174378061824</t>
  </si>
  <si>
    <t>3_1666550811034353665</t>
  </si>
  <si>
    <t>3_1655679187590471681</t>
  </si>
  <si>
    <t>3_1654229652561444867</t>
  </si>
  <si>
    <t>3_1636834954922344451</t>
  </si>
  <si>
    <t>3_1636472555727986696</t>
  </si>
  <si>
    <t>3_1636110158802694144</t>
  </si>
  <si>
    <t>3_1635747759637536772</t>
  </si>
  <si>
    <t>3_1635385415661223937</t>
  </si>
  <si>
    <t>3_1679596763584364544</t>
  </si>
  <si>
    <t>3_1675972867278684162</t>
  </si>
  <si>
    <t>3_1669812287329189888</t>
  </si>
  <si>
    <t>3_1669812280341479425</t>
  </si>
  <si>
    <t>3_1669449932355301389</t>
  </si>
  <si>
    <t>3_1663651726111506435</t>
  </si>
  <si>
    <t>3_1663289352108097536</t>
  </si>
  <si>
    <t>3_1662202201383501827</t>
  </si>
  <si>
    <t>3_1661839790658953236</t>
  </si>
  <si>
    <t>3_1661477400285175808</t>
  </si>
  <si>
    <t>3_1646258255981682691</t>
  </si>
  <si>
    <t>3_1645894726841692163</t>
  </si>
  <si>
    <t>3_1645532333578018817</t>
  </si>
  <si>
    <t>3_1644082803343065091</t>
  </si>
  <si>
    <t>3_1643720427599020034</t>
  </si>
  <si>
    <t>3_1615454175520858119</t>
  </si>
  <si>
    <t>3_1615091626841448461</t>
  </si>
  <si>
    <t>3_1614004514255736832</t>
  </si>
  <si>
    <t>3_1613642252823191552</t>
  </si>
  <si>
    <t>3_1613279718211469312</t>
  </si>
  <si>
    <t>3_1612917328512950272</t>
  </si>
  <si>
    <t>3_1612555058457071632</t>
  </si>
  <si>
    <t>3_1611467822277722114</t>
  </si>
  <si>
    <t>3_1679234378252144642</t>
  </si>
  <si>
    <t>3_1671627931116875776</t>
  </si>
  <si>
    <t>3_1671261847335346177</t>
  </si>
  <si>
    <t>3_1664737476307501061</t>
  </si>
  <si>
    <t>3_1664376484536938496</t>
  </si>
  <si>
    <t>3_1664014124521607174</t>
  </si>
  <si>
    <t>3_1650605773737566216</t>
  </si>
  <si>
    <t>3_1649158568707235844</t>
  </si>
  <si>
    <t>3_1648793809986174977</t>
  </si>
  <si>
    <t>3_1648431419088162818</t>
  </si>
  <si>
    <t>3_1629223037156335619</t>
  </si>
  <si>
    <t>3_1628862399615729664</t>
  </si>
  <si>
    <t>3_1628500009069969410</t>
  </si>
  <si>
    <t>3_1626688069544861696</t>
  </si>
  <si>
    <t>3_1626325694769684480</t>
  </si>
  <si>
    <t>3_1625963313459855360</t>
  </si>
  <si>
    <t>3_1681050644646436864</t>
  </si>
  <si>
    <t>3_1674160943666692097</t>
  </si>
  <si>
    <t>3_1670899478608347137</t>
  </si>
  <si>
    <t>3_1659665451448778755</t>
  </si>
  <si>
    <t>3_1659303050698280961</t>
  </si>
  <si>
    <t>3_1658940673704198147</t>
  </si>
  <si>
    <t>3_1642995622474129408</t>
  </si>
  <si>
    <t>3_1641908452015448066</t>
  </si>
  <si>
    <t>3_1641546096278224896</t>
  </si>
  <si>
    <t>3_1623426680617328650</t>
  </si>
  <si>
    <t>3_1623064194470801425</t>
  </si>
  <si>
    <t>3_1622701797461688341</t>
  </si>
  <si>
    <t>3_1611105403277922309</t>
  </si>
  <si>
    <t>3_1610743033623871494</t>
  </si>
  <si>
    <t>3_1610380678687768579</t>
  </si>
  <si>
    <t>3_1610018242575142913</t>
  </si>
  <si>
    <t>3_1686845722438578177</t>
  </si>
  <si>
    <t>3_1678870590428463104</t>
  </si>
  <si>
    <t>3_1674885750804955141</t>
  </si>
  <si>
    <t>3_1674523335122731014</t>
  </si>
  <si>
    <t>3_1668725498682171392</t>
  </si>
  <si>
    <t>3_1668362746658713615</t>
  </si>
  <si>
    <t>3_1657129897423142916</t>
  </si>
  <si>
    <t>3_1656766365808865282</t>
  </si>
  <si>
    <t>3_1656403950424276995</t>
  </si>
  <si>
    <t>3_1656041571765108737</t>
  </si>
  <si>
    <t>3_1641183670772854791</t>
  </si>
  <si>
    <t>3_1640821208739446790</t>
  </si>
  <si>
    <t>3_1640458942651199491</t>
  </si>
  <si>
    <t>3_1639371635743440896</t>
  </si>
  <si>
    <t>3_1639009257986088963</t>
  </si>
  <si>
    <t>3_1638646865473224704</t>
  </si>
  <si>
    <t>3_1638284486868627456</t>
  </si>
  <si>
    <t>3_1637922119265710080</t>
  </si>
  <si>
    <t>3_1686483308748673025</t>
  </si>
  <si>
    <t>3_1676698892216287232</t>
  </si>
  <si>
    <t>3_1676335266229780480</t>
  </si>
  <si>
    <t>3_1672349037272481792</t>
  </si>
  <si>
    <t>3_1666188465585651712</t>
  </si>
  <si>
    <t>3_1665828424194064384</t>
  </si>
  <si>
    <t>3_1652055291028987904</t>
  </si>
  <si>
    <t>3_1651692946444414976</t>
  </si>
  <si>
    <t>3_1632848672089145442</t>
  </si>
  <si>
    <t>3_1631761508421050368</t>
  </si>
  <si>
    <t>3_1631761502746148864</t>
  </si>
  <si>
    <t>3_1631761496878219264</t>
  </si>
  <si>
    <t>3_1631037921250668544</t>
  </si>
  <si>
    <t>3_1630674326729924609</t>
  </si>
  <si>
    <t>3_1630310598729687042</t>
  </si>
  <si>
    <t>3_1627810356293672960 3_1627810356335718402</t>
  </si>
  <si>
    <t>3_1673375849897246751</t>
  </si>
  <si>
    <t>3_1653804801971441664</t>
  </si>
  <si>
    <t>3_1623310211657134081</t>
  </si>
  <si>
    <t>7_1676214101616254977</t>
  </si>
  <si>
    <t>3_1615454175692824583</t>
  </si>
  <si>
    <t>3_1615091626266791937</t>
  </si>
  <si>
    <t>3_1614004512854769666</t>
  </si>
  <si>
    <t>3_1613642250465992704</t>
  </si>
  <si>
    <t>3_1613279717364322312</t>
  </si>
  <si>
    <t>3_1612917327523094542</t>
  </si>
  <si>
    <t>3_1612555055625916432</t>
  </si>
  <si>
    <t>3_1611467821506076672</t>
  </si>
  <si>
    <t>3_1641546095586168834</t>
  </si>
  <si>
    <t>3_1623788978913652736</t>
  </si>
  <si>
    <t>3_1623426678381748224</t>
  </si>
  <si>
    <t>3_1623064192646279179</t>
  </si>
  <si>
    <t>3_1622701806504607744</t>
  </si>
  <si>
    <t>3_1611105403072401410</t>
  </si>
  <si>
    <t>3_1610743033024086045</t>
  </si>
  <si>
    <t>3_1610380677777612808</t>
  </si>
  <si>
    <t>3_1610018241115570177</t>
  </si>
  <si>
    <t>3_1629223037231849476</t>
  </si>
  <si>
    <t>3_1628862398135148549</t>
  </si>
  <si>
    <t>3_1628500008734494720</t>
  </si>
  <si>
    <t>3_1626688067967897623</t>
  </si>
  <si>
    <t>3_1626325693494591489</t>
  </si>
  <si>
    <t>3_1625963301501865984</t>
  </si>
  <si>
    <t>3_1636834954293157888</t>
  </si>
  <si>
    <t>3_1636472554318704647</t>
  </si>
  <si>
    <t>3_1636110157783367689</t>
  </si>
  <si>
    <t>3_1635747756936515598</t>
  </si>
  <si>
    <t>3_1635385413958356992</t>
  </si>
  <si>
    <t>3_1634299898345529352</t>
  </si>
  <si>
    <t>3_1625600898209554441</t>
  </si>
  <si>
    <t>3_1625238577608024066</t>
  </si>
  <si>
    <t>3_1621614632455622656</t>
  </si>
  <si>
    <t>3_1621253541628198912</t>
  </si>
  <si>
    <t>3_1620889863863115806</t>
  </si>
  <si>
    <t>3_1620165175084032039</t>
  </si>
  <si>
    <t>3_1619080319554011136</t>
  </si>
  <si>
    <t>3_1618715528717115413</t>
  </si>
  <si>
    <t>3_1618361824042262540</t>
  </si>
  <si>
    <t>3_1617991890107768832</t>
  </si>
  <si>
    <t>3_1633211055642902531</t>
  </si>
  <si>
    <t>3_1632848671338364935</t>
  </si>
  <si>
    <t>3_1631761507959689226</t>
  </si>
  <si>
    <t>3_1631761502368661504</t>
  </si>
  <si>
    <t>3_1631761495494123523</t>
  </si>
  <si>
    <t>3_1631036735638339584</t>
  </si>
  <si>
    <t>3_1630674324993482753</t>
  </si>
  <si>
    <t>3_1630310597752504320</t>
  </si>
  <si>
    <t>3_1641183668893896704</t>
  </si>
  <si>
    <t>3_1640821207556603908</t>
  </si>
  <si>
    <t>3_1640458940474445824</t>
  </si>
  <si>
    <t>3_1639371635072303106</t>
  </si>
  <si>
    <t>3_1639009256321032195</t>
  </si>
  <si>
    <t>3_1638646864261140481</t>
  </si>
  <si>
    <t>3_1638284485757136903</t>
  </si>
  <si>
    <t>3_1637922118451986434</t>
  </si>
  <si>
    <t>3_1633935829620981761</t>
  </si>
  <si>
    <t>3_1633573426081284096</t>
  </si>
  <si>
    <t>3_1624151356259942401</t>
  </si>
  <si>
    <t>3_1620527463032913922</t>
  </si>
  <si>
    <t>3_1617628366193975296</t>
  </si>
  <si>
    <t>3_1616181239211245616</t>
  </si>
  <si>
    <t>3_1615817562121551872</t>
  </si>
  <si>
    <t>3_1643614380322373636</t>
  </si>
  <si>
    <t>7_1659213011431858177</t>
  </si>
  <si>
    <t>7_1700226891502784512</t>
  </si>
  <si>
    <t>3_1705265818030817280</t>
  </si>
  <si>
    <t>3_1689456851622965248</t>
  </si>
  <si>
    <t>3_1689062806350450688 3_1689062806358761472 3_1689062806337859584</t>
  </si>
  <si>
    <t>7_1638964215028281344</t>
  </si>
  <si>
    <t>7_1647268874180493312</t>
  </si>
  <si>
    <t>3_1618382256992575494</t>
  </si>
  <si>
    <t>3_1654337620917334019</t>
  </si>
  <si>
    <t>3_1653543494588178432</t>
  </si>
  <si>
    <t>3_1685327798179684352</t>
  </si>
  <si>
    <t>7_1671591841181966366</t>
  </si>
  <si>
    <t>3_1671150427310522368</t>
  </si>
  <si>
    <t>3_1686711831820144640</t>
  </si>
  <si>
    <t>3_1684675945532174337</t>
  </si>
  <si>
    <t>3_1676927604878716931</t>
  </si>
  <si>
    <t>3_1695232213430759424</t>
  </si>
  <si>
    <t>3_1704290403451564032</t>
  </si>
  <si>
    <t>7_1657180664427421696</t>
  </si>
  <si>
    <t>3_1656100074722668546</t>
  </si>
  <si>
    <t>7_1655691562150445059</t>
  </si>
  <si>
    <t>3_1679183580029657088</t>
  </si>
  <si>
    <t>3_1650097942383013895</t>
  </si>
  <si>
    <t>3_1650970501601284097</t>
  </si>
  <si>
    <t>3_1668983384436092928</t>
  </si>
  <si>
    <t>3_1674029625901563908</t>
  </si>
  <si>
    <t>7_1633595213938606080</t>
  </si>
  <si>
    <t>7_1673798497223557120</t>
  </si>
  <si>
    <t>7_1673451535345303556</t>
  </si>
  <si>
    <t>7_1675822069798383616</t>
  </si>
  <si>
    <t>7_1675610653074026496</t>
  </si>
  <si>
    <t>7_1674161085975261186</t>
  </si>
  <si>
    <t>7_1674885920405745666</t>
  </si>
  <si>
    <t>7_1674523501363953664</t>
  </si>
  <si>
    <t>7_1675248641424908295</t>
  </si>
  <si>
    <t>3_1704558368768061440</t>
  </si>
  <si>
    <t>3_1686844841039130624</t>
  </si>
  <si>
    <t>7_1697593339397156864</t>
  </si>
  <si>
    <t>3_1659018529083912192</t>
  </si>
  <si>
    <t>3_1658804753487347714</t>
  </si>
  <si>
    <t>3_1669696406662135810</t>
  </si>
  <si>
    <t>3_1678736081229938689</t>
  </si>
  <si>
    <t>3_1674751009069858816</t>
  </si>
  <si>
    <t>3_1658091227328159744</t>
  </si>
  <si>
    <t>3_1656287557678661634</t>
  </si>
  <si>
    <t>3_1622364479240519683</t>
  </si>
  <si>
    <t>3_1615729569067147264</t>
  </si>
  <si>
    <t>3_1704677323969105920</t>
  </si>
  <si>
    <t>3_1642866861892091905 3_1642866862550646788 3_1642866862332452864 3_1642866862210834437</t>
  </si>
  <si>
    <t>3_1663161047283376129</t>
  </si>
  <si>
    <t>3_1645395979233906691</t>
  </si>
  <si>
    <t>3_1686127098698584064</t>
  </si>
  <si>
    <t>7_1679468142328676353</t>
  </si>
  <si>
    <t>7_1680012872728956929</t>
  </si>
  <si>
    <t>3_1676282409845661698</t>
  </si>
  <si>
    <t>7_1679190183785250816</t>
  </si>
  <si>
    <t>3_1627760259078017036</t>
  </si>
  <si>
    <t>3_1706975192340217856</t>
  </si>
  <si>
    <t>7_1680756966430326785</t>
  </si>
  <si>
    <t>3_1655906518733135872</t>
  </si>
  <si>
    <t>7_1655538258669981697</t>
  </si>
  <si>
    <t>7_1655281073226383360</t>
  </si>
  <si>
    <t>3_1702691848433864704</t>
  </si>
  <si>
    <t>3_1652764844544651264</t>
  </si>
  <si>
    <t>3_1666078805470101504</t>
  </si>
  <si>
    <t>3_1665701410648801288</t>
  </si>
  <si>
    <t>3_1668972876240769025</t>
  </si>
  <si>
    <t>3_1668334881925914633</t>
  </si>
  <si>
    <t>3_1676199352425934849</t>
  </si>
  <si>
    <t>3_1675836379912077317</t>
  </si>
  <si>
    <t>3_1669699008283959297</t>
  </si>
  <si>
    <t>3_1669327678057467906</t>
  </si>
  <si>
    <t>3_1679102499716751361</t>
  </si>
  <si>
    <t>3_1671110840471232513</t>
  </si>
  <si>
    <t>3_1663897041695539201</t>
  </si>
  <si>
    <t>3_1678422888045592578</t>
  </si>
  <si>
    <t>3_1676969456474685440</t>
  </si>
  <si>
    <t>3_1674387411533459463</t>
  </si>
  <si>
    <t>3_1670793454601773060</t>
  </si>
  <si>
    <t>3_1686421753722032128</t>
  </si>
  <si>
    <t>3_1681693151440822272</t>
  </si>
  <si>
    <t>3_1623642963569000448</t>
  </si>
  <si>
    <t>3_1707173519182688256</t>
  </si>
  <si>
    <t>3_1678988449615888385</t>
  </si>
  <si>
    <t>3_1649902507009667078</t>
  </si>
  <si>
    <t>3_1675097096725118976</t>
  </si>
  <si>
    <t>7_1678532203452432388</t>
  </si>
  <si>
    <t>3_1693650671063515136</t>
  </si>
  <si>
    <t>3_1661216403049926661</t>
  </si>
  <si>
    <t>3_1660721568090148864</t>
  </si>
  <si>
    <t>3_1677278093772201984</t>
  </si>
  <si>
    <t>3_1644626259572400130</t>
  </si>
  <si>
    <t>1664652122191720450</t>
  </si>
  <si>
    <t>1684590399807971330</t>
  </si>
  <si>
    <t>1689641728029196291</t>
  </si>
  <si>
    <t>1682028883410059271</t>
  </si>
  <si>
    <t>1678768611098505216</t>
  </si>
  <si>
    <t>1668623289525366786</t>
  </si>
  <si>
    <t>1688916201152606211</t>
  </si>
  <si>
    <t>1683847357199155200</t>
  </si>
  <si>
    <t>1697253292634698099</t>
  </si>
  <si>
    <t>1666084232081596421</t>
  </si>
  <si>
    <t>1704135799954939958</t>
  </si>
  <si>
    <t>1699064737387221367</t>
  </si>
  <si>
    <t>1691449228579811328</t>
  </si>
  <si>
    <t>1681305629032587272</t>
  </si>
  <si>
    <t>1645113537444864004</t>
  </si>
  <si>
    <t>1660275319176331266</t>
  </si>
  <si>
    <t>1704884754829484445</t>
  </si>
  <si>
    <t>1653909708934184961</t>
  </si>
  <si>
    <t>1667945185467146241</t>
  </si>
  <si>
    <t>1667944812836794368</t>
  </si>
  <si>
    <t>1620440206481698817</t>
  </si>
  <si>
    <t>1620770172452868100</t>
  </si>
  <si>
    <t>1675929587258195968</t>
  </si>
  <si>
    <t>1675927219762241553</t>
  </si>
  <si>
    <t>1675632625166213121</t>
  </si>
  <si>
    <t>1675012861502844928</t>
  </si>
  <si>
    <t>1675011665799118848</t>
  </si>
  <si>
    <t>1629288583788937217</t>
  </si>
  <si>
    <t>1672294880826015757</t>
  </si>
  <si>
    <t>1630073990675849217</t>
  </si>
  <si>
    <t>1671263521437540352</t>
  </si>
  <si>
    <t>1637089514698035202</t>
  </si>
  <si>
    <t>1646214198534209563</t>
  </si>
  <si>
    <t>1628485339537965058</t>
  </si>
  <si>
    <t>1641530964378546176</t>
  </si>
  <si>
    <t>1641168558427189249</t>
  </si>
  <si>
    <t>1640806097152888866</t>
  </si>
  <si>
    <t>1638900580394610688</t>
  </si>
  <si>
    <t>1673708250011713536</t>
  </si>
  <si>
    <t>1673451558824968194</t>
  </si>
  <si>
    <t>1674070626003296258</t>
  </si>
  <si>
    <t>1675822090077741057</t>
  </si>
  <si>
    <t>1674795360836030469</t>
  </si>
  <si>
    <t>1674432919996370945</t>
  </si>
  <si>
    <t>1675520161850204160</t>
  </si>
  <si>
    <t>1675157712273920000</t>
  </si>
  <si>
    <t>1706977444652023827</t>
  </si>
  <si>
    <t>1656358448731422720</t>
  </si>
  <si>
    <t>1617352442504704000</t>
  </si>
  <si>
    <t>1610033094589059072</t>
  </si>
  <si>
    <t>1631003268460544009</t>
  </si>
  <si>
    <t>1630707436104425472</t>
  </si>
  <si>
    <t>1683472757529387011</t>
  </si>
  <si>
    <t>1687152864601260040</t>
  </si>
  <si>
    <t>1620537167582724097</t>
  </si>
  <si>
    <t>1660629773788274689</t>
  </si>
  <si>
    <t>1665469941322006528</t>
  </si>
  <si>
    <t>1687934659450060801</t>
  </si>
  <si>
    <t>1685388929992671232</t>
  </si>
  <si>
    <t>1664696138232913921</t>
  </si>
  <si>
    <t>1671178319931273222</t>
  </si>
  <si>
    <t>1612771717406986240</t>
  </si>
  <si>
    <t>1610040350260740098</t>
  </si>
  <si>
    <t>1664221551552602113</t>
  </si>
  <si>
    <t>1643634965874192385</t>
  </si>
  <si>
    <t>1631285505005330432</t>
  </si>
  <si>
    <t>1658435634506104832</t>
  </si>
  <si>
    <t>1685263391718354944</t>
  </si>
  <si>
    <t>1685272669598445568</t>
  </si>
  <si>
    <t>1670549565420761094</t>
  </si>
  <si>
    <t>1643281026309931008</t>
  </si>
  <si>
    <t>1659468640431886336</t>
  </si>
  <si>
    <t>1655514542917468160</t>
  </si>
  <si>
    <t>1671264497003294722</t>
  </si>
  <si>
    <t>1664656913999568906</t>
  </si>
  <si>
    <t>1682506687964430337</t>
  </si>
  <si>
    <t>1696329757414015249</t>
  </si>
  <si>
    <t>1665270619649318914</t>
  </si>
  <si>
    <t>1653365335729340418</t>
  </si>
  <si>
    <t>1692117291033350182</t>
  </si>
  <si>
    <t>1642860365754122240</t>
  </si>
  <si>
    <t>1666388571807203329</t>
  </si>
  <si>
    <t>1670476467489374208</t>
  </si>
  <si>
    <t>1679611666273542152</t>
  </si>
  <si>
    <t>1696236207544414302</t>
  </si>
  <si>
    <t>1687538900175400960</t>
  </si>
  <si>
    <t>1616608997808775168</t>
  </si>
  <si>
    <t>1658804568283545602</t>
  </si>
  <si>
    <t>1653731140191272960</t>
  </si>
  <si>
    <t>1643632882169028608</t>
  </si>
  <si>
    <t>1691781863285604745</t>
  </si>
  <si>
    <t>1689245146867699712</t>
  </si>
  <si>
    <t>1685983650234408960</t>
  </si>
  <si>
    <t>1681635002683981826</t>
  </si>
  <si>
    <t>1677286349299412992</t>
  </si>
  <si>
    <t>1674024862590058497</t>
  </si>
  <si>
    <t>1667139480195670016</t>
  </si>
  <si>
    <t>1654455914412531712</t>
  </si>
  <si>
    <t>1636018616276582414</t>
  </si>
  <si>
    <t>1635331166869016576</t>
  </si>
  <si>
    <t>1701203945685713228</t>
  </si>
  <si>
    <t>1676561566185971712</t>
  </si>
  <si>
    <t>1673300075206811653</t>
  </si>
  <si>
    <t>1665689936622747648</t>
  </si>
  <si>
    <t>1653061545675333634</t>
  </si>
  <si>
    <t>1631353592941518848</t>
  </si>
  <si>
    <t>1630242118953480193</t>
  </si>
  <si>
    <t>1702653497945252152</t>
  </si>
  <si>
    <t>1697598865598189633</t>
  </si>
  <si>
    <t>1682359774556438532</t>
  </si>
  <si>
    <t>1668951422233133057</t>
  </si>
  <si>
    <t>1639281438716510209</t>
  </si>
  <si>
    <t>1638549696506462209</t>
  </si>
  <si>
    <t>1704465429492854925</t>
  </si>
  <si>
    <t>1683446940753641473</t>
  </si>
  <si>
    <t>1648695447106600960</t>
  </si>
  <si>
    <t>1628398571497177089</t>
  </si>
  <si>
    <t>1626593256321716227</t>
  </si>
  <si>
    <t>1705190208650788919</t>
  </si>
  <si>
    <t>1695043347004510688</t>
  </si>
  <si>
    <t>1684171707848826881</t>
  </si>
  <si>
    <t>1679823058209751041</t>
  </si>
  <si>
    <t>1669676206197977088</t>
  </si>
  <si>
    <t>1645525161230372864</t>
  </si>
  <si>
    <t>1644312447388360707</t>
  </si>
  <si>
    <t>1614994419387613186</t>
  </si>
  <si>
    <t>1706277371333230952</t>
  </si>
  <si>
    <t>1646883507690704901</t>
  </si>
  <si>
    <t>1624070922985406470</t>
  </si>
  <si>
    <t>1707002153082986577</t>
  </si>
  <si>
    <t>1668226650255892482</t>
  </si>
  <si>
    <t>1660616504763613184</t>
  </si>
  <si>
    <t>1647673052832972800</t>
  </si>
  <si>
    <t>1675121371414925312</t>
  </si>
  <si>
    <t>1612887715397177350</t>
  </si>
  <si>
    <t>1612736789810118658</t>
  </si>
  <si>
    <t>1682525138464522241</t>
  </si>
  <si>
    <t>1672288678591250434</t>
  </si>
  <si>
    <t>1610232017764884480</t>
  </si>
  <si>
    <t>1642099547005394946</t>
  </si>
  <si>
    <t>1636518710545469440</t>
  </si>
  <si>
    <t>1636110268873965568</t>
  </si>
  <si>
    <t>1633573554041266176</t>
  </si>
  <si>
    <t>1641183950969393152</t>
  </si>
  <si>
    <t>1638647235813556236</t>
  </si>
  <si>
    <t>1704454010483167311</t>
  </si>
  <si>
    <t>1704453827871793438</t>
  </si>
  <si>
    <t>1636153041240965120</t>
  </si>
  <si>
    <t>1636152938186850305</t>
  </si>
  <si>
    <t>1636152825351749638</t>
  </si>
  <si>
    <t>1635766899437961217</t>
  </si>
  <si>
    <t>1635766808576765954</t>
  </si>
  <si>
    <t>1635415224542183425</t>
  </si>
  <si>
    <t>1635002709664481280</t>
  </si>
  <si>
    <t>1635002573685153793</t>
  </si>
  <si>
    <t>1635002441862373376</t>
  </si>
  <si>
    <t>1634703067370094593</t>
  </si>
  <si>
    <t>1669288660871659522</t>
  </si>
  <si>
    <t>1642139260684840961</t>
  </si>
  <si>
    <t>1650931595014971394</t>
  </si>
  <si>
    <t>1695753029436207120</t>
  </si>
  <si>
    <t>1664980869571035136</t>
  </si>
  <si>
    <t>1676938388790996993</t>
  </si>
  <si>
    <t>1679849399483273216</t>
  </si>
  <si>
    <t>1666085692009775104</t>
  </si>
  <si>
    <t>1679481325559115778</t>
  </si>
  <si>
    <t>1642294064664985600</t>
  </si>
  <si>
    <t>1669141619881246720</t>
  </si>
  <si>
    <t>1697792767819157626</t>
  </si>
  <si>
    <t>1679113845502095363</t>
  </si>
  <si>
    <t>1668683653465948160</t>
  </si>
  <si>
    <t>1704483296166785202</t>
  </si>
  <si>
    <t>1695092094862340291</t>
  </si>
  <si>
    <t>1704592225521324466</t>
  </si>
  <si>
    <t>1636052358886047744</t>
  </si>
  <si>
    <t>1644727961201913856</t>
  </si>
  <si>
    <t>1641816097534902274</t>
  </si>
  <si>
    <t>1641104499824635904</t>
  </si>
  <si>
    <t>1634600879130066945</t>
  </si>
  <si>
    <t>1634239084670402582</t>
  </si>
  <si>
    <t>1696498976839569411</t>
  </si>
  <si>
    <t>1639252855516274688</t>
  </si>
  <si>
    <t>1692269958137258287</t>
  </si>
  <si>
    <t>1654516475351257091</t>
  </si>
  <si>
    <t>1615350104310808580</t>
  </si>
  <si>
    <t>1613559595032625156</t>
  </si>
  <si>
    <t>1612836919565582337</t>
  </si>
  <si>
    <t>1635667371145715712</t>
  </si>
  <si>
    <t>1659218781686710273</t>
  </si>
  <si>
    <t>1650862463213260803</t>
  </si>
  <si>
    <t>1658491034215628801</t>
  </si>
  <si>
    <t>1654471317167415301</t>
  </si>
  <si>
    <t>1698834585683890570</t>
  </si>
  <si>
    <t>1702653328096735717</t>
  </si>
  <si>
    <t>1703741536167436510</t>
  </si>
  <si>
    <t>1702094356293812556</t>
  </si>
  <si>
    <t>1699802846827352281</t>
  </si>
  <si>
    <t>1704196866982719733</t>
  </si>
  <si>
    <t>1610449906686373889</t>
  </si>
  <si>
    <t>1610445555133546497</t>
  </si>
  <si>
    <t>1630567471320117250</t>
  </si>
  <si>
    <t>1666469019891662848</t>
  </si>
  <si>
    <t>1664341298873094145</t>
  </si>
  <si>
    <t>1666474870861963266</t>
  </si>
  <si>
    <t>1616838760460849155</t>
  </si>
  <si>
    <t>1610639539726417921</t>
  </si>
  <si>
    <t>1630950096346005505</t>
  </si>
  <si>
    <t>1663351900052287488</t>
  </si>
  <si>
    <t>1625057257120473091</t>
  </si>
  <si>
    <t>1624694859574525952</t>
  </si>
  <si>
    <t>1659121787580436481</t>
  </si>
  <si>
    <t>1666731942576893954</t>
  </si>
  <si>
    <t>1675429249359003650</t>
  </si>
  <si>
    <t>1626506816615055361</t>
  </si>
  <si>
    <t>1637977338175528960</t>
  </si>
  <si>
    <t>1626280249624502273</t>
  </si>
  <si>
    <t>1640707905581113344</t>
  </si>
  <si>
    <t>1664627593860075520</t>
  </si>
  <si>
    <t>1678565890181218304</t>
  </si>
  <si>
    <t>1688258397597011971</t>
  </si>
  <si>
    <t>1671556299098554375</t>
  </si>
  <si>
    <t>1634143783024578561</t>
  </si>
  <si>
    <t>1668037533865852929</t>
  </si>
  <si>
    <t>1690010426015174656</t>
  </si>
  <si>
    <t>1699100554008420762</t>
  </si>
  <si>
    <t>1701652814517158109</t>
  </si>
  <si>
    <t>1702143869146616218</t>
  </si>
  <si>
    <t>1617860940250361856</t>
  </si>
  <si>
    <t>1654550211060981762</t>
  </si>
  <si>
    <t>1612858651487920129</t>
  </si>
  <si>
    <t>1680970840022687745</t>
  </si>
  <si>
    <t>1687081674847219712</t>
  </si>
  <si>
    <t>1666445685468672001</t>
  </si>
  <si>
    <t>1681023367502077953</t>
  </si>
  <si>
    <t>1646981136986550273</t>
  </si>
  <si>
    <t>1631682074724777984</t>
  </si>
  <si>
    <t>1698456043594850564</t>
  </si>
  <si>
    <t>1678449022657343488</t>
  </si>
  <si>
    <t>1669441004649304085</t>
  </si>
  <si>
    <t>1662473957885243392</t>
  </si>
  <si>
    <t>1674749844311666688</t>
  </si>
  <si>
    <t>1673300285052141569</t>
  </si>
  <si>
    <t>1672922805137022978</t>
  </si>
  <si>
    <t>1672575479281229826</t>
  </si>
  <si>
    <t>1653097205098586113</t>
  </si>
  <si>
    <t>1652734819791433741</t>
  </si>
  <si>
    <t>1652010026985218048</t>
  </si>
  <si>
    <t>1651647659155890177</t>
  </si>
  <si>
    <t>1674025054605135872</t>
  </si>
  <si>
    <t>1673677765864837126</t>
  </si>
  <si>
    <t>1666414962028298242</t>
  </si>
  <si>
    <t>1654184334159491074</t>
  </si>
  <si>
    <t>1674372364644110339</t>
  </si>
  <si>
    <t>1623788975457533952</t>
  </si>
  <si>
    <t>1675474616083513344</t>
  </si>
  <si>
    <t>1675127311081807872</t>
  </si>
  <si>
    <t>1663878269853134848</t>
  </si>
  <si>
    <t>1649518635633786885</t>
  </si>
  <si>
    <t>1640432174515011584</t>
  </si>
  <si>
    <t>1626225985686507523</t>
  </si>
  <si>
    <t>1651454014809341953</t>
  </si>
  <si>
    <t>1704831364850176161</t>
  </si>
  <si>
    <t>1645403081197117443</t>
  </si>
  <si>
    <t>1620633185930612737</t>
  </si>
  <si>
    <t>1648301688581660673</t>
  </si>
  <si>
    <t>1615705062734438401</t>
  </si>
  <si>
    <t>1695429890986696875</t>
  </si>
  <si>
    <t>1702490424407892318</t>
  </si>
  <si>
    <t>1664655451110162442</t>
  </si>
  <si>
    <t>1675573426684035073</t>
  </si>
  <si>
    <t>1675573424914038785</t>
  </si>
  <si>
    <t>1675573419323150336</t>
  </si>
  <si>
    <t>1633092995997155328</t>
  </si>
  <si>
    <t>1699694702310629545</t>
  </si>
  <si>
    <t>1697279680586338705</t>
  </si>
  <si>
    <t>1683622933393031168</t>
  </si>
  <si>
    <t>1613818738817617920</t>
  </si>
  <si>
    <t>1613480261441699841</t>
  </si>
  <si>
    <t>1636342656308477952</t>
  </si>
  <si>
    <t>1643373717035048960</t>
  </si>
  <si>
    <t>1659141567699886081</t>
  </si>
  <si>
    <t>1623632779400323074</t>
  </si>
  <si>
    <t>1610953207739473920</t>
  </si>
  <si>
    <t>1623495542679511040</t>
  </si>
  <si>
    <t>1643238111877447680</t>
  </si>
  <si>
    <t>1663704633330548736</t>
  </si>
  <si>
    <t>1662834390030770179</t>
  </si>
  <si>
    <t>1610365440353501187</t>
  </si>
  <si>
    <t>1668672877422362636</t>
  </si>
  <si>
    <t>1644384698439720960</t>
  </si>
  <si>
    <t>1669165107111161857</t>
  </si>
  <si>
    <t>1687128943290195968</t>
  </si>
  <si>
    <t>1666037467190034433</t>
  </si>
  <si>
    <t>1636763529897299970</t>
  </si>
  <si>
    <t>1676954948427448321</t>
  </si>
  <si>
    <t>1679473734262878212</t>
  </si>
  <si>
    <t>1610939249662234626</t>
  </si>
  <si>
    <t>1646236235151867904</t>
  </si>
  <si>
    <t>1648370330581315584</t>
  </si>
  <si>
    <t>1667817535092170754</t>
  </si>
  <si>
    <t>1667817423582494720</t>
  </si>
  <si>
    <t>1669629425372020736</t>
  </si>
  <si>
    <t>1669267009064914945</t>
  </si>
  <si>
    <t>1668904588747984897</t>
  </si>
  <si>
    <t>1685881436388171776</t>
  </si>
  <si>
    <t>1609760056823644160</t>
  </si>
  <si>
    <t>1682377121358807040</t>
  </si>
  <si>
    <t>1704174651516039428</t>
  </si>
  <si>
    <t>1698967270796456010</t>
  </si>
  <si>
    <t>1629428493003132929</t>
  </si>
  <si>
    <t>1629066106718785537</t>
  </si>
  <si>
    <t>1628149688376467462</t>
  </si>
  <si>
    <t>1671920276257243136</t>
  </si>
  <si>
    <t>1671340540221173760</t>
  </si>
  <si>
    <t>1693695479119220776</t>
  </si>
  <si>
    <t>1626196481018408964</t>
  </si>
  <si>
    <t>1665955953575952391</t>
  </si>
  <si>
    <t>1671888244450131971</t>
  </si>
  <si>
    <t>1704035340304998663</t>
  </si>
  <si>
    <t>1704760129634341305</t>
  </si>
  <si>
    <t>1642272697794142208</t>
  </si>
  <si>
    <t>1617994468472377358</t>
  </si>
  <si>
    <t>1666429805741629440</t>
  </si>
  <si>
    <t>1683443558764756992</t>
  </si>
  <si>
    <t>1620413076167327746</t>
  </si>
  <si>
    <t>1624514384671244290</t>
  </si>
  <si>
    <t>1624514259701886976</t>
  </si>
  <si>
    <t>1637182188201418754</t>
  </si>
  <si>
    <t>1637188945132810240</t>
  </si>
  <si>
    <t>1610633107291635713</t>
  </si>
  <si>
    <t>1633845934974185472</t>
  </si>
  <si>
    <t>1615756237529927681</t>
  </si>
  <si>
    <t>1634162311836344325</t>
  </si>
  <si>
    <t>1665397939269783554</t>
  </si>
  <si>
    <t>1620075738472026113</t>
  </si>
  <si>
    <t>1617532365387223040</t>
  </si>
  <si>
    <t>1628440447990243329</t>
  </si>
  <si>
    <t>1663269304836542465</t>
  </si>
  <si>
    <t>1615008217280708608</t>
  </si>
  <si>
    <t>1670859211180331010</t>
  </si>
  <si>
    <t>1622644530016026626</t>
  </si>
  <si>
    <t>1681258336333844480</t>
  </si>
  <si>
    <t>1650593233750073363</t>
  </si>
  <si>
    <t>1667147042655817731</t>
  </si>
  <si>
    <t>1670287737415512065</t>
  </si>
  <si>
    <t>1654956378430029824</t>
  </si>
  <si>
    <t>1669406158711410689</t>
  </si>
  <si>
    <t>1629678501467914240</t>
  </si>
  <si>
    <t>1629678169367126016</t>
  </si>
  <si>
    <t>1629678079474900992</t>
  </si>
  <si>
    <t>1649115643965210635</t>
  </si>
  <si>
    <t>1647939669944946688</t>
  </si>
  <si>
    <t>1646850442960199680</t>
  </si>
  <si>
    <t>1646573123561553936</t>
  </si>
  <si>
    <t>1660620781951365120</t>
  </si>
  <si>
    <t>1665700394092118016</t>
  </si>
  <si>
    <t>1665095538717466624</t>
  </si>
  <si>
    <t>1653370800198565892</t>
  </si>
  <si>
    <t>1651926563363995650</t>
  </si>
  <si>
    <t>1667148505494831104</t>
  </si>
  <si>
    <t>1666786298277900292</t>
  </si>
  <si>
    <t>1666416860059803648</t>
  </si>
  <si>
    <t>1679462738496561159</t>
  </si>
  <si>
    <t>1669677783230947329</t>
  </si>
  <si>
    <t>1662077074704674819</t>
  </si>
  <si>
    <t>1646570721013891072</t>
  </si>
  <si>
    <t>1646552636810723354</t>
  </si>
  <si>
    <t>1646216924341100573</t>
  </si>
  <si>
    <t>1678750208811778050</t>
  </si>
  <si>
    <t>1674756266286039042</t>
  </si>
  <si>
    <t>1668604264023826432</t>
  </si>
  <si>
    <t>1668235716877230080</t>
  </si>
  <si>
    <t>1684880840432721920</t>
  </si>
  <si>
    <t>1683241500468019200</t>
  </si>
  <si>
    <t>1679090549804900352</t>
  </si>
  <si>
    <t>1671516419391889408</t>
  </si>
  <si>
    <t>1683077017497919488</t>
  </si>
  <si>
    <t>1681988659334004736</t>
  </si>
  <si>
    <t>1681970572429803520</t>
  </si>
  <si>
    <t>1681140271373754370</t>
  </si>
  <si>
    <t>1678446881465147429</t>
  </si>
  <si>
    <t>1674387837980999686</t>
  </si>
  <si>
    <t>1674153907747008512</t>
  </si>
  <si>
    <t>1670775441102184449</t>
  </si>
  <si>
    <t>1692134352119894211</t>
  </si>
  <si>
    <t>1686669033364418560</t>
  </si>
  <si>
    <t>1685248705039904769</t>
  </si>
  <si>
    <t>1685117801311162369</t>
  </si>
  <si>
    <t>1684962886668492814</t>
  </si>
  <si>
    <t>1684621756609236992</t>
  </si>
  <si>
    <t>1680907050107252739</t>
  </si>
  <si>
    <t>1680712842121494528</t>
  </si>
  <si>
    <t>1680524257506336768</t>
  </si>
  <si>
    <t>1680141813133213697</t>
  </si>
  <si>
    <t>1676922480592666626</t>
  </si>
  <si>
    <t>1676553292044705794</t>
  </si>
  <si>
    <t>1673296097576361989</t>
  </si>
  <si>
    <t>1672994633058582528</t>
  </si>
  <si>
    <t>1672599837085249539</t>
  </si>
  <si>
    <t>1671928440008720395</t>
  </si>
  <si>
    <t>1691406026443046912</t>
  </si>
  <si>
    <t>1691197020650795009</t>
  </si>
  <si>
    <t>1690836920203403264</t>
  </si>
  <si>
    <t>1688880965605572610</t>
  </si>
  <si>
    <t>1688855184489771009</t>
  </si>
  <si>
    <t>1688520053862326272</t>
  </si>
  <si>
    <t>1688210199658602497</t>
  </si>
  <si>
    <t>1684530788589600769</t>
  </si>
  <si>
    <t>1684258703216611328</t>
  </si>
  <si>
    <t>1683975467299217410</t>
  </si>
  <si>
    <t>1683836991111307266</t>
  </si>
  <si>
    <t>1683637039810457603</t>
  </si>
  <si>
    <t>1679789753762193410</t>
  </si>
  <si>
    <t>1675815035933786113</t>
  </si>
  <si>
    <t>1670377326977388546</t>
  </si>
  <si>
    <t>1670128727974346754</t>
  </si>
  <si>
    <t>1701253862164681160</t>
  </si>
  <si>
    <t>1694696806636999058</t>
  </si>
  <si>
    <t>1690310218633060352</t>
  </si>
  <si>
    <t>1689950864725692416</t>
  </si>
  <si>
    <t>1687398910950547456</t>
  </si>
  <si>
    <t>1686752481793994752</t>
  </si>
  <si>
    <t>1682726469099745280</t>
  </si>
  <si>
    <t>1682364474139844612</t>
  </si>
  <si>
    <t>1678731922816499713</t>
  </si>
  <si>
    <t>1674717119257227264</t>
  </si>
  <si>
    <t>1702373305867555185</t>
  </si>
  <si>
    <t>1691558358115865079</t>
  </si>
  <si>
    <t>1689607828128792576</t>
  </si>
  <si>
    <t>1689307883454820353</t>
  </si>
  <si>
    <t>1686342654907334656</t>
  </si>
  <si>
    <t>1685967981170327552</t>
  </si>
  <si>
    <t>1681629814459883520</t>
  </si>
  <si>
    <t>1681253645877145600</t>
  </si>
  <si>
    <t>1677349043318472705</t>
  </si>
  <si>
    <t>1674015405969473537</t>
  </si>
  <si>
    <t>1673662190556000261</t>
  </si>
  <si>
    <t>1673503966548619264</t>
  </si>
  <si>
    <t>1703003023012675630</t>
  </si>
  <si>
    <t>1702086128239624319</t>
  </si>
  <si>
    <t>1687765448933113856</t>
  </si>
  <si>
    <t>1687406474832588800</t>
  </si>
  <si>
    <t>1685596701896105985</t>
  </si>
  <si>
    <t>1683262989791526914</t>
  </si>
  <si>
    <t>1683251521600000001</t>
  </si>
  <si>
    <t>1683194675224625152</t>
  </si>
  <si>
    <t>1679425699512287236</t>
  </si>
  <si>
    <t>1679284094331416579</t>
  </si>
  <si>
    <t>1671114175689400320</t>
  </si>
  <si>
    <t>1664613927781642241</t>
  </si>
  <si>
    <t>1638322126762409985</t>
  </si>
  <si>
    <t>1613649740511551498</t>
  </si>
  <si>
    <t>1686506736306335744</t>
  </si>
  <si>
    <t>1672560235326713857</t>
  </si>
  <si>
    <t>1687780755412299777</t>
  </si>
  <si>
    <t>1685606356332552193</t>
  </si>
  <si>
    <t>1662197134123319298</t>
  </si>
  <si>
    <t>1695149162679951812</t>
  </si>
  <si>
    <t>1677012103885127680</t>
  </si>
  <si>
    <t>1618285960785190912</t>
  </si>
  <si>
    <t>1686011243553861632</t>
  </si>
  <si>
    <t>1622217663467364356</t>
  </si>
  <si>
    <t>1643196969546833920</t>
  </si>
  <si>
    <t>1661385741388201988</t>
  </si>
  <si>
    <t>1667229756029300737</t>
  </si>
  <si>
    <t>1637453914999062544</t>
  </si>
  <si>
    <t>1666908190015930368</t>
  </si>
  <si>
    <t>1610365034340679682</t>
  </si>
  <si>
    <t>1620726975446011904</t>
  </si>
  <si>
    <t>1676941255232692226</t>
  </si>
  <si>
    <t>1676272630431719443</t>
  </si>
  <si>
    <t>1675873674715340800</t>
  </si>
  <si>
    <t>1678827757449494529</t>
  </si>
  <si>
    <t>1674388086686466050</t>
  </si>
  <si>
    <t>1681697691397398530</t>
  </si>
  <si>
    <t>1658555168005189632</t>
  </si>
  <si>
    <t>1668052524476014592</t>
  </si>
  <si>
    <t>1669865533544488962</t>
  </si>
  <si>
    <t>1672998585850314753</t>
  </si>
  <si>
    <t>1673816726373384193</t>
  </si>
  <si>
    <t>1675172413322014720</t>
  </si>
  <si>
    <t>1646326786110771202</t>
  </si>
  <si>
    <t>1633039585511964675</t>
  </si>
  <si>
    <t>1633057033195749377</t>
  </si>
  <si>
    <t>1652047591884857345</t>
  </si>
  <si>
    <t>1670980269841473536</t>
  </si>
  <si>
    <t>1649830050282307586</t>
  </si>
  <si>
    <t>1649504908691881986</t>
  </si>
  <si>
    <t>1649120842247176193</t>
  </si>
  <si>
    <t>1684561968043278339</t>
  </si>
  <si>
    <t>1629908932222234626</t>
  </si>
  <si>
    <t>1615777589137661952</t>
  </si>
  <si>
    <t>1653368931921403906</t>
  </si>
  <si>
    <t>1646550127165702147</t>
  </si>
  <si>
    <t>1646549126945832981</t>
  </si>
  <si>
    <t>1646537849162833921</t>
  </si>
  <si>
    <t>1646537714286600194</t>
  </si>
  <si>
    <t>1645842599968636955</t>
  </si>
  <si>
    <t>1645812598502461443</t>
  </si>
  <si>
    <t>1645808415518908428</t>
  </si>
  <si>
    <t>1648309650431918080</t>
  </si>
  <si>
    <t>1648106938570342402</t>
  </si>
  <si>
    <t>1648093780203954176</t>
  </si>
  <si>
    <t>1616990794052763648</t>
  </si>
  <si>
    <t>1703176157225435268</t>
  </si>
  <si>
    <t>1610598602220662784</t>
  </si>
  <si>
    <t>1704147551874863593</t>
  </si>
  <si>
    <t>1672587979875840001</t>
  </si>
  <si>
    <t>1644091897370083329</t>
  </si>
  <si>
    <t>1632387915559968768</t>
  </si>
  <si>
    <t>1643296185858260992</t>
  </si>
  <si>
    <t>1643293484793618451</t>
  </si>
  <si>
    <t>1655150489183617025</t>
  </si>
  <si>
    <t>1654788091717070850</t>
  </si>
  <si>
    <t>1654576701295280129</t>
  </si>
  <si>
    <t>1653395644747325448</t>
  </si>
  <si>
    <t>1651927993550249986</t>
  </si>
  <si>
    <t>1682811529094221824</t>
  </si>
  <si>
    <t>1692342422825553992</t>
  </si>
  <si>
    <t>1677127901773193217</t>
  </si>
  <si>
    <t>1634152233930563584</t>
  </si>
  <si>
    <t>1620572924142034944</t>
  </si>
  <si>
    <t>1620572914725814275</t>
  </si>
  <si>
    <t>1691053182795833346</t>
  </si>
  <si>
    <t>1639230986729803778</t>
  </si>
  <si>
    <t>1660715927791366145</t>
  </si>
  <si>
    <t>1694872690308325409</t>
  </si>
  <si>
    <t>1620410057153449985</t>
  </si>
  <si>
    <t>1658578329228771328</t>
  </si>
  <si>
    <t>1653504866063470621</t>
  </si>
  <si>
    <t>1650968165281562632</t>
  </si>
  <si>
    <t>1648069036842930177</t>
  </si>
  <si>
    <t>1646619477872726016</t>
  </si>
  <si>
    <t>1643360346726449153</t>
  </si>
  <si>
    <t>1633935832322015233</t>
  </si>
  <si>
    <t>1633573417726390272</t>
  </si>
  <si>
    <t>1633211058767925248</t>
  </si>
  <si>
    <t>1624151359015510019</t>
  </si>
  <si>
    <t>1623788982969503744</t>
  </si>
  <si>
    <t>1620527467164311552</t>
  </si>
  <si>
    <t>1617628370430222339</t>
  </si>
  <si>
    <t>1616181242390626304</t>
  </si>
  <si>
    <t>1615817565082718208</t>
  </si>
  <si>
    <t>1661114987295678478</t>
  </si>
  <si>
    <t>1651330535623479299</t>
  </si>
  <si>
    <t>1646981896826417155</t>
  </si>
  <si>
    <t>1634299901432537088</t>
  </si>
  <si>
    <t>1625600902097772544</t>
  </si>
  <si>
    <t>1625238581420740608</t>
  </si>
  <si>
    <t>1621614635605426177</t>
  </si>
  <si>
    <t>1621253548150226946</t>
  </si>
  <si>
    <t>1620889866463547392</t>
  </si>
  <si>
    <t>1620165178510778368</t>
  </si>
  <si>
    <t>1619080321613307915</t>
  </si>
  <si>
    <t>1618715533381074944</t>
  </si>
  <si>
    <t>1618361825728372745</t>
  </si>
  <si>
    <t>1617991891986927617</t>
  </si>
  <si>
    <t>1677422430388723713</t>
  </si>
  <si>
    <t>1677060045341614080</t>
  </si>
  <si>
    <t>1673798587220729857</t>
  </si>
  <si>
    <t>1673436176378744834</t>
  </si>
  <si>
    <t>1666550814100398081</t>
  </si>
  <si>
    <t>1655679189540904962</t>
  </si>
  <si>
    <t>1654229655182888966</t>
  </si>
  <si>
    <t>1636834956335783943</t>
  </si>
  <si>
    <t>1636472558630445060</t>
  </si>
  <si>
    <t>1636110162393202689</t>
  </si>
  <si>
    <t>1635747762460344320</t>
  </si>
  <si>
    <t>1635385418664296455</t>
  </si>
  <si>
    <t>1679596766310588424</t>
  </si>
  <si>
    <t>1675972869736497153</t>
  </si>
  <si>
    <t>1669812289925521410</t>
  </si>
  <si>
    <t>1669812282719866883</t>
  </si>
  <si>
    <t>1669449934733561857</t>
  </si>
  <si>
    <t>1663651728145756160</t>
  </si>
  <si>
    <t>1663289354423349248</t>
  </si>
  <si>
    <t>1662202204197978112</t>
  </si>
  <si>
    <t>1661839792974209030</t>
  </si>
  <si>
    <t>1661477404739502080</t>
  </si>
  <si>
    <t>1646258259521568768</t>
  </si>
  <si>
    <t>1645894729136046080</t>
  </si>
  <si>
    <t>1645532335494889474</t>
  </si>
  <si>
    <t>1644082805398286337</t>
  </si>
  <si>
    <t>1643720429855469572</t>
  </si>
  <si>
    <t>1615454177810948103</t>
  </si>
  <si>
    <t>1615091628791717889</t>
  </si>
  <si>
    <t>1614004517200068609</t>
  </si>
  <si>
    <t>1613642255616679942</t>
  </si>
  <si>
    <t>1613279720409534466</t>
  </si>
  <si>
    <t>1612917330970812441</t>
  </si>
  <si>
    <t>1612555060835241997</t>
  </si>
  <si>
    <t>1611467824588881925</t>
  </si>
  <si>
    <t>1679234380441477121</t>
  </si>
  <si>
    <t>1671627932870012933</t>
  </si>
  <si>
    <t>1671261849289990144</t>
  </si>
  <si>
    <t>1664737478400458764</t>
  </si>
  <si>
    <t>1664376486852263936</t>
  </si>
  <si>
    <t>1664014126559928321</t>
  </si>
  <si>
    <t>1650605775704694805</t>
  </si>
  <si>
    <t>1649158570997415939</t>
  </si>
  <si>
    <t>1648793812221714433</t>
  </si>
  <si>
    <t>1648431422221459457</t>
  </si>
  <si>
    <t>1629223039446532096</t>
  </si>
  <si>
    <t>1628862401989705731</t>
  </si>
  <si>
    <t>1628500011758632962</t>
  </si>
  <si>
    <t>1626688072023789574</t>
  </si>
  <si>
    <t>1626325697533825026</t>
  </si>
  <si>
    <t>1625963318421717003</t>
  </si>
  <si>
    <t>1681050647464927233</t>
  </si>
  <si>
    <t>1674160945835171840</t>
  </si>
  <si>
    <t>1670899481070510084</t>
  </si>
  <si>
    <t>1659665452828704781</t>
  </si>
  <si>
    <t>1659303052753469451</t>
  </si>
  <si>
    <t>1658940675524526080</t>
  </si>
  <si>
    <t>1642995625082978306</t>
  </si>
  <si>
    <t>1641908454427066371</t>
  </si>
  <si>
    <t>1641546099218366465</t>
  </si>
  <si>
    <t>1623426682798366720</t>
  </si>
  <si>
    <t>1623064196689674241</t>
  </si>
  <si>
    <t>1622701799554646016</t>
  </si>
  <si>
    <t>1611105405282689024</t>
  </si>
  <si>
    <t>1610743036316721152</t>
  </si>
  <si>
    <t>1610380680394842114</t>
  </si>
  <si>
    <t>1610018243955113993</t>
  </si>
  <si>
    <t>1686845724892246016</t>
  </si>
  <si>
    <t>1678870592391446529</t>
  </si>
  <si>
    <t>1674885753778610185</t>
  </si>
  <si>
    <t>1674523338654269440</t>
  </si>
  <si>
    <t>1668725500800376832</t>
  </si>
  <si>
    <t>1668362748999135234</t>
  </si>
  <si>
    <t>1657129899063230464</t>
  </si>
  <si>
    <t>1656766367616442369</t>
  </si>
  <si>
    <t>1656403952747831296</t>
  </si>
  <si>
    <t>1656041573866455059</t>
  </si>
  <si>
    <t>1641183673318817793</t>
  </si>
  <si>
    <t>1640821210840743937</t>
  </si>
  <si>
    <t>1640458946002534403</t>
  </si>
  <si>
    <t>1639371638528684032</t>
  </si>
  <si>
    <t>1639009260259667968</t>
  </si>
  <si>
    <t>1638646867281215488</t>
  </si>
  <si>
    <t>1638284490291257345</t>
  </si>
  <si>
    <t>1637922122239553537</t>
  </si>
  <si>
    <t>1686483310900359168</t>
  </si>
  <si>
    <t>1676698894481096706</t>
  </si>
  <si>
    <t>1676335268067172352</t>
  </si>
  <si>
    <t>1672349040304947203</t>
  </si>
  <si>
    <t>1666188468085506048</t>
  </si>
  <si>
    <t>1665828427297964036</t>
  </si>
  <si>
    <t>1652055293361094656</t>
  </si>
  <si>
    <t>1651692949485371393</t>
  </si>
  <si>
    <t>1632848675008307200</t>
  </si>
  <si>
    <t>1631761510845300739</t>
  </si>
  <si>
    <t>1631761505967390721</t>
  </si>
  <si>
    <t>1631761500078571520</t>
  </si>
  <si>
    <t>1631037923654086656</t>
  </si>
  <si>
    <t>1630674329305325576</t>
  </si>
  <si>
    <t>1630310601795817472</t>
  </si>
  <si>
    <t>1702201358848540773</t>
  </si>
  <si>
    <t>1695554660457922761</t>
  </si>
  <si>
    <t>1703203362869801145</t>
  </si>
  <si>
    <t>1706888913636430230</t>
  </si>
  <si>
    <t>1697811634264391703</t>
  </si>
  <si>
    <t>1687194177296289793</t>
  </si>
  <si>
    <t>1627810358470578181</t>
  </si>
  <si>
    <t>1673375852250251268</t>
  </si>
  <si>
    <t>1653805069047934987</t>
  </si>
  <si>
    <t>1625637954570932240</t>
  </si>
  <si>
    <t>1623310215805386757</t>
  </si>
  <si>
    <t>1676214148709994500</t>
  </si>
  <si>
    <t>1628824224474271745</t>
  </si>
  <si>
    <t>1621474484279541760</t>
  </si>
  <si>
    <t>1615454177651482625</t>
  </si>
  <si>
    <t>1615091629123067904</t>
  </si>
  <si>
    <t>1614004516105474063</t>
  </si>
  <si>
    <t>1613642252919742469</t>
  </si>
  <si>
    <t>1613279719490834448</t>
  </si>
  <si>
    <t>1612917329804795920</t>
  </si>
  <si>
    <t>1612555057773281280</t>
  </si>
  <si>
    <t>1611467823661961230</t>
  </si>
  <si>
    <t>1641546098119507968</t>
  </si>
  <si>
    <t>1623788980855619586</t>
  </si>
  <si>
    <t>1623426680965455872</t>
  </si>
  <si>
    <t>1623064195083169794</t>
  </si>
  <si>
    <t>1622701809222516742</t>
  </si>
  <si>
    <t>1611105405504987137</t>
  </si>
  <si>
    <t>1610743035309981713</t>
  </si>
  <si>
    <t>1610380680160051200</t>
  </si>
  <si>
    <t>1610018242613112833</t>
  </si>
  <si>
    <t>1629223039836557316</t>
  </si>
  <si>
    <t>1628862400471482372</t>
  </si>
  <si>
    <t>1628500011674746881</t>
  </si>
  <si>
    <t>1626688071046496256</t>
  </si>
  <si>
    <t>1626325695734468608</t>
  </si>
  <si>
    <t>1625963303829733383</t>
  </si>
  <si>
    <t>1636834955954192389</t>
  </si>
  <si>
    <t>1636472556365422597</t>
  </si>
  <si>
    <t>1636110161474646016</t>
  </si>
  <si>
    <t>1635747759293706242</t>
  </si>
  <si>
    <t>1635385416378376192</t>
  </si>
  <si>
    <t>1634299900056723456</t>
  </si>
  <si>
    <t>1625600900390592517</t>
  </si>
  <si>
    <t>1625238579621363712</t>
  </si>
  <si>
    <t>1621614635232149507</t>
  </si>
  <si>
    <t>1621253544148860928</t>
  </si>
  <si>
    <t>1620889866652340224</t>
  </si>
  <si>
    <t>1620165178200309760</t>
  </si>
  <si>
    <t>1619080322590580756</t>
  </si>
  <si>
    <t>1618715531246280717</t>
  </si>
  <si>
    <t>1618361826726617106</t>
  </si>
  <si>
    <t>1617991892280512512</t>
  </si>
  <si>
    <t>1633211058042310657</t>
  </si>
  <si>
    <t>1632848674089758731</t>
  </si>
  <si>
    <t>1631761510203621378</t>
  </si>
  <si>
    <t>1631761505069801473</t>
  </si>
  <si>
    <t>1631761500011479045</t>
  </si>
  <si>
    <t>1631036737399955457</t>
  </si>
  <si>
    <t>1630674327451435008</t>
  </si>
  <si>
    <t>1630310600747237378</t>
  </si>
  <si>
    <t>1641183671943155715</t>
  </si>
  <si>
    <t>1640821214787584000</t>
  </si>
  <si>
    <t>1640458943439798273</t>
  </si>
  <si>
    <t>1639371637845016577</t>
  </si>
  <si>
    <t>1639009258821013505</t>
  </si>
  <si>
    <t>1638646866308104192</t>
  </si>
  <si>
    <t>1638284487900426242</t>
  </si>
  <si>
    <t>1637922120637337600</t>
  </si>
  <si>
    <t>1633935832913518595</t>
  </si>
  <si>
    <t>1633573429596282880</t>
  </si>
  <si>
    <t>1624151359833399297</t>
  </si>
  <si>
    <t>1620527466463780868</t>
  </si>
  <si>
    <t>1617628368429617152</t>
  </si>
  <si>
    <t>1616181242109509659</t>
  </si>
  <si>
    <t>1615817564503871488</t>
  </si>
  <si>
    <t>1641484295394000898</t>
  </si>
  <si>
    <t>1658637083009863680</t>
  </si>
  <si>
    <t>1672846215560454144</t>
  </si>
  <si>
    <t>1624577007345446912</t>
  </si>
  <si>
    <t>1700142929401036806</t>
  </si>
  <si>
    <t>1700502510648086990</t>
  </si>
  <si>
    <t>1701569800441417827</t>
  </si>
  <si>
    <t>1706287268661522546</t>
  </si>
  <si>
    <t>1643614385745567745</t>
  </si>
  <si>
    <t>1681654035248472066</t>
  </si>
  <si>
    <t>1676567379067772930</t>
  </si>
  <si>
    <t>1664072362554261505</t>
  </si>
  <si>
    <t>1661055236784504857</t>
  </si>
  <si>
    <t>1663517447561904129</t>
  </si>
  <si>
    <t>1661900207037067265</t>
  </si>
  <si>
    <t>1668915935397249024</t>
  </si>
  <si>
    <t>1666406400820428802</t>
  </si>
  <si>
    <t>1667164900349599744</t>
  </si>
  <si>
    <t>1666491108677808128</t>
  </si>
  <si>
    <t>1668207015242473472</t>
  </si>
  <si>
    <t>1660692794925563915</t>
  </si>
  <si>
    <t>1658804611543605248</t>
  </si>
  <si>
    <t>1675535229837082625</t>
  </si>
  <si>
    <t>1698755317289353217</t>
  </si>
  <si>
    <t>1686359610469326849</t>
  </si>
  <si>
    <t>1648714692695654401</t>
  </si>
  <si>
    <t>1659213067798888448</t>
  </si>
  <si>
    <t>1700226945747685810</t>
  </si>
  <si>
    <t>1705265820354392182</t>
  </si>
  <si>
    <t>1646177941963919361</t>
  </si>
  <si>
    <t>1689456921122578432</t>
  </si>
  <si>
    <t>1689062928375250945</t>
  </si>
  <si>
    <t>1638964277305569281</t>
  </si>
  <si>
    <t>1644432742791147542</t>
  </si>
  <si>
    <t>1644432736101310464</t>
  </si>
  <si>
    <t>1647268925686661120</t>
  </si>
  <si>
    <t>1674066366800748544</t>
  </si>
  <si>
    <t>1628423098444791810</t>
  </si>
  <si>
    <t>1618382260012732417</t>
  </si>
  <si>
    <t>1654337623098376192</t>
  </si>
  <si>
    <t>1653543497327058946</t>
  </si>
  <si>
    <t>1685327804747923457</t>
  </si>
  <si>
    <t>1671591864682651648</t>
  </si>
  <si>
    <t>1671150430506590210</t>
  </si>
  <si>
    <t>1686711836178108416</t>
  </si>
  <si>
    <t>1684675949344743425</t>
  </si>
  <si>
    <t>1676927608032751617</t>
  </si>
  <si>
    <t>1695232217503486389</t>
  </si>
  <si>
    <t>1704290405649457475</t>
  </si>
  <si>
    <t>1657180688381009925</t>
  </si>
  <si>
    <t>1656100077511884801</t>
  </si>
  <si>
    <t>1655691577195388929</t>
  </si>
  <si>
    <t>1616901349760704512</t>
  </si>
  <si>
    <t>1674421955615928326</t>
  </si>
  <si>
    <t>1679183588233707539</t>
  </si>
  <si>
    <t>1650097944744345603</t>
  </si>
  <si>
    <t>1653109074395815939</t>
  </si>
  <si>
    <t>1650970584535257094</t>
  </si>
  <si>
    <t>1668983405839630336</t>
  </si>
  <si>
    <t>1674029670109511683</t>
  </si>
  <si>
    <t>1633595284667133954</t>
  </si>
  <si>
    <t>1681000817929887744</t>
  </si>
  <si>
    <t>1673798519876902915</t>
  </si>
  <si>
    <t>1673451553632428032</t>
  </si>
  <si>
    <t>1675822096998453250</t>
  </si>
  <si>
    <t>1675610671264694273</t>
  </si>
  <si>
    <t>1674161107966017538</t>
  </si>
  <si>
    <t>1674886034247516162</t>
  </si>
  <si>
    <t>1674523526542290944</t>
  </si>
  <si>
    <t>1675249867323482113</t>
  </si>
  <si>
    <t>1705205307365036447</t>
  </si>
  <si>
    <t>1670953538216681475</t>
  </si>
  <si>
    <t>1670953528003641354</t>
  </si>
  <si>
    <t>1686844843555803136</t>
  </si>
  <si>
    <t>1636192899812474881</t>
  </si>
  <si>
    <t>1658103571118694400</t>
  </si>
  <si>
    <t>1697593376974008719</t>
  </si>
  <si>
    <t>1623436338354876416</t>
  </si>
  <si>
    <t>1610404792710438919</t>
  </si>
  <si>
    <t>1643689513183502373</t>
  </si>
  <si>
    <t>1643646873805238273</t>
  </si>
  <si>
    <t>1659022341211340801</t>
  </si>
  <si>
    <t>1658804755970539521</t>
  </si>
  <si>
    <t>1669696409145167874</t>
  </si>
  <si>
    <t>1678736084094574592</t>
  </si>
  <si>
    <t>1674751012257558531</t>
  </si>
  <si>
    <t>1658091229500809218</t>
  </si>
  <si>
    <t>1656287559901650950</t>
  </si>
  <si>
    <t>1671125089008463874</t>
  </si>
  <si>
    <t>1622364483984232449</t>
  </si>
  <si>
    <t>1615729577346715652</t>
  </si>
  <si>
    <t>1647344722417942532</t>
  </si>
  <si>
    <t>1704677326556909772</t>
  </si>
  <si>
    <t>1642866907177943042</t>
  </si>
  <si>
    <t>1663161101809221632</t>
  </si>
  <si>
    <t>1645395981041561600</t>
  </si>
  <si>
    <t>1706638213018784206</t>
  </si>
  <si>
    <t>1673773123169136642</t>
  </si>
  <si>
    <t>1632028593827069956</t>
  </si>
  <si>
    <t>1686127112216784897</t>
  </si>
  <si>
    <t>1657325310415888388</t>
  </si>
  <si>
    <t>1645372385116446720</t>
  </si>
  <si>
    <t>1679468556138819590</t>
  </si>
  <si>
    <t>1680014407282114561</t>
  </si>
  <si>
    <t>1676282412207054858</t>
  </si>
  <si>
    <t>1679190310147223554</t>
  </si>
  <si>
    <t>1615691955022823425</t>
  </si>
  <si>
    <t>1615005311391203331</t>
  </si>
  <si>
    <t>1627760261330264069</t>
  </si>
  <si>
    <t>1706975198522577112</t>
  </si>
  <si>
    <t>1705905141910782396</t>
  </si>
  <si>
    <t>1630185811789398017</t>
  </si>
  <si>
    <t>1680757234022621184</t>
  </si>
  <si>
    <t>1678175102318379011</t>
  </si>
  <si>
    <t>1692863616469336440</t>
  </si>
  <si>
    <t>1655906521350303745</t>
  </si>
  <si>
    <t>1655538296095645696</t>
  </si>
  <si>
    <t>1655281112040583168</t>
  </si>
  <si>
    <t>1616100906973466627</t>
  </si>
  <si>
    <t>1616100163470196736</t>
  </si>
  <si>
    <t>1702691850598158677</t>
  </si>
  <si>
    <t>1638552083094724612</t>
  </si>
  <si>
    <t>1652764846708891649</t>
  </si>
  <si>
    <t>1622614786528669705</t>
  </si>
  <si>
    <t>1684999430011805696</t>
  </si>
  <si>
    <t>1666078808364154881</t>
  </si>
  <si>
    <t>1665701413073059840</t>
  </si>
  <si>
    <t>1668972879533187073</t>
  </si>
  <si>
    <t>1668334884350205953</t>
  </si>
  <si>
    <t>1676199356184027137</t>
  </si>
  <si>
    <t>1675836382097334272</t>
  </si>
  <si>
    <t>1669699011446558720</t>
  </si>
  <si>
    <t>1669327680636956672</t>
  </si>
  <si>
    <t>1679102502518640642</t>
  </si>
  <si>
    <t>1671110842782212097</t>
  </si>
  <si>
    <t>1663897044149256197</t>
  </si>
  <si>
    <t>1678422891354812416</t>
  </si>
  <si>
    <t>1676969459742035968</t>
  </si>
  <si>
    <t>1674387414104539136</t>
  </si>
  <si>
    <t>1670793457898496004</t>
  </si>
  <si>
    <t>1686421756154728457</t>
  </si>
  <si>
    <t>1681693154322403329</t>
  </si>
  <si>
    <t>1623642969323569152</t>
  </si>
  <si>
    <t>1646963233050222594</t>
  </si>
  <si>
    <t>1707173521699332451</t>
  </si>
  <si>
    <t>1678988491764514817</t>
  </si>
  <si>
    <t>1652794962088546311</t>
  </si>
  <si>
    <t>1674188120324030464</t>
  </si>
  <si>
    <t>1633059049326403584</t>
  </si>
  <si>
    <t>1675097098369355776</t>
  </si>
  <si>
    <t>1683134587960979456</t>
  </si>
  <si>
    <t>1678532253549228032</t>
  </si>
  <si>
    <t>1656050636566265856</t>
  </si>
  <si>
    <t>1693650673781367142</t>
  </si>
  <si>
    <t>1661216678359826436</t>
  </si>
  <si>
    <t>1660722320720142358</t>
  </si>
  <si>
    <t>1625140809484861442</t>
  </si>
  <si>
    <t>1677278096318160896</t>
  </si>
  <si>
    <t>1681039195375108096</t>
  </si>
  <si>
    <t>1681038852780163075</t>
  </si>
  <si>
    <t>1644626263175200769</t>
  </si>
  <si>
    <t>1645113327947792384</t>
  </si>
  <si>
    <t>1629288580152426496</t>
  </si>
  <si>
    <t>1628485331103121409</t>
  </si>
  <si>
    <t>1631003263372853255</t>
  </si>
  <si>
    <t>1630707428898533377</t>
  </si>
  <si>
    <t>1704452239992008799</t>
  </si>
  <si>
    <t>1679113257326452737</t>
  </si>
  <si>
    <t>1644727637598765058</t>
  </si>
  <si>
    <t>1641815728016728064</t>
  </si>
  <si>
    <t>1696458002763502044</t>
  </si>
  <si>
    <t>1704196855670665382</t>
  </si>
  <si>
    <t>1610637552825810945</t>
  </si>
  <si>
    <t>1630940319649783812</t>
  </si>
  <si>
    <t>1668017297032724481</t>
  </si>
  <si>
    <t>1690010422940692480</t>
  </si>
  <si>
    <t>1701652801535766664</t>
  </si>
  <si>
    <t>1702143852067360805</t>
  </si>
  <si>
    <t>1687081648230191104</t>
  </si>
  <si>
    <t>1631682069649670144</t>
  </si>
  <si>
    <t>1640432153010794496</t>
  </si>
  <si>
    <t>1626225974672261130</t>
  </si>
  <si>
    <t>1651128777525665795</t>
  </si>
  <si>
    <t>1702490418678542466</t>
  </si>
  <si>
    <t>1675573417708224513</t>
  </si>
  <si>
    <t>1613818251687137280</t>
  </si>
  <si>
    <t>1613480026292293633</t>
  </si>
  <si>
    <t>1636342285314011138</t>
  </si>
  <si>
    <t>1643373154134360064</t>
  </si>
  <si>
    <t>1659141265169043459</t>
  </si>
  <si>
    <t>1623632516744617988</t>
  </si>
  <si>
    <t>1610952954915311616</t>
  </si>
  <si>
    <t>1646236224288595968</t>
  </si>
  <si>
    <t>1648370319046983696</t>
  </si>
  <si>
    <t>1620075735611478016</t>
  </si>
  <si>
    <t>1617532361746579457</t>
  </si>
  <si>
    <t>1628440443833704451</t>
  </si>
  <si>
    <t>1663269303083253776</t>
  </si>
  <si>
    <t>1615008212792610816</t>
  </si>
  <si>
    <t>1670859209200500739</t>
  </si>
  <si>
    <t>1622644525612007430</t>
  </si>
  <si>
    <t>1654956376454569985</t>
  </si>
  <si>
    <t>1669406157037793280</t>
  </si>
  <si>
    <t>1638322125390872579</t>
  </si>
  <si>
    <t>1622217660267110400</t>
  </si>
  <si>
    <t>1661385637746860033</t>
  </si>
  <si>
    <t>1666928349397016582</t>
  </si>
  <si>
    <t>1666867923854475264</t>
  </si>
  <si>
    <t>1620726545760534529</t>
  </si>
  <si>
    <t>1646550124972179458</t>
  </si>
  <si>
    <t>1645812596032032773</t>
  </si>
  <si>
    <t>1703175077213208878</t>
  </si>
  <si>
    <t>1672587976851742727</t>
  </si>
  <si>
    <t>1632387913097904130</t>
  </si>
  <si>
    <t>1702201345116409947</t>
  </si>
  <si>
    <t>1695553466176086147</t>
  </si>
  <si>
    <t>1703203356062400846</t>
  </si>
  <si>
    <t>1706888904916480177</t>
  </si>
  <si>
    <t>1687193645462736898</t>
  </si>
  <si>
    <t>1628823697875165189</t>
  </si>
  <si>
    <t>1672846213568163842</t>
  </si>
  <si>
    <t>1624576812939374593</t>
  </si>
  <si>
    <t>1681653956840157185</t>
  </si>
  <si>
    <t>1675535218038505472</t>
  </si>
  <si>
    <t>1698701629552288118</t>
  </si>
  <si>
    <t>1646177939271057416</t>
  </si>
  <si>
    <t>1674421952197566464</t>
  </si>
  <si>
    <t>1653107405356425217</t>
  </si>
  <si>
    <t>1670953523272462337</t>
  </si>
  <si>
    <t>1673773100654051332</t>
  </si>
  <si>
    <t>1684999428183035904</t>
  </si>
  <si>
    <t>1681038567416446977</t>
  </si>
  <si>
    <t>1335656385128894465</t>
  </si>
  <si>
    <t>1629281421985558533</t>
  </si>
  <si>
    <t>14584765</t>
  </si>
  <si>
    <t>1630191287126073344</t>
  </si>
  <si>
    <t>3507344897</t>
  </si>
  <si>
    <t>1449205682729783296</t>
  </si>
  <si>
    <t>18898473</t>
  </si>
  <si>
    <t>1616247480068313088</t>
  </si>
  <si>
    <t>1117445260773416960</t>
  </si>
  <si>
    <t>1691933346077786118</t>
  </si>
  <si>
    <t>1529452211121623040</t>
  </si>
  <si>
    <t>1047683947839332358</t>
  </si>
  <si>
    <t>274989938</t>
  </si>
  <si>
    <t>1493433552196808704</t>
  </si>
  <si>
    <t>1070858287447449601</t>
  </si>
  <si>
    <t>1387790965558104069</t>
  </si>
  <si>
    <t>778276232081342464</t>
  </si>
  <si>
    <t>57981116</t>
  </si>
  <si>
    <t>2469127752</t>
  </si>
  <si>
    <t>1701025847908380672</t>
  </si>
  <si>
    <t>1087435454054653958</t>
  </si>
  <si>
    <t>1395541134932332553</t>
  </si>
  <si>
    <t>1644028385784373249</t>
  </si>
  <si>
    <t>209578308</t>
  </si>
  <si>
    <t>508075094</t>
  </si>
  <si>
    <t>1632766845903151106</t>
  </si>
  <si>
    <t>35784267</t>
  </si>
  <si>
    <t>1620631531</t>
  </si>
  <si>
    <t>1389959591748898817</t>
  </si>
  <si>
    <t>1361408156614729733</t>
  </si>
  <si>
    <t>1461371216632201222</t>
  </si>
  <si>
    <t>1451336811700228099</t>
  </si>
  <si>
    <t>1473346616904011776</t>
  </si>
  <si>
    <t>1224100329978986498</t>
  </si>
  <si>
    <t>67008859</t>
  </si>
  <si>
    <t>1120423731199975425</t>
  </si>
  <si>
    <t>911796394641559553</t>
  </si>
  <si>
    <t>1594447087973736448</t>
  </si>
  <si>
    <t>213528305</t>
  </si>
  <si>
    <t>1680921446392946688</t>
  </si>
  <si>
    <t>1524607646007021568</t>
  </si>
  <si>
    <t>1694740366778376192</t>
  </si>
  <si>
    <t>1516228713926512647</t>
  </si>
  <si>
    <t>155223834</t>
  </si>
  <si>
    <t>1508307675737640972</t>
  </si>
  <si>
    <t>4211523209</t>
  </si>
  <si>
    <t>1506639991929196548</t>
  </si>
  <si>
    <t>1731964476</t>
  </si>
  <si>
    <t>1676997772686372864</t>
  </si>
  <si>
    <t/>
  </si>
  <si>
    <t>1629288581851144195</t>
  </si>
  <si>
    <t>1628485336815788035</t>
  </si>
  <si>
    <t>1630707433646571520</t>
  </si>
  <si>
    <t>1704453661898797410</t>
  </si>
  <si>
    <t>1679113772147810305</t>
  </si>
  <si>
    <t>1644727743454609410</t>
  </si>
  <si>
    <t>1641815918496866305</t>
  </si>
  <si>
    <t>1704196864763949555</t>
  </si>
  <si>
    <t>1630949892884406274</t>
  </si>
  <si>
    <t>1701652811534975374</t>
  </si>
  <si>
    <t>1702143866525085757</t>
  </si>
  <si>
    <t>1687081670879412225</t>
  </si>
  <si>
    <t>1631682072027824131</t>
  </si>
  <si>
    <t>1640432170656210945</t>
  </si>
  <si>
    <t>1626225982322642950</t>
  </si>
  <si>
    <t>1702490422671475087</t>
  </si>
  <si>
    <t>1675573423135760391</t>
  </si>
  <si>
    <t>1613818665605992450</t>
  </si>
  <si>
    <t>1613480203904221186</t>
  </si>
  <si>
    <t>1636342598720684033</t>
  </si>
  <si>
    <t>1643373666007121922</t>
  </si>
  <si>
    <t>1659141513811566594</t>
  </si>
  <si>
    <t>1623632725889499136</t>
  </si>
  <si>
    <t>1610953152857280512</t>
  </si>
  <si>
    <t>1646236233142788096</t>
  </si>
  <si>
    <t>1648370328714838018</t>
  </si>
  <si>
    <t>1628440446211878912</t>
  </si>
  <si>
    <t>1615008215061696512</t>
  </si>
  <si>
    <t>1622644528191504391</t>
  </si>
  <si>
    <t>1661385681787133954</t>
  </si>
  <si>
    <t>1667229617151946752</t>
  </si>
  <si>
    <t>1666907220481548288</t>
  </si>
  <si>
    <t>1703176094667403264</t>
  </si>
  <si>
    <t>1702201355853762709</t>
  </si>
  <si>
    <t>1695554594330615908</t>
  </si>
  <si>
    <t>1703203360634269876</t>
  </si>
  <si>
    <t>1706888911178641647</t>
  </si>
  <si>
    <t>1687193896466665475</t>
  </si>
  <si>
    <t>1628824128437231624</t>
  </si>
  <si>
    <t>1675535226653556737</t>
  </si>
  <si>
    <t>1653108028118294551</t>
  </si>
  <si>
    <t>1670953534823575554</t>
  </si>
  <si>
    <t>1670953525952626691</t>
  </si>
  <si>
    <t>1673773120182796317</t>
  </si>
  <si>
    <t>1681038671049310214</t>
  </si>
  <si>
    <t>1480492619541139457</t>
  </si>
  <si>
    <t>1561266868119547904</t>
  </si>
  <si>
    <t>1580624710781571083</t>
  </si>
  <si>
    <t>1664815514529542145</t>
  </si>
  <si>
    <t>1585017675901706263</t>
  </si>
  <si>
    <t>1454806682626887682</t>
  </si>
  <si>
    <t>1555201766219829249</t>
  </si>
  <si>
    <t>1581292278345355265</t>
  </si>
  <si>
    <t>1499003946848899072</t>
  </si>
  <si>
    <t>886605943370338305</t>
  </si>
  <si>
    <t>1489798535130533891</t>
  </si>
  <si>
    <t>1588281782096592899</t>
  </si>
  <si>
    <t>1677337171848577025</t>
  </si>
  <si>
    <t>1393217473953026052</t>
  </si>
  <si>
    <t>1658092128742809603</t>
  </si>
  <si>
    <t>1122105345592184832</t>
  </si>
  <si>
    <t>1089469318717427712</t>
  </si>
  <si>
    <t>1639742798063710209</t>
  </si>
  <si>
    <t>850443282236788736</t>
  </si>
  <si>
    <t>1256995971906572288</t>
  </si>
  <si>
    <t>1401611054069784581</t>
  </si>
  <si>
    <t>833755553620959234</t>
  </si>
  <si>
    <t>1620434756906221569</t>
  </si>
  <si>
    <t>1115029348816388101</t>
  </si>
  <si>
    <t>966418582421811200</t>
  </si>
  <si>
    <t>1168491172341243905</t>
  </si>
  <si>
    <t>1544696882454302720</t>
  </si>
  <si>
    <t>1482363900704210951</t>
  </si>
  <si>
    <t>1150784944420970497</t>
  </si>
  <si>
    <t>1476605019931688971</t>
  </si>
  <si>
    <t>1660422940138041345</t>
  </si>
  <si>
    <t>1641557434945732608</t>
  </si>
  <si>
    <t>1611376198860374016</t>
  </si>
  <si>
    <t>1030086613349617666</t>
  </si>
  <si>
    <t>1591582592771530756</t>
  </si>
  <si>
    <t>1528058026741178369</t>
  </si>
  <si>
    <t>1566829681122447360</t>
  </si>
  <si>
    <t>1649148528118099984</t>
  </si>
  <si>
    <t>927582083635122181</t>
  </si>
  <si>
    <t>1293067913453338625</t>
  </si>
  <si>
    <t>1370163662539915266</t>
  </si>
  <si>
    <t>1454101639338598403</t>
  </si>
  <si>
    <t>1603789639042605057</t>
  </si>
  <si>
    <t>1655747852386050049</t>
  </si>
  <si>
    <t>1663303337033322496</t>
  </si>
  <si>
    <t>1612808504179302401</t>
  </si>
  <si>
    <t>1688248187872563205</t>
  </si>
  <si>
    <t>1606063852457697280</t>
  </si>
  <si>
    <t>1485247609065324550</t>
  </si>
  <si>
    <t>1393920957258084352</t>
  </si>
  <si>
    <t>1029293862387429377</t>
  </si>
  <si>
    <t>1526627506396200962</t>
  </si>
  <si>
    <t>1638994188397170699</t>
  </si>
  <si>
    <t>1675567318351376385</t>
  </si>
  <si>
    <t>1308036876457177089</t>
  </si>
  <si>
    <t>1603231627559182336</t>
  </si>
  <si>
    <t>1532517195418374144</t>
  </si>
  <si>
    <t>1206942103735095296</t>
  </si>
  <si>
    <t>1595300394791567364</t>
  </si>
  <si>
    <t>1247510381167292416</t>
  </si>
  <si>
    <t>1662251925557989377</t>
  </si>
  <si>
    <t>1620445407808479232</t>
  </si>
  <si>
    <t>1267106670129426432</t>
  </si>
  <si>
    <t>1654049027120418830</t>
  </si>
  <si>
    <t>1404418856425299970</t>
  </si>
  <si>
    <t>1639016251438645248</t>
  </si>
  <si>
    <t>1355624301274263553</t>
  </si>
  <si>
    <t>1140718543702568968</t>
  </si>
  <si>
    <t>1598914932023521280</t>
  </si>
  <si>
    <t>1661790129126604801</t>
  </si>
  <si>
    <t>1677007338656391180</t>
  </si>
  <si>
    <t>1698068308271013888</t>
  </si>
  <si>
    <t>1594371871763480581</t>
  </si>
  <si>
    <t>1435277996047454212</t>
  </si>
  <si>
    <t>1595000808600485889</t>
  </si>
  <si>
    <t>1662255263951343617</t>
  </si>
  <si>
    <t>1585205443013578754</t>
  </si>
  <si>
    <t>1236003131244392448</t>
  </si>
  <si>
    <t>1533774887252279297</t>
  </si>
  <si>
    <t>1465322324043964418</t>
  </si>
  <si>
    <t>1373716506173915141</t>
  </si>
  <si>
    <t>1359906411799576577</t>
  </si>
  <si>
    <t>1397192533403443204</t>
  </si>
  <si>
    <t>1670086879197233152</t>
  </si>
  <si>
    <t>818511431654133760</t>
  </si>
  <si>
    <t>839495968366149632</t>
  </si>
  <si>
    <t>1041724956839698433</t>
  </si>
  <si>
    <t>915968866991394817</t>
  </si>
  <si>
    <t>1584966128396369921</t>
  </si>
  <si>
    <t>1670794745235243010</t>
  </si>
  <si>
    <t>1451635932172533764</t>
  </si>
  <si>
    <t>990306472633479168</t>
  </si>
  <si>
    <t>1248040760009789445</t>
  </si>
  <si>
    <t>1113533606247436289</t>
  </si>
  <si>
    <t>1668232633933787137</t>
  </si>
  <si>
    <t>1627801313814749192</t>
  </si>
  <si>
    <t>1672236167167725568</t>
  </si>
  <si>
    <t>1134624874817904642</t>
  </si>
  <si>
    <t>1614475928825888768</t>
  </si>
  <si>
    <t>1254175068550311943</t>
  </si>
  <si>
    <t>1701803326311190528</t>
  </si>
  <si>
    <t>1639357093789458450</t>
  </si>
  <si>
    <t>1643222049127628801</t>
  </si>
  <si>
    <t>1651597864420749315</t>
  </si>
  <si>
    <t>1675866187547156480</t>
  </si>
  <si>
    <t>1478569766545772548</t>
  </si>
  <si>
    <t>1234653612330115072</t>
  </si>
  <si>
    <t>1518973541575757824</t>
  </si>
  <si>
    <t>1451233522660913163</t>
  </si>
  <si>
    <t>1430592209351553030</t>
  </si>
  <si>
    <t>795327504496164864</t>
  </si>
  <si>
    <t>1601674920525807616</t>
  </si>
  <si>
    <t>1070405618874359809</t>
  </si>
  <si>
    <t>1594783031587442709</t>
  </si>
  <si>
    <t>1638982291195084802</t>
  </si>
  <si>
    <t>1641652164480184321</t>
  </si>
  <si>
    <t>1526994674782814208</t>
  </si>
  <si>
    <t>876806725684297728</t>
  </si>
  <si>
    <t>1217146338279854082</t>
  </si>
  <si>
    <t>1088412062273941506</t>
  </si>
  <si>
    <t>1687899824635400192</t>
  </si>
  <si>
    <t>1542660151483711488</t>
  </si>
  <si>
    <t>1518610128425078785</t>
  </si>
  <si>
    <t>1359169896945508355</t>
  </si>
  <si>
    <t>1549041711250391045</t>
  </si>
  <si>
    <t>1674064547617939456</t>
  </si>
  <si>
    <t>1483044688596815881</t>
  </si>
  <si>
    <t>1540004255012102144</t>
  </si>
  <si>
    <t>859584981672316928</t>
  </si>
  <si>
    <t>1499717218174603269</t>
  </si>
  <si>
    <t>966845588661776389</t>
  </si>
  <si>
    <t>1659634238411493377</t>
  </si>
  <si>
    <t>1589753841024733184</t>
  </si>
  <si>
    <t>1643067242681073664</t>
  </si>
  <si>
    <t>1342607334116364288</t>
  </si>
  <si>
    <t>1351168770031628292</t>
  </si>
  <si>
    <t>1580352727108001792</t>
  </si>
  <si>
    <t>1638935071754207239</t>
  </si>
  <si>
    <t>1153089569677545472</t>
  </si>
  <si>
    <t>1697617637868552192</t>
  </si>
  <si>
    <t>1612637173190217728</t>
  </si>
  <si>
    <t>1416398013468233730</t>
  </si>
  <si>
    <t>1665807949309018115</t>
  </si>
  <si>
    <t>1579648477046374400</t>
  </si>
  <si>
    <t>717344794612260864</t>
  </si>
  <si>
    <t>735207707754549248</t>
  </si>
  <si>
    <t>1679955998390337537</t>
  </si>
  <si>
    <t>1655729912043503617</t>
  </si>
  <si>
    <t>1414501510285758466</t>
  </si>
  <si>
    <t>1478176156901953536</t>
  </si>
  <si>
    <t>1261253421014962176</t>
  </si>
  <si>
    <t>1632501050555899904</t>
  </si>
  <si>
    <t>1623498711245459456</t>
  </si>
  <si>
    <t>1603873155159842827</t>
  </si>
  <si>
    <t>764049471151886336</t>
  </si>
  <si>
    <t>1166388205320622080</t>
  </si>
  <si>
    <t>1551679889773846531</t>
  </si>
  <si>
    <t>1263586326487564290</t>
  </si>
  <si>
    <t>1256602692220260355</t>
  </si>
  <si>
    <t>1347170919643541504</t>
  </si>
  <si>
    <t>1476734569542037538</t>
  </si>
  <si>
    <t>1491019575156224014</t>
  </si>
  <si>
    <t>928971851598049280</t>
  </si>
  <si>
    <t>1643310644366639105</t>
  </si>
  <si>
    <t>card://1667945184586264576</t>
  </si>
  <si>
    <t>card://1667944812031426560</t>
  </si>
  <si>
    <t>Sim : 0
Não : 0</t>
  </si>
  <si>
    <t>2023-06-18T17:21:35Z</t>
  </si>
  <si>
    <t>2023-06-18T17:20:06Z</t>
  </si>
  <si>
    <t>Closed</t>
  </si>
  <si>
    <t>Name</t>
  </si>
  <si>
    <t>User ID</t>
  </si>
  <si>
    <t>Followers</t>
  </si>
  <si>
    <t>Followed</t>
  </si>
  <si>
    <t>Tweets</t>
  </si>
  <si>
    <t>Listed Count</t>
  </si>
  <si>
    <t>Favourites Count</t>
  </si>
  <si>
    <t>Media Count</t>
  </si>
  <si>
    <t>Verified</t>
  </si>
  <si>
    <t>Joined Twitter Date (UTC)</t>
  </si>
  <si>
    <t>Location</t>
  </si>
  <si>
    <t>Description</t>
  </si>
  <si>
    <t>URLs (Details)</t>
  </si>
  <si>
    <t>Expanded URLs (Details)</t>
  </si>
  <si>
    <t>Display URLs (Details)</t>
  </si>
  <si>
    <t>Description URLs (Details)</t>
  </si>
  <si>
    <t>Description Expanded URLs (Details)</t>
  </si>
  <si>
    <t>Description Display URLS (Details)</t>
  </si>
  <si>
    <t>Pinned Tweet ID</t>
  </si>
  <si>
    <t>URL</t>
  </si>
  <si>
    <t>Is Blue Verified</t>
  </si>
  <si>
    <t>You Are Followed By</t>
  </si>
  <si>
    <t>You Are Following</t>
  </si>
  <si>
    <t>Can DM</t>
  </si>
  <si>
    <t>Can Media Tag</t>
  </si>
  <si>
    <t>Default Profile</t>
  </si>
  <si>
    <t>Default Profile Image</t>
  </si>
  <si>
    <t>Has Custom Timelines</t>
  </si>
  <si>
    <t>Is Translator</t>
  </si>
  <si>
    <t>Profile Banner URL</t>
  </si>
  <si>
    <t>Profile Interstitial Type</t>
  </si>
  <si>
    <t>Translator Type</t>
  </si>
  <si>
    <t>Want Retweets</t>
  </si>
  <si>
    <t>Withheld</t>
  </si>
  <si>
    <t>Tweeted Search Term?</t>
  </si>
  <si>
    <t>Custom Menu Item Text</t>
  </si>
  <si>
    <t>Custom Menu Item Action</t>
  </si>
  <si>
    <t>Irineu Berezanski</t>
  </si>
  <si>
    <t>Bora Falar de Guito</t>
  </si>
  <si>
    <t>BHAVYA RAJWANSHI</t>
  </si>
  <si>
    <t>turan kurnaz</t>
  </si>
  <si>
    <t>O Almanaque Financeiro</t>
  </si>
  <si>
    <t>Julia Manganelli | Educadora Financeira</t>
  </si>
  <si>
    <t>Stela Maris ☆╮</t>
  </si>
  <si>
    <t>Higino Matos, CFP®</t>
  </si>
  <si>
    <t>Bruno Melo Consultor Fin. TechFinance</t>
  </si>
  <si>
    <t>Gabriel Amadi</t>
  </si>
  <si>
    <t>Gecko Cripto</t>
  </si>
  <si>
    <t>Lucas Montenegro</t>
  </si>
  <si>
    <t>Ricardo Amorim</t>
  </si>
  <si>
    <t>BoxTributário</t>
  </si>
  <si>
    <t>gagoconsorcio</t>
  </si>
  <si>
    <t>Thiago Torres</t>
  </si>
  <si>
    <t>Sebrae</t>
  </si>
  <si>
    <t>meunomelimpo.com.br</t>
  </si>
  <si>
    <t>Mauricio Medeiros</t>
  </si>
  <si>
    <t>Marcio Montezzi Filh</t>
  </si>
  <si>
    <t>Montezzi Consultoria</t>
  </si>
  <si>
    <t>Sebrae Tocantins</t>
  </si>
  <si>
    <t>thiago</t>
  </si>
  <si>
    <t>Wal Macedo</t>
  </si>
  <si>
    <t>Como Reinventar-se</t>
  </si>
  <si>
    <t>Jhon_Blackmist</t>
  </si>
  <si>
    <t>Pref. de Itaguaí</t>
  </si>
  <si>
    <t>Porto</t>
  </si>
  <si>
    <t>Parque Memorial de Goiânia</t>
  </si>
  <si>
    <t>Academia do Dinheiro</t>
  </si>
  <si>
    <t>Saguicontrol</t>
  </si>
  <si>
    <t>Max JR</t>
  </si>
  <si>
    <t>Alan Coelho</t>
  </si>
  <si>
    <t>Vanessa Gouvêa | Mentora de Empreendedoras</t>
  </si>
  <si>
    <t>Carla Paixão</t>
  </si>
  <si>
    <t>DOUGLAS COSTA</t>
  </si>
  <si>
    <t>Consultor Financeiro Igor Vieira</t>
  </si>
  <si>
    <t>YouTube</t>
  </si>
  <si>
    <t>Prevcom</t>
  </si>
  <si>
    <t>Economista Everton Lopes</t>
  </si>
  <si>
    <t>Aline Amaral</t>
  </si>
  <si>
    <t>Misael Nascimento,CEA ®️</t>
  </si>
  <si>
    <t>Bruno Silia Machado | Consultor Financeiro</t>
  </si>
  <si>
    <t>Jornal Contábil</t>
  </si>
  <si>
    <t>Colégio Pectrus</t>
  </si>
  <si>
    <t>Jean Javarini</t>
  </si>
  <si>
    <t>William Hunt - Finanças Pessoais e Investimentos</t>
  </si>
  <si>
    <t>Tony Sousa</t>
  </si>
  <si>
    <t>Puneet Kohli</t>
  </si>
  <si>
    <t>Luciane Souza</t>
  </si>
  <si>
    <t>Ademicon</t>
  </si>
  <si>
    <t>Victor Paganini CNPI-P</t>
  </si>
  <si>
    <t>Erik Tadeu da Silva</t>
  </si>
  <si>
    <t>Prosper Group</t>
  </si>
  <si>
    <t>Luís Fernando Gomes Diniz</t>
  </si>
  <si>
    <t>Francis</t>
  </si>
  <si>
    <t>Target Educação Executiva</t>
  </si>
  <si>
    <t>Dêivisson Nunes</t>
  </si>
  <si>
    <t>Bot Binary Deriv (Edson Barra)</t>
  </si>
  <si>
    <t>Sebraport</t>
  </si>
  <si>
    <t>Kako Ramos</t>
  </si>
  <si>
    <t>Investoom</t>
  </si>
  <si>
    <t>André Werneck</t>
  </si>
  <si>
    <t>Nonô, o Vovô Investidor</t>
  </si>
  <si>
    <t>Pravaler</t>
  </si>
  <si>
    <t>REVISTA APÓLICE</t>
  </si>
  <si>
    <t>Gustavo Paz</t>
  </si>
  <si>
    <t>Minter | Educação Financeira</t>
  </si>
  <si>
    <t>Amanda Parlamento</t>
  </si>
  <si>
    <t>Tia Julha - Adv and Tista 🙏🏽</t>
  </si>
  <si>
    <t>Pagina lixo</t>
  </si>
  <si>
    <t>@cobratecassis</t>
  </si>
  <si>
    <t>Atlantic Capital</t>
  </si>
  <si>
    <t>Life</t>
  </si>
  <si>
    <t>StudioMadeHits</t>
  </si>
  <si>
    <t>Resumo de Livros</t>
  </si>
  <si>
    <t>Alan Valney</t>
  </si>
  <si>
    <t>candiani</t>
  </si>
  <si>
    <t>FR money Matters</t>
  </si>
  <si>
    <t>CZ 🔶 Binance</t>
  </si>
  <si>
    <t>Polkadot</t>
  </si>
  <si>
    <t>PolkaBridge | Decentralized P2P Exchange is Live🟢</t>
  </si>
  <si>
    <t>Fábio Sha</t>
  </si>
  <si>
    <t>Luize Finanças</t>
  </si>
  <si>
    <t>Allan Fernandes</t>
  </si>
  <si>
    <t>Vida Toda Corretora</t>
  </si>
  <si>
    <t>John Galt</t>
  </si>
  <si>
    <t>HiDoctor® - Plataforma Médica</t>
  </si>
  <si>
    <t>Cintia Menegazzo</t>
  </si>
  <si>
    <t>Snapfi Brasil</t>
  </si>
  <si>
    <t>HENLE | Investimentos &amp; Macroeconomia</t>
  </si>
  <si>
    <t>DigitalInvestCo</t>
  </si>
  <si>
    <t>Moprify</t>
  </si>
  <si>
    <t>Aziz Basry</t>
  </si>
  <si>
    <t>Jorge Martínez Jr</t>
  </si>
  <si>
    <t>Djef</t>
  </si>
  <si>
    <t>Contas Online</t>
  </si>
  <si>
    <t>Financial Stream</t>
  </si>
  <si>
    <t>Casseb, Eustaquelino</t>
  </si>
  <si>
    <t>CLM Controller</t>
  </si>
  <si>
    <t>token.com Brasil</t>
  </si>
  <si>
    <t>Daniel φ</t>
  </si>
  <si>
    <t>LOBS Contabilidade</t>
  </si>
  <si>
    <t>Vamos testar ?</t>
  </si>
  <si>
    <t>Autistic Mind M ∞🇯🇵🧠📚🧬™️</t>
  </si>
  <si>
    <t>ComputarSistemas</t>
  </si>
  <si>
    <t>Ribeiro Cavalcante Advocacia</t>
  </si>
  <si>
    <t>Investimento Objetivo</t>
  </si>
  <si>
    <t>Suno Notícias</t>
  </si>
  <si>
    <t>Thiago Budni</t>
  </si>
  <si>
    <t>PARAM INVESTOPEDIA PRIVATE LIMITED</t>
  </si>
  <si>
    <t>Rodrigo Pereira 🇧🇷 - 🚀</t>
  </si>
  <si>
    <t>Nayara Caixeta</t>
  </si>
  <si>
    <t>Guilherme Soares</t>
  </si>
  <si>
    <t>Alexandre Santiago | Planejador Financeiro Pessoal</t>
  </si>
  <si>
    <t>Andrey Nousi, CFA</t>
  </si>
  <si>
    <t>miniDicas</t>
  </si>
  <si>
    <t>Caio Leal</t>
  </si>
  <si>
    <t>Ronaldo Lundgren</t>
  </si>
  <si>
    <t>Ageu Camargo</t>
  </si>
  <si>
    <t>Editora B18</t>
  </si>
  <si>
    <t>Carreira Profissional</t>
  </si>
  <si>
    <t>Paulo Cézar Corrêa</t>
  </si>
  <si>
    <t>Rafael Costa</t>
  </si>
  <si>
    <t>Vida Ideal</t>
  </si>
  <si>
    <t>Smart Maximus</t>
  </si>
  <si>
    <t>Finanças Lucrativas</t>
  </si>
  <si>
    <t>Carlos Domini</t>
  </si>
  <si>
    <t>O Caminho da Alfa</t>
  </si>
  <si>
    <t>perspective investimentos</t>
  </si>
  <si>
    <t>Orcose Contabilidade</t>
  </si>
  <si>
    <t>Luizmarjr</t>
  </si>
  <si>
    <t>Gaspar Trajano</t>
  </si>
  <si>
    <t>XZIBank</t>
  </si>
  <si>
    <t>ContabilidadeExcel</t>
  </si>
  <si>
    <t>Crevalle</t>
  </si>
  <si>
    <t>Vegansav</t>
  </si>
  <si>
    <t>Capitalize Já</t>
  </si>
  <si>
    <t>aleatoriando</t>
  </si>
  <si>
    <t>Auto Destaque</t>
  </si>
  <si>
    <t>Denis Junqueira</t>
  </si>
  <si>
    <t>Imóvel Star</t>
  </si>
  <si>
    <t>Elite Mind Finance</t>
  </si>
  <si>
    <t>Alme de Oliveira</t>
  </si>
  <si>
    <t>𝐿𝒶𝓇𝒾𝓈𝓈𝒶</t>
  </si>
  <si>
    <t>Davi Coimbra</t>
  </si>
  <si>
    <t>Giovane Silva</t>
  </si>
  <si>
    <t>Invista Finanças</t>
  </si>
  <si>
    <t>Investoom_feed</t>
  </si>
  <si>
    <t>Organizze</t>
  </si>
  <si>
    <t>Professor Thiago</t>
  </si>
  <si>
    <t>Anderson de Andrade</t>
  </si>
  <si>
    <t>E-Investidor</t>
  </si>
  <si>
    <t>Alana Amorim</t>
  </si>
  <si>
    <t>ChatGuru</t>
  </si>
  <si>
    <t>Ricardo Loureiro</t>
  </si>
  <si>
    <t>Brava Capital</t>
  </si>
  <si>
    <t>andrenegocios</t>
  </si>
  <si>
    <t>Kedmus</t>
  </si>
  <si>
    <t>Ben Popov</t>
  </si>
  <si>
    <t>Tainara Follmann</t>
  </si>
  <si>
    <t>Grupo Dank!</t>
  </si>
  <si>
    <t>José Amaral Neto 🛸🆙</t>
  </si>
  <si>
    <t>Portal Finanças Pessoais</t>
  </si>
  <si>
    <t>Roger Rocha Moreira</t>
  </si>
  <si>
    <t>Lula</t>
  </si>
  <si>
    <t>Roberto Motta</t>
  </si>
  <si>
    <t>Dama de Ferro</t>
  </si>
  <si>
    <t>Unicred</t>
  </si>
  <si>
    <t>Vinco Exchange</t>
  </si>
  <si>
    <t>Kakau Seguros</t>
  </si>
  <si>
    <t>Seu Dinheiro</t>
  </si>
  <si>
    <t>GRUPO BORN SOLUCOES</t>
  </si>
  <si>
    <t>Plancredi</t>
  </si>
  <si>
    <t>MetaLog</t>
  </si>
  <si>
    <t>ADVJUS Portal Jurídico</t>
  </si>
  <si>
    <t>Alessandro Turci ~ News SHD</t>
  </si>
  <si>
    <t>Sol 🍋</t>
  </si>
  <si>
    <t>Invisto Ad Eternum</t>
  </si>
  <si>
    <t>OABPrev-RS</t>
  </si>
  <si>
    <t>Dan Paranóia Mazz</t>
  </si>
  <si>
    <t>misa: wake me up when september ends</t>
  </si>
  <si>
    <t>SilvioBamboli</t>
  </si>
  <si>
    <t>Julio Rodrigues</t>
  </si>
  <si>
    <t>pipocaeeconomia</t>
  </si>
  <si>
    <t>Valor Investe</t>
  </si>
  <si>
    <t>Fernando Dutra</t>
  </si>
  <si>
    <t>Vivalocal_oficial</t>
  </si>
  <si>
    <t>Mundo do Consórcio</t>
  </si>
  <si>
    <t>jornal digital360</t>
  </si>
  <si>
    <t>Ancelmo Ramos</t>
  </si>
  <si>
    <t>Dudu Barbalho</t>
  </si>
  <si>
    <t>LuHao Marketing Digital</t>
  </si>
  <si>
    <t>O INVESTIDOR FAIXA PRETA 🥋</t>
  </si>
  <si>
    <t>Aposentando Novo</t>
  </si>
  <si>
    <t>Café &amp; Economia ☕📈</t>
  </si>
  <si>
    <t>Luiz Flavio Herbst</t>
  </si>
  <si>
    <t>Finance Info Hindi</t>
  </si>
  <si>
    <t>N e t o</t>
  </si>
  <si>
    <t>Vippi BPO</t>
  </si>
  <si>
    <t>Toni</t>
  </si>
  <si>
    <t>Zoom Dinheiro</t>
  </si>
  <si>
    <t>Grupo Recupera Brasil</t>
  </si>
  <si>
    <t>Bia Mallet</t>
  </si>
  <si>
    <t>Juliana Tieko | Finanças UP</t>
  </si>
  <si>
    <t>João Neto</t>
  </si>
  <si>
    <t>Fernando Gutierrez</t>
  </si>
  <si>
    <t>CVM Educacional</t>
  </si>
  <si>
    <t>AlexSilva-Educação Financeira 💰🤑</t>
  </si>
  <si>
    <t>Euro Financeira</t>
  </si>
  <si>
    <t>Rafael Ramos</t>
  </si>
  <si>
    <t>tiago_am80</t>
  </si>
  <si>
    <t>Metodo TDL</t>
  </si>
  <si>
    <t>Paulo Borba</t>
  </si>
  <si>
    <t>Fiscco Serviços Contábeis e Assessoria Empresarial</t>
  </si>
  <si>
    <t>policorretora</t>
  </si>
  <si>
    <t>Pobre Poupa</t>
  </si>
  <si>
    <t>Walter Correa</t>
  </si>
  <si>
    <t>EVOY CONSÓRCIOS</t>
  </si>
  <si>
    <t>Unicred Central Multirregional</t>
  </si>
  <si>
    <t>SebraeRO</t>
  </si>
  <si>
    <t>vivi</t>
  </si>
  <si>
    <t>Marcelo Felippe</t>
  </si>
  <si>
    <t>Tech6 Group</t>
  </si>
  <si>
    <t>MA RUIVA</t>
  </si>
  <si>
    <t>G-Darma</t>
  </si>
  <si>
    <t>Isleno Araújo, CFP®</t>
  </si>
  <si>
    <t>Investir e Viver</t>
  </si>
  <si>
    <t>Mantovani Condomínios</t>
  </si>
  <si>
    <t>MACEDO CONTABILIDADE</t>
  </si>
  <si>
    <t>Leandro Machado</t>
  </si>
  <si>
    <t>Rogério (Roger) Montali</t>
  </si>
  <si>
    <t>Achados de Marketing</t>
  </si>
  <si>
    <t>saudemaismetodos</t>
  </si>
  <si>
    <t>Ricardo Galdino</t>
  </si>
  <si>
    <t>Blog do Juares</t>
  </si>
  <si>
    <t>Luciana Bettero</t>
  </si>
  <si>
    <t>Adriano Aragão</t>
  </si>
  <si>
    <t>Duduh Rosa</t>
  </si>
  <si>
    <t>Iury Leite - Consultor financeiro da Invest Space</t>
  </si>
  <si>
    <t>Finanzmesse Invest</t>
  </si>
  <si>
    <t>Hamashia Oficial</t>
  </si>
  <si>
    <t>CDI Hoje</t>
  </si>
  <si>
    <t>Marcelo Avila</t>
  </si>
  <si>
    <t>Filipe Dawson</t>
  </si>
  <si>
    <t>Geraldo Burigo, CEA</t>
  </si>
  <si>
    <t>Keep Growing</t>
  </si>
  <si>
    <t>Nosso INSS</t>
  </si>
  <si>
    <t>Thiago De Biase</t>
  </si>
  <si>
    <t>CRA-SC</t>
  </si>
  <si>
    <t>CamposWealth</t>
  </si>
  <si>
    <t>Bruno Santana</t>
  </si>
  <si>
    <t>PODBRAND</t>
  </si>
  <si>
    <t>Barbi Contábil</t>
  </si>
  <si>
    <t>Anderson Silva</t>
  </si>
  <si>
    <t>Lux Capital</t>
  </si>
  <si>
    <t>Inteiramente Rico</t>
  </si>
  <si>
    <t>Fabio lourenço</t>
  </si>
  <si>
    <t>ContadorPJ</t>
  </si>
  <si>
    <t>Roberto Gadelha 📊🐂</t>
  </si>
  <si>
    <t>Fran</t>
  </si>
  <si>
    <t>EMERSON SANTOS</t>
  </si>
  <si>
    <t>RNA Invest</t>
  </si>
  <si>
    <t>Claudio S. Guirão</t>
  </si>
  <si>
    <t>Hil Vieira</t>
  </si>
  <si>
    <t>Lidia Aleixo</t>
  </si>
  <si>
    <t>Varginha Online</t>
  </si>
  <si>
    <t>Mdmcontabil</t>
  </si>
  <si>
    <t>Consórcio Embracon</t>
  </si>
  <si>
    <t>Maria Guedes</t>
  </si>
  <si>
    <t>123 Passei</t>
  </si>
  <si>
    <t>Erick Moraess</t>
  </si>
  <si>
    <t>Crediconsegbr</t>
  </si>
  <si>
    <t>Dívida Zero - Cae Galvão</t>
  </si>
  <si>
    <t>Adriana De Luca</t>
  </si>
  <si>
    <t>Valor Econômico</t>
  </si>
  <si>
    <t>Fluir IBG</t>
  </si>
  <si>
    <t>Casal Consórcio</t>
  </si>
  <si>
    <t>RADIO 54</t>
  </si>
  <si>
    <t>Financeiro em Dia</t>
  </si>
  <si>
    <t>A Força do Empreendedor Paraense</t>
  </si>
  <si>
    <t>Blumenau Agora</t>
  </si>
  <si>
    <t>Paulo | Finanças Pessoais</t>
  </si>
  <si>
    <t>lucas.lnogueira</t>
  </si>
  <si>
    <t>Nessinha Cristina</t>
  </si>
  <si>
    <t>romero.financas</t>
  </si>
  <si>
    <t>ManIAm</t>
  </si>
  <si>
    <t>Majeseg Seguros</t>
  </si>
  <si>
    <t>MakingaDifference</t>
  </si>
  <si>
    <t>GUARUCONT Contabilidade Online</t>
  </si>
  <si>
    <t>Leide Salomão</t>
  </si>
  <si>
    <t>Luiz Baur</t>
  </si>
  <si>
    <t>LP4 Planejamento e Consultoria</t>
  </si>
  <si>
    <t>Eduarda Andrade</t>
  </si>
  <si>
    <t>Cesar Kato</t>
  </si>
  <si>
    <t>ANBIMA</t>
  </si>
  <si>
    <t>holisticinvestment.in</t>
  </si>
  <si>
    <t>sll18 (pt depre)</t>
  </si>
  <si>
    <t>Adori Almeida</t>
  </si>
  <si>
    <t>Matemática Financeira</t>
  </si>
  <si>
    <t>clayson lima</t>
  </si>
  <si>
    <t>Gestaum Digital</t>
  </si>
  <si>
    <t>Seshat Consultoria e Assessoria</t>
  </si>
  <si>
    <t>Mal financiada</t>
  </si>
  <si>
    <t>TCL Soluções</t>
  </si>
  <si>
    <t>Pedro Carvalho</t>
  </si>
  <si>
    <t>Pablo Spyer</t>
  </si>
  <si>
    <t>PAULO ANDRADE</t>
  </si>
  <si>
    <t>399265512</t>
  </si>
  <si>
    <t>141030680</t>
  </si>
  <si>
    <t>186294288</t>
  </si>
  <si>
    <t>160910872</t>
  </si>
  <si>
    <t>382927727</t>
  </si>
  <si>
    <t>322260032</t>
  </si>
  <si>
    <t>3006284777</t>
  </si>
  <si>
    <t>3225278345</t>
  </si>
  <si>
    <t>17443707</t>
  </si>
  <si>
    <t>75173434</t>
  </si>
  <si>
    <t>174310768</t>
  </si>
  <si>
    <t>292867857</t>
  </si>
  <si>
    <t>10228272</t>
  </si>
  <si>
    <t>593015078</t>
  </si>
  <si>
    <t>111397831</t>
  </si>
  <si>
    <t>212916157</t>
  </si>
  <si>
    <t>62033604</t>
  </si>
  <si>
    <t>2808537327</t>
  </si>
  <si>
    <t>241696673</t>
  </si>
  <si>
    <t>69634735</t>
  </si>
  <si>
    <t>625192155</t>
  </si>
  <si>
    <t>49681434</t>
  </si>
  <si>
    <t>37260520</t>
  </si>
  <si>
    <t>2397838608</t>
  </si>
  <si>
    <t>536380588</t>
  </si>
  <si>
    <t>73875357</t>
  </si>
  <si>
    <t>902926941413453824</t>
  </si>
  <si>
    <t>1595615893</t>
  </si>
  <si>
    <t>1344989728706158595</t>
  </si>
  <si>
    <t>2239858518</t>
  </si>
  <si>
    <t>3385144997</t>
  </si>
  <si>
    <t>479716607</t>
  </si>
  <si>
    <t>135946507</t>
  </si>
  <si>
    <t>424440280</t>
  </si>
  <si>
    <t>3411124432</t>
  </si>
  <si>
    <t>80030542</t>
  </si>
  <si>
    <t>64904940</t>
  </si>
  <si>
    <t>69006385</t>
  </si>
  <si>
    <t>3127710448</t>
  </si>
  <si>
    <t>1400259530</t>
  </si>
  <si>
    <t>13058772</t>
  </si>
  <si>
    <t>487144994</t>
  </si>
  <si>
    <t>96743223</t>
  </si>
  <si>
    <t>100868755</t>
  </si>
  <si>
    <t>202938333</t>
  </si>
  <si>
    <t>741335426141704192</t>
  </si>
  <si>
    <t>4142639176</t>
  </si>
  <si>
    <t>60692388</t>
  </si>
  <si>
    <t>59811558</t>
  </si>
  <si>
    <t>109091764</t>
  </si>
  <si>
    <t>31728843</t>
  </si>
  <si>
    <t>15514372</t>
  </si>
  <si>
    <t>101408356</t>
  </si>
  <si>
    <t>44055402</t>
  </si>
  <si>
    <t>37329759</t>
  </si>
  <si>
    <t>49599520</t>
  </si>
  <si>
    <t>17752026</t>
  </si>
  <si>
    <t>2670726740</t>
  </si>
  <si>
    <t>33071040</t>
  </si>
  <si>
    <t>1043615581973499904</t>
  </si>
  <si>
    <t>1265158207</t>
  </si>
  <si>
    <t>3364562657</t>
  </si>
  <si>
    <t>40351417</t>
  </si>
  <si>
    <t>4357245737</t>
  </si>
  <si>
    <t>52371933</t>
  </si>
  <si>
    <t>67352317</t>
  </si>
  <si>
    <t>36825083</t>
  </si>
  <si>
    <t>18822034</t>
  </si>
  <si>
    <t>360619751</t>
  </si>
  <si>
    <t>182091017</t>
  </si>
  <si>
    <t>78683818</t>
  </si>
  <si>
    <t>288550432</t>
  </si>
  <si>
    <t>41479382</t>
  </si>
  <si>
    <t>568494327</t>
  </si>
  <si>
    <t>244707852</t>
  </si>
  <si>
    <t>282458763</t>
  </si>
  <si>
    <t>368459377</t>
  </si>
  <si>
    <t>26825269</t>
  </si>
  <si>
    <t>44000594</t>
  </si>
  <si>
    <t>308218410</t>
  </si>
  <si>
    <t>75428385</t>
  </si>
  <si>
    <t>297723598</t>
  </si>
  <si>
    <t>356898814</t>
  </si>
  <si>
    <t>38833158</t>
  </si>
  <si>
    <t>135272073</t>
  </si>
  <si>
    <t>55021181</t>
  </si>
  <si>
    <t>51787459</t>
  </si>
  <si>
    <t>112222090</t>
  </si>
  <si>
    <t>213998056</t>
  </si>
  <si>
    <t>32529120</t>
  </si>
  <si>
    <t>3386454485</t>
  </si>
  <si>
    <t>85354996</t>
  </si>
  <si>
    <t>116233438</t>
  </si>
  <si>
    <t>153904334</t>
  </si>
  <si>
    <t>3341974577</t>
  </si>
  <si>
    <t>2483025594</t>
  </si>
  <si>
    <t>604061758</t>
  </si>
  <si>
    <t>399598534</t>
  </si>
  <si>
    <t>1152068936</t>
  </si>
  <si>
    <t>2408015736</t>
  </si>
  <si>
    <t>Florianópolis, Brasil</t>
  </si>
  <si>
    <t>Aparecida de Goiânia - GO</t>
  </si>
  <si>
    <t>São José dos Campos/SP</t>
  </si>
  <si>
    <t xml:space="preserve">Água Boa MT </t>
  </si>
  <si>
    <t>Florianópolis</t>
  </si>
  <si>
    <t>Brazil, IN</t>
  </si>
  <si>
    <t>Vitória, Brasil</t>
  </si>
  <si>
    <t>Salvador, Brasil</t>
  </si>
  <si>
    <t>Barueri, Brasil</t>
  </si>
  <si>
    <t>Rua Luis Coronel Americano 281</t>
  </si>
  <si>
    <t>Palmas TO</t>
  </si>
  <si>
    <t>Lisboa, Portugal</t>
  </si>
  <si>
    <t>Itaguaí, Brasil</t>
  </si>
  <si>
    <t>km 08 GO-020, R. Vau das Pomba</t>
  </si>
  <si>
    <t>Brasil, São Paulo</t>
  </si>
  <si>
    <t>Hortolândia, SP</t>
  </si>
  <si>
    <t>Parque Iracema, Fortaleza</t>
  </si>
  <si>
    <t>Rio de Janeiro, Brasil</t>
  </si>
  <si>
    <t>Rio de Janeiro</t>
  </si>
  <si>
    <t>San Bruno, CA</t>
  </si>
  <si>
    <t>Porto Alegre/RS</t>
  </si>
  <si>
    <t>Hortolândia, São Paulo</t>
  </si>
  <si>
    <t>Linhares, Brasil</t>
  </si>
  <si>
    <t>São Paulo - SP Brasil</t>
  </si>
  <si>
    <t>Sorocaba/SP</t>
  </si>
  <si>
    <t>New Delhi, India</t>
  </si>
  <si>
    <t xml:space="preserve">Goiânia </t>
  </si>
  <si>
    <t>Rio de Janeiro, RJ</t>
  </si>
  <si>
    <t>Munich</t>
  </si>
  <si>
    <t>Sao Paulo, Brasil</t>
  </si>
  <si>
    <t>São Paulo - Brazil</t>
  </si>
  <si>
    <t>ASSIS/SP</t>
  </si>
  <si>
    <t>Santa Catarina, Brasil</t>
  </si>
  <si>
    <t>DeFi Web3</t>
  </si>
  <si>
    <t>Curitiba - PR</t>
  </si>
  <si>
    <t>Belo Horizonte, Brasil.</t>
  </si>
  <si>
    <t>Pelo Mundo</t>
  </si>
  <si>
    <t>Midelt,Morocco</t>
  </si>
  <si>
    <t>Alfenas, MG, Brasil</t>
  </si>
  <si>
    <t>São Paulo, Brazil</t>
  </si>
  <si>
    <t>Brazil</t>
  </si>
  <si>
    <t>São Paulo - Brasil</t>
  </si>
  <si>
    <t>Mumbai, India</t>
  </si>
  <si>
    <t>Estados Unidos</t>
  </si>
  <si>
    <t>Uberlândia, Brasil</t>
  </si>
  <si>
    <t>Brasília, Brasil</t>
  </si>
  <si>
    <t>Sunnyvale, CA</t>
  </si>
  <si>
    <t>Ribeira do Pombal, Brasil</t>
  </si>
  <si>
    <t>Curitiba, Brasil</t>
  </si>
  <si>
    <t>Osasco/SP - Brasil</t>
  </si>
  <si>
    <t>Alphaville Industrial, Barueri</t>
  </si>
  <si>
    <t>100 Princess St, Hicksville</t>
  </si>
  <si>
    <t>Belo Horizonte MG</t>
  </si>
  <si>
    <t>São José dos Campos, Brasil</t>
  </si>
  <si>
    <t>Balneário Camboriú, Brasil</t>
  </si>
  <si>
    <t>Munich, Bavaria</t>
  </si>
  <si>
    <t>Criciúma - SC</t>
  </si>
  <si>
    <t>Blumenau, Brasil</t>
  </si>
  <si>
    <t>Feira de Santana, Bahia</t>
  </si>
  <si>
    <t>no seu coração, belezura</t>
  </si>
  <si>
    <t>Jaraguá do Sul, SC</t>
  </si>
  <si>
    <t>Pernambuco, Brasil</t>
  </si>
  <si>
    <t>SP, Brazil</t>
  </si>
  <si>
    <t>blockchain</t>
  </si>
  <si>
    <t>Sao Paulo, Brazil</t>
  </si>
  <si>
    <t>Ribeirão Preto, SP.</t>
  </si>
  <si>
    <t>Brazil - São Paulo</t>
  </si>
  <si>
    <t>Itaquaquecetuba, Brasil</t>
  </si>
  <si>
    <t>Brasília</t>
  </si>
  <si>
    <t>Natal, Brasil</t>
  </si>
  <si>
    <t>Lagoa da Prata, Brasil</t>
  </si>
  <si>
    <t>Curitiba, Brazil</t>
  </si>
  <si>
    <t>Orlando, FL</t>
  </si>
  <si>
    <t>Switzerland</t>
  </si>
  <si>
    <t>New Westminster, British Colum</t>
  </si>
  <si>
    <t>São Francisco do Sul</t>
  </si>
  <si>
    <t>São Paulo/SP</t>
  </si>
  <si>
    <t>Manaus</t>
  </si>
  <si>
    <t>Belo Horizonte, Brasil</t>
  </si>
  <si>
    <t>SP</t>
  </si>
  <si>
    <t>Ipixuna do Pará, Brasil</t>
  </si>
  <si>
    <t>R. Lavinia Ribeiro 59 1º Andar</t>
  </si>
  <si>
    <t xml:space="preserve">rio das ostras </t>
  </si>
  <si>
    <t>Araguari-MG</t>
  </si>
  <si>
    <t>Sumaré, SP</t>
  </si>
  <si>
    <t>Camaquã/RS</t>
  </si>
  <si>
    <t>Araguari - MG - Brasil</t>
  </si>
  <si>
    <t>Stuttgart, Germany</t>
  </si>
  <si>
    <t>brasil</t>
  </si>
  <si>
    <t>Belo Horizonte, MG</t>
  </si>
  <si>
    <t>Tubarão, Brasil</t>
  </si>
  <si>
    <t>Caruaru - PE</t>
  </si>
  <si>
    <t>Itajaí, Brasil</t>
  </si>
  <si>
    <t>Hollywood, FL</t>
  </si>
  <si>
    <t>Sheridan, Wyoming, 82801</t>
  </si>
  <si>
    <t>Não é da sua conta/BR</t>
  </si>
  <si>
    <t>Varginha, Brasil</t>
  </si>
  <si>
    <t>Varginha, MG</t>
  </si>
  <si>
    <t>Brasilia-DF e Arraias-TO</t>
  </si>
  <si>
    <t>Presente em todo Brasil</t>
  </si>
  <si>
    <t>São Jose dos Campos</t>
  </si>
  <si>
    <t>São Caetano do Sul</t>
  </si>
  <si>
    <t>Taubaté</t>
  </si>
  <si>
    <t>Salvador, Bahia</t>
  </si>
  <si>
    <t>Pará</t>
  </si>
  <si>
    <t>Blumenau, SC, Brasil</t>
  </si>
  <si>
    <t>Quixadá, Brasil</t>
  </si>
  <si>
    <t>Portugal</t>
  </si>
  <si>
    <t>R. Jorge Augusto, 83 6º Cj. 61</t>
  </si>
  <si>
    <t xml:space="preserve">São Paulo </t>
  </si>
  <si>
    <t>Guarulhos / SP</t>
  </si>
  <si>
    <t>Lauro de Freitas, Bahia</t>
  </si>
  <si>
    <t>Petrolina, Brasil</t>
  </si>
  <si>
    <t>Chennai, India</t>
  </si>
  <si>
    <t>Montes Altos</t>
  </si>
  <si>
    <t>Rio de Janeiro, Brazil</t>
  </si>
  <si>
    <t>Rio de Janeiro - RJ</t>
  </si>
  <si>
    <t>Ribeirão Preto, Brasil</t>
  </si>
  <si>
    <t>Irineu Berezanski atua como Planejador Financeiro Pessoal, faz parte do time de consultores especialistas do Sebrae e professor de agronegócios do Senar.</t>
  </si>
  <si>
    <t>Finanças pessoais, empreendedorismo e investimentos.</t>
  </si>
  <si>
    <t>Games 🎮 
Animes ⛩️
Coding 👨‍💻
Cricket 🏏
Books 📚</t>
  </si>
  <si>
    <t>Você quer aprende sobre investimento, e conquistar a independência financeira?Ou acompanhar noticiar sobre o mercado financeiro 
Me siga, setorne um StakeHolder</t>
  </si>
  <si>
    <t>—</t>
  </si>
  <si>
    <t>Bacharel em Comunicação Social com habilitação em Jornalismo #periodismo #journalism
📰 📱 💻 📷 📹 📺 📻 📓</t>
  </si>
  <si>
    <t>Assessor de Investimentos
Mercado de Capitais
Planejador Financeiro
Educador Financeiro</t>
  </si>
  <si>
    <t>Aqui eu falo de
- Planejamento financeiro
- Orçamento financeiro
- Investimentos
- Empreendedorismo</t>
  </si>
  <si>
    <t>🏦 Gerente Financeiro na Black Promotora
💰 Especialista em soluções financeiras
📈 Ajudando pessoas a alcançarem seus objetivos financeiros
🎓 MBA em Finanças</t>
  </si>
  <si>
    <t>🏦Investindo em Cripto Formando Milionários CriptoGames Blockchains NFT Launchpads</t>
  </si>
  <si>
    <t>Investidor Multimercado | Engineer | Advisor</t>
  </si>
  <si>
    <t>Economista sem economês e com bom humor. Ganhador dos Prêmios iBest de Economia e Negócios, Opinião e Cidadania e maior influenciador do LinkedIn.</t>
  </si>
  <si>
    <t>Soluções para seu Negócio</t>
  </si>
  <si>
    <t>o plantio é opcional, mas a colheita é obrigatória.</t>
  </si>
  <si>
    <t>Corretor de Seguros</t>
  </si>
  <si>
    <t>O melhor amigo de quem empreende! 🤝
Ligue: 0800 570 0800</t>
  </si>
  <si>
    <t>Meu Nome Limpo, sua solução para problemas financeiros. Oferecemos consultoria e soluções para limpar seu nome e melhorar sua saúde financeira. 🔝💳</t>
  </si>
  <si>
    <t>Designer, empreendedor, mentor e consultor de design estratégico e autor do livro Arvore da Marca - simplificando o branding.</t>
  </si>
  <si>
    <t>Sócio proprietário da Continbox Contabilidade Online e Inteligente e Montezzi Outosourcing - BPO</t>
  </si>
  <si>
    <t>Canal oficial do Serviço de Apoio às Micro e Pequenas Empresas do Estado do Tocantins. Central de Relacionamento: 0800 570 0800 - Whats (63) 9 9971 2198</t>
  </si>
  <si>
    <t>oiiiiiiiiiiiiiiiiiiiiiiiiiiiiiiiiiii</t>
  </si>
  <si>
    <t>Especialista em CRÉDITO! Mudando vidas de mais de 2.500 alunos. 🚀</t>
  </si>
  <si>
    <t>꧁𓊈𒆜🅵🅾🅻🅻🅾🆆𒆜𓊉꧂
Exibindo conteúdo de qualidade baseado em obras consagradas de autores renomados, ajudando você a alcançar a riqueza e a felicidade.</t>
  </si>
  <si>
    <t>Posso Te Ajuda A Mudar Sua Financeira No Web Site Abaixo</t>
  </si>
  <si>
    <t>Página oficial da Prefeitura de Itaguaí. Visite o nosso site e fique atualizado com as novidades da nossa querida cidade.</t>
  </si>
  <si>
    <t>A cuidadora oficial dos brasileiros. Baixe o App e fale com seu Corretor. Atendimento: segunda a sábado das 08h às 22h.</t>
  </si>
  <si>
    <t>Há 30 anos mantendo sua memória viva! 💙</t>
  </si>
  <si>
    <t>Palestrante, Consultor com + de 1.000 atendimentos, investidor na Bolsa há + de 20 anos. Mestre pela USP,  Autor de best-sellers em finanças pessoais.</t>
  </si>
  <si>
    <t>App de gestão empresarial 100% na nuvem Microsoft para gerenciar sua empresa de qualquer lugar!</t>
  </si>
  <si>
    <t>Contador, Atuário, especialista em gestão contábil e controladoria. Atuando há mais de 20 anos em Finanças. Casado com Bárbara Matos e pai da Maitê.</t>
  </si>
  <si>
    <t>Educação Financeira | Mercado Financeiro | Flamengo | Aleatoriedades.</t>
  </si>
  <si>
    <t>Ensino Mulheres 
.Começarem trab pela Internet de casa 
.Direcionamento e Posionamento da sua marca no digital
👩🏼‍💻Suporte de alunas e Tutoroa</t>
  </si>
  <si>
    <t>Serviço jurídico de Planejamento Familiar</t>
  </si>
  <si>
    <t>já aviso: Sou de Virgem✌🏾</t>
  </si>
  <si>
    <t>Ajudo você a organizar suas finanças, planejando a melhor estratégia para que seus objetivos e sonhos sejam realizados.</t>
  </si>
  <si>
    <t>like and subscribe.</t>
  </si>
  <si>
    <t>Fundação de Previdência Complementar do Estado de São Paulo.</t>
  </si>
  <si>
    <t>Economista Comportamental - Conhecido como o "Dr. Money Sul". O economista que mais aparece na mídia do RS quando o assunto é o seu bolso , o seu dinheiro</t>
  </si>
  <si>
    <t>Taróloga/Terapeuta Integrativa/Cartomancia/Mesa Radiônica Saint Germain/Terapias Vibracionais</t>
  </si>
  <si>
    <t>📈Especialista de investimentos ANBIMA 🖊️Planejo seus investimentos, de acordo com o seu bolso e momento de vida</t>
  </si>
  <si>
    <t>Portfel | GRUPO PRIMO 🍎
Planejamento financeiro, um plano para a Vida.</t>
  </si>
  <si>
    <t>Colégio de Educação Infantil e Fundamental. ​📍 Hortolândia - SP​
Aprendendo com inovação, crescendo com amor e dedicação ❤️ - Colégio Pectrus, Educação 360º</t>
  </si>
  <si>
    <t>Professor de Matemática.
Sucesso desde 1977. ¡oƃıɯoɔ ɹıʇɹǝʌıp ǝs ǝ ɹɐɹıdsuı ǝs ɐɥuǝΛ
opnʇ ǝp oɔnod ɯn ɐ̗ɹɐɹʇuoɔuǝ ǝ̮ɔoʌ ınb∀
opunɯ o ɯoɔ sɐıɔuǝ̮ıɹǝdxǝ</t>
  </si>
  <si>
    <t>🔥 Descubra como Desbloquear sua Liberdade Financeira de uma vez por todas. Clique no link da bio!</t>
  </si>
  <si>
    <t>Quer ter dicas diárias de investimento? Eu vou te ajudar nessa trajetória. Instagram: @tony_financas</t>
  </si>
  <si>
    <t>always caring</t>
  </si>
  <si>
    <t>Oriento você a adquirir bens e serviços de forma planejada e sem pagar juros</t>
  </si>
  <si>
    <t>Vem realizar seus planos com a maior administradora independente de consórcio do Brasil. 
Com Ademicon, Lógico que Dá! 🚀</t>
  </si>
  <si>
    <t>Formado em administração de empresas pela (FUCAPE) / MBA em Finanças e mercado financeiro (FUCAPE) / Analista de Investimentos (CNPI-P)</t>
  </si>
  <si>
    <t>Investidor Profissional
Assessor de Investimentos</t>
  </si>
  <si>
    <t>Manufacturer of Non-Woven Fabric Production Plant, Non-Woven Bag Making Machine &amp; Spare Parts</t>
  </si>
  <si>
    <t>▪️Especializado em ajudar pessoas a cuidar de sua vida financeira de forma personalizada. 📈▪️
▫️ Trazendo soluções além do dinheiro para sua vida🔑 ▫️</t>
  </si>
  <si>
    <t>Desenvolvedor #python #php #java #csharp e mais uma cacetada de linguagem morta. #vasco #vascodagama</t>
  </si>
  <si>
    <t>Ensinamos sobre empreendedorismo e gestão de negócios de forma simples e eficaz.
https://t.co/XTD2kEOGHM</t>
  </si>
  <si>
    <t>O que não te desafia não te transforma...</t>
  </si>
  <si>
    <t>Deriv, uma corretora online que torna o investimento acessível e fácil para todos. Comprometido em capacitar as pessoas a alcançar seus objetivos financeiros.</t>
  </si>
  <si>
    <t>A Sebraport presta um serviço único, com toda assessoria desde microempresas à grandes negócios!!!</t>
  </si>
  <si>
    <t>Músico, produtor musical, empreendedor digital e professor.</t>
  </si>
  <si>
    <t>democratizing AI-powered Investment insights for everyone! Sign up for free and start investing like the big hedge funds!
Follow @Investoom_com for more updates</t>
  </si>
  <si>
    <t>Educador e consultor financeiro Techfinance</t>
  </si>
  <si>
    <t>▫️PhD em Loss pela StopLoss University / B3 🇧🇷▫️O melhor perfil de Humor do Mercado Financeiro ▫️Eu ensino como perder dinheiro!!!!!!▫️ CLICA AQUI👇🏼</t>
  </si>
  <si>
    <t>Financie sua faculdade, acumule com bolsa e pague menos por mês!</t>
  </si>
  <si>
    <t>Infos sobre seguros, resseguros, previdência privada, capitalização e saúde</t>
  </si>
  <si>
    <t>👋 Bem-vindo ao meu mundo! 🌍 | Apaixonado por Investimentos | Compartilhando dicas e insights sobre Consórcio | Aprendendo e crescendo a cada dia! 🚀</t>
  </si>
  <si>
    <t>💲| 𝙵𝚒𝚗𝚊𝚗ç𝚊𝚜 𝚙𝚊𝚛𝚊 𝚝𝚘𝚍𝚘𝚜
💥| 𝙳𝚘𝚖𝚒𝚗𝚎 𝚏𝚒𝚗𝚊𝚗ç𝚊𝚜 𝚎 𝚏𝚊ç𝚊 𝚋𝚘𝚊𝚜 𝚎𝚜𝚌𝚘𝚕𝚑𝚊𝚜
⬇️| 𝚅𝚒𝚜𝚒𝚝𝚎 https://t.co/pkS0sEMfzD</t>
  </si>
  <si>
    <t>Aqui você encontra: Planejamento Financeiro Pessoal, memes e piadas ruins! 🏳️‍🌈</t>
  </si>
  <si>
    <t>Esse perfil é péssimo, já vou avisando... Advogada que não advoga
Mãe da Dilma, da Luna e do Inácio 🐈🐈 😻</t>
  </si>
  <si>
    <t>postando besteiras e reclamando da vida, nosso contato é: contatopaginalixo@gmail.com 📧</t>
  </si>
  <si>
    <t>Cobratec é uma empresa de Recuperação de Crédito,
Fixo (18)3324-3310
Whatsapp (18) 99770-1523</t>
  </si>
  <si>
    <t>Planejador Financeiro Pessoal.  "O trabalho com responsabilidade é o fio condutor do sucesso"</t>
  </si>
  <si>
    <t>Do maderite ao mundo 🌍🎙
Artista: @mazzolanavoz
Projeto: @anonimousongs/ @investimentodequebrada
Loja Oficial @lojamadehits
CEO: @___mazzola___
SP✈</t>
  </si>
  <si>
    <t>Resumos literários para sua dose rápida de conhecimento e aventura. 📚✨</t>
  </si>
  <si>
    <t>Apaixonado por mercado financeiro, Casado com a Lora e pai de dois meninos incríveis.
Assessor de Investimentos, sócio na Invest Smart, G20 na XP Investimentos</t>
  </si>
  <si>
    <t>Corinthians grande, sempre altaneiro.</t>
  </si>
  <si>
    <t>CONTA PRINCIPAL  💸 VENDAS E DIVULGAÇÕES 💥FREELANCER 💼🤝 SOCIEDADE 📈 INVESTIMENTOS 📲💲MARKETING DIGITAL #TXP📨</t>
  </si>
  <si>
    <t>CEO @binance, holder of #bnb #btc</t>
  </si>
  <si>
    <t>The blockspace ecosystem for boundless innovation. Secure, composable, flexible, efficient &amp; cost effective. Powering the movement for a better web.</t>
  </si>
  <si>
    <t>Decentralized all-in-one financial applications, now focusing on Decentralized P2P Platform: https://t.co/H6MsUbaVaM | Telegram: https://t.co/JHx2yzZ7rE</t>
  </si>
  <si>
    <t>"Data-driven economist interested in using economic theory and empirical analysis to inform policy decisions. Follow me for updates</t>
  </si>
  <si>
    <t>Meu super poder é fazer você ter dinheiro no bolso. 🔥</t>
  </si>
  <si>
    <t>Imposto é roubo? Vamos explicar alguns temas e ajudar os Micro e Pequenos Empresários no Brasil!</t>
  </si>
  <si>
    <t>Nossa missão é manter protegido tudo que é importante para você.</t>
  </si>
  <si>
    <t>Não gosto do jogo do capitalismo, mas jogo melhor do que você.</t>
  </si>
  <si>
    <t>O HiDoctor é uma Plataforma Médica completa que organiza e armazena informações de prontuários eletrônicos para consultórios e clínicas médicas.</t>
  </si>
  <si>
    <t>Coach, consultora, professora e psicóloga na área de desenvolvimento humano.</t>
  </si>
  <si>
    <t>A verdadeira parceira dos microempreendedores no Brasil.</t>
  </si>
  <si>
    <t>Uma visão singular sobre os principais fatos macroeconômicos e do mercado financeiro.
Siga-nos também no Instagram: @ henleconsultoria</t>
  </si>
  <si>
    <t>"Desbravando o mundo dos investimentos com estratégias digitais. Acompanhe minhas jornadas financeiras e descubra como transformar seus sonhos em realidade. 💰</t>
  </si>
  <si>
    <t>📈Controle de Investimentos
.
💸Cálculo de IR a cada Venda (DARF)
.
🦁Declaração de IR
.
💪Cálculo de Dividend Yield
.
🐂 Rentabilidade em Tempo Real
.
👇👇👇</t>
  </si>
  <si>
    <t>My name is Aziz Basry,a online Marketer,SEO.from Morocco Country in a city called Midelt.
Iam an active person.optimistic.enjoy every moments whatever it is.</t>
  </si>
  <si>
    <t>keep the change</t>
  </si>
  <si>
    <t>O Contas Online é um controle financeiro para uso pessoal ou empresarial, totalmente personalizável para atendê-lo da melhor forma possível.</t>
  </si>
  <si>
    <t>Finanças, economia e investimentos, talvez um pouco de games.⠀⠀
- Educação Financeira 
- Opiniões
- Histórias e aleatoriedades</t>
  </si>
  <si>
    <t>#estouaquiparainfluenciar #aprendasempre #descomplicandoodinheiro #Vivaprincipiosdasfinancaspessoais #Jesusmeusenhor</t>
  </si>
  <si>
    <t>Assessoria e Consultoria Contábil, Fiscal, Trabalhista, Jurídica e RH._x000D_
Dedicação Plena para oferecer o melhor aos nossos clientes.</t>
  </si>
  <si>
    <t>📲 Participe da economia de tokens sem pagar taxas
🤳 Dezenas de tokens e Coleções temáticas</t>
  </si>
  <si>
    <t>#DataScientist #Finance
#AI #ChatGPT #Mercado #Câmbio
It is scientific only to say what is more likely and what less likely, and not to be proving all the time.</t>
  </si>
  <si>
    <t>Soluções para o seu empreendimento crescer!
◉Registro /Alteração
◉Contábil
◉Tributária
◉Recursos Humanos
Agende sua consultoria já!</t>
  </si>
  <si>
    <t>O "Vamos Testar?" tem o objetivo de realizar testes e compartilhar percepções e análises práticas sobre testes de apps, sites e lugares, a fim de compartilhar e</t>
  </si>
  <si>
    <t>♿🏳️‍🌈Neurodivergent ASD person ∞ 🇯🇵🔬🧬 📚
 #ActuallyAutistic #Autism #Alexithymia #Amusia  #Aphantasia #Insomnia #Neurodivergence #Privacy #Tech</t>
  </si>
  <si>
    <t>Alinhando seus Investimentos aos seus Objetivos e Metas de Vida</t>
  </si>
  <si>
    <t>📰 Perfil oficial do Suno Notícias, portal de jornalismo do Grupo Suno. 📢 Siga nossos canais: @SunoNoticias</t>
  </si>
  <si>
    <t>📚 Sapere Aude
👨🏼‍💼 Assessor de Investimentos
🏢 Nortus Investimentos - XP</t>
  </si>
  <si>
    <t>- AMFI REGISTERED👩‍🎓
- INVESTMENT CONSULTANT 💵
-info@paraminvest.in ✉️
-+91 8369521112 📲</t>
  </si>
  <si>
    <t>Aprenda a investir em Criptomoedas (Bitcoin) para fazer dinheiro 💰  e conquiste Ganhos sólidos todos os Meses 🚀. 
Faça nosso Curso clique no link ⬇️</t>
  </si>
  <si>
    <t>Educação financeira para mulheres.</t>
  </si>
  <si>
    <t>Ajudo você a alcançar a sua liberdade financeira através de planejamento financeiro e investimentos inteligentes. 💰 #investimento #finançaspessoais 🎯</t>
  </si>
  <si>
    <t>CEO da @nousifinance. Antes VP do JPMorgan na Suíça. Workshop Carteira de Dividendos em Crypto 4/10 👇</t>
  </si>
  <si>
    <t>Assinante de vários streamings de video e musica. Constantemente testando melhores soluções e semore pesquisando na internet.</t>
  </si>
  <si>
    <t>🏅 Planejador Patrimonial com 2 premiações internacionais. 
Especialista em Dolarização de Patrimônio.
Guio Empresários na Construção e Preservação de Riquezas.</t>
  </si>
  <si>
    <t>Gestor de Carteiras Administradas (CGA)</t>
  </si>
  <si>
    <t>Advogado. Professor da Universidade Guarulhos. Mestre em Direito. Especialista em Direito do Consumidor e Direito Civil. Corintiano. Católico Apostolico Romano.</t>
  </si>
  <si>
    <t>Conhecimento que gera e preserva riqueza</t>
  </si>
  <si>
    <t>Elevando sua carreira, elevando sua vida!
Acesse: https://t.co/4i9WNqyZCX
Publi e parcerias: 
📬 contato@ https://t.co/4i9WNqyZCX
#carreira #profissão</t>
  </si>
  <si>
    <t>Welcome to a world of career opportunities, advice, inspiration and community. #FindYourIn | Support → @LinkedInHelp</t>
  </si>
  <si>
    <t>Conteúdo sobre investimentos no Brasil e exterior</t>
  </si>
  <si>
    <t>Um Blog #buscandovivermelhor | Desenvolvimento • Produtividade • Finanças • Alimentação • Beleza • Relacionamento | contato@vidaideal.blog.br</t>
  </si>
  <si>
    <t>Oferecemos soluções personalizadas para ajudar nossos clientes a alcançar seus objetivos de negócios e financeiro</t>
  </si>
  <si>
    <t>Médico - Planejador Financeiro</t>
  </si>
  <si>
    <t>Investindo agora para alcançar os sonho amanhã. Existe uma Chave Mestra da Riqueza que abre a porta da prosperidade. Vamos te ensinar a usar!</t>
  </si>
  <si>
    <t>Para cada sonho uma oportunidade.
🏅Top 20 - Escritórios @btgpactual
📈 Investir em pessoas é o nosso negócio.
https://t.co/yIE0EOuhPH…</t>
  </si>
  <si>
    <t>Principais Serviços Contábeis
Empresa com mais de 50 anos de história.
📞 (11) 3531-3264 
📩 orcose@orcose.com.br</t>
  </si>
  <si>
    <t>Foco nos objetivos. Vamos atrás do próximo! 🎯</t>
  </si>
  <si>
    <t>💸🌟💰 #XZIBank: seu banco digital completo! Facilidade em investimentos, transações instantâneas e muito mais. Siga-nos e fique por dentro das novidades!</t>
  </si>
  <si>
    <t>Temos o intuito de produzir conteúdos voltados para o mundo da contabilidade com o uso da ferramenta de planilhas eletrônicas da Microsoft, o Excel.</t>
  </si>
  <si>
    <t>Líder na distribuição dos produtos de Consórcio! 🦅</t>
  </si>
  <si>
    <t>If you are looking for insurance plans and detail in the United States, vegansav
is right for you. At Insurance Plans and detail USA, we'll help you.</t>
  </si>
  <si>
    <t>Somos uma fintech que oferece uma plataforma de soluções de crédito.</t>
  </si>
  <si>
    <t>Site de notícias, informações e curiosidades. 
Acesse: https://t.co/9awgxobGDR 
Publi e parcerias: 
📬 contato@ https://t.co/9awgxobGDR
#notícias #curiosidades</t>
  </si>
  <si>
    <t>Tudo sobre o mundo da mobilidade você encontra no Auto Destaque</t>
  </si>
  <si>
    <t>Advogado que ajuda sua empresa a crescer. Experiência em Direito Empresarial, Empreendedorismo, Startups e Mentoria Empresarial. ⬇️⬇️⬇️</t>
  </si>
  <si>
    <t>Primeira plataforma de imóveis com uso de IA 🎯✨ Realizamos sonhos e negócios! Anúncios de imóveis e profissionais 🏠🛠️ Inscreva-se e seja uma estrela 💫</t>
  </si>
  <si>
    <t>Descubra como ter proveito através internet. 📱
Acesse já um mundo de possibilidades! 🌐↘️ansforme seu tempo online em oportunidades. ✨💼</t>
  </si>
  <si>
    <t>Dicas práticas de organização financeira para alcançar seus objetivos e viver bem.</t>
  </si>
  <si>
    <t>Finanças e Desenvolvimento Pessoal 🚀
Pinterest: @ financaslari</t>
  </si>
  <si>
    <t>Atleta Profissional  Investidor mercado financeiro</t>
  </si>
  <si>
    <t>Aprenda a controlar suas finanças.
Acesse: https://t.co/hQN2NcsHKR
Publi e parcerias: 
📬 contato@ https://t.co/hQN2NcsHKR
#investimento #finanças</t>
  </si>
  <si>
    <t>Democratizing Hedge Fund insights! Sign up for our free AI-powered investment insights!
#Crypto
Follow @Investoom_com &amp; @investoom for regular updates!</t>
  </si>
  <si>
    <t>O controle financeiro completo que vai aposentar de vez sua planilha. 
Acesse pela Web ou baixe no seu Android ou iOS!</t>
  </si>
  <si>
    <t>Developer,  Formado em T.I. Amante de Bossa Nova/MPB, Humorista, Treinador Pokémon. Meus tweets não correspondem à realidade #VaiCorinthians #Roxette #BonJovi</t>
  </si>
  <si>
    <t>VP @ Organizze Membro do Conselho de Administração @ Brivia Group Empreendedor e investidor serial apaixonado por scale-ups e venture capital</t>
  </si>
  <si>
    <t>Notícias sobre mercado financeiro, economia e finanças pessoais. Este é o E-investidor, novo portal de investimentos do @estadao</t>
  </si>
  <si>
    <t>Planejadora Financeira</t>
  </si>
  <si>
    <t>🤖 O melhor sistema de gestão para WhatsApp
🧑‍💻 Venda mais e atenda melhor
🌍 + 3.000 clientes atendidos em 9 Países
😎 Conheça o ChatGuru ⤵️</t>
  </si>
  <si>
    <t>Fundador ISI Educacional</t>
  </si>
  <si>
    <t>Há mais de 13 anos educando e ajudando empresas, empresários e pessoas captarem recursos e a investirem de forma inteligente e saudável.</t>
  </si>
  <si>
    <t>➡️Empreendedor Financeiro &amp; Especialista em Marketing Digital. 🤑💼💰
➡️Ajudando a alcançar a liberdade financeira. 🕊️💸
➡️Baixe seu E-Book! 📖💻📲</t>
  </si>
  <si>
    <t>Produtor de Conteúdo Digital, Fascinado por IA,
Gamer, Escritor, Contador de Histórias
Visite meu site https://t.co/FY5gUiddu6</t>
  </si>
  <si>
    <t>#Consultoria e #Mentoria em #Criptoativos e #Blockchain |
Website: https://t.co/6rxkieoB08</t>
  </si>
  <si>
    <t>Uma colorada apaixonada
Especialista em Gestão Comercial e Marketing Digital
CEO: Sincronizze Marketing Digital
Instagram: taifollmann</t>
  </si>
  <si>
    <t>Conheça nossos serviços 👇
FIDC - Securitizadora</t>
  </si>
  <si>
    <t>Turismólogo | Jornalista | Graduation in Tourism - Postgraduate in Teaching Methodology in Higher Education Nas “quatro linhas” com @fluminensefc e @packers</t>
  </si>
  <si>
    <t>Portal de Finanças Pessoais voltado para pessoas que gostam de cuidar bem do seu dinheiro. Eduque-se, invista e fuja das dívidas!</t>
  </si>
  <si>
    <t>🇧🇷 Conservador | 📺 Entretenimento | 🦁 Futebol
“E conhecereis a verdade e a verdade vos libertará.” João 8:32 - #SDV</t>
  </si>
  <si>
    <t>Rock and roller</t>
  </si>
  <si>
    <t>Filho da Dona Lindu, marido da @JanjaLula, presidente da República. Trabalhando para reconstruir o Brasil.</t>
  </si>
  <si>
    <t>Engenheiro. Autor de 5 livros. Comentarista da @JovemPanNews. Ex-consultor do Banco Mundial e ex-Secretário de Estado. Pai. Instagram: @robertomottaoficial</t>
  </si>
  <si>
    <t>Página dedicada a Margaret Thatcher conhecida como Dama de Ferro. Falamos sobre cotidiano, direito, economia, entretenimento e política. Sempre com humor.</t>
  </si>
  <si>
    <t>Na Unicred o cooperado é dono, tem voz de decisão e prospera junto com o sistema. 
#EscolhaCooperar #EscolhaUnicred</t>
  </si>
  <si>
    <t>VINCO é a plataforma que une educação e investimentos em criptoativos. Feito para investidores de todos os níveis! #VINCO</t>
  </si>
  <si>
    <t>Seguro para celulares 📱 e bicicletas 🚴
#SeguroParaAPróximaGeração
Acesse https://t.co/UzTzu9K6rt e saiba mais</t>
  </si>
  <si>
    <t>O Seu Dinheiro é um site de notícias e análises sobre investimentos voltado para a pessoa física</t>
  </si>
  <si>
    <t>Somos uma empresa que prestamos serviços paralegais e soluções tributarias.</t>
  </si>
  <si>
    <t>A Plancredi é uma plataforma digital que oferece empréstimo com débito na conta de energia.💸</t>
  </si>
  <si>
    <t>É uma empresa especializada em gestão de negócios e distribuição de software altamente qualificada e experiente.</t>
  </si>
  <si>
    <t>⚖️| Portal Jurídico
🎙| Discussões e debates conectados com você através de entrevistas jurídicas!
🖥| Programa inédito toda semana!</t>
  </si>
  <si>
    <t>Em paralelo as minhas atividades de #tecnologiadainformação tenho um #blognoticia o News SHD.</t>
  </si>
  <si>
    <t>Flamengo de Sampa. Mamãe de um boy. Artes e cinema, música boa é rock-pop-eletrônico. Humor é arte da alma. Não sigo bolsonaristas.</t>
  </si>
  <si>
    <t>Página de Investimento da Odysee.</t>
  </si>
  <si>
    <t>O OABPrev-RS é uma Entidade Fechada de Previdência Complementar, instituída pela Ordem dos Advogados do Brasil, Seccional do Rio Grande do Sul.</t>
  </si>
  <si>
    <t>33y Art Director das Paranoias da minha vida. Ou ta comigo ou ta contra migo.</t>
  </si>
  <si>
    <t>mente cheia é oficina de Deus</t>
  </si>
  <si>
    <t>Especialista em Seguros de Vida, Sucessão Empresarial e Planejamento Financeiro. Orientando pessoas e empresas para proteção e crescimento patrimonial.</t>
  </si>
  <si>
    <t>Contador, Consultor e Professor - Falo sobre finanças e gestão empresarial
https://t.co/RybOcmM84M</t>
  </si>
  <si>
    <t>#economista
#mãe 
#carioca
#mtasemuma</t>
  </si>
  <si>
    <t>Notícias, educação financeira e tudo o que você precisa saber para lidar melhor com dinheiro e seus investimentos. Um site do @valoreconomico</t>
  </si>
  <si>
    <t>Consultoria Empresarial  I  Planejamento Financeiro Familiar</t>
  </si>
  <si>
    <t>Somos o site de anúncios online presente em 15 países, inclusive no Brasil. Muito prazer! 😉
Crie seu anúncio e conheça nosso blog 👇</t>
  </si>
  <si>
    <t>•Vendedora de consórcios
•Suporte em todo processo
•Dicas para planejar financeiramente
•Conquiste a liberdade financeira</t>
  </si>
  <si>
    <t>Jornal Digital 360° - trazendo notícias e perspectivas de todos os ângulos! Fique por dentro de tudo que acontece no mundo, com análises profundas e imparciais.</t>
  </si>
  <si>
    <t>Gestor financeiro do RAL BANK</t>
  </si>
  <si>
    <t>Designer gráfico, publicitário, karateca e tuiteiro.</t>
  </si>
  <si>
    <t>Somos especializados em marketing para escritórios de investimentos. Oferecemos soluções personalizadas e eficientes para alavancar seu negócio, gerando leads.</t>
  </si>
  <si>
    <t>Não deixe o medo te impedir de investir. Acompanhe meu perfil e descubra como é possível alcançar seus objetivos financeiros com estratégia e disciplina.</t>
  </si>
  <si>
    <t>Aprenda a gerir o seu dinheiro com educação financeira! Comece por aprender os conceitos básicos e desenvolva habilidades para investir com sabedoria.</t>
  </si>
  <si>
    <t>Economista e tomador de café profissional.</t>
  </si>
  <si>
    <t>Planejador Financeiro na FWB Planejamento Financeiro. Pós-Graduado em Planejamento Financeiro e Finanças Comportamentais pela PUC-RS. Maratonista.</t>
  </si>
  <si>
    <t>Finance Advice
Join My YouTube Channel 😉</t>
  </si>
  <si>
    <t>Explorando como melhorar no jogo da vida e compartilhando meus aprendizados para que você possa fazer o mesmo.</t>
  </si>
  <si>
    <t>Através do BPO Financeiro📊 estamos simplificando a gestão e as principais rotinas financeiras das pequenas e médias empresas pelo Brasil. @vippibpo</t>
  </si>
  <si>
    <t>Simplificamos sua jornada financeira. Conheça o Zoom Dinheiro e aprenda sobre finanças pessoais, crédito, seguros, contas, investimentos e muito mais.</t>
  </si>
  <si>
    <t>Somos o Grupo Recupera Brasil, uma equipe dedicada a ajudar pessoas a limpar seus nomes e recuperar sua credibilidade financeira.
Contato: (19) 99923-1909.</t>
  </si>
  <si>
    <t>Contabilidade que impulsiona seu negócio 🚀</t>
  </si>
  <si>
    <t>💰 Consultora Financeira 🌼Vivendo um propósito e ajudando pessoas a também se realizarem na terra do Tio Sam 🇺🇸 🚀 Faça parte do meu time 📍Orlando | FL</t>
  </si>
  <si>
    <t>💸2023 perto do fim e suas contas continuam uma bagunça?
💰Comece hoje sua transformação financeira</t>
  </si>
  <si>
    <t>Empreendedor
+ de 100 lives no instagram</t>
  </si>
  <si>
    <t>I invest in alternative assets, mostly real estate &amp; cryptocurrencies. I analyze crypto projects + concepts so you don't have to. Read here or in your inbox 👇</t>
  </si>
  <si>
    <t>Este é um canal exclusivamente educacional. Para atendimento individual, acesse o menu Atendimento no site da CVM (https://t.co/aDqo0I6UqJ).</t>
  </si>
  <si>
    <t>Educação Financeira</t>
  </si>
  <si>
    <t>💰 Antecipação de recebíveis! Transformamos suas vendas à prazo em dinheiro à vista.
📍 Estamos em Lagoa da Prata e Arcos</t>
  </si>
  <si>
    <t>😁😁</t>
  </si>
  <si>
    <t>"Sua relação com dinheiro tem lhe ajudado na realização dos seus sonhos ou tem lhe tirado o sono?"</t>
  </si>
  <si>
    <t>Seja muito bem-vindo(a) a nossa página, aqui você pode aproveitar para se comunicar conosco e para obter informações relevantes sobre os diferentes seguros</t>
  </si>
  <si>
    <t>É fundamental entender o básico sobre educação financeira, economia e investimentos, para garantir o seu futuro e o de sua família. Este é o Pobre Poupa ;)</t>
  </si>
  <si>
    <t>Informações Gerais</t>
  </si>
  <si>
    <t>Ei, chega junto! Somos o consórcio feito com uma nova cabeça.</t>
  </si>
  <si>
    <t>A Unicred é uma instituição financeira cooperativa que oferece todos os produtos e serviços bancários.</t>
  </si>
  <si>
    <t>A força do empreendedor brasileiro
https://t.co/Rezjedqblv
Ligue: 0800 570 0800</t>
  </si>
  <si>
    <t>ah que não sei o que, não sei que lá... meow meow</t>
  </si>
  <si>
    <t>Treinador de Competências Comportamentais, Coach, Escritor</t>
  </si>
  <si>
    <t>Somos apaixonados por tecnologia e especialistas em Analytics, CPM e CRM.
Acesse nossas redes sociais e inscreva-se no nosso Webinar clicando no link abaixo! 👇</t>
  </si>
  <si>
    <t>•Since 2002 esse perfil gosta de BBB 👁  •Pesquisando no Pinterest o look que eu não tenho para sair hoje ✌🏻✨</t>
  </si>
  <si>
    <t>Sua dose diária de notícias. Um monte delas. 👓</t>
  </si>
  <si>
    <t>Academia de Administração 👨🏻‍🎓| Católico ⛪ | Mercado Financeiro 📈| Certificado ANBIMA - CPA 20 | CEA | CFP®</t>
  </si>
  <si>
    <t>Decifrando o mundo dos investimentos para você! Seguir-me é dar um passo à frente na sua jornada financeira. #Investimentos #EducaçãoFinanceira #DicasDeOuro</t>
  </si>
  <si>
    <t>Administração de condomínios com eficiência, qualidade e segurança.</t>
  </si>
  <si>
    <t>Contabilidade em geral, impostos de Renda, Decore, Departamento Pessoal e Fiscal, E-social, Balanços e demonstrativos de Resultado, Contra-Cheques, Simples Nac</t>
  </si>
  <si>
    <t>Economia, investimentos e empreendedorismo.</t>
  </si>
  <si>
    <t>A sua vida financeira não pode ser complicada.</t>
  </si>
  <si>
    <t>Somos uma empresa voltada para o marketing digital. Foco em divulgar produtos que serão de utilidade</t>
  </si>
  <si>
    <t>Bem-vindo ao nosso perfil dedicado ao EQUILÍBRIO das 5 SAÚDES essenciais para uma VIDA PLENA:
💰 Financeira
💪 Física
🧠 Intelectual
💖 Emocional
🙏 Espiritual</t>
  </si>
  <si>
    <t>Contador e profissional da área financeira. Imposto de Renda e Educação Financeira de forma descomplicada. Esquerda convicto!</t>
  </si>
  <si>
    <t>Desde 22 de março de 2011.</t>
  </si>
  <si>
    <t>💡Ensino pessoas atingirem metas Financeiras 📊
🎯Contadora
🎯MBA - Gestão Financeira e Controladoria
🎯Coach Sistêmica
🎯Analista Perfil Comportamental</t>
  </si>
  <si>
    <t>Em pleno século XXI NÃO temos mais lugar para o RACISMO! #COMBATAORACISMO #BASTA</t>
  </si>
  <si>
    <t>Exploro conteúdo sobre finanças, investimento, motivação e liderança. 
#duduhrosa13 #finanças #investimentos</t>
  </si>
  <si>
    <t>Ajudando brasileiros a atingir os seus tão almejados sonhos com uma boa gestão financeira e dos investimentos no exterior. #consultorfinanceiro</t>
  </si>
  <si>
    <t>Leitmesse und Kongress für Finanzen und Geldanlage
#investmesse</t>
  </si>
  <si>
    <t>Hamashia Assessoria: Especialista em Revisão e Recuperação de Impostos | Menos Impostos, Mais Recursos 💼💡</t>
  </si>
  <si>
    <t>Descubra as melhores oportunidades em renda fixa e como investir com rentabilidade. Acompanhe dicas e análises sobre CDI e outras opções de investimento.</t>
  </si>
  <si>
    <t>Alte Volat</t>
  </si>
  <si>
    <t>Engenheiro pós graduado em Finanças | Consultor CVM |
Investidor Qualificado |
ETFs |   O simples que funciona | Factor investing</t>
  </si>
  <si>
    <t>Você tem o sonho ✨, nós temos o conhecimento💡 para transformá-lo em realidade.
Venha aprender os SEGREDOS do SUCESSO!
Visite nosso site
https://t.co/c6QGORXc0J</t>
  </si>
  <si>
    <t>#aposentadoria #aposentado #inss #meuinss #previdenciasocial #revisaodavidatoda #revisaobeneficio #revisaoinss #revisaoaposentadoria #bpcinss #beneficioinss</t>
  </si>
  <si>
    <t>Sou Corretor de Seguro e te ajudo a proteger você, sua família e seus bens! ❤️</t>
  </si>
  <si>
    <t>Conselho Regional de Administração de Santa Catarina, localizado Av. Osmar Cunha, 260 - 8º andar - Centro/Fpolis. Telefone: 0800 000 1253</t>
  </si>
  <si>
    <t>Shitposting my way to the top 🚀</t>
  </si>
  <si>
    <t>Contador e Consultor Financeiro para micro e pequenas empresas</t>
  </si>
  <si>
    <t>Podbrand, o podcast sobre design, estratégia e inovação.</t>
  </si>
  <si>
    <t>Desde 1981 nossa especialidade é oferecer tranquilidade para sua empresa!</t>
  </si>
  <si>
    <t>🇧🇷🇺🇸Em busca de ser uma pessoa melhor. GRATIDÃO SEMPRE. 🙏🏽🦾🙌🏽</t>
  </si>
  <si>
    <t>We are a Fintech with private investment opportunities. We exist to connect people with the most diverse financial opportunities tied to technology.</t>
  </si>
  <si>
    <t>Ajudando a criar soluções estratégicas para seu negócio e para sua vida!! Porque planejamento estratégico e finanças são a base do sucesso.</t>
  </si>
  <si>
    <t>Consultor Contabil com mais de 25 Anos de experiência, Consultor de Empregos para TI https://t.co/s26HkfPMjz #cltoupj #calculadorapj #vagasdeti</t>
  </si>
  <si>
    <t>📖Irmãos, fostes chamados à liberdade! Gálatas 5:13 📊Assessor de Investimentos 👨🏻‍💻CRA-PE 20-16439 🖌️Autor do Livro Digital “Meu Dinheiro no Controle”</t>
  </si>
  <si>
    <t>Cadelinha da #Beyoncé🐝 #Wonho🐰  #Shownu🐻 e outros 
SERVO DA BEYONCÉ e WONHO (uon-rrô) 🐰🐝🐻</t>
  </si>
  <si>
    <t>Assistente Virtual ajudando empreendedores a gerenciar sua rotina e otimizar seu tempo. Vamos marcar uma conversa para entendermos a sua necessidade.</t>
  </si>
  <si>
    <t>Escritório credenciado da XP Investimentos onde você encontra investimentos diversos, plataforma online completa e atendimento personalizado.</t>
  </si>
  <si>
    <t>Consultora Financeira | Economia | Valuation</t>
  </si>
  <si>
    <t>Twitter oficial do site de notícias Varginha Online. informações diárias da cidade e da região.</t>
  </si>
  <si>
    <t>Contabilidade Consultiva e Digital| Recuperação de Tributos| Declaração de IR | DITR | Declaração de Saída Definitiva do País | Ganho de Capital</t>
  </si>
  <si>
    <t>Perfil oficial do Consórcio Embracon no twitter, feito para você tirar suas dúvidas sobre seu consórcio ;)</t>
  </si>
  <si>
    <t>Perfil Oficial da 123 Passei! 😉 | O direcionamento que você precisa para estudar tudo que importa! 🥇</t>
  </si>
  <si>
    <t>Investidor de Quebrada | Investimentos, Empreendedorismo e Fianças.</t>
  </si>
  <si>
    <t>Soluções em Créditos e Seguros</t>
  </si>
  <si>
    <t>Educador financeiro, idealizador do Canal Dívida Zero, escritor, Palestrante corporativo - promovendo bem-estar financeiro
Ajudo empreendedores nas Finanças</t>
  </si>
  <si>
    <t>Italian-Brazilian, Risk Management and Finance Professional CFP, Chemistry Teacher. Interested about science,  environment, animals protection, wine and tennis.</t>
  </si>
  <si>
    <t>A mais completa e admirada cobertura de economia, negócios e finanças. Notícias que geram negócios.</t>
  </si>
  <si>
    <t>Empreendedores Cristãos | @ibg_taubate
Deseja participar e aprender mais sobre empreendedorismo cristão?
Inscreva-se no nosso próximo evento! ⤵️</t>
  </si>
  <si>
    <t>Especialistas na arte da contemplação!!!
Representante:
Consórcio Chevrolet 
Consórcio Caixa Econômica</t>
  </si>
  <si>
    <t>RADIO 54 Menos conversa. Mais música. Gênero: Adulto Contemporâneo. Desde Julho 2015 @DjWilsonMix
https://t.co/ca5tl54QXw</t>
  </si>
  <si>
    <t>💰 Ajudo você a Organizar suas Finanças
📚 Especialista em Gestão de Custos
💡 Dicas Financeiras para o dia a dia</t>
  </si>
  <si>
    <t>Serviço de Apoio às Micro e Pequenas Empresas no Pará / 0800 570 0800</t>
  </si>
  <si>
    <t>Blumenau Agora - Notícias, informações, utilidade pública e entretenimento. Se você gostou compartilhe.</t>
  </si>
  <si>
    <t>🙅‍♂️Marketing Digital |Finanças e empreendedorismo 💰de negativado a investidor 👨‍💻 Empreendendo no digital e faturando Conteúdo no YouTube👇🏽</t>
  </si>
  <si>
    <t>Há 22 anos ensinando pessoas a sair das dívidas, controlar bem e investir seu dinheiro.</t>
  </si>
  <si>
    <t>🔞 Factos acima de Sentimentos.
🚸 A verdade dói mas constrói.</t>
  </si>
  <si>
    <t>De Seg. a Sex. 08h30 às 18h _x000D_
Há mais de 22 anos trabalhando com todos os ramos de Seguros, Consórcio, Planos de Saúde e Previdência.</t>
  </si>
  <si>
    <t>Planejamento Tributário</t>
  </si>
  <si>
    <t>A GUARUCONT é sua contabilidade online.
Faça parte dessa história e cresça com a GUARUCONT.
☎️ +55(11) 2788-0653
📱 +55(11) 97680-6833</t>
  </si>
  <si>
    <t>Me siga no Instagram: @leidesalomao
⚖Bacharel em Direito;
🔸Coach, 
🔸Palestrante, 
♫Produtora de eventos e bandas.</t>
  </si>
  <si>
    <t>•Amo ajudar as pessoas a realizar sonhos através do consórcio!!💼🏠🚘✈️</t>
  </si>
  <si>
    <t>Somos a Associação Brasileira das Entidades dos Mercados Financeiro e de Capitais e representamos instituições da indústria brasileira de investimentos.</t>
  </si>
  <si>
    <t>✨𝓑𝓵𝓮𝓼𝓼𝓮𝓭
🖤 28/03
❤️ K</t>
  </si>
  <si>
    <t>A verdadeira inteligência é aquela que irradia luz e inspiração.</t>
  </si>
  <si>
    <t>Tweets didáticos sobre economia, matemática financeira, finanças pessoais e outros temas para compreender melhor o nosso mundo econômico. Prof. Ricardo Viana.</t>
  </si>
  <si>
    <t>Apaixonado por progresso e desenvolvimento pessoal.
Escrevo sobre isso no Blog da Supreste.</t>
  </si>
  <si>
    <t>Plataforma online de gestão e contabilidade para micro e pequenas empresas que combina tecnologia, inovação e eficiência.
Planos a partir de R$39.</t>
  </si>
  <si>
    <t>Sem tempo para gerenciar as finanças de seu empreendimento?
Mande um help para contato@seshatconsultoria.com.br e vamos conversar sobre soluções.</t>
  </si>
  <si>
    <t>A realidade do brasileiro que não se planeja e financia tudo!</t>
  </si>
  <si>
    <t>Inovar e rentabilizar toda a cadeia produtiva do seu negócio e os recursos de nossos parceiros, esse é o nosso objetivo! 😀</t>
  </si>
  <si>
    <t>Já devi +75k e paguei cada centavo.   Ajudo profissionais liberais a cuidarem melhor do próprio dinheiro.   Conteúdos diários sobre finanças pessoais.</t>
  </si>
  <si>
    <t>Economista, Sócio XP, CEO VaiTourinho, Apresentador Jovem Pan , Conselheiro ANCORD - Toda opinião é livre, só bloqueio quem fala palavrões (crianças me seguem)</t>
  </si>
  <si>
    <t>🧠Gestor em Inteligência a 30 anos.
👨‍💻Gestor Industrial à 25 anos
🇵🇹 Português</t>
  </si>
  <si>
    <t>borafalardeguito.com</t>
  </si>
  <si>
    <t>instagram.com/stela_maris_</t>
  </si>
  <si>
    <t>higinomatos.com</t>
  </si>
  <si>
    <t>linkme.bio/ibest-ricardo-…</t>
  </si>
  <si>
    <t>boxtributario.com</t>
  </si>
  <si>
    <t>sebrae.com.br</t>
  </si>
  <si>
    <t>linktr.ee/meunomelimpo</t>
  </si>
  <si>
    <t>mauriciomedeiros.bio.link</t>
  </si>
  <si>
    <t>montezziconsultoria.com.br</t>
  </si>
  <si>
    <t>sebrae.com.br/tocantins</t>
  </si>
  <si>
    <t>linktr.ee/segredodasempr…</t>
  </si>
  <si>
    <t>gamma.app/docs/Descubra-…</t>
  </si>
  <si>
    <t>itaguai.rj.gov.br</t>
  </si>
  <si>
    <t>portoseguro.com.br</t>
  </si>
  <si>
    <t>parquememorialdegoiania.com.br</t>
  </si>
  <si>
    <t>academiadodinheiro.com.br</t>
  </si>
  <si>
    <t>saguicontrol.com.br</t>
  </si>
  <si>
    <t>linktr.ee/AlanCoelho</t>
  </si>
  <si>
    <t>chat.whatsapp.com/Kktc8oSvrmW1kT…</t>
  </si>
  <si>
    <t>linktr.ee/carlapaixao.i</t>
  </si>
  <si>
    <t>igorvieiraconsultor.com.br</t>
  </si>
  <si>
    <t>evertonlopes.com.br</t>
  </si>
  <si>
    <t>instagram.com/alineamaral.ta…</t>
  </si>
  <si>
    <t>beacons.ai/misaelnascimen…</t>
  </si>
  <si>
    <t>jornalcontabil.com.br</t>
  </si>
  <si>
    <t>colegiopectrus.com.br</t>
  </si>
  <si>
    <t>instagram.com/professorjeanj…</t>
  </si>
  <si>
    <t>williamhunt.com.br/segredos-dos-i…</t>
  </si>
  <si>
    <t>tonyfinancas.com.br</t>
  </si>
  <si>
    <t>ademicon.com.br</t>
  </si>
  <si>
    <t>linktr.ee/erik.investime…</t>
  </si>
  <si>
    <t>prospergroup.co.in</t>
  </si>
  <si>
    <t>seuplanejadorfinanceiropessoal.com</t>
  </si>
  <si>
    <t>instagram.com/targetexecutive</t>
  </si>
  <si>
    <t>taggo.one/dncontador</t>
  </si>
  <si>
    <t>linkr.bio/deriv</t>
  </si>
  <si>
    <t>kakoramos.com</t>
  </si>
  <si>
    <t>investoom.com</t>
  </si>
  <si>
    <t>linktr.ee/nonoinvestidor</t>
  </si>
  <si>
    <t>linktr.ee/creditopravaler</t>
  </si>
  <si>
    <t>revistaapolice.com.br</t>
  </si>
  <si>
    <t>instagram.com/minteredu</t>
  </si>
  <si>
    <t>instagram.com/amanda.parla/</t>
  </si>
  <si>
    <t>paginalixo.com</t>
  </si>
  <si>
    <t>cobratecassis.com.br</t>
  </si>
  <si>
    <t>instagram.com/pulsofinanceir…</t>
  </si>
  <si>
    <t>linktr.ee/studiomadehits</t>
  </si>
  <si>
    <t>investsmart.com.br/alan-valney/</t>
  </si>
  <si>
    <t>binance.com</t>
  </si>
  <si>
    <t>polkadot.network</t>
  </si>
  <si>
    <t>p2p.polkabridge.org</t>
  </si>
  <si>
    <t>instagram.com/luizefinancas/</t>
  </si>
  <si>
    <t>aflawgovernancatributaria.com/home</t>
  </si>
  <si>
    <t>vidatodacorretora.com.br</t>
  </si>
  <si>
    <t>hidoctor.com.br</t>
  </si>
  <si>
    <t>cintiamenegazzo.com.br</t>
  </si>
  <si>
    <t>snap.fi</t>
  </si>
  <si>
    <t>linktr.ee/moprify</t>
  </si>
  <si>
    <t>hungryforhits.com/downpost3.php?…</t>
  </si>
  <si>
    <t>Instagram.com/jorg1nho</t>
  </si>
  <si>
    <t>contasonline.com.br</t>
  </si>
  <si>
    <t>clmcontroller.com.br</t>
  </si>
  <si>
    <t>tokenweb3.onelink.me/2eel/4sd4al5r</t>
  </si>
  <si>
    <t>youtube.com/channel/UCXqUP…</t>
  </si>
  <si>
    <t>linktr.ee/investimentoob…</t>
  </si>
  <si>
    <t>linktr.ee/suno.noticias</t>
  </si>
  <si>
    <t>nortusinvestimentos.com.br</t>
  </si>
  <si>
    <t>paraminvest.in</t>
  </si>
  <si>
    <t>bit.ly/criptoblinders…</t>
  </si>
  <si>
    <t>alexandresantiago.com.br</t>
  </si>
  <si>
    <t>nousi.finance/workshop-carte…</t>
  </si>
  <si>
    <t>lpigestora.com.br</t>
  </si>
  <si>
    <t>camargoadv.com.br</t>
  </si>
  <si>
    <t>b18.com.br</t>
  </si>
  <si>
    <t>vidaideal.blog.br</t>
  </si>
  <si>
    <t>x.gd/9LyUF</t>
  </si>
  <si>
    <t>open.spotify.com/show/4Wtfai8gB…</t>
  </si>
  <si>
    <t>perspective.com.br</t>
  </si>
  <si>
    <t>linktr.ee/orcosecontabil…</t>
  </si>
  <si>
    <t>gaspartrajano.com.br</t>
  </si>
  <si>
    <t>contabilidade.vercel.app</t>
  </si>
  <si>
    <t>crevalle.com.br</t>
  </si>
  <si>
    <t>capitalizeja.com.br</t>
  </si>
  <si>
    <t>autodestaque.net.br</t>
  </si>
  <si>
    <t>junqueirasampaio.com.br</t>
  </si>
  <si>
    <t>linktr.ee/tempolimitado</t>
  </si>
  <si>
    <t>vivendoplenamente.com.br</t>
  </si>
  <si>
    <t>linkbio.co/suajornadaaqui</t>
  </si>
  <si>
    <t>invistafinancas.com.br</t>
  </si>
  <si>
    <t>linktr.ee/organizzeme</t>
  </si>
  <si>
    <t>organizze.com.br</t>
  </si>
  <si>
    <t>mla.bs/c1acb5b4</t>
  </si>
  <si>
    <t>chatguru.com.br</t>
  </si>
  <si>
    <t>rloureiro.com.br</t>
  </si>
  <si>
    <t>bravacapital.com</t>
  </si>
  <si>
    <t>instagram.com/andrenegociosb…</t>
  </si>
  <si>
    <t>kedmus.com</t>
  </si>
  <si>
    <t>aulaplus.com.br</t>
  </si>
  <si>
    <t>cql.com.br/jancom</t>
  </si>
  <si>
    <t>portalfinancaspessoais.com.br</t>
  </si>
  <si>
    <t>linktr.ee/workshopdantas</t>
  </si>
  <si>
    <t>about.me/rogermoreira</t>
  </si>
  <si>
    <t>lula.com.br/siga-o-lula/</t>
  </si>
  <si>
    <t>instagram.com/robertomottaof…</t>
  </si>
  <si>
    <t>youtube.com/@Damadeferroof…</t>
  </si>
  <si>
    <t>unicred.com.br/home</t>
  </si>
  <si>
    <t>linktr.ee/vincoexchange</t>
  </si>
  <si>
    <t>kakau.co</t>
  </si>
  <si>
    <t>grupoborn.com.br</t>
  </si>
  <si>
    <t>plancredi.com.br</t>
  </si>
  <si>
    <t>linktr.ee/advjus.net</t>
  </si>
  <si>
    <t>linktr.ee/newsshd</t>
  </si>
  <si>
    <t>odysee.com/@contab_invest…</t>
  </si>
  <si>
    <t>oabprev-rs.org.br</t>
  </si>
  <si>
    <t>blog.danilomazaia.com</t>
  </si>
  <si>
    <t>instagram.com/imisaelsilva?i…</t>
  </si>
  <si>
    <t>shor.by/Qwtq</t>
  </si>
  <si>
    <t>instagram.com/juliocrf</t>
  </si>
  <si>
    <t>bit.ly/3deLmRM</t>
  </si>
  <si>
    <t>vivalocal.com/blog</t>
  </si>
  <si>
    <t>jornaldigital360.com.br</t>
  </si>
  <si>
    <t>luhao.com.br</t>
  </si>
  <si>
    <t>beacons.ai/aposentandonovo</t>
  </si>
  <si>
    <t>youtube.com/@financeinfohi…</t>
  </si>
  <si>
    <t>vippi.com.br</t>
  </si>
  <si>
    <t>bit.ly/3aWwiqr</t>
  </si>
  <si>
    <t>zoomdinheiro.com.br</t>
  </si>
  <si>
    <t>linktr.ee/gruporecuperab…</t>
  </si>
  <si>
    <t>lp.financasup.com/plannerfinance…</t>
  </si>
  <si>
    <t>getrevue.co/profile/fernan…</t>
  </si>
  <si>
    <t>gov.br/investidor</t>
  </si>
  <si>
    <t>youtube.com/@AlexSilva-cz7…</t>
  </si>
  <si>
    <t>mastermaverick.com.br</t>
  </si>
  <si>
    <t>fiscco.cnt.br</t>
  </si>
  <si>
    <t>policorretora.com.br</t>
  </si>
  <si>
    <t>pobrepoupa.com.br</t>
  </si>
  <si>
    <t>evoyconsorcios.com.br</t>
  </si>
  <si>
    <t>unicred.com.br</t>
  </si>
  <si>
    <t>sebrae.ro/bio</t>
  </si>
  <si>
    <t>linktr.ee/tech6group</t>
  </si>
  <si>
    <t>instagram.com/maleme_</t>
  </si>
  <si>
    <t>gabinetedarma.com.br</t>
  </si>
  <si>
    <t>linktr.ee/isleno.invest</t>
  </si>
  <si>
    <t>mantovanicondominios.com.br</t>
  </si>
  <si>
    <t>macedocontabilidade.com</t>
  </si>
  <si>
    <t>lifefp.com.br/rogerio-montali</t>
  </si>
  <si>
    <t>instagram.com/achadosdomarke…</t>
  </si>
  <si>
    <t>saudemaismetodos.com.br</t>
  </si>
  <si>
    <t>linktr.ee/positiva.finan…</t>
  </si>
  <si>
    <t>blogdojuares.com.br</t>
  </si>
  <si>
    <t>linktr.ee/lucianaconsult…</t>
  </si>
  <si>
    <t>duduhrosa13.my.canva.site</t>
  </si>
  <si>
    <t>youtube.com/channel/UC2qyK…</t>
  </si>
  <si>
    <t>invest-messe.de</t>
  </si>
  <si>
    <t>hamashiaassessoria.com.br</t>
  </si>
  <si>
    <t>cdihoje.com</t>
  </si>
  <si>
    <t>filipedawson.com</t>
  </si>
  <si>
    <t>instagram.com/geraldoburigo</t>
  </si>
  <si>
    <t>keepgrowing.com.br</t>
  </si>
  <si>
    <t>crasc.org.br</t>
  </si>
  <si>
    <t>mbrcontabilidade.com.br</t>
  </si>
  <si>
    <t>podbrand.design</t>
  </si>
  <si>
    <t>barbicontabil.com.br</t>
  </si>
  <si>
    <t>lux.capital</t>
  </si>
  <si>
    <t>inteiramenterico.com.br</t>
  </si>
  <si>
    <t>contadorpj.com</t>
  </si>
  <si>
    <t>linktr.ee/robertogadelha</t>
  </si>
  <si>
    <t>wordpress.com/home/emersonas…</t>
  </si>
  <si>
    <t>linkedin.com/in/l%C3%ADdiaa…</t>
  </si>
  <si>
    <t>varginhaonline.com.br</t>
  </si>
  <si>
    <t>mdmcontabil.com.br</t>
  </si>
  <si>
    <t>embra.site/LMEB5N</t>
  </si>
  <si>
    <t>123passei.com.br</t>
  </si>
  <si>
    <t>youtube.com/@investidordeq…</t>
  </si>
  <si>
    <t>crediconseg.com</t>
  </si>
  <si>
    <t>dividazero.com.br</t>
  </si>
  <si>
    <t>valor.globo.com</t>
  </si>
  <si>
    <t>fluir.ibgtaubate.com.br</t>
  </si>
  <si>
    <t>radio54.com</t>
  </si>
  <si>
    <t>instagram.com/financeiro.em.…</t>
  </si>
  <si>
    <t>sebrae.com.br/para</t>
  </si>
  <si>
    <t>facebook.com/pages/Blumenau…</t>
  </si>
  <si>
    <t>youtube.com/@opoder.do.din…</t>
  </si>
  <si>
    <t>linktr.ee/romero.financas</t>
  </si>
  <si>
    <t>linktr.ee/maniampodcast</t>
  </si>
  <si>
    <t>majeseg.com.br</t>
  </si>
  <si>
    <t>makingadifference.com.br</t>
  </si>
  <si>
    <t>guarucont.com.br</t>
  </si>
  <si>
    <t>bento.me/cesarkato</t>
  </si>
  <si>
    <t>anbima.com.br</t>
  </si>
  <si>
    <t>instagram.com/adori.almeida</t>
  </si>
  <si>
    <t>amazon.com.br/dp/B07PN1MF14</t>
  </si>
  <si>
    <t>supreste.com.br</t>
  </si>
  <si>
    <t>gestaumdigital.com.br</t>
  </si>
  <si>
    <t>instagram.com/consorciobyliz…</t>
  </si>
  <si>
    <t>tclsolucoes.com.br</t>
  </si>
  <si>
    <t>xp.com.br/vaitourinho</t>
  </si>
  <si>
    <t>eusoupauloandrade.com</t>
  </si>
  <si>
    <t>https://t.co/H6MsUbaVaM https://t.co/JHx2yzZ7rE</t>
  </si>
  <si>
    <t>https://t.co/4i9WNqyZCX https://t.co/4i9WNqyZCX</t>
  </si>
  <si>
    <t>https://t.co/9awgxobGDR https://t.co/9awgxobGDR</t>
  </si>
  <si>
    <t>https://t.co/hQN2NcsHKR https://t.co/hQN2NcsHKR</t>
  </si>
  <si>
    <t>http://p2p.polkabridge.org http://t.me/polkabridgegroup</t>
  </si>
  <si>
    <t>http://carreiraprofissional.com http://carreiraprofissional.com</t>
  </si>
  <si>
    <t>http://aleatoriando.com.br http://aleatoriando.com.br</t>
  </si>
  <si>
    <t>http://invistafinancas.com.br http://invistafinancas.com.br</t>
  </si>
  <si>
    <t>linktr.ee/targetexecutive</t>
  </si>
  <si>
    <t>minter.com.br</t>
  </si>
  <si>
    <t>p2p.polkabridge.org t.me/polkabridgegro…</t>
  </si>
  <si>
    <t>carreiraprofissional.com carreiraprofissional.com</t>
  </si>
  <si>
    <t>linktr.ee/perspectiveinv</t>
  </si>
  <si>
    <t>linktr.ee/luizmarjr</t>
  </si>
  <si>
    <t>aleatoriando.com.br aleatoriando.com.br</t>
  </si>
  <si>
    <t>invistafinancas.com.br invistafinancas.com.br</t>
  </si>
  <si>
    <t>linktr.ee/juliocrf</t>
  </si>
  <si>
    <t>t.me/tonysgropup</t>
  </si>
  <si>
    <t>gov.br/cvm/pt-br</t>
  </si>
  <si>
    <t>dindinsemfim.blogspot.com</t>
  </si>
  <si>
    <t>sebrae.ro</t>
  </si>
  <si>
    <t>instabio.cc/4020615yCNj2Y</t>
  </si>
  <si>
    <t>hiltonvieira.medium.com</t>
  </si>
  <si>
    <t>sensitive_media</t>
  </si>
  <si>
    <t>none</t>
  </si>
  <si>
    <t>regular</t>
  </si>
  <si>
    <t>Open Twitter Page for This Person</t>
  </si>
  <si>
    <t>iberezanski
É hora de dar um impulso positivo
aos seus objetivos, revendo suas
metas financeiras e desenvolvendo
um orçamento sólido. 💰 O Pulso
pode ajudar nesta preciosa tarefa.
#dinheiro #planejamentofinanceiro
#finanças #investir #investimento
#orçamento https://t.co/r7439490gx</t>
  </si>
  <si>
    <t>borafalardguito
Bora Falar de Guito? #borafalardeguito
#credibilidade #banco #credibilidadebancária
#organizacaofinanceira #economia
#financas</t>
  </si>
  <si>
    <t>sageousthoughts
Can anyone tell me how can i learn
more about finance? #finance #liberdadefinanceira
#personalfinance #mercadofinanceiro
#finances #educacaofinanceira #independenciafinanceira
#planejamentofinanceiro #refinance
#sucessofinanceiro #financeiro
#financetips #inteligenciafinanceira</t>
  </si>
  <si>
    <t>turankurnaz
RT @Gustavo25867079: Nome do Instagram:
@gustavocamposguize Nome do canal
no YouTube: O Almanaque Financeiro
#trabalhovsnegócio #empreend…</t>
  </si>
  <si>
    <t>gustavo25867079
Nome do Instagram: @gustavocamposguize
Nome do canal no YouTube: O Almanaque
Financeiro #trabalhovsnegócio #empreendedorismo
#gestãodenegócios #finanças #planejamentofinanceiro
#investimentos #educaçãofinanceira
#negócios https://t.co/7h9jaT9G3h</t>
  </si>
  <si>
    <t>ajumanganelli
Uma boa organização financeira
é como uma bússola que orienta
o viajante em direção ao seu destino.
Assim como no mundo das finanças,
é importante saber a direção correta
a seguir para alcançar seus objetivos.
#OrganizaçãoFinanceira #BússolaFinanceira
#SucessoFinanceiro 💰🧭🚀 https://t.co/kvmz8ZYwcd</t>
  </si>
  <si>
    <t>streladomar
Você sabe o que é taxa de inadimplência?
#TaxaDeInadimplência #ControleFinanceiro
#PlanejamentoFinanceiro #Endividamento
#SaúdeFinanceira #Crédito #Dívidas
#Negociação #FinançasPessoais #ScoreDeCrédito</t>
  </si>
  <si>
    <t>higinomatos
Os 4 níveis da vida financeira
1º Gerar renda 2º Preservar 3º
Rentabilizar 4º Realizar Qualquer
vontade de pular alguma etapa pode
fazer você voltar para o ponto
inicial, com menos tempo para avançar
#planejamentofinanceiro #finanças
#investimentos</t>
  </si>
  <si>
    <t>brunomelop3
No Brasil, dos últimos anos houve
uma das maiores baixas de sucessão
patrimonial em relação ao crescimento
populacional. Isso se agravou ainda
mais na crise sanitária. Infelizmente
a nossa educação financeira é quase
inexistente. #financas #investimentos
#planejamentofinanceiro https://t.co/7yAlbMFy3B</t>
  </si>
  <si>
    <t>consultoramadii
5. Anote seus gastos diários e
identifique onde seu dinheiro está
sendo gasto. 6. Invista em seu
conhecimento financeiro através
de livros, cursos e consultorias.
#finançaspessoais #educaçãofinanceira
#planejamentofinanceiro #investimentos
#controlefinanceiro</t>
  </si>
  <si>
    <t>geckocripto
Como conquistar mais de 20 mil
reais de lucro mesmo em tempos
de mercado em queda! 💰💼#Investimentos
#MercadoFinanceiro #Lucratividade
#Estratégia #Oportunidades #RendaExtra
#SucessoFinanceiro #AltaPerformance
#Diversificação #PlanejamentoFinanceiro
#InvestirComInteligência https://t.co/njWht7Em0M</t>
  </si>
  <si>
    <t>investidorhedge
#Familia #filhos e #planejamentofinanceiro</t>
  </si>
  <si>
    <t>ricamconsult
O gasto estimado com um filho até
os 18 anos varia entre R$ 480 mil
e R$ 1,2 milhão para famílias da
classe C, segundo estudo do Insper.
Na classe B, o valor vai de R$
1,2 milhão até R$ 2,4 milhões.
Já na classe A, é de pelo menos
R$ 3,6 milhões. (1/4)</t>
  </si>
  <si>
    <t>boxtributario
#contabil #contabilidadeconsultiva
#planejamentofinanceiro #planilhasexcel
#controlefinanceiro #Fiscal #contabilidadeonline
#simplesnacional #notafiscal #tributario
#impostosfederais #planejamentotributario
#Vitoria #serra #vilavelha #espiritosanto
https://t.co/OfyD4Fc3FF</t>
  </si>
  <si>
    <t>noelfilho_
Passe pro lado➡️ #carroseconsorcios.
#sanave #novabahiarenault #carros
#planejamentofinanceiro https://t.co/96ENAtNPke</t>
  </si>
  <si>
    <t>ttorres_oficial
Já cansou de pagar aluguel? A hora
é agora para acessar um consórcio
de forma bem simples. 40% de redução
no valor de parcela até a data
de contemplação. #consórcio #planejamentofinanceiro
#thistorres #educaçãofinanceira
https://t.co/qnYeE90TC8</t>
  </si>
  <si>
    <t>sebrae
👀Preparamos um artigo com as fórmulas
desses cálculos! Acesse: https://t.co/enqA6q6gLZ
#Sebrae #CarteiraEmpreendedora
#Finanças #PlanejamentoFinanceiro</t>
  </si>
  <si>
    <t>_meunomelimpo
🚨 ATENÇÃO! 🚨 Seu nome limpo é
a chave para um novo recomeço e
nós podemos te ajudar! Deixe suas
dívidas e preocupações no passado.
Está na hora de viver um futuro
com Meunomelimpo®. #meunomelimpo
#cpfsujo #educaçãofinanceira #planejamentofinanceiro
#nomesujo #dívidas #SPC https://t.co/rxL89cZKuQ</t>
  </si>
  <si>
    <t>maumedofficial
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https://t.co/50NZwGWPA3</t>
  </si>
  <si>
    <t>mmontezzi
RT @montezziconsult: Sabemos que
a escassez de recursos financeiros
pode ser um desafio para qualquer
empresa. ✅ Consulte um contador
ou a…</t>
  </si>
  <si>
    <t>montezziconsult
Sabemos que a escassez de recursos
financeiros pode ser um desafio
para qualquer empresa. ✅ Consulte
um contador ou assessor financeiro
para orientações personalizadas
e estratégias de gestão financeira
eficazes. #GestãoFinanceira #Estratégias
#PlanejamentoFinanceiro 📈🌟 https://t.co/DPhPgPr4zj</t>
  </si>
  <si>
    <t>sebraeto
Se você tem um negócio, sabe que
a gestão financeira é um aspecto
crucial pra saúde e pro sucesso
da empresa. 🤑🥲Pensando nisso,
separamos algumas dicas fundamentais
pra te ajudar nesse processo. Confira!
😉#OrganizaçãoFinanceira #Empreendedorismo
#EducaçãoFinanceira https://t.co/NAzwT0LlTz</t>
  </si>
  <si>
    <t>thiagonakazone
vey nao gastarei 1 (um) real sequer
ate quinta #planejamentofinanceiro</t>
  </si>
  <si>
    <t>segdasempresas
Não comece mais um ano cometendo
os erros do passado! Se liga, é
hora de mudar 😉🚀💰 . #fontederenda
#planejamentofinanceiro #cartaodecredito
#finanças #empreendedorismo https://t.co/M5vPzYTjjX</t>
  </si>
  <si>
    <t>comoreinventar
3️⃣ Uma das principais ideias que
Gustavo Cerbasi defende é a importância
da organização financeira para
a construção de riqueza. Ele acredita
que é preciso ter disciplina para
poupar e investir, sempre de olho
nos seus objetivos e metas financeiras.
#planejamentofinanceiro</t>
  </si>
  <si>
    <t>jhonblackmist
Viva Com Menos E Desfrute Mais
!! Segui A Dica No Link Da Bio
#trabalho #economia #prosperidade
#motivacional #finanças #sucesso
#organizacaofinanceira #poupança
#money #dinheiro https://t.co/QuvxnkdCUv</t>
  </si>
  <si>
    <t>prefitaguai
Atenção contribuinte! Dia 31/08
vence a sexta parcela do IPTU 2023!
Não perca essa oportunidade. Para
mais informações, acesse o site
da prefeitura https://t.co/KniTHzD4g0
. #iptu #pagamentoparcelado #planejamentofinanceiro
#prefeituradeitaguai #trabalhandosempre
https://t.co/5eyKiZIv21</t>
  </si>
  <si>
    <t>portoseguro
Quem aí tá com medo de dormir e
acordar em janeiro de novo? 🙋🏻‍♀️
Vem com a gente: fé pra chegar
em fevereiro e organização financeira
pra chegar em dezembro! 😅 Acesse:
https://t.co/IPsuKaoeLB #JaneiroEterno
#PortoBank #OrganizacaoFinanceira</t>
  </si>
  <si>
    <t>memorialgoiania
👉🏽Se você ainda não tem o seu,
adquira agora mesmo seu Jazigo
aqui no Cemitério Parque Memorial
pelo fone 62 99296-4101 ou em nosso
site https://t.co/qL2e5lnSVU #jazigo
#parquememorial #parquememorialdegoiania
#planejamentofinanceiro #planofunerario
https://t.co/NtHN9rLPwz</t>
  </si>
  <si>
    <t>calilecalil
#FinançasPessoais #Dinheiro #Investimentos
#EducaçãoFinanceira #PlanejamentoFinanceiro
https://t.co/Hu9vhzxpsd</t>
  </si>
  <si>
    <t>saguicontrol
🚨 Você sabe quais são os erros
mais comuns na gestão financeira
e como eles podem afetar seu negócio?
Aqui estão os 7 erros mais comuns
na gestão financeira que você deve
evitar. Vamos conferir? 💼 #GestãoFinanceira
#Finanças #ControleFinanceiro #PlanejamentoFinanceiro</t>
  </si>
  <si>
    <t>maxjr32113486
É assim que funciona! Acredite.
#investir #investimentos #investidor
#planejamentofinanceiro #viverdedividendos
#mercadodecapitais #inteligenciafinanceira
em Parque del Sol https://t.co/93aBBBC4bo</t>
  </si>
  <si>
    <t>asc_alancoelho
#tesourodireto #SabiasQue #investment
#planejamentofinanceiro #futuro
#fy #fyp #ceo https://t.co/JPVK4mt6Zb</t>
  </si>
  <si>
    <t>euvanessagouvea
Estabelecer objetivos é importante,
mas realizá-los é muito mais #mulher
#sucesso #rendaexta #família #faturamento
#finançaspessoas #organizaçãofinanceira
#mulherdesucesso #empresaria</t>
  </si>
  <si>
    <t>carlapaixaoi
Veja a novidade publicada #planejamentofinanceiro
para cumprir com a pensão alimentícia
https://t.co/rQMBq3HsNR</t>
  </si>
  <si>
    <t>douglazzc
Acabei de refazer meu planejamento
financeiro e constatei que eu devo
tá socando dinheiro no R*ab*, pois
não é possível! #planejamentofinanceiro</t>
  </si>
  <si>
    <t>igor_vieiraa
Não deixe suas finanças ao acaso!
Com a consultoria financeira personalizada,
você pode alcançar seus objetivos
financeiros de forma mais rápida
e eficiente. Entre em contato no
número (51) 98520-8228 #consultoriafinanceira
#planejamentofinanceiro #investimentos
#rendapassiva https://t.co/28EnScGsj0</t>
  </si>
  <si>
    <t xml:space="preserve">youtube
</t>
  </si>
  <si>
    <t>spprevcom
Não dê sorte ao azar quando se
trata da sua vida financeira na
aposentadoria! 😉 Entre em contato
com um de nossos agentes e descubra
como podemos ajudá-lo a atingir
seus objetivos financeiros. 💻https://t.co/ytwDl9hwlu
#Prevcom #PrevidenciaPrivada #PlanejamentoFinanceiro
https://t.co/26nlHnydfu</t>
  </si>
  <si>
    <t>lopeseconomista
Recomendação de leitura de educação
financeira. Acesse o link https://t.co/btUNTFyqmH
#livrosdeeducaçãofinanceira #educaçãofinanceira
#livros #finançaspessoais #planejamentofinanceiro
#finançaspessoais #seubolsonodivã
#vivendoasuarealidadefinanceira
#evertonlopeseconomista</t>
  </si>
  <si>
    <t>aline_tarot
Cartas do Dia para 17/08 - 5a feira
🔮 Agende sua consulta pelo WhatsApp:
(11)98444-0242 🔮 #trabalhonovo
#novotrabalho #organizacao #organizaçãofinanceira
#organizaçãoprofissional https://t.co/kJzJXGBIW1</t>
  </si>
  <si>
    <t>nascimentomma
Se você não criar um plano financeiro
pra si mesmo, o acaso não o fará.
#finanças #planejamentofinanceiro</t>
  </si>
  <si>
    <t>brunossm
Em um período de 20 anos, o investidor
médio americano teve um retorno
menor do que a maioria das classes
de ativos disponíveis. Esse é o
custo de oportunidade de não ter
um profissional certificado e gabaritado.
#planejamentofinanceiro #investimentos
#carteiradeinvestimentos https://t.co/EA6YrgFUDs</t>
  </si>
  <si>
    <t>jornalcontabil_
Seja para sair do vermelho, poupar
para o futuro ou realizar sonhos,
sempre é oportuno fazer um planejamento
financeiro visando sobrar dinheiro
no fim do mês. #planejamentofinanceiro
https://t.co/GN96YMrITP</t>
  </si>
  <si>
    <t>colegiopectrus
Empoderando o futuro financeiro:
Tomada de decisões conscientes,
planejamento financeiro, preparação
para a vida adulta, empreendedorismo,
consciência do valor do dinheiro
e independência financeira. 💪💰🚀#EducaçãoFinanceiraNaEscola
#AprendendoAFinanciar #PlanejamentoFinanceiro
https://t.co/KkD4qTplsY</t>
  </si>
  <si>
    <t>javarinijean
"Imposto de renda? Vamos encarar
como um desafio! Quanto mais organizados
e criativos, menor será a dor de
cabeça e maior a recompensa no
final. #impostoderenda #planejamentofinanceiro
#sucesso</t>
  </si>
  <si>
    <t>williamhuntbr
Descubra como desbloquear sua Liberdade
Financeira de uma vez por todas:
https://t.co/i8OqlzIrwZ #finançaspessoais
#educacaofinanceira #finanças #planejamentofinanceiro
#inteligenciafinanceira #organizacaofinanceira
https://t.co/BbeZGrlrVX</t>
  </si>
  <si>
    <t>tony_financas
Uma dica rápida e que pode ajudar
você na administração do seu salário.
#planejamentofinanceiro #financas
#dinheiro https://t.co/MV9zIDl2vH</t>
  </si>
  <si>
    <t>puneetkohli1979
#finance #liberdadefinanceira #personalfinance
#mercadofinanceiro #finances #educacaofinanceira
#independenciafinanceira #planejamentofinanceiro
#refinance #sucessofinanceiro https://t.co/93yAcgAtic</t>
  </si>
  <si>
    <t>ludemicon
Quem faz conta, faz consórcio!
Venha conhecer as infinitas possibilidades
de investir, adquirir bens e serviços
sem se descapitalizar. Ken usa,
e a Barbie também 💞 #trendingreels
#barbie #consorcio #planejamentofinanceiro
#financialfreedom https://t.co/yqOwYElA9F</t>
  </si>
  <si>
    <t xml:space="preserve">ademicon
</t>
  </si>
  <si>
    <t>pag4nini
▶ Dê o play e confira a entrevista
para a BM&amp;amp;C em 16/06/2023 🎯Assista
na integra no canal do Youtube.
Link na bio #AnáliseTécnica #PlanejamentoFinanceiro
#IndependenciaFinanceira #AssessoriaFinanceira
#Patrimonio #Investimentos #mercadofinanceiro
https://t.co/TNZPXbI3Ax</t>
  </si>
  <si>
    <t>erik_investir
O que você precisa saber sobre
#planejamentofinanceiro. "O #planejamento
#financeiro é a #chave para alcançar
suas #metas financeiras." "#Poupar
dinheiro é uma parte importante
de qualquer #planejamento financeiro
bem-sucedido." "#Controle seus
gastos e faça um... https://t.co/mpVERRizo8</t>
  </si>
  <si>
    <t>milan_prosper
WISHING YOU A PREDICTABLE, PROFITABLE,
SUSTAINABLE NEW YEAR AHEAD #finance
#liberdadefinanceira #personalfinance
#mercadofinanceiro #finances #educacaofinanceira
#independenciafinanceira #planejamentofinanceiro
#refinance #sucessofinanceiro #financeiro
#financetips #Inteligencia https://t.co/jl1gVdUfSu</t>
  </si>
  <si>
    <t>euluisconsultor
Planejamento financeiro é fundamental
para ter uma vida financeira tranquila
e alcançar seus objetivos. Confira
essas dicas para ajudar você a
organizar suas finanças. Acesse
o insta: @euluisconsultor 💰💡
#organizaçãofinanceira #finanças</t>
  </si>
  <si>
    <t>fgaugustus
Regularização Municipal: Verifique
se é necessário obter licenças
ou alvarás municipais para operar
como programador em sua cidade.
8... #Auditoria #SimplesNacional
#DemonstraçõesFinanceiras #PlanejamentoFinanceiro
#ContabilidadeFiscal #PequenasEmpresas
#Microempresas #Empresário</t>
  </si>
  <si>
    <t>targetexecutiv
O que aconteceu com o SVB? Aproveita
e segue a gente ⬇️📈 🟪 @TargetExecutiv
#empreendedorismo #explore #explorer
#explorar #marketingdigital #business
#planejamento #desenvolvimentopessoal
#estratégia #sucesso #planejamentofinanceiro
#negócios #educaçãoexecutiva #svb
#risco https://t.co/bCepwcZQ6n</t>
  </si>
  <si>
    <t>dncontador
Olá, Que tal um serviço especializado
e personalizado para seu MEI, que
contribua com a gestão do seu negócio
com responsabilidade, organização
e segurança? #Contabilidade #Finanças
#Impostos #GestãoFinanceira #PlanejamentoFinanceiro
#ConsultoriaContábil #Auditoria
https://t.co/akcOWGQHQ4</t>
  </si>
  <si>
    <t>edsonderiv
Não perca tempo! Abra agora mesmo
uma conta grátis na corretora Deriv
e ganhe um Robô Dbot exclusivo
que pode ajudá-lo a maximizar seus
lucros. https://t.co/J5thblrXEP
#EducaçãoFinanceira #InvestirParaCrescer
#RendaPassiva #PlanejamentoFinanceiro
#InvestimentosSeguros https://t.co/T95LLuMCBt</t>
  </si>
  <si>
    <t>sebraport
Planeje seu sucesso com contabilidade
estratégica. Nossos especialistas
estão prontos para te ajudar! 📈📚
#ContabilidadeEstratégica #SucessoEmpresarial
#PlanejamentoFinanceiro Saiba mais
em https://t.co/yJgugFIagH</t>
  </si>
  <si>
    <t>kakoramos
Nessa postagem Kako Ramos escreve
sobre cartões de crédito. #cartõesdecrédito
#organizaçãofinanceira https://t.co/gSJJ75n16m</t>
  </si>
  <si>
    <t>investoom
Have you ever wondered which is
the largest company in the world?
#finance #liberdadefinanceira #personalfinance
#mercadofinanceiro #finances #educacaofinanceira
#independenciafinanceira #planejamentofinanceiro
#refinance #sucessofinanceiro #financeiro
#financetips https://t.co/Y511BxDs2B</t>
  </si>
  <si>
    <t>andrewerneck_
Você já parou para pensar como
um plano financeiro pode mudar
sua vida? Imagine ter o controle
das suas finanças, atingir suas
metas e realizar seus sonhos. É
hora de dar o primeiro passo em
direção a uma vida financeira próspera!
#Finanças #PlanejamentoFinanceiro</t>
  </si>
  <si>
    <t>nonoinvestidor
Invista para não depender do INSS
no futuro! #planejamentofinanceiro
https://t.co/7cF4IChhZ8</t>
  </si>
  <si>
    <t>pravaler
Lembre-se, a análise de crédito
é contínua. Práticas financeiras
saudáveis ajudam a construir um
histórico sólido e alcançar suas
metas financeiras. Compartilhe
essas dicas! 💼💪 #EducaçãoFinanceira
#PlanejamentoFinanceiro</t>
  </si>
  <si>
    <t>revistaapolice
Com o tema "Desafios para um futuro
financeiro saudável", evento reuniu
cerca de cem convidados e contou
com a participação de executivos
da companhia #evento #planejamentofinanceiro
#revistaapolice https://t.co/haMJGU0u35</t>
  </si>
  <si>
    <t>investcarta
Financiamento: Por que economizar
seu dinheiro em um consórcio quando
você pode pagar juros exorbitantes
e ajudar os bancos a ficarem mais
ricos? 😏💸 #Consórcio #Financiamento
#Investimento #PlanejamentoFinanceiro
#EducaçãoFinanceira #PoupeJuros</t>
  </si>
  <si>
    <t>minteredu
INFLAÇÃO: Você já sabe como esse
índice impacta as suas finanças
pessoais? Vem aprender com a gente
➡️ @minteredu #dinheiro #financeiro
#explore #explorer #explorar #finanças
#educaçãofinanceira #finançaspessoais
#investimento #planejamentofinanceiro
#inflação #ipca #juros https://t.co/eWr3TyLLui</t>
  </si>
  <si>
    <t>parlamento
@tiajulha Amiga, fica nos de 69,
pq os de 70+ não te dão direito
a herança! #planejamentofinanceiro
é tudo! 🤣</t>
  </si>
  <si>
    <t xml:space="preserve">tiajulha
</t>
  </si>
  <si>
    <t>paginalixo1
top prazeres da vida adulta: -
acordar num hotel sabendo que vai
ter café na manhã - pagar todas
as contas e sobrar dinheiro - acordar
e ver que ainda da pra dormir mais
um pouco - chegar em casa depois
de um dia difícil e tirar o tênis</t>
  </si>
  <si>
    <t>cobratecassis
Junte-se a nós! 18 33243310 18
997701523 #AssessoriaDeCobrança
#VemPraCobratec #PlanejamentoFinanceiro
#GestãoEmpresarial #EquipeQualificada
#CobrançaHumanizada #RecuperaçãoDeCrédito
#CobratecAssis https://t.co/HKvnqCfUeJ</t>
  </si>
  <si>
    <t>atlantickapital
📡💼 Hoje é o Dia Nacional das
Comunicações e lembramos do legado
de Rondon, que nos ensinou a importância
da conexão para o desenvolvimento,
inclusive no mundo das finanças!
💡🌍 #DiaNacionalDasComunicações
#Rondon #ConexãoFinanceira #EducaçãoFinanceira
#PlanejamentoFinanceiro https://t.co/FWCY2NEnSE</t>
  </si>
  <si>
    <t>irineubere
🚨💸 Saber lidar com as emergências
financeiras melhora a qualidade
de vida. #emergencia #financeira
#planejamentofinanceiro #futuro
#futurodasfinanças https://t.co/ScCrgw9CLK</t>
  </si>
  <si>
    <t>lifecreditbr
1 - Faça um orçamento detalhado
e corte gastos. 2 - Evite fazer
novas dívidas e procure formas
de economizar dinheiro. 3 - Contrate
a Life! Entre em contato conosco
através do nosso site https://t.co/s4TRDsQ32L
#dividas #dicas #organizaçãofinanceira
https://t.co/r3sFhAMYeM</t>
  </si>
  <si>
    <t>made_hits
A espera valeu a pena! 🔥#StudioMadeHits
#InvestidoresdaQuebrada #investidoresdesucesso
#investidoresbrasil #investidoresiniciantes
#liberdade #planejamentofinanceiro
#riqueza #quebradavenceu #podcastshow
#newpodcast #podcast #hastag #videostaredits
#comment4comment #trending https://t.co/SXd2FOdyiw</t>
  </si>
  <si>
    <t>livrosemresumo
6-💡 Robert Kiyosaki compartilha
estratégias para investir sabiamente
e construir um portfólio financeiro
sólido, independentemente de sua
renda atual. Todos podem investir
no seu futuro! #Investimento #PlanejamentoFinanceiro</t>
  </si>
  <si>
    <t>alanvalney
Você sabe a importância em ter
investimentos ligados à moeda forte?
#mercadofinanceiro #contentmakersis
#protecaodepatrimonio #rentabilidade
#planejamentofinanceiro #2023 https://t.co/FxypeMaLGQ</t>
  </si>
  <si>
    <t>felipecandianii
Conta de novembro da sanasa QUITADA
#planejamentofinanceiro #redpill
#machoalfa</t>
  </si>
  <si>
    <t>francisinvicto
#FinançasPessoais 2. #Investimentos
3. #EducaçãoFinanceira 4. #DicasFinanceiras
5. #PlanejamentoFinanceiro 6. #Dinheiro
7. #Economia 8. #MercadoFinanceiro
9. #Criptomoedas 10. #Negócios
@realpolkabridge @polkadot @cz_binance
https://t.co/V2izjsYINM</t>
  </si>
  <si>
    <t xml:space="preserve">cz_binance
</t>
  </si>
  <si>
    <t xml:space="preserve">polkadot
</t>
  </si>
  <si>
    <t xml:space="preserve">realpolkabridge
</t>
  </si>
  <si>
    <t>fbiosha
Acabei de ler este ótimo artigo
sobre #dicasdeinvestimento para
iniciantes! É como uma cidade vibrante
e cosmopolita, cheio de informações
valiosas para alcançar seus objetivos
financeiros. #investir #planejamentofinanceiro</t>
  </si>
  <si>
    <t>luizefinancas
#planejamentofinanceiro #dinheironobolso
#financas #investimentos #organizacaofinanceira</t>
  </si>
  <si>
    <t>focanoimposto
💡 Dicas para declarar e reduzir
o Imposto de Renda (IR) #ImpostoDeRenda
#DicasFiscais #PlanejamentoFinanceiro
#Advogado #Contador #OrientaçãoProfissional 
#RestituiçãoIR  #Doações #ResponsabilidadeSocial 
#PrevidênciaPrivada #BenefíciosFiscais 
#AtualizaçõesFiscais  #Rendimentos</t>
  </si>
  <si>
    <t>vidatodaseguros
Vem pra vida! Vida Toda Corretora
– 41 98714-4855 / 41 99151-0102
vidatoda@vidatodacorretora.com.br
https://t.co/ATG7OSbPmE #corretordeseguros
#planejamentofinanceiro #umatodeamor
#rc #segurodevida #seguroresponsabilidadecivil
#consorcio https://t.co/62xsHr4RxS</t>
  </si>
  <si>
    <t>dalai_money
💸💥 Quer multiplicar seu dinheiro?
💰🚀 Lembre-se: investir é como
plantar uma árvore - com tempo,
paciência e cuidado, você colherá
frutos incríveis! 🌳🍎 #investimentos
#finanças #crescimento #planejamentofinanceiro
#dinheiroextra</t>
  </si>
  <si>
    <t>hidoctor
Um ponto crucial da administração
do consultório é a #GestãoFinanceira.
💲 Veja no reel algumas dicas fundamentais!
Veja os detalhes sobre as dicas:
https://t.co/VZrkRuO9T5 #Finanças
#Financeiro #FluxoDeCaixa #ConsultórioMédico
#ControleFinanceiro #PlanejamentoFinanceiro
https://t.co/VxYBWBb4CW</t>
  </si>
  <si>
    <t>cintiamenegazzo
💡 #cm #organizaçãofinanceira #comportamento
#gestãoremotadeaaz #homeoffice
#remotework #nomadesdigitais #produtividade
#culturaremota #estilodevida #proposito
#worklifebalance #tecnologia #worklife
#carreira #trabalho #educação #desenvolvimentohumano
#robinsonshiba https://t.co/AxAA2XSG8Q</t>
  </si>
  <si>
    <t>snapfi_br
Empreendedores, vamos falar de
planejamento financeiro! 💰📝 É
prever necessidades e oportunidades
do seu negócio, entender custos,
lucros, investimentos. Com a Snapfi,
o planejamento é eficiente e descomplicado.
Vamos juntos nessa! 🚀 #PlanejamentoFinanceiro
#Empreendedorismo https://t.co/KRmu4xCeH5</t>
  </si>
  <si>
    <t>henleinvest
#investimentos #investimento #bolsadevalores
#bovespa #rendavariavel #ações
#mercadofinanceiro #liberdadefinanceira
#finanças #planejamentofinanceiro
#trader #stocks #dinheiro #henleinvestimentos
#economia #dividendos #ibovespa
#agro #agronegocio #soja #milho
#keplerweber https://t.co/6OtaOVbeb4</t>
  </si>
  <si>
    <t>investidigital
"Seja bem-vindo(a) ao meu mundo
de investimentos! Hoje compartilho
dicas valiosas para começar a investir
com segurança, planejamento e visão
de longo prazo. Vamos juntos rumo
à independência financeira! 💸💪
#Investimentos #PlanejamentoFinanceiro"</t>
  </si>
  <si>
    <t>moprify
O touro está de olho. Seus investimentos
estão sobre controle? Moprify -
A melhor visão dos seus investimentos.
#investimentos #bullmarket #fiis
#ações #planejamentoFinanceiro
#moprify #mercadofinanceiro #controledeinvestimentos
https://t.co/a7DkeiPR0s</t>
  </si>
  <si>
    <t>azizbasry
Brain Evolution System! https://t.co/jiYvvsKR5E
#mercadofinanceiro #personalfinance
#financetips #educacaofinanceira
#independenciafinanceira #planejamentofinanceiro
#educaçãofinanceira</t>
  </si>
  <si>
    <t>jorg1nho_
@djefvlogg #planejamentofinanceiro</t>
  </si>
  <si>
    <t xml:space="preserve">djefvlogg
</t>
  </si>
  <si>
    <t>contas_online
Preparado para controlar suas finanças
e finalmente quitar suas dívidas?
Confira como! 📚 #FinançasPessoais
#PlanejamentoFinanceiro #ContasOnline
#PagarDívidas https://t.co/X0SrzBsdC4</t>
  </si>
  <si>
    <t>financialstream
Bora colocar em prática ⁉️ #finanças
#investimentos #PlanejamentoFinanceiro
#investidores</t>
  </si>
  <si>
    <t>cassebbsb
Sobre PLANOS e PLANEJAMENTO. "Nunca
confunda ajuste de rota de um plano
com mudança de plano, pois quando
os planos mudam os objetivos (desejos)
também mudam." #planejamentofinanceiro
#financaspessoais</t>
  </si>
  <si>
    <t>clmcontroller
Saiba que não dar um bom encaminhamento
para o Planejamento Financeiro
ainda este ano, pode comprometer
o futuro de seu negócio, leia a
matéria: https://t.co/1eB2EQgI4q
#planejamentofinanceiro #contador
#contabilidadeempresarial #fy #fyp
#foryou #foryourpage https://t.co/NVxoELFCu2</t>
  </si>
  <si>
    <t>tokencom_br
🕊️ Quem aí prometeu que ia investir
melhor em 2023? Se for o caso,
este fio veio para te ajudar a
cumprir a promessa. (1/7) #planejamentofinanceiro
#metas2023 #investiremcripto #bitcoinbrasil
#ethereumbrasil https://t.co/iKLUUfxjBd</t>
  </si>
  <si>
    <t>danielg_s6
Lembrando que a economia é dinâmica
e esses indicadores podem variar.
É sempre bom acompanhar as atualizações
e entender como eles impactam nossa
vida e investimentos. Estar informado
é a chave para um planejamento
financeiro sólido! 💪💰 #Investimentos
#PlanejamentoFinanceiro</t>
  </si>
  <si>
    <t>lobscontabilid1
O planejamento financeiro permite
que o MEI tenha uma visão clara
das suas receitas e despesas. #LobsContabilidade
#Finanças #Gestão #Investimento
#MEI #Negócio #Planejamentofinanceiro
https://t.co/K5MLxByxMJ https://t.co/Z1C3DXeGRZ</t>
  </si>
  <si>
    <t>brunoma37644336
1.Não cometa o mesmo erro que eu:
como perdi o meu saque aniversário
do FGTS por causa de um vacilo
com o aplicativo #vamostestar #FGTS
#SaqueAniversário #ErroNoAplicativo
#Vacilo #Cuidado #DicaDeEconomia
#PlanejamentoFinanceiro https://t.co/dWKrz1zLFQ</t>
  </si>
  <si>
    <t>emotionalillit1
2/ A impulsividade e a dificuldade
de planejamento e organização podem
tornar desafiador para aqueles
com TDAH ou autismo manter um orçamento
ou fazer planos financeiros de
longo prazo. #ADHD #TDAH #autismo
#planejamentofinanceiro https://t.co/ZnRjQry7ov</t>
  </si>
  <si>
    <t>computar1915
O sistema Computar oferece recursos
integrados que simplificam e esclarecem
o controle das finanças. Clique
no link da bio e peça sua demonstração.
#Computar #gestão #financeiro #sistemadegestão
#gestãofinanceira #advocacia #advogados
#gestãoparaadvocacia #organizaçãofinanceira
https://t.co/kk2uiBrHqv</t>
  </si>
  <si>
    <t>dirprev
Você sabia que o INSS pode ser
o seu melhor amigo na hora de garantir
a sua segurança financeira? Não
deixe de contribuir e planejar
o seu futuro com essa proteção
incrível! 💪 #INSS #segurançafinanceira
#planejamentofinanceiro</t>
  </si>
  <si>
    <t>investimentoob1
🤑💰 Quer conquistar a tão sonhada
liberdade financeira? #FinançasPessoais
#EducaçãoFinanceira #PlanejamentoFinanceiro
#LiberdadeFinanceira https://t.co/U4MMEEKy9F</t>
  </si>
  <si>
    <t>sunonoticias
3 - A leitura também pode ajudar
o investidor a desenvolver habilidades
importantes, como análise financeira,
gestão de riscos e #planejamentofinanceiro.</t>
  </si>
  <si>
    <t>thiagobudni
Conte com a minha ajuda para atingir
seus objetivos financeiros! ✍️🗒🎯
#Investimentos #planejamentofinanceiro
#educacaofinanceira #objetivos
#metas #metasfinanceiras #assessordeinvestimentos
#XP #xpinvestimentos #Nortus #NortusInvestimentos</t>
  </si>
  <si>
    <t>paraminvest
#personalfinance #mercadofinanceiro
#finances #educacaofinanceira #independenciafinanceira
#planejamentofinanceiro #refinance
#sucessofinanceiro #financeiro
#financetips #inteligenciafinanceira
#gestaofinanceira #carfinance</t>
  </si>
  <si>
    <t>rodrigosrp4
📉 Em tempos de economia instável
e desse DESGOVERNO, é hora de 🚦
desacelerar e pisar no freio financeiro.
Evite gastos desnecessários, faça
investimentos inteligentes e libere
sua criatividade pra gerar mais
oportunidades! 💰💡 #Economia #Investimentos
#PlanejamentoFinanceiro</t>
  </si>
  <si>
    <t>caixettanayara
Não é sobre quanto você ganha.
É sobre saber como administrar
o que você tem. #finanças #educaçãofinanceira
#organizaçãofinanceira https://t.co/fNMsh2YHGl</t>
  </si>
  <si>
    <t>qfasegui
Planejamento financeiro é a chave
para o sucesso! Invista em um consórcio
e transforme seus sonhos em realidade.
Com parcelas fixas e sem juros,
você pode realizar seus projetos
com tranquilidade e segurança.
#consórcio #planejamentofinanceiro
#realizaçãodesonhos</t>
  </si>
  <si>
    <t>falasantiago
É com grande entusiasmo que lanço
o meu primeiro curso de #finanças
pessoais. O curso pretende fornecer
maior conhecimento sobre sua vida
financeira, gerando consciência
sobre o seu atual momento financeiro.
Link de inscrição: https://t.co/hZEtVl9lO4
#planejamentofinanceiro</t>
  </si>
  <si>
    <t>andreynousi
1/5 A importância das finanças
pessoais não pode ser subestimada.
Elas são a base para alcançarmos
nossos objetivos financeiros e
garantirmos uma vida financeira
saudável. #finançaspessoais #planejamentofinanceiro</t>
  </si>
  <si>
    <t>dicasxdicas
#Orçamento no #LibreOfficeCalc
Insira #despesas e receitas mensais
e veja o balanço. Fórmulas para
calcular totaḷ: =SOMA(C2:C3) onde
C é a coluna e o N.º é o numero
da linha; para calcular o balanço
=C5-C16 #PlanejamentoFinanceiro
https://t.co/weEynrY8Q3</t>
  </si>
  <si>
    <t>caiohleal
Isso faz sentido para você? Deixa
seu comentario aqui abaixo. Mersificação
Q #investimentos #planejamentofinanceiro
#braveheart #caioleal</t>
  </si>
  <si>
    <t>ronaldolundgren
Você trabalha duro e não tem tempo
para se preocupar com as finanças?
Conte com um consultor financeiro
especializado para cuidar do seu
dinheiro e garantir um futuro próspero!
#PlanejamentoFinanceiro #QualidadeDeVida
https://t.co/8b0RFrkn1u</t>
  </si>
  <si>
    <t>ageucamargoadv
2️⃣ Este tópico é muito relevante!
Por quê? Porque a data de fechamento
da fatura do cartão de crédito
afeta diretamente o planejamento
financeiro de muitas pessoas. 💼💰💡
#finanças #planejamentofinanceiro
#bancos #cartaodecredito</t>
  </si>
  <si>
    <t>b18editora
Falando sobre #finançaspessoais
e #comportamento, Walter Moreira
Neto, CFP® explica como a síndrome
do FOMO (Fear of Missing Out) pode
afetar a sua vida e os seus #investimentos.
https://t.co/cmTIjDePUG #investimentofinanceiro
#cfp #vida #investimentos #planejamentofinanceiro
https://t.co/Vhge5v2W4g</t>
  </si>
  <si>
    <t>carreiraprof_cp
Esta publicação esclarece como
o mercado de trabalho em gestão
financeira está evoluindo e dá
uma visão geral do que esperar
do desenvolvimento profissional
em carreira financeira. Saiba mais:
https://t.co/L6Ym2Wxxb2 #GestãoFinanceira
#MercadoDeTrabalho #PlanejamentoFinanceiro</t>
  </si>
  <si>
    <t>paulocpcorrea
Protegendo o Futuro dos Negócios:
Descubra como o Seguro de Vida
Empresarial assegura a continuidade
e sucesso das empresas familiares.
#seguros #segurodevida #sucessao
#sucessaopatrimonial #planejamentofinanceiro
#impostos #herança https://t.co/K3KRF3b4Wi
via @LinkedIn</t>
  </si>
  <si>
    <t xml:space="preserve">linkedin
</t>
  </si>
  <si>
    <t>rafael__costa__
e médica; agências de pesquisa
do governo dos EUA; organizações
sem fins lucrativos; e empresas
de capital de risco. #investimentosbrasileexterior
#investimentobrasil #investimentoexterior
#reit #reits #ações #dividendos
#longoprazo #liberdadefinanceira
#planejamentofinanceiro</t>
  </si>
  <si>
    <t>vidaidealbr
No oriente a carpa significa boa
sorte, sucesso, vida longa e perseverança.
É um peixe muito valorizado e respeitado.
Ela ensina a agradecer diariamente
pelo dinheiro que você tem e pelo
dinheiro que ainda virá. #riqueza
#finanças #organizaçãofinanceira
#sorte #sucesso #mindset https://t.co/A7ZmdYEGdU</t>
  </si>
  <si>
    <t>karlfranca
Educação financeira é essencial
para alcançar a estabilidade financeira.
Ter o controle das suas finanças
é uma habilidade fundamental para
garantir a sua tranquilidade financeira
e para alcançar seus objetivos
de vida.#educacaofinanceira #planejamentofinanceiro
#financaspessoais</t>
  </si>
  <si>
    <t>financaslucra
Dizer adeus às despesas desorganizadas
e conquistar o controle financeiro
nunca foi tão fácil! Descubra como
criar um orçamento simples e prático
para alcançar seus objetivos financeiros.
#ControleFinanceiro #PlanejamentoFinanceiro
#OrçamentoSimples" https://t.co/IXqvjFGFAb</t>
  </si>
  <si>
    <t>carlos_domini
#planejamentofinanceiro #bolsadevalores
#mercadofinaceiro #financas #ibovespa
#EconomiaFamiliar</t>
  </si>
  <si>
    <t>alfainvestidor1
Para alcançar a #riqueza e #prosperidade
através do #caminho você precisa
alicerçar esses três pilares: #investimentos
#financascomportamentais #planejamentofinanceiro</t>
  </si>
  <si>
    <t>perspectiveinvs
Nesse artigo, nosso assessor de
investimentos Thiago Gomes traz
dicas valiosas de como começar
a planejar o seu futuro. Leia:
https://t.co/hKNTsXJlQZ #planejamentofinanceiro
#patrimônio #dinheiro #btg #perspective
https://t.co/4KP6xkYZ7l</t>
  </si>
  <si>
    <t>orcose
🚨📅 Fique atento ao prazo de entrega
da declaração do Imposto de Renda
e evite multas desnecessárias!
Confira no nosso blog as penas
em caso de atraso?" https://t.co/DTfx2SVxzB
#Contabilidade #ImpostoDeRenda
#FinançasPessoais #PlanejamentoFinanceiro
https://t.co/28mshDVCjX</t>
  </si>
  <si>
    <t>luizmarjr
Como planejar suas #finançaspessoais?
👉 https://t.co/q1BKiQQGiR #planejamentofinanceiro
#investimentos #rendafixa #orçamentodoméstico
#updateyourfinances #updateconsultoria</t>
  </si>
  <si>
    <t>gtssilveira
Comenta QUERO e vou te enviar o
link da plataforma de investimentos
de alta rentabilidade. 🎯| Siga
@gaspartrajano 📥| Salve para ver
depois de novo!⠀ . . . #poupardinheiro
#inteligenciafinanceira #organizacaofinanceira
#saudefinanceira #dicasfinanceiras
https://t.co/dUXPeRf2Wg</t>
  </si>
  <si>
    <t xml:space="preserve">gaspartrajano
</t>
  </si>
  <si>
    <t>xzibank
💼💰 A disciplina é fundamental
para o sucesso nos investimentos.
Crie um plano financeiro, defina
metas e acompanhe seu progresso
regularmente. Pequenos passos podem
levar a grandes resultados! #Investimentos
#PlanejamentoFinanceiro #XZiBank</t>
  </si>
  <si>
    <t>contabilidadee4
Maximize a gestão financeira da
sua empresa com um plano de contas
contábil eficiente. Saiba como
no nosso novo artigo! #planocontas
#gestãofinanceira #organizaçãofinanceira
https://t.co/Kz7h78ltvo</t>
  </si>
  <si>
    <t>crevalleoficial
Fuja dos juros do financiamento!
💰✋ O Consórcio é a alternativa
inteligente para planejar suas
compras sem pagar juros abusivos!
💪💡 #consorcio #semjuros #planejamentofinanceiro
https://t.co/WG7eBaB7D0</t>
  </si>
  <si>
    <t>vegansav22
Progressive Car Insurance Near
Me Are you looking to buy Progressive
Car Insurance? This article will
give you the secrets to getting
the best insurance rates. Website:-
https://t.co/VjVbG9wdsW #agentfrio
#planejamentofinanceiro #blindagempatrimonial
#seguros #segurosdevida https://t.co/ctiIAeVG2N</t>
  </si>
  <si>
    <t>capitalizeja
#emprestimoparaempresas #transporte
#investimento #crescimentodeempresas
#financiamento #negócios #logística
#eficiência #planejamentofinanceiro
#capitalizeja</t>
  </si>
  <si>
    <t>aleatoriando_o
Gestão financeira é crucial para
o sucesso de uma empresa. Aprenda
a gerenciar suas finanças. Saiba
mais: https://t.co/HjLNxPoUaE #contabilidade
#finanças #fluxodecaixa #gestão
#planejamentofinanceiro</t>
  </si>
  <si>
    <t>autodestaque
Com o fim de 2022 e a expectativa
da chegada dos gastos recorrentes
no início de 2023, muitos brasileiros
já precisam se programar financeiramente
para gastos como o IPVA [https://t.co/eFHyQ1LiPz]
#IPVA #IPVA2023 #planejamentofinanceiro
#impostos https://t.co/tSGjciDby4</t>
  </si>
  <si>
    <t>junqueiradenis
Não deixe seu futuro financeiro
ao acaso! Invista tempo e esforço
em um planejamento financeiro sólido
para garantir uma jornada tranquila
rumo à estabilidade e prosperidade.
💰✨ #PlanejamentoFinanceiro #EstabilidadeFinanceira
#ProsperidadeFinanceira #RumoAoSucesso
Agende um… https://t.co/5DgbQ1dkJA</t>
  </si>
  <si>
    <t>imovelstar
5 Dicas Essenciais para Realizar
o Sonho da Casa Própria! 🏡💫 #imovelstar
#casapropria #realizandosonhos
#compradesdecasa #investimentoimobiliario
#planejamentofinanceiro #economiaparacasa
#mercadoimobiliário #creditoimobiliario
#familiafeliz #meular https://t.co/leyq4vsUUx</t>
  </si>
  <si>
    <t>elitemind01
Dica Rápida: Legenda: "💡 Dica
do dia: Economizar é tão importante
quanto ganhar. Mantenha um registro
de suas despesas para identificar
onde você pode cortar gastos e
direcionar esse dinheiro para seus
objetivos financeiros. 💪💸 #Economizar
#PlanejamentoFinanceiro</t>
  </si>
  <si>
    <t>almepoupa
Se você quer ter sucesso financeiro,
precisa ter um plano. Comece organizando
suas finanças e definindo seus
objetivos para o futuro. #organizaçãofinanceira
#sucessofinanceiro https://t.co/mpTrvBsAac</t>
  </si>
  <si>
    <t>financasdalari
#controlefinanceiro #finanças #organizaçãofinanceira
⚡ https://t.co/cFKb5ZN4I3</t>
  </si>
  <si>
    <t>sousadavi
Lembre-se sempre: o sucesso financeiro
não acontece da noite para o dia.
É construído com paciência, disciplina
e decisões inteligentes. 💪💼 #Finanças
#educacaofinanceira #financeiro
#Financial #planejamentofinanceiro</t>
  </si>
  <si>
    <t>giovannesilva22
Planejamento: A falta de planejamento
antes de fazer qualquer coisa,
é a maior armadilha para o seu
bolso. Não deixe seu dinheiro ir
pelo ralo por não planejar sua
vida, seus negócios, suas compras,
suas viagens etc….. #planejamentofinanceiro</t>
  </si>
  <si>
    <t>invistafinancas
Descubra dicas práticas sobre como
lidar com a dívida e saiba como
criar um plano de pagamento para
ajudar a gerenciar suas finanças.
Saiba mais: https://t.co/cdPwZALR5A
#dívida #finanças #planejamentofinanceiro</t>
  </si>
  <si>
    <t>investoom_com
Have you ever wondered which is
the largest company in the world?
#finance #liberdadefinanceira #personalfinance
#mercadofinanceiro #finances #educacaofinanceira
#independenciafinanceira #planejamentofinanceiro
#refinance #sucessofinanceiro #financeiro
#financetips https://t.co/hGSQPYyvJD</t>
  </si>
  <si>
    <t>organizze
Organizzação é a chave para o sucesso!
Comece a semana agendando suas
contas e compromissos financeiros
no Organizze. Receba notificações
e evite atrasos, garantindo o equilíbrio
financeiro. 💪💼 #OrganizaçãoFinanceira
#OrganizzeApp</t>
  </si>
  <si>
    <t>twetthiago
Ontem foi organizar as finanças
do mês no @organizze. Não sosseguei
até descobrir onde estava um valor
de R$ 5,50 de alguma despesa que
não foi lançada. Pois sou desses.
Nem 5 centavos passa fora do planejado.
https://t.co/8gChdFJ5KM</t>
  </si>
  <si>
    <t>anderson77i
#organizzados #planejamentofinanceiro
#financaspessoais #organizze</t>
  </si>
  <si>
    <t>einvestidor
💰 Trabalhador autônomo organizado:
saiba como criar um planejamento
financeiro #mercadofinanceiro #investimentos
https://t.co/5eOdq1vNyB</t>
  </si>
  <si>
    <t>alanabetioli
A conta demora mas ela chega. A
escolha do quanto vamos pagar é
nossa e não precisa ser caro. #planejamentofinanceiro
#investimentos #saudefinanceira
#futuro #consultoriafinanceirapessoal
https://t.co/oIk8Qn3Op6</t>
  </si>
  <si>
    <t>chatguruoficial
Nem todo o Faturamento que entra
na conta da sua empresa é lucro!
Saiba mais sobre em: https://t.co/je2QaLNOpn
#chatguru #planejamentofinanceiro
#fluxodecaixa #comogerenciar #empresas
#dicasdegestao https://t.co/AMfGbnsVGv</t>
  </si>
  <si>
    <t>rsloureiro_
Assessores de Investimentos, Corretores
de Seguros e Corretores de Imóveis
terão um melhor resultado se passarem
a atuar com um modelo de atendimento
de planejamento financeiro, disponível
na ISI Educacional. #planejamentofinanceiro
#investimentos #seguros #imoveis</t>
  </si>
  <si>
    <t>bravacapital
... emocionais incluindo o excesso
de confiança. Conte com a Brava!
#viescomportamental #rapidoedevagar
#planejamentofinanceiro #assessoria</t>
  </si>
  <si>
    <t>andrenegociosbr
💰 Dica de ouro: Antes de investir,
tenha suas finanças pessoais em
ordem. Estabeleça metas financeiras
claras e crie um plano para alcançá-las.
#FinançasPessoais #PlanejamentoFinanceiro</t>
  </si>
  <si>
    <t>kedmus_club
Confira as condições para saber
se você precisa declarar seu IR
em 2023 e evite surpresas desagradáveis!
🏦📊 #impostoderenda #finanças
#planejamentofinanceiro https://t.co/AhRW8RZ5kk</t>
  </si>
  <si>
    <t>aulaplusbr
A importância do planejamento financeiro
a longo prazo e como isso pode
garantir um futuro financeiro estável
https://t.co/VbY5ZFWekx #planejamentofinanceiro
#desenvolvimentopessoal</t>
  </si>
  <si>
    <t>tai_follmann
Em nosso novo artigo, você encontrará
dicas essenciais para reduzir despesas,
aumentar sua poupança e construir
um futuro financeiramente sólido.
💪💼 https://t.co/Wi7Y34mODy #OrçamentoPessoal
#MetasFinanceiras #PlanejamentoFinanceiro</t>
  </si>
  <si>
    <t>grupodank
Antecipar seus Recebíveis é: 🔅
Fácil 🔅 Rápido 🔅 Seguro 🔅 E
100% online! Simples assim👍! Converse
com um de nossos especialistas
através do WhatsApp: 📞47 3054
3398 (ou link na bio👆). #Dank
#FIDC #antecipacaoderecebiveis
#planejamentofinanceiro #gestaofinanceira
https://t.co/5kNKsMo16n</t>
  </si>
  <si>
    <t>_joseamaral
#CavukaJoséAmaral #inteligenciafinanceira #dinheiro #financas #financaspessoais #educacaofinanceira #investimento #finançaspessoais #planejamentofinanceiro #financaparatodos #sonhos #gestãofinanceira
via Izabel Rocha Transformasie
#VamosConversando https://t.co/dvTDnRF8dt</t>
  </si>
  <si>
    <t>financasportal
Descubra 6 passos eficazes para
quitar suas dívidas e evitar novas
despesas. [...] Leia mais no Blog!
#FinançasPessoais #EducaçãoFinanceira
#Investimentos #Poupança #OrçamentoFamiliar
#GestãoDoDinheiro #PlanejamentoFinanceiro
#Endividamento https://t.co/ErnNucQ86x
https://t.co/JBlrRXU236</t>
  </si>
  <si>
    <t>workshopdantas
Gostou do conteúdo? Segue aê ➡️
@workshopdantas #educacaofinanceira
#empreendedor #dinheiro #finanças
#reflexao #empreendedorismo #vendermais
#organizacaofinanceira #rendaextra
#rendaextraemcasa #marketingdigital
#vendedor #direita #conservador
#billygraham https://t.co/8MUedB9RJ9</t>
  </si>
  <si>
    <t xml:space="preserve">roxmo
</t>
  </si>
  <si>
    <t xml:space="preserve">lulaoficial
</t>
  </si>
  <si>
    <t xml:space="preserve">rmotta2
</t>
  </si>
  <si>
    <t xml:space="preserve">damadeferroofic
</t>
  </si>
  <si>
    <t>unicredbrasil
Quer começar a criar o seu planejamento
financeiro? Dê o play e confira
como colocar em prática no seu
dia a dia! #Unicred #SomosCoop
#EscolhaDiferente #EscolhaUnicred
#PlanejamentoFinanceiro https://t.co/uuzJrUnCsk</t>
  </si>
  <si>
    <t>vincopontovc
💼 Entenda sua situação financeira
atual: Faça um levantamento de
todas as suas receitas e despesas.
Isso ajudará a identificar onde
você está gastando mais e onde
pode economizar. Organize-se com
aplicativos de finanças pessoais
ou planilhas! 📊 #PlanejamentoFinanceiro</t>
  </si>
  <si>
    <t>kakau_seguros
Preparamos algumas dicas de como
organizar as despesas de início
de ano e aproveitar melhor os descontos.
Aproveite! https://t.co/qKNY68zxXY
#organizaçãofinanceira #iniciodeano
#2023 #KakauProtege https://t.co/dZ6ndHalDD</t>
  </si>
  <si>
    <t>seu_dinheiro_br
Tesouro RendA+: o que acontece
ao título público da aposentadoria
se o investidor morrer? #Aposentadoria
#Planejamentofinanceiro #Previdênciaprivada
https://t.co/MKk5p15RrM</t>
  </si>
  <si>
    <t>grupoborn
Gerenciar as finanças do consultório
é um desafio para muitos médicos.
Saber como controlar as despesas
e gerir os honorários é fundamental
para o sucesso da sua clínica.
#medicina #planejamentofinanceiro
#medicos #contabil https://t.co/vISq5fzvqe</t>
  </si>
  <si>
    <t>plancredi
Dicas para um final de semana incrível
sem comprometer o seu orçamento.🤩
. . #Plancredi #EconomiaNoFimDeSemana
#DiversãoEconômica #PlanejamentoFinanceiro
#FimDeSemanaSemGastos https://t.co/yLsamDYUOQ</t>
  </si>
  <si>
    <t>metalogsoft
Analise a situação atual, controle
os gastos, trace um plano de ação,
controle o fluxo de caixa, mantenha
um fundo de reserva e considere
usar um ERP. #FinançasEmpresariais
#PlanejamentoFinanceiro #ERP https://t.co/nwa1WTYwqy</t>
  </si>
  <si>
    <t>advjusnet
Planejamento Financeiro no Início
do Ano é o tema de Direito Bancário
com o Dr. Francisco Mendonça -
advogado. #direitobancario #planejamentofinanceiro
#juros #taxadejuros #dívidas #bancos
#direito https://t.co/KYZmX6JCnt
via @YouTube</t>
  </si>
  <si>
    <t>newsshd
#Planejamentofinanceiro pessoal:
dicas para alcançar estabilidade
https://t.co/QpFeJmZkmX</t>
  </si>
  <si>
    <t>sshiroma_
Como sobrevivem? Fico horrorizada
com isso. Fico com muita pena das
famílias mais humildes. A inflação
corroeu todo o nosso dinheiro.
#inflação #poderdecompra #economia
#planejamentofinanceiro #listadecompras
#brasilparaostrabalhadores #economizar</t>
  </si>
  <si>
    <t>axcrestfall
https://t.co/DDmRplCXDD #PaiRicoPaiPobre
#EducaçãoFinanceira #FinançasPessoais
#Investimentos #SucessoFinanceiro
#Empreendedorismo #LiberdadeFinanceira
#PlanejamentoFinanceiro #EducaçãoFinanceiraParaTodos
#RiquezaMental</t>
  </si>
  <si>
    <t>oabprevrs
Como já dizia Renato Russo: por
que esperar, se podemos começar
agora mesmo. Quanto antes você
começar a prevenir e a planejar,
mais próximo você estará da realidade
que você imagina. #OABPrevRS #OABRS
#CAARS #PrevidênciaComplementar
#PlanejamentoFinanceiro https://t.co/LA6ZwmHuaI</t>
  </si>
  <si>
    <t>dannmazz
@misael_silvao1 Para tirar 2 anos
sabáticos com renda de R$3.000/mês
e custos mensais de R$2.000, poupe
R$1.000/mês. Em 4 anos, você terá
acumulado R$48.000 para cobrir
seus gastos durante esse período.
#Sabático #PlanejamentoFinanceiro</t>
  </si>
  <si>
    <t xml:space="preserve">misael_silvao1
</t>
  </si>
  <si>
    <t>silvio54043984
Tem alguém na sua vida que você
ame? Ame DE VERDADE? Seu cônjuge/
pais/ filhos? Que não consegue
imaginar eles com dificuldade sem
ter você ali… Proteja-os com um
seguro de vida ainda hoje. #PrudentialDoBrasil
#PlanejamentoFinanceiro #LifePlanner
https://t.co/3UqL47d4Ma</t>
  </si>
  <si>
    <t>juliocrrf
Planejamento financeiro é a chave
para conquistar seus objetivos.
Trace metas claras e siga em frente
rumo ao sucesso financeiro! Saia
das dívidas com controle e alcance
sonhos planejando! #FinançasPessoais
#LiberdadeFinanceira #Finanças
#Orçamento #PlanejamentoFinanceiro</t>
  </si>
  <si>
    <t>beatrizdiascc
Auto conhecimento é tudo comece
colocando no papel ou planilha
tudo o que vc deseja para sua vida.
Depois liste seus hábitos semanais
e detalhe suas finanças. #investimento
#planejamentofinanceiro #planejamento
#educaçãofinanceira https://t.co/9y9LDd2y96</t>
  </si>
  <si>
    <t>valorinveste
Gustavo Cerbasi dá cinco dicas
para aumentar a restituição do
Imposto de Renda https://t.co/h0nwJvl67X</t>
  </si>
  <si>
    <t>fernandodutra_
Gostei da primeira dica: faça você
mesmo a sua declaração. Além de
permitir entender a fundo a sua
situação financeira, economiza
o serviço de um contador. #saúdefinanceira
#planejamentofinanceiro #impostoderenda</t>
  </si>
  <si>
    <t>vivalocal
Como retomar o controle do seu
dinheiro sendo acompanhante 💰
Veja nossas dicas e dê o primeiro
passo para gerenciar melhor suas
finanças aqui: https://t.co/kyMCI0OaXT
#planejamentofinanceiro #dinheiro
#finanças #pix https://t.co/bPUHtbx28F</t>
  </si>
  <si>
    <t>mundo_consorcio
O consórcio é uma forma inteligente
de planejar suas conquistas. Junte-se
a um grupo de pessoas e realize
seus sonhos sem pagar altas taxas
de juros! #PlanejamentoFinanceiro</t>
  </si>
  <si>
    <t>newsdigital360
10 Estratégias Para Alcançar a
Independência Financeira https://t.co/SqFLRK4Zt0
#independenciafinanceira #financaspessoais
#investimentos #rendapassiva #gerenciamentodedividas
#educacaofinanceira #aposentadoria
#consultoriafinanceira #liberdadefinanceira
#planejamentofinanceiro https://t.co/mZZ0UGoH8b</t>
  </si>
  <si>
    <t>drancelmoramos
Veja no vídeo a seguir cinco razões
para fazer um curso de educação
financeira. Aprenda a gerenciar
o dinheiro que entra na sua conta,
de forma a reduzir gastos e manter
seu orçamento sempre positivo.
#RalBank #educaçãofinanceira #investimentos
#planejamentofinanceiro https://t.co/oDZdT6uMxZ</t>
  </si>
  <si>
    <t>edujbarbalho
Ter uma reserva de emergência é
fundamental para lidar com imprevistos
e garantir tranquilidade financeira.
Comece hoje a guardar uma parte
de sua renda para essa finalidade!
#reservadeemergencia #planejamentofinanceiro</t>
  </si>
  <si>
    <t>luhaoshop
O Instagram é uma plataforma incrível
para as marcas de escritório de
investimentos se conectarem com
seu público e construírem uma forte
comunidade online. Saiba mais:
https://t.co/UfovwYVCzX #investimentos
#finanças #mercadodeações #planejamentofinanceiro
#luhao https://t.co/60Z9M4hnsU</t>
  </si>
  <si>
    <t>ismaelguerreir6
"A vida financeira é como uma escada:
um degrau de cada vez. Se você
quer chegar ao topo, precisa começar
agora. #objetivosfinanceiros #planejamentofinanceiro
#educacaofinanceira"</t>
  </si>
  <si>
    <t>aposentandonovo
É incrível pensar que, com dedicação
e planejamento, é possível juntar
1 milhão de reais em um curto período
de tempo. Mas, quanto tempo exatamente
isso leva? A resposta pode surpreender
você! #investimentos #milhão #planejamentofinanceiro
https://t.co/o78f5EUwPB</t>
  </si>
  <si>
    <t>economia_cafe
de aplicativos e da comunidade
em geral é essencial para o sucesso
desse projeto. #Economia #Finanças
#Investimentos #Dinheiro #Negócios
#MercadoFinanceiro #GestãoFinanceira
#EducaçãoFinanceira #Empreendedorismo
#PlanejamentoFinanceiro #CrescimentoEconômico</t>
  </si>
  <si>
    <t>herbstflavio
Quer saber mais? Acesse: https://t.co/5ROjuRX0TU
e conheça nossos serviços. (Link
na Bio) #fwbplanejamentofinanceiro
#planejamentofinanceiro #sonhos
#investimentos #liberdadefinanceira
#aposentadoria #planejamento https://t.co/EX2YX0ZLtd</t>
  </si>
  <si>
    <t>infohindi009
Really Help Full 🌝 #finance #liberdadefinanceira
#personalfinance #mercadofinanceiro
#finances #educacaofinanceira #independenciafinanceira
#planejamentofinanceiro #refinance
#sucessofinanceiro #financeiro
#financetips #inteligenciafinanceira
#gestaofinanceira #carfinance https://t.co/DsLTdwcNj1</t>
  </si>
  <si>
    <t>oeunetto
Deus nos chama a sermos bons administradores
de nossos recursos. Planejar suas
finanças é uma forma de honrar
esse princípio. Compartilhe nos
comentários uma dica financeira
que você aprendeu na Bíblia! 💰✨
#ProsperidadeBíblica #PlanejamentoFinanceiro"</t>
  </si>
  <si>
    <t>vippibpo
Você sabe qual a real importância
da gestão financeira para sua empresa?
#Vippibpofinanceiro #bpofinanceiro
#Vippibpo #Vippi #assessoriafinanceira
#planejamentofinanceiro #bpo #controladoria
#finanças #financeiro #Empreendedorismo
#Negocios #Outsourcing #vippicomvc
#tatuape https://t.co/iYxlNNanxl</t>
  </si>
  <si>
    <t>tonys_group
Ao considerar uma empresa offshore,
é importante contar com um planejador
financeiro experiente para garantir
conformidade e maximização dos
benefícios. #planejamentofinanceiro
#offshore</t>
  </si>
  <si>
    <t>zoomdinheiro
👵👴 Precisando de um empréstimo?
Confira as melhores opções para
idosos em 2023 no @zoomdinheiro!
💰💳 #Empréstimo #Idosos #ZoomDinheiro
#Finanças #DinheiroExtra #PlanejamentoFinanceiro
https://t.co/1S0qyP5eRO https://t.co/opPRRjEvbH</t>
  </si>
  <si>
    <t>recuperabrasil_
Você sabia que as empresas de proteção
ao crédito podem impactar diretamente
sua vida financeira? https://t.co/BkkKpPpbUC
#inadimplência #vidafinanceira
#educaçãofinanceira #planejamentofinanceiro
#nomelimpo #dívidas https://t.co/0VfB019G44</t>
  </si>
  <si>
    <t>indanna_gestao
Não veja o planejamento financeiro
como uma tarefa enfadonha, mas
como um farol guiando seu negócio
para além do horizonte de incertezas.
Comece agora a navegada para a
estabilidade financeira. #PlanejamentoFinanceiro</t>
  </si>
  <si>
    <t>biamallet
Está com dificuldades de tirar
seus sonhos do papel? 😓✨ Então
você precisa anotar estas dicas!
📝 . . . #planejamentofinanceiro
#finanças #sonhosdevida #sonhoamericano
#americandream https://t.co/ofCeceMwpM</t>
  </si>
  <si>
    <t>financasup
A verdadeira riqueza começa dentro
de você, cultive um mindset próspero
e alcance o sucesso financeiro.
#financaspessoais #organizacaofinanceira
#investimentos #prosperidade #mepoupe</t>
  </si>
  <si>
    <t>joaonetoupcont
Você sabe o que é gestão financeira?
Sabia que a forma que você administra
as suas finanças reflete o sucesso
de seus negócios? #financas #financeiro
#planejamentofinanceiro #controlefinanceiro
#joaonetocontador @savaniabelezoti
@fernando.alvesnegrao #profissaoempreendedorpodcast
https://t.co/u5zd0mm7uo</t>
  </si>
  <si>
    <t xml:space="preserve">fernando
</t>
  </si>
  <si>
    <t>cvmeducacional
(1/2) Baixe gratuitamente o Guia
CVM de Planejamento Financeiro
em https://t.co/VRn4ojN9Ef E lembre-se
sempre de procurar orientações
com profissionais regulamentados
😉 #cvmeducacional #investidor
#investidores #investir #investimento
#finançaspessoais #planejamentofinanceiro
https://t.co/KpgGvy5Ua7</t>
  </si>
  <si>
    <t>alexandrecs79
#organizacaofinanceira é coisa
séria https://t.co/IJxmbNh9bO</t>
  </si>
  <si>
    <t>eurofinanceira_
📣 Agilize seu negócio e ganhe
mais crédito! 💪✨ #AntecipaçãoDeRecebíveis
#GestãoFinanceira #CrescimentoEmpresarial
#Empreendedorismo #NegócioEficiente
#FluxoDeCaixa #SuporteFinanceiro
#AgilidadeEmpresarial #PlanejamentoFinanceiro
#CapitalDeGiro #LibereRecursos
#MaisTempo https://t.co/Qfr35O4hLn</t>
  </si>
  <si>
    <t>rafaelr36886877
Antes de buscar milagres nos investimentos,
lembre-se: a educação financeira
é o alicerce do sucesso. Descubra
por que é crucial dominar suas
finanças antes de mergulhar no
mundo dos investimentos #EducaçãoFinanceira
#Investimentos #PlanejamentoFinanceiro
https://t.co/t3rYX3u7Ik</t>
  </si>
  <si>
    <t>tiagoam80
"Gerencie suas finanças pessoais:
estabeleça metas, monitore gastos
e invista com sabedoria. O futuro
financeiro depende de decisões
conscientes agora." #FinançasPessoais
#PlanejamentoFinanceiro</t>
  </si>
  <si>
    <t>metodotdl
Estamos passando por aqui, para
convidar você para entrar no nosso
grupo de conteúdo do Telegram (https://t.co/2LWiRy3Nau)
Esperamos você lá. Dalton e Marcelo
#tdl #metodotdl #transformandodinherioemliberdade
#daltonferreiracoach #mardelofelippecoach
#planejamentofinanceiro https://t.co/abIcTTbz9a</t>
  </si>
  <si>
    <t>realpauloborba
💡💵 Com dicas práticas e acessíveis,
o livro oferece insights valiosos
sobre investimentos, economia e
como planejar o futuro financeiro.
É uma leitura indispensável para
quem busca melhorar suas finanças
pessoais em conjunto. #PlanejamentoFinanceiro</t>
  </si>
  <si>
    <t>fiscco_cnt
✅É muito melhor você ter um CUSTO
FINANCEIRO DO QUE UM PREJUÍZO!
#contabilidade #contador #contabilidadeconsultiva
#contabilidadeonline #planejamentofinanceiro
https://t.co/oouQzNRHyu</t>
  </si>
  <si>
    <t>poli_corretora
Com um consórcio, você tem mais
flexibilidade para escolher a moto
que deseja comprar. Você não fica
limitado às opções de financiamento
oferecidas #ConsórcioDeMoto #CompraDeMoto
#PlanejamentoFinanceiro #PoupançaForçada
https://t.co/RTOCRNUcWr</t>
  </si>
  <si>
    <t>pobrepoupa
As finanças pessoais e o planejamento
financeiro são aspectos essenciais
da vida moderna. É importante que
todos nós entendamos como gerenciar
nosso dinheiro. Mais: https://t.co/qcRJa7owvK
😉 #PobrePoupe #Finanças #EducaçãoFinanceira
#FinançasPessoais #PlanejamentoFinanceiro
https://t.co/tYxD5GJa0I</t>
  </si>
  <si>
    <t>correa899
Cinco Dicas de como montar um planejamento
financeiro para alugar um imóvel
com segurança - https://t.co/pNgEeL4P50
- #PlanejamentoFinanceiro</t>
  </si>
  <si>
    <t>evoyconsorcios
E você? Até onde quer chegar? Vem
evoluir com a gente, somos a Evoy.
#evoy #evoyconsorcios #consorcios
#carro #automovel #investimento
#chegajunto #planejamento #investir
#clientes #compra #realização #liberdadefinanceira
#planejamentofinanceiro https://t.co/nHgJMCh5O6</t>
  </si>
  <si>
    <t>unicredcentral
Está pensando em solicitar um crédito
pessoal? Confira no vídeo qual
a melhor hora para contratar e
o que levar em consideração. #Unicred
#SomosCoop #EscolhaDiferente #EscolhaUnicred
#PlanejamentoFinanceiro https://t.co/Fmxs26XvgC</t>
  </si>
  <si>
    <t>sebraero
Preparamos um artigo com as fórmulas
desses cálculos! Acesse: https://t.co/VmxZ7Vyxqi
#Sebrae #CarteiraEmpreendedora
#Finanças #PlanejamentoFinanceiro</t>
  </si>
  <si>
    <t>feelingmeowmeow
eu amo que em dezembro paguei sem
querer umas três/quatro vezes a
mesma conta de gás e agora caminhamos
ao segundo mês que ela vem zerada...
#estrategia #organizacaofinanceira
#coachvivi</t>
  </si>
  <si>
    <t>felippe_marcelo
Estamos passando por aqui, para
convidar você para entrar no nosso
grupo de conteúdo do Telegram (https://t.co/VhvPnkufL7)
Esperamos você lá. Dalton e Marcelo
#tdl #metodotdl #transformandodinherioemliberdade
#daltonferreiracoach #mardelofelippecoach
#planejamentofinanceiro https://t.co/0zXhPClQ6k</t>
  </si>
  <si>
    <t>tech6group
Você sabe como a realização do
forecast pode facilitar e apoiar
a área comercial? Saiba mais neste
vídeo retirado do webinar “Como
o forecast ajuda a área comercial
a ter melhores resultados”. 📊
https://t.co/67Hwj3rDhE #Tech6Group
#Forecast #PlanejamentoFinanceiro</t>
  </si>
  <si>
    <t>ruivama
Fazendo as contas! Quem sabe assim
não consigo mais coisas! #organizacaofinanceira</t>
  </si>
  <si>
    <t>gabinetedarma
#Minimalismo #Finanças #IndependênciaFinanceira
#VidaSimples #PlanejamentoFinanceiro</t>
  </si>
  <si>
    <t>islenoaraujo
"Assuma o controle de suas finanças!
Comece definindo metas financeiras,
criando um orçamento e monitorando
seus gastos. O planejamento financeiro
pessoal é a chave para alcançar
estabilidade e segurança financeira
#planejamentofinanceiro #finançaspessoais
#metasfinanceiras"</t>
  </si>
  <si>
    <t>investireviver8
📊💰 Quer um 2023 financeiramente
mais organizado? Siga esses 6 passos
para um orçamento doméstico impecável!
💡💸 Quem aí está pronto para essa
jornada? 💬🏡 #OrçamentoDoméstico
#PlanejamentoFinanceiro #VidaFinanceiraOrganizada
https://t.co/ZMNOr6iErZ</t>
  </si>
  <si>
    <t>mantovanicondo1
#gestão #planejamentofinanceiro
#mantovani #mantovanicondominios
#administração https://t.co/9L2uxPcwks</t>
  </si>
  <si>
    <t>macedo_contador
#contabilidade #planejamento #contabeis
#contador #riodejaneiro #riodasostras
#jardimmarilea #cienciacontabeis
#ServiçosContábeis #GestãoFinanceira
#ConsultoriaContábil #SucessoFinanceiro
#OrganizaçãoFinanceira</t>
  </si>
  <si>
    <t>leandromachadoz
Quanto antes você começar a investir,
melhor. O tempo está do seu lado!
Não espere o momento perfeito,
comece agora e colha os frutos
no futuro. 🌱💰 #investimentos
#planejamentofinanceiro</t>
  </si>
  <si>
    <t>rogeriomontali
O planejamento financeiro é como
uma bússola: aponta para o norte,
mas precisa de recalibração. À
medida que a vida muda, nossas
finanças também se transformam.
Recalibrar o plano permite adaptar
metas, ajustar orçamentos e rever
estratégias. #planejamentofinanceiro</t>
  </si>
  <si>
    <t>achadosdomark
#EducaçãoFinanceira #FinançasPessoais
#PlanejamentoFinanceiro #LiberdadeFinanceira
#Investimentos https://t.co/OrPmXtEQGP</t>
  </si>
  <si>
    <t>saudemaismetodo
#planejamento #planejamentofinanceiro
#aposentadoria</t>
  </si>
  <si>
    <t>ricgaldino
Dica de sucesso para empreendedores
e profissionais liberais Planeje
sua aposentadoria desde agora e
colha os frutos no futuro. Não
deixe para depois o que você pode
fazer hoje #Aposentadoria #Empreendedorismo
#ProfissionaisLiberais #PlanejamentoFinanceiro
https://t.co/EL2XGF0nd4</t>
  </si>
  <si>
    <t>blogdojuares
O desenvolvimento de uma criança
é o resultado que ela se aprende
na escola e principalmente no ambiente
familiar: #educacaofinanceira #criancas
#dinheiro #mesada #planejamentofinanceiro
#empatia #poupanca https://t.co/XNkAgju6xG</t>
  </si>
  <si>
    <t>betteroluciana
Em setembro de 2022, tive a oportunidade
de ministrar aulas para o projeto
Jovem Aprendiz, e esse é um registro
do dia especial. Fique atento ao
meu perfil para não perder sua
vaga no próximo projeto! #Educação
#JovemAprendiz #Finanças #OrganizaçãoFinanceira
#LucianaBettero https://t.co/RsRE2jHuAI</t>
  </si>
  <si>
    <t>adrianoaragaofc
e pelos bancos, o que indica presença
de estrangeiros na compra de instituições
financeiras. #bolsa #bolsadevalores
#bitcoins #mercado #planejamentofinanceiro
#brasil Fonte: @pablospyer</t>
  </si>
  <si>
    <t>duduhrosa13
Conheça 3 hábitos financeiros saudáveis
#finanças #planejamentofinanceiro
#sucesso #metasfinanceiras #liberdadefinanceira
#planejamentofinanceiro #FinançasPessoais
#Orçamento #ControleFinanceiro
https://t.co/BC2miUkCly</t>
  </si>
  <si>
    <t>investspace3
Atualização de Iury A caminho das
Índias. Acompanhe todos os domingos
nos stories do perfil e todas as
quintas temos um breve resumo aqui
nos reels. #planejamentofinanceiro
#organizacaofinanceira #custos
#viagem #india #viajar https://t.co/JRIusdNrRl</t>
  </si>
  <si>
    <t xml:space="preserve">invest
</t>
  </si>
  <si>
    <t>hamashiaoficial
SEJA BEM VINDO(A) AO NOSSO TWITTER
#GestãoFinanceira #Impostos #Finanças
#Contador #Empreendedorismo #PequenasEmpresas
#Negócios #PlanejamentoFinanceiro
#SucessoFinanceiro #ContabilidadeFiscal
#ConsultoriaContábil</t>
  </si>
  <si>
    <t>cdihoje
Carnaval passou e as dívidas ficaram?
Não se preocupe, ainda dá tempo
de começar o ano no azul! Confira
nossas dicas de como pagar as dívidas
pós-carnaval e retomar o controle
das suas finanças 💸💳 #finanças
#dívidas #planejamentofinanceiro
#cdihoje https://t.co/m4HRXmmTVw</t>
  </si>
  <si>
    <t>marcelobavila
Como está o seu planejamento financeiro?
#planejamentofinanceiro #protecao
#seguro https://t.co/A3PASWlvuC</t>
  </si>
  <si>
    <t>filipedawson
Não importa quanto dinheiro você
ganha, é importante aprender a
gastar menos do que você ganha.
Faça um orçamento e comece a investir
após. #planejamentofinanceiro #segurança</t>
  </si>
  <si>
    <t>geraldoburigo
Com mais ETFs de renda fixa surgindo
no mercado cada vez faz menos sentido
investir via fundos CVM 555 de
renda fixa. Isso que não considerei
taxa de adm que normalmente nos
ETFs são bem mais baratas. #ETFs
#planejamentofinanceiro</t>
  </si>
  <si>
    <t>keepgrowing_
Como está a sua organização financeira?
Foque na sua evolução. #keepgrowing
#keepgrowingmentoria #makeyourfuture
#desenvolvimentopessoal #liberdadefinanceira
#liberdade #inteligenciafinanceira
#educaçãofinanceira #desenvolvimentofinanceiro
#organizaçãofinanceira https://t.co/CYY5DgK4P8</t>
  </si>
  <si>
    <t>nossoinss
INSS, previdência privada, investimentos:
saiba como autônomos devem planejar
a aposentadoria https://t.co/uvFGyVbt1c
#aposentadoria #inss #planejamentofinanceiro
#aposentadoriaautonomos #FazoL
https://t.co/RCssvskR3N</t>
  </si>
  <si>
    <t>debiasethiago
Afinal, nós não somos invencíveis,
nem imortais, muito menos perfeito!
Então, se colocou a mão na consciência,
agora, ainda dá tempo. E dois seguros
resolvem esses GAPs na seu #planejamentofinanceiro:
&amp;gt; Seguro de Vida (com DIT) &amp;gt;
Seguro de Responsabilidade Civil
Profissional!</t>
  </si>
  <si>
    <t>cra__sc
O CRA-SC tem como o benefício o
PREVITÊ, um plano de previdência
moderno e flexível disponível para
todas as empresas associadas. Além
de um benefício para os colaboradores,
a empresa pode ter benefícios fiscais.
Acesse: https://t.co/coFwuBGb9G
#previsc #planejamentofinanceiro
https://t.co/Ex6UFj5LvC</t>
  </si>
  <si>
    <t>camposwealth
Por que mulheres investem melhor?
#DiaDaMulher #planejamentofinanceiro
https://t.co/940WHpfhzV</t>
  </si>
  <si>
    <t>brunotsantana
Planejamento financeiro é a base
para tomar decisões estratégicas
sólidas. Não subestime sua importância!
#PlanejamentoFinanceiro</t>
  </si>
  <si>
    <t>podbrandoficial
ANDRÉ MOMBERGER é cofundador e
CEO da Focus Invest, empresa de
assessoria de investimentos, hoje
com meio bilhão de ativos em custódia,
e da Focalise que se dedica a construção
de conteúdo e formação sobre investimentos.
#designestratégico #branding #planejamentofinanceiro
https://t.co/vqKO0qIzIU</t>
  </si>
  <si>
    <t>barbi_contabil
🎉 Hoje é o dia do contador! 🎉
A Barbi Contábil parabeniza a todos
os profissionais que cuidam das
finanças e da contabilidade das
empresas!💼👏 . #diadocontador
#contabilidade #empresas #gestãofinanceira
#contadores #empreendedorismo #sucesso
#negócios #planejamentofinanceiro
https://t.co/B1BSNpHIJC</t>
  </si>
  <si>
    <t>anderson_crc
3"Não deixe suas dívidas acumularem!
Priorize o pagamento das dívidas
com taxas de juros mais altas primeiro.
Isso ajudará a economizar dinheiro
a longo prazo. #Dívidas #PlanejamentoFinanceiro"</t>
  </si>
  <si>
    <t>luxcapital_
Na jornada rumo à liberdade financeira,
conte com a Lux para oferecer recursos
e ferramentas essenciais que maximizam
suas oportunidades de investimento.
#InvestimentosInteligentes #PlanejamentoFinanceiro
#DecisõesInformadas #LiberdadeFinanceira
#ConsultoriaFinanceira #LuxCapital
https://t.co/vwKKa3KO68</t>
  </si>
  <si>
    <t>inteiramente_r
Não importa se é para uma empresa
ou para uso pessoal, a organização
financeira é crucial para evitar
problemas e garantir o sucesso
financeiro. #organizaçãofinanceira
#sucessofinanceiro</t>
  </si>
  <si>
    <t>fabiolo14426262
👉💰💸 Como organizar suas finanças
pessoais? Não é preciso fazer algo
complexo para começar. Uma planilha
simples já ajuda a evitar esquecer
de pagar contas ou deixar boletos
vencidos. #finançaspessoais #educaçãofinanceira
#investimentos #planejamentofinanceiro
#economia</t>
  </si>
  <si>
    <t>tarcisiovmiran1
💰💼 Dicas para gerenciar finanças
Lembre-se de buscar orientação
profissional! 💡 #FinançasEmpresariais
#Orçamento #Impostos #PlanejamentoFinanceiro
#Contabilidade #Despesas #MetasFinanceiras
#GestãoFinanceira #SepararContas
https://t.co/ZVknt9l884</t>
  </si>
  <si>
    <t>robertogadelha
🇧🇷🚀 Vamos incluir as finanças
no planejamento do novo ano?! #robertogadelha
#robertogadelhainvestimentos #finanças
#planejamentofinanceiro #poupar
#recifeinvestimentos em Recife,
Brazil https://t.co/NpDmFE3OlL</t>
  </si>
  <si>
    <t>narfortsac
Você já parou para avaliar o seu
desempenho financeiro pessoal?
Leia mais em: https://t.co/Vhk2K1K8LQ
#análisedesempenhofinanceiro #finançaspessoais
#planejamentofinanceiro #dinheiro
#investimentos #educacaofinanceira
#sabadou #like</t>
  </si>
  <si>
    <t>ass_virtual
Eu sou #AssistenteVirtual e a #OrganizacaoFinanceira
é uma das minhas atividades. Eu
posso te ajudar! Me chame: https://t.co/OucCu3UB1r
#EmersonAssistenteVirtual #AssistenteVirtual
https://t.co/tcjLxapy7b</t>
  </si>
  <si>
    <t>rnainvest
Cometer erros é normal para investidores
iniciantes, mas alguns podem ser
evitados! O RNA Invest listou os
5 erros mais comuns. 📈 Aprenda
com essas dicas valiosas e evite
esses tropeços. 🙌 Acesse: https://t.co/JJCIiGilMJ
#planejamentofinanceiro https://t.co/YLYDohzJw1</t>
  </si>
  <si>
    <t>claudioguirao
Bom dia !!! Informações Financeiras
do Brasil e do Mundo !!! #investimentofinanceiro
#investimentosinteligentes #planejamentofinanceiro
#planejamentosucessorio https://t.co/7xdytozOzp</t>
  </si>
  <si>
    <t>hilvieira
“A previdência social está quebrada:
não conte com ela para a sua aposentadoria!”
#previdenciasocial #planejamentofinanceiro
#Brasil #investimentos https://t.co/x843q131Mm
https://t.co/nsI6jWcnd5</t>
  </si>
  <si>
    <t>lidialuciara
Vejo no meu cotidiano várias pessoas
na casa dos 50 a 60 anos que poderiam
estar desfrutando dos benefícios
de anos de trabalho mas por falta
de #planejamentofinanceiro no passado,
passam dificuldades. Se eles estão
sofrendo agora imagine nós no futuro
sem #planejamento hoje?!</t>
  </si>
  <si>
    <t>varginha_online
Planeje sua aposentadoria | por:
Lídia Luciara Silva Aleixo https://t.co/AEGHzP3R2K
#Varginha via @Varginha_online</t>
  </si>
  <si>
    <t>mdmcontabil
Contabilidade: A Chave para a Sustentabilidade
Corporativa/Empresarial.♻️👥. Investir
na contabilidade é investir no
futuro sustentável dos negócios
de serviços no Brasil. 💼🌿🚀#Contabilidade
#Sustentabilidade #Serviços #Brasil
#PlanejamentoFinanceiro https://t.co/j625o4OQUr</t>
  </si>
  <si>
    <t>embracon
Que tal dar uma pausa na rotina
para participar do bingo da Embracon?
Bora jogar?​ Quantos pontos você
fez? #Embracon #Consórcio #Investimento
#PlanejamentoFinanceiro #Lance
https://t.co/J1LL001Afg</t>
  </si>
  <si>
    <t>guedesia
#combustiveis #Edenred #eficiencia
#etanol #mobilidade #negociodesucesso
#planejamentofinanceiro #repom
#ticketlog https://t.co/Oauso3lZCq</t>
  </si>
  <si>
    <t>123passei
#GerenciamentoFinanceiro #ConcursosPúblicos
#PlanejamentoFinanceiro #FinançasPessoais
#Estudos #Disciplina</t>
  </si>
  <si>
    <t>ierick_moraess
"Não é só a vida amorosa que precisa
de um plano, a vida financeira
também! Ficar só na mão do destino
é pior que marcar encontro pelo
Tinder. #planejamentofinanceiro
#dinheiro #comédia"</t>
  </si>
  <si>
    <t>crediconsegbr
O refinanciamento consiste em usar
o bem como garantia de pagamento,
o que permite taxas de juros mais
atrativas e prazos mais longos
de pagamento! E aí, sabia disso?
Comente aqui e siga nossas redes
sociais para mais informações 😃
#refinanciamento #planejamentofinanceiro
https://t.co/0gLfPQsfOi</t>
  </si>
  <si>
    <t>dividazero
💼 Um bom planejamento financeiro
é fundamental para o sucesso do
seu negócio. Estabeleça metas,
acompanhe seus gastos e invista
com sabedoria! 📊 #PlanejamentoFinanceiro
#Metas #palestra #rh #empreededores
#sebrae</t>
  </si>
  <si>
    <t>adrianadelucca
Minha contribuição para o Consultório
Financeiro do @valoreconomico.
Essa coluna é publicada semanalmente
com artigos sobre #finançaspessoais
e #planejamentofinanceiro por profissionais
#CFP e representa mais uma ação
da #Planejar. https://t.co/0iCOynAqr8</t>
  </si>
  <si>
    <t xml:space="preserve">valoreconomico
</t>
  </si>
  <si>
    <t>fluir_ibg
Apresentamos a vocês Coreval Materiais
Elétricos, nossa patrocinadora
oficial do 5º encontro Fluir de
2023, responsável por fazer o Fluir
crescer mais. Seja você também
um Patrocinador! (12) 99116-3265
#fluir #ibg #coreval #empreendedorismo
#financas #planejamentofinanceiro
https://t.co/er4JeQnDD4</t>
  </si>
  <si>
    <t>casalconsorcio
A pergunta é: o que tá faltando
pra tirar esse sonho do papel?
#consorcio #planejamento #planejamentofinanceiro
#família #sonho #casapropria #carro
em Belém Do Pará https://t.co/HTnxWcBZTN</t>
  </si>
  <si>
    <t>radio54online
"Status é comprar o que não precisa
com dinheiro que não tem, para
impressionar pessoas que não gosta,
sendo quem não é. Autenticidade
é mais valioso." #Radio54Online
#prosperidade #abundância #sucesso
#riqueza #gratidão #metasfinanceiras
#planejamentofinanceiro #investimentos
https://t.co/9lDQiHD0Nm</t>
  </si>
  <si>
    <t>financeiroemdia
Por onde eu começo a Organizar
o meu Financeiro? O ponto de partida
é o seu rendimento. Ele norteará
todo o restante, as suas despesas,
o seu planejamento futuro e até
mesmo te incentivará a buscar mais
ganhos. #organizacaofinanceira</t>
  </si>
  <si>
    <t>sebraepa
👀Preparamos um artigo com as fórmulas
desses cálculos! Acesse: https://t.co/0gcI29x5Uh
#Sebrae #CarteiraEmpreendedora
#Finanças #PlanejamentoFinanceiro</t>
  </si>
  <si>
    <t>blumenauagora
Podcast O Assunto é Dinheiro com
Jana Arízio, Planejadora e Educadora
Financeira. Entrevista completa
no canal do Youtube da Clube FM
Blumenau. #clubefmblumenau #videocast
#blumenau #educacaofinanceira #planejamentofinanceiro
https://t.co/c3mMBPcRB7</t>
  </si>
  <si>
    <t>paulonodigital
A capacidade de se adaptar rapidamente
é mais importante do que planejar
o futuro. #investimentos #planejamentofinanceiro</t>
  </si>
  <si>
    <t>lnogueiralucas
O homem de bem deixa uma herança
aos filhos de seus filhos, mas
a riqueza do pecador é depositada
para o justo. Provérbios 13:22
ARC https://t.co/CrJruVWn5M #planejamentofinanceiro
#legado</t>
  </si>
  <si>
    <t>cristina201820
"O consórcio é a solução ideal
para quem quer investir na conquista
de um bem, planejando a compra
e economizando dinheiro." Para
mais informações link do WhatsApp
https://t.co/v9OdPl8duy #consorciocasa
#financiamento #planejamentofinanceiro
https://t.co/VvyJYPkwqO</t>
  </si>
  <si>
    <t>romerofinancas
Existem várias regras que determinam
quando e como você pode sacar o
FGTS (Fundo de Garantia por Tempo
de Serviço). #finanças #dinheiro
#investimentos #economia #riqueza
#negócios #investir #liberdadefinanceira
#educaçãofinanceira #sucesso #planejamentofinanceiro
https://t.co/UR93Oud0AM</t>
  </si>
  <si>
    <t>maniam_podcast
"Não importa quanto dinheiro você
tem, se você não tem educação financeira,
você é um escravo do dinheiro."
- Robert Kiyosaki #EducaçãoFinanceira
#LiberdadeFinanceira #GestãoDeDinheiro
#PlanejamentoFinanceiro #FinançasPessoais
#IndependenciaFinanceira</t>
  </si>
  <si>
    <t>majesegseguros
Um consórcio para compra de um
caminhão é uma modalidade de financiamento
coletivo em que um grupo de pessoas
se une para adquirir esse tipo
de veículo. #instagood #planejamentofinanceiro
#consorcio #consorcioveiculopesado
https://t.co/ThF6Ie4fI7</t>
  </si>
  <si>
    <t>making_differen
Planejamento e Assessoria Tributário.
#consultoriatributaria #trabalhos
#financas #buscando #assessoriafinanceira
#linkedinbrasil #saobernardodocampo
#saopaulo #makingadifference #planejamentotributario
#planejamentofinanceiro https://t.co/eMnzZuPnRa</t>
  </si>
  <si>
    <t>guaruconto
Os direitos do MEI são: 🔹Aposentadoria
🔹Auxílio-doença 🔹Salário-maternidade
🔹Auxílio-reclusão 🔹Pensão por
morte Gostou?... Curta, comente
e compartilhe ! #empresa #empresario
#bpofinanceiro #negocios #sucesso
#bussiness #finanças #planejamentofinanceiro
#MEI #impostos https://t.co/TDdl8nxRtC</t>
  </si>
  <si>
    <t>leidesalomao
Vamos começar a falar sobre Organização
Financeira: Por que ter organização
financeira na vida pessoal? Porque
o dinheiro pode não trazer felicidade,
mas ajuda a alcançar nossos objetivos
e transformar sonhos em realidade.
#Twitter #coaching #organizacaofinanceira</t>
  </si>
  <si>
    <t>oluizbaur
1️⃣ Faça um Orçamento: O primeiro
passo para o sucesso financeiro
é criar um orçamento. Anote suas
receitas e despesas para entender
para onde está indo seu dinheiro.
Isso ajudará a identificar onde
é possível economizar. #Orçamento
#PlanejamentoFinanceiro</t>
  </si>
  <si>
    <t>lp4planejamento
🔍💼 Pais solteiros, descubra como
planejar seu futuro financeiro
e garantir o bem-estar dos filhos.
Confira nossas dicas no Blog da
LP4 Planejamento! 👉 https://t.co/pFCxDsChzy
#PlanejamentoFinanceiro #PaisSolteiros
#EducaçãoFinanceira https://t.co/gfENkRORfs</t>
  </si>
  <si>
    <t>eduarda62753236
Agora me diz,o que é que você tá
esperando pra começar se planejar???
#consorcio #planejamentofinanceiro
#financiamento #autofinanciamento
#investimentos https://t.co/vNS6NFPTL0</t>
  </si>
  <si>
    <t>ocesarkato
Evolução contínua, muito mais do
que o certificado, são os aprendizados
gerados! @ANBIMA_BR #planejamentofinanceiro
https://t.co/VpSS7A7HJf</t>
  </si>
  <si>
    <t xml:space="preserve">anbima_br
</t>
  </si>
  <si>
    <t>holistic_invest
The keys to your financial freedom.
Play them wisely . . . #finance
#libertadfinanciera #liberdadefinanceira
#finances #personalfinance #financetips
#mercadofinanceiro #educacionfinanciera
#educacaofinanceira #planejamentofinanceiro
#independenciafinanceira #educaçãofinanceira
https://t.co/ltpHCoycnb</t>
  </si>
  <si>
    <t>caah_sou2
#planejamentofinanceiro Necessitooooooo</t>
  </si>
  <si>
    <t>adorialmeida
Seja diligente em gerenciar seus
bens e planejar o futuro para que
eles também possam ser uma bênção
para outros e para a obra de Deus."
#LESAdv #PrimeiroDeus #mordomia
#planejamentofinanceiro #biblia</t>
  </si>
  <si>
    <t>mat_financeira
Você já ouviu falar sobre empréstimo
de pagamento único? Vou explicar
como funciona. #ProfRicardoViana
#MatemáticaFinanceira #EducaçãoFinanceira
#ConcursoPúblico #Empréstimos #PlanejamentoFinanceiro
#DicasDeFinanças https://t.co/Aq1zd1d2fu</t>
  </si>
  <si>
    <t>limaclayson
Alguns passos : #planejamentofinanceiro
https://t.co/ncxHWO3hG8</t>
  </si>
  <si>
    <t>gestaumdigital
Cuidar das finanças do lar é um
trabalho essencial para manter
a harmonia e o equilíbrio. 💰🏠
Saiba mais em https://t.co/nUgCMI6joG
#EconomiaDoméstica #PlanejamentoFinanceiro
#GestaumDigital https://t.co/Qty2SdnPrP</t>
  </si>
  <si>
    <t>seshat_e
Sem tempo para gerenciar as finanças
e os custos de seu empreendimento?
Entre em contato pelo email contato@seshatconsultoria.com.br
e vamos conversar sobre soluções
sob medida para suas necessidades.
#planejamentofinanceiro #gestãofinanceira
#gestãodecustos https://t.co/5Bq80bm9S9</t>
  </si>
  <si>
    <t>malfinanciada
A melhor época para comprar um
consórcio é sempre cinco anos atrás.
Comece hoje! #consorcio #casapropria
#planejamentofinanceiro</t>
  </si>
  <si>
    <t>tclsolucoes
Aprenda a elaborar um plano financeiro
sólido e conquiste a estabilidade
financeira que você sempre sonhou.
📈✅ #PlanejamentoFinanceiro #SucessoFinanceiro
#Estabilidade https://t.co/PW2glOl0hO</t>
  </si>
  <si>
    <t>pedrocarva3004
3/11 💰✅ O primeiro passo é encarar
suas dívidas de frente. Liste todas
elas e organize-as por ordem de
prioridade. Dessa forma, você terá
clareza sobre o tamanho do desafio
e poderá focar suas energias em
liquidá-las uma a uma. #OrganizaçãoFinanceira
#ControleSuasDívidas</t>
  </si>
  <si>
    <t xml:space="preserve">pablospyer
</t>
  </si>
  <si>
    <t>pauloan7344654
💰🤑💸 Problemas financeiros LEIA
EM: https://t.co/msgfr3WSJV #problemasfinanceiros
#planejamentofinanceiro #saúdemental
#estresse #ansiedade #consultorfinanceiro
#reservafinanceira #dívidas #estabilidadefinanceira
#saúdefinanceira #crédito #bemestar
#qualidadedevida https://t.co/jxSBuqXxqJ</t>
  </si>
  <si>
    <t>GraphSource░TwitterSearch3▓GraphTerm░#organizacaofinanceira OR #planejamentofinanceiro▓ImportDescription░The graph represents a network of 313 Twitter users whose recent tweets contained "#organizacaofinanceira OR #planejamentofinanceiro", or who were replied to, mentioned, retweeted or quoted in those tweets, taken from a data set limited to a maximum of 4.000 tweets, tweeted between 01/01/2023 09:42:26 and 28/09/2023 09:42:26.  The network was obtained from Twitter on Thursday, 28 September 2023 at 11:58 UTC._x000D_
_x000D_
The tweets in the network were tweeted over the 269-day, 6-hour, 3-minute period from Monday, 02 January 2023 at 03:54 UTC to Thursday, 28 September 2023 at 09:58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above.▓ImportSuggestedTitle░#organizacaofinanceira OR #planejamentofinanceiro Twitter NodeXL SNA Map and Report for quinta-feira, 28 setembro 2023 at 11:43 UTC▓ImportSuggestedFileNameNoExtension░2023-09-28 11-43-19 NodeXL Twitter Search #organizacaofinanceira OR #planejamentofinanceiro</t>
  </si>
  <si>
    <t>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</si>
  <si>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</si>
  <si>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</si>
  <si>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</si>
  <si>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</si>
  <si>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</si>
  <si>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</si>
  <si>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</si>
  <si>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</si>
  <si>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</si>
  <si>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</si>
  <si>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</si>
  <si>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</si>
  <si>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</si>
  <si>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</si>
  <si>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</si>
  <si>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</si>
  <si>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</si>
  <si>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</si>
  <si>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1.0.1.522</t>
  </si>
  <si>
    <t>TwitterSearch3</t>
  </si>
  <si>
    <t>#organizacaofinanceira OR #planejamentofinanceiro</t>
  </si>
  <si>
    <t>The graph represents a network of 313 Twitter users whose recent tweets contained "#organizacaofinanceira OR #planejamentofinanceiro", or who were replied to, mentioned, retweeted or quoted in those tweets, taken from a data set limited to a maximum of 4.000 tweets, tweeted between 01/01/2023 09:42:26 and 28/09/2023 09:42:26.  The network was obtained from Twitter on Thursday, 28 September 2023 at 11:58 UTC._x000D_
_x000D_
The tweets in the network were tweeted over the 269-day, 6-hour, 3-minute period from Monday, 02 January 2023 at 03:54 UTC to Thursday, 28 September 2023 at 09:58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t>
  </si>
  <si>
    <t>Key</t>
  </si>
  <si>
    <t>Action Label</t>
  </si>
  <si>
    <t>Action URL</t>
  </si>
  <si>
    <t>Brand Logo</t>
  </si>
  <si>
    <t>Brand URL</t>
  </si>
  <si>
    <t>Hashtag</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</si>
  <si>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&lt;GraphMetricUserSettings&gt;_x000D_
      &lt;setting name="GraphMetricsToCalculate" serializeAs="String"&gt;_x000D_
        &lt;value&gt;OverallMetrics&lt;/value&gt;_x000D_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</si>
</sst>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0" fillId="0" borderId="0" xfId="0" quotePrefix="1" applyAlignment="1"/>
    <xf numFmtId="0" fontId="0" fillId="0" borderId="0" xfId="0" quotePrefix="1" applyFill="1" applyAlignment="1"/>
    <xf numFmtId="0" fontId="13" fillId="0" borderId="0" xfId="9"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cellXfs>
  <cellStyles count="10">
    <cellStyle name="Hi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8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87"/>
      <tableStyleElement type="headerRow" dxfId="186"/>
    </tableStyle>
    <tableStyle name="NodeXL Table" pivot="0" count="1" xr9:uid="{00000000-0011-0000-FFFF-FFFF01000000}">
      <tableStyleElement type="headerRow" dxfId="1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71F-4255-AEFA-5B8B7425CF5F}"/>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832-4170-9905-C598407109BB}"/>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80B-4B3F-8601-5AFE83B68D16}"/>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23D-472F-ACC7-72FC61751302}"/>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B0B-400B-BBF9-4CB10C4B7AF0}"/>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8CB-4FC7-9B26-6103E5A55BE2}"/>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B45-46FE-8601-FB44BD2BBF54}"/>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5A8-48FD-B105-0FEE6267DFFD}"/>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76F-4273-AB69-340C4B779C38}"/>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I902" totalsRowShown="0" headerRowDxfId="184" dataDxfId="125">
  <autoFilter ref="A2:BI902" xr:uid="{00000000-0009-0000-0100-000001000000}"/>
  <tableColumns count="61">
    <tableColumn id="1" xr3:uid="{00000000-0010-0000-0000-000001000000}" name="Vertex 1" dataDxfId="101" dataCellStyle="NodeXL Required"/>
    <tableColumn id="2" xr3:uid="{00000000-0010-0000-0000-000002000000}" name="Vertex 2" dataDxfId="99" dataCellStyle="NodeXL Required"/>
    <tableColumn id="3" xr3:uid="{00000000-0010-0000-0000-000003000000}" name="Color" dataDxfId="100" dataCellStyle="NodeXL Visual Property"/>
    <tableColumn id="4" xr3:uid="{00000000-0010-0000-0000-000004000000}" name="Width" dataDxfId="135" dataCellStyle="NodeXL Visual Property"/>
    <tableColumn id="11" xr3:uid="{00000000-0010-0000-0000-00000B000000}" name="Style" dataDxfId="134" dataCellStyle="NodeXL Visual Property"/>
    <tableColumn id="5" xr3:uid="{00000000-0010-0000-0000-000005000000}" name="Opacity" dataDxfId="133" dataCellStyle="NodeXL Visual Property"/>
    <tableColumn id="6" xr3:uid="{00000000-0010-0000-0000-000006000000}" name="Visibility" dataDxfId="132" dataCellStyle="NodeXL Visual Property"/>
    <tableColumn id="10" xr3:uid="{00000000-0010-0000-0000-00000A000000}" name="Label" dataDxfId="131" dataCellStyle="NodeXL Label"/>
    <tableColumn id="12" xr3:uid="{00000000-0010-0000-0000-00000C000000}" name="Label Text Color" dataDxfId="130" dataCellStyle="NodeXL Label"/>
    <tableColumn id="13" xr3:uid="{00000000-0010-0000-0000-00000D000000}" name="Label Font Size" dataDxfId="129" dataCellStyle="NodeXL Label"/>
    <tableColumn id="14" xr3:uid="{00000000-0010-0000-0000-00000E000000}" name="Reciprocated?" dataDxfId="128" dataCellStyle="NodeXL Graph Metric"/>
    <tableColumn id="7" xr3:uid="{00000000-0010-0000-0000-000007000000}" name="ID" dataDxfId="127" dataCellStyle="NodeXL Do Not Edit"/>
    <tableColumn id="9" xr3:uid="{00000000-0010-0000-0000-000009000000}" name="Dynamic Filter" dataDxfId="126" dataCellStyle="NodeXL Do Not Edit"/>
    <tableColumn id="8" xr3:uid="{00000000-0010-0000-0000-000008000000}" name="Add Your Own Columns Here" dataDxfId="98" dataCellStyle="NodeXL Other Column"/>
    <tableColumn id="15" xr3:uid="{7D775672-1F48-4B6A-9B60-F6388FB706FB}" name="Relationship" dataDxfId="97" dataCellStyle="Normal"/>
    <tableColumn id="16" xr3:uid="{F4E49C67-406C-478F-BF33-74AE8CE61D16}" name="Relationship Date (UTC)" dataDxfId="96" dataCellStyle="Normal"/>
    <tableColumn id="17" xr3:uid="{A55F227F-1DEC-4F51-99EB-C27857F73A83}" name="Tweet" dataDxfId="95" dataCellStyle="Normal"/>
    <tableColumn id="18" xr3:uid="{3EE3BF31-FA8C-4C1D-A969-32844239AF89}" name="Retweet Count" dataDxfId="94" dataCellStyle="Normal"/>
    <tableColumn id="19" xr3:uid="{2C24C518-1A6D-46C7-88A7-F6FF9FCC4BB7}" name="Favorite Count" dataDxfId="93" dataCellStyle="Normal"/>
    <tableColumn id="20" xr3:uid="{3B427B7F-B5E3-4CA2-A3FA-853FD5964DEC}" name="Reply Count" dataDxfId="92" dataCellStyle="Normal"/>
    <tableColumn id="21" xr3:uid="{61DAA098-4735-4770-BC9F-C7440A861C7B}" name="Quote Count" dataDxfId="91" dataCellStyle="Normal"/>
    <tableColumn id="22" xr3:uid="{9B277E19-4A70-42B6-B636-CEAB9E55E26E}" name="Impression Count" dataDxfId="90" dataCellStyle="Normal"/>
    <tableColumn id="23" xr3:uid="{583AB175-CF1C-47BF-9BEC-A6CDA018FA37}" name="Hashtags in Tweet" dataDxfId="89" dataCellStyle="Normal"/>
    <tableColumn id="24" xr3:uid="{2172D458-D50A-4203-AF87-2B6773D637EC}" name="URLs in Tweet" dataDxfId="88" dataCellStyle="Normal"/>
    <tableColumn id="25" xr3:uid="{C1894D7A-2404-4A48-99FA-637CAA98F0DF}" name="Domains in Tweet" dataDxfId="87" dataCellStyle="Normal"/>
    <tableColumn id="26" xr3:uid="{3D847E9B-771B-4D5F-9DF9-D4A097485F84}" name="Mentions in Tweet" dataDxfId="86" dataCellStyle="Normal"/>
    <tableColumn id="27" xr3:uid="{B572A3CC-1380-4684-9E4B-7E8BFAFE0744}" name="Media in Tweet" dataDxfId="85" dataCellStyle="Normal"/>
    <tableColumn id="28" xr3:uid="{0277856B-0C47-4FB1-8B57-EA52B8D1DD36}" name="Media Type" dataDxfId="84" dataCellStyle="Normal"/>
    <tableColumn id="29" xr3:uid="{C0BD05C1-3F95-488A-AD07-84761FFDCA72}" name="Source" dataDxfId="83" dataCellStyle="Normal"/>
    <tableColumn id="30" xr3:uid="{54595642-8FB2-4D33-9064-FF9F36BFB48C}" name="Language" dataDxfId="82" dataCellStyle="Normal"/>
    <tableColumn id="31" xr3:uid="{0794BF7C-FC0F-4F0C-8499-38581608D0FD}" name="Twitter Page for Tweet" dataDxfId="81" dataCellStyle="Normal"/>
    <tableColumn id="32" xr3:uid="{89D62FFD-A957-424C-B567-B87F08BF1772}" name="Tweet Date (UTC)" dataDxfId="80" dataCellStyle="Normal"/>
    <tableColumn id="33" xr3:uid="{A5F95A91-5148-4915-9590-A0318384348B}" name="Date" dataDxfId="79" dataCellStyle="Normal"/>
    <tableColumn id="34" xr3:uid="{D8D76341-F470-403B-BC48-DFA4E03978EE}" name="Time" dataDxfId="78" dataCellStyle="Normal"/>
    <tableColumn id="35" xr3:uid="{CB30029A-A869-4D40-94A4-817C6FCE4094}" name="Possibly Sensitive" dataDxfId="77" dataCellStyle="Normal"/>
    <tableColumn id="36" xr3:uid="{311F25EC-D41D-4BCB-AD87-11CDE870B7D1}" name="Place Bounding Box" dataDxfId="76" dataCellStyle="Normal"/>
    <tableColumn id="37" xr3:uid="{0919005C-8B4B-47E6-9409-69CDE199864D}" name="Place Country" dataDxfId="75" dataCellStyle="Normal"/>
    <tableColumn id="38" xr3:uid="{B5FBF31F-05F6-46E9-8156-80A93A919BB5}" name="Place Country Code" dataDxfId="74" dataCellStyle="Normal"/>
    <tableColumn id="39" xr3:uid="{E0735AE1-7D3A-4027-B5FA-04C747B606F6}" name="Place Full Name" dataDxfId="73" dataCellStyle="Normal"/>
    <tableColumn id="40" xr3:uid="{383E0CBB-A9A5-4161-B8DA-64464E4CC28C}" name="Place ID" dataDxfId="72" dataCellStyle="Normal"/>
    <tableColumn id="41" xr3:uid="{9E749BD4-1B8E-40BA-A940-A1EC0F115348}" name="Place Name" dataDxfId="71" dataCellStyle="Normal"/>
    <tableColumn id="42" xr3:uid="{87B335A0-4FD3-4FDD-926D-5F458C8B9E1E}" name="Place Type" dataDxfId="70" dataCellStyle="Normal"/>
    <tableColumn id="43" xr3:uid="{B07426AE-2401-4614-81AA-1D2D07DF625A}" name="Media Key" dataDxfId="69" dataCellStyle="Normal"/>
    <tableColumn id="44" xr3:uid="{1C58264A-848D-4285-BD6D-567BFD235536}" name="Media Duration (ms)" dataDxfId="68" dataCellStyle="Normal"/>
    <tableColumn id="45" xr3:uid="{D0C0D6FE-B7F4-450B-A4B6-485C5457A76D}" name="Media Height" dataDxfId="67" dataCellStyle="Normal"/>
    <tableColumn id="46" xr3:uid="{0BBD3D42-9F55-4027-BA3C-D781D977EA74}" name="Media Width" dataDxfId="66" dataCellStyle="Normal"/>
    <tableColumn id="47" xr3:uid="{8363ABEC-7F9E-459A-A090-F6433ABA232F}" name="Media View Count" dataDxfId="65" dataCellStyle="Normal"/>
    <tableColumn id="48" xr3:uid="{325D8B94-3F92-4E69-B709-807BF48CB3C6}" name="Tweet Image File" dataDxfId="64" dataCellStyle="Normal"/>
    <tableColumn id="49" xr3:uid="{84F99D20-B01D-4ECA-814F-9F7B92234592}" name="Imported ID" dataDxfId="63" dataCellStyle="Normal"/>
    <tableColumn id="50" xr3:uid="{D0FA3AE4-6724-492A-8B79-2F75E1FFD91B}" name="Conversation ID" dataDxfId="62" dataCellStyle="Normal"/>
    <tableColumn id="51" xr3:uid="{6E40AA6E-DFF9-49FD-AB91-85EE7D31DAC2}" name="In Reply To User ID" dataDxfId="61" dataCellStyle="Normal"/>
    <tableColumn id="52" xr3:uid="{B7D719BA-6D39-45C2-8304-E4EE9D849274}" name="In Reply To Tweet ID" dataDxfId="60" dataCellStyle="Normal"/>
    <tableColumn id="53" xr3:uid="{DDE3B425-23E1-459D-96EA-9A3442BE9F27}" name="Quoted Status ID" dataDxfId="59" dataCellStyle="Normal"/>
    <tableColumn id="54" xr3:uid="{30E9FBEE-FE7B-4A1E-BAB3-429E61F1372E}" name="Retweet ID" dataDxfId="58" dataCellStyle="Normal"/>
    <tableColumn id="55" xr3:uid="{02F3F28E-C812-4CBB-9622-897280C41CB1}" name="Unified Twitter ID" dataDxfId="57" dataCellStyle="Normal"/>
    <tableColumn id="56" xr3:uid="{E1F8D930-F3E2-4FAB-9BCD-3B70F73C2571}" name="Author ID" dataDxfId="56" dataCellStyle="Normal"/>
    <tableColumn id="57" xr3:uid="{5A35F835-CFE6-45C8-A916-82999BF99DB3}" name="Poll ID" dataDxfId="55" dataCellStyle="Normal"/>
    <tableColumn id="58" xr3:uid="{1F1385C6-F04B-498D-9758-2C0059552C34}" name="Poll Options" dataDxfId="54" dataCellStyle="Normal"/>
    <tableColumn id="59" xr3:uid="{0153BC58-020A-4375-BFFE-D633C5A6925F}" name="Poll Duration" dataDxfId="53" dataCellStyle="Normal"/>
    <tableColumn id="60" xr3:uid="{6B17B7FC-9B25-417D-8B4E-B62E06B4D0AF}" name="Poll End Date" dataDxfId="52" dataCellStyle="Normal"/>
    <tableColumn id="61" xr3:uid="{6D45B9D3-949E-461E-9644-E81D20D201AD}" name="Poll Voting Status" dataDxfId="51"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36">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3E125F-3907-4968-815D-9E2846F0A8FC}" name="ExportOptions" displayName="ExportOptions" ref="A1:B7" totalsRowShown="0" headerRowDxfId="3" dataDxfId="2" dataCellStyle="Normal">
  <autoFilter ref="A1:B7" xr:uid="{B73E125F-3907-4968-815D-9E2846F0A8FC}"/>
  <tableColumns count="2">
    <tableColumn id="1" xr3:uid="{BDEA4619-3385-4724-8448-55605745277E}" name="Key" dataDxfId="1" dataCellStyle="Normal"/>
    <tableColumn id="2" xr3:uid="{A0A103C2-1292-46C8-AE54-020B80334038}" name="Value" dataDxfId="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O315" totalsRowShown="0" headerRowDxfId="183" dataDxfId="102">
  <autoFilter ref="A2:BO315" xr:uid="{00000000-0009-0000-0100-000002000000}"/>
  <tableColumns count="67">
    <tableColumn id="1" xr3:uid="{00000000-0010-0000-0100-000001000000}" name="Vertex" dataDxfId="124" dataCellStyle="NodeXL Required"/>
    <tableColumn id="2" xr3:uid="{00000000-0010-0000-0100-000002000000}" name="Color" dataDxfId="123" dataCellStyle="NodeXL Visual Property"/>
    <tableColumn id="5" xr3:uid="{00000000-0010-0000-0100-000005000000}" name="Shape" dataDxfId="122" dataCellStyle="NodeXL Visual Property"/>
    <tableColumn id="6" xr3:uid="{00000000-0010-0000-0100-000006000000}" name="Size" dataDxfId="121" dataCellStyle="NodeXL Visual Property"/>
    <tableColumn id="4" xr3:uid="{00000000-0010-0000-0100-000004000000}" name="Opacity" dataDxfId="14" dataCellStyle="NodeXL Visual Property"/>
    <tableColumn id="7" xr3:uid="{00000000-0010-0000-0100-000007000000}" name="Image File" dataDxfId="12" dataCellStyle="NodeXL Visual Property"/>
    <tableColumn id="3" xr3:uid="{00000000-0010-0000-0100-000003000000}" name="Visibility" dataDxfId="13" dataCellStyle="NodeXL Visual Property"/>
    <tableColumn id="10" xr3:uid="{00000000-0010-0000-0100-00000A000000}" name="Label" dataDxfId="120" dataCellStyle="NodeXL Label"/>
    <tableColumn id="16" xr3:uid="{00000000-0010-0000-0100-000010000000}" name="Label Fill Color" dataDxfId="119" dataCellStyle="NodeXL Label"/>
    <tableColumn id="9" xr3:uid="{00000000-0010-0000-0100-000009000000}" name="Label Position" dataDxfId="8" dataCellStyle="NodeXL Label"/>
    <tableColumn id="8" xr3:uid="{00000000-0010-0000-0100-000008000000}" name="Tooltip" dataDxfId="6" dataCellStyle="NodeXL Label"/>
    <tableColumn id="18" xr3:uid="{00000000-0010-0000-0100-000012000000}" name="Layout Order" dataDxfId="7" dataCellStyle="NodeXL Layout"/>
    <tableColumn id="13" xr3:uid="{00000000-0010-0000-0100-00000D000000}" name="X" dataDxfId="118" dataCellStyle="NodeXL Layout"/>
    <tableColumn id="14" xr3:uid="{00000000-0010-0000-0100-00000E000000}" name="Y" dataDxfId="117" dataCellStyle="NodeXL Layout"/>
    <tableColumn id="12" xr3:uid="{00000000-0010-0000-0100-00000C000000}" name="Locked?" dataDxfId="116" dataCellStyle="NodeXL Layout"/>
    <tableColumn id="19" xr3:uid="{00000000-0010-0000-0100-000013000000}" name="Polar R" dataDxfId="115" dataCellStyle="NodeXL Layout"/>
    <tableColumn id="20" xr3:uid="{00000000-0010-0000-0100-000014000000}" name="Polar Angle" dataDxfId="114" dataCellStyle="NodeXL Layout"/>
    <tableColumn id="21" xr3:uid="{00000000-0010-0000-0100-000015000000}" name="Degree" dataDxfId="113" dataCellStyle="NodeXL Graph Metric"/>
    <tableColumn id="22" xr3:uid="{00000000-0010-0000-0100-000016000000}" name="In-Degree" dataDxfId="112" dataCellStyle="NodeXL Graph Metric"/>
    <tableColumn id="23" xr3:uid="{00000000-0010-0000-0100-000017000000}" name="Out-Degree" dataDxfId="111" dataCellStyle="NodeXL Graph Metric"/>
    <tableColumn id="24" xr3:uid="{00000000-0010-0000-0100-000018000000}" name="Betweenness Centrality" dataDxfId="110" dataCellStyle="NodeXL Graph Metric"/>
    <tableColumn id="25" xr3:uid="{00000000-0010-0000-0100-000019000000}" name="Closeness Centrality" dataDxfId="109" dataCellStyle="NodeXL Graph Metric"/>
    <tableColumn id="26" xr3:uid="{00000000-0010-0000-0100-00001A000000}" name="Eigenvector Centrality" dataDxfId="108" dataCellStyle="NodeXL Graph Metric"/>
    <tableColumn id="15" xr3:uid="{00000000-0010-0000-0100-00000F000000}" name="PageRank" dataDxfId="107" dataCellStyle="NodeXL Graph Metric"/>
    <tableColumn id="27" xr3:uid="{00000000-0010-0000-0100-00001B000000}" name="Clustering Coefficient" dataDxfId="106" dataCellStyle="NodeXL Graph Metric"/>
    <tableColumn id="29" xr3:uid="{00000000-0010-0000-0100-00001D000000}" name="Reciprocated Vertex Pair Ratio" dataDxfId="105" dataCellStyle="NodeXL Graph Metric"/>
    <tableColumn id="11" xr3:uid="{00000000-0010-0000-0100-00000B000000}" name="ID" dataDxfId="104" dataCellStyle="NodeXL Do Not Edit"/>
    <tableColumn id="28" xr3:uid="{00000000-0010-0000-0100-00001C000000}" name="Dynamic Filter" dataDxfId="103" dataCellStyle="NodeXL Do Not Edit"/>
    <tableColumn id="17" xr3:uid="{00000000-0010-0000-0100-000011000000}" name="Add Your Own Columns Here" dataDxfId="50" dataCellStyle="NodeXL Other Column"/>
    <tableColumn id="30" xr3:uid="{BDDA84ED-E4B5-4575-A27A-549B809017BB}" name="Name" dataDxfId="49" dataCellStyle="Normal"/>
    <tableColumn id="31" xr3:uid="{FCE0CC92-AD0A-4C5E-A753-8F0C14989935}" name="User ID" dataDxfId="48" dataCellStyle="Normal"/>
    <tableColumn id="32" xr3:uid="{BBC40101-86C1-4B0E-BE0E-0F16E4F667B3}" name="Followers" dataDxfId="47" dataCellStyle="Normal"/>
    <tableColumn id="33" xr3:uid="{19E19679-CE6D-4EEF-AA73-5D718EED6ED1}" name="Followed" dataDxfId="46" dataCellStyle="Normal"/>
    <tableColumn id="34" xr3:uid="{6570C2EB-AE07-40AB-89DE-7212942C204B}" name="Tweets" dataDxfId="45" dataCellStyle="Normal"/>
    <tableColumn id="35" xr3:uid="{5D6565A7-2A52-4FD5-8061-2F68250052EA}" name="Listed Count" dataDxfId="44" dataCellStyle="Normal"/>
    <tableColumn id="36" xr3:uid="{BB799CF4-3E4B-401B-9D38-25539CD1CC7D}" name="Favourites Count" dataDxfId="43" dataCellStyle="Normal"/>
    <tableColumn id="37" xr3:uid="{D6BC5F7C-B6E4-48D8-87E7-105607B97C3C}" name="Media Count" dataDxfId="42" dataCellStyle="Normal"/>
    <tableColumn id="38" xr3:uid="{6CE996EB-6AC4-4D49-9434-335BC99788CE}" name="Verified" dataDxfId="41" dataCellStyle="Normal"/>
    <tableColumn id="39" xr3:uid="{780ACFD9-766E-4EED-8682-16545B1E72D5}" name="Joined Twitter Date (UTC)" dataDxfId="40" dataCellStyle="Normal"/>
    <tableColumn id="40" xr3:uid="{21262451-807C-4524-BD59-E9E1AC7FE9D5}" name="Location" dataDxfId="39" dataCellStyle="Normal"/>
    <tableColumn id="41" xr3:uid="{DDBA4AF1-F3DF-48AE-940E-631B0EEAA6EB}" name="Description" dataDxfId="38" dataCellStyle="Normal"/>
    <tableColumn id="42" xr3:uid="{4233FD28-C9A1-4E7D-A8D9-7C2ACB16DEF1}" name="URLs (Details)" dataDxfId="37" dataCellStyle="Normal"/>
    <tableColumn id="43" xr3:uid="{ED48F0BC-C4E1-4E9E-9E5F-F235DF474E43}" name="Expanded URLs (Details)" dataDxfId="36" dataCellStyle="Normal"/>
    <tableColumn id="44" xr3:uid="{A784BA64-6A95-4C17-9E6D-FF57A3658398}" name="Display URLs (Details)" dataDxfId="35" dataCellStyle="Normal"/>
    <tableColumn id="45" xr3:uid="{3F508C60-B612-47D4-B504-CC5AE021587D}" name="Description URLs (Details)" dataDxfId="34" dataCellStyle="Normal"/>
    <tableColumn id="46" xr3:uid="{B5FE91FE-8408-4E6F-BBAC-8C678225E2F7}" name="Description Expanded URLs (Details)" dataDxfId="33" dataCellStyle="Normal"/>
    <tableColumn id="47" xr3:uid="{FA0091C4-2E95-4CA0-86EF-451A98B3D989}" name="Description Display URLS (Details)" dataDxfId="32" dataCellStyle="Normal"/>
    <tableColumn id="48" xr3:uid="{DA8A36EC-38C7-4343-A6F9-4CD2F15671ED}" name="Pinned Tweet ID" dataDxfId="31" dataCellStyle="Normal"/>
    <tableColumn id="49" xr3:uid="{63728E87-2ADE-492F-B3A4-6F0AA80A9DB9}" name="URL" dataDxfId="30" dataCellStyle="Normal"/>
    <tableColumn id="50" xr3:uid="{4C0574E1-D653-46A2-BF47-E1A5C22ABB64}" name="Is Blue Verified" dataDxfId="29" dataCellStyle="Normal"/>
    <tableColumn id="51" xr3:uid="{30D3CE4B-4995-4866-A058-D6F6A32E7FE4}" name="You Are Followed By" dataDxfId="28" dataCellStyle="Normal"/>
    <tableColumn id="52" xr3:uid="{2A3DD51B-9756-4B92-83BD-601BA62BB740}" name="You Are Following" dataDxfId="27" dataCellStyle="Normal"/>
    <tableColumn id="53" xr3:uid="{0AF21B6D-CF53-4020-8C29-E9E221823726}" name="Can DM" dataDxfId="26" dataCellStyle="Normal"/>
    <tableColumn id="54" xr3:uid="{EAC21EAA-B69F-4A71-B948-EF455955DBEF}" name="Can Media Tag" dataDxfId="25" dataCellStyle="Normal"/>
    <tableColumn id="55" xr3:uid="{9EF446B5-C4F1-4D36-99B4-3CF413F8DC45}" name="Default Profile" dataDxfId="24" dataCellStyle="Normal"/>
    <tableColumn id="56" xr3:uid="{5D629817-CED9-4E44-9CB3-656969CD038F}" name="Default Profile Image" dataDxfId="23" dataCellStyle="Normal"/>
    <tableColumn id="57" xr3:uid="{3B823BB9-A941-4058-A445-EE785BC63D84}" name="Has Custom Timelines" dataDxfId="22" dataCellStyle="Normal"/>
    <tableColumn id="58" xr3:uid="{9810CFB6-1A82-47AC-9983-4FCA0BB31E20}" name="Is Translator" dataDxfId="21" dataCellStyle="Normal"/>
    <tableColumn id="59" xr3:uid="{9A172B7E-9F50-45DF-A6EF-E077E83A5CAB}" name="Possibly Sensitive" dataDxfId="20" dataCellStyle="Normal"/>
    <tableColumn id="60" xr3:uid="{CF82E382-6D65-4BFE-BA50-79E47A345D13}" name="Profile Banner URL" dataDxfId="19" dataCellStyle="Normal"/>
    <tableColumn id="61" xr3:uid="{4F0C12AC-C0CE-42FC-8996-129EBEFB8E51}" name="Profile Interstitial Type" dataDxfId="18" dataCellStyle="Normal"/>
    <tableColumn id="62" xr3:uid="{6C1617F9-85A8-4C80-BF9E-D51A9DC7CFDE}" name="Translator Type" dataDxfId="17" dataCellStyle="Normal"/>
    <tableColumn id="63" xr3:uid="{D8B3D884-6877-42DB-87C6-0172BE0CDAD2}" name="Want Retweets" dataDxfId="16" dataCellStyle="Normal"/>
    <tableColumn id="64" xr3:uid="{ED8E8CD2-B57A-432A-A095-08CFFDD5B48A}" name="Withheld" dataDxfId="15" dataCellStyle="Normal"/>
    <tableColumn id="65" xr3:uid="{F02C3695-2B9D-4E20-B440-D30FD85010EE}" name="Tweeted Search Term?" dataDxfId="11" dataCellStyle="Normal"/>
    <tableColumn id="66" xr3:uid="{325CBE08-A439-45E1-97E4-ECF6B1631F23}" name="Custom Menu Item Text" dataDxfId="10" dataCellStyle="Normal"/>
    <tableColumn id="67" xr3:uid="{865389DA-0A08-4BD2-8687-B2C2AA55ABAD}" name="Custom Menu Item Action" dataDxfId="9"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82">
  <autoFilter ref="A2:X3" xr:uid="{00000000-0009-0000-0100-000004000000}"/>
  <tableColumns count="24">
    <tableColumn id="1" xr3:uid="{00000000-0010-0000-0200-000001000000}" name="Group" dataDxfId="181" dataCellStyle="NodeXL Required"/>
    <tableColumn id="2" xr3:uid="{00000000-0010-0000-0200-000002000000}" name="Vertex Color" dataDxfId="180" dataCellStyle="NodeXL Visual Property"/>
    <tableColumn id="3" xr3:uid="{00000000-0010-0000-0200-000003000000}" name="Vertex Shape" dataDxfId="179" dataCellStyle="NodeXL Visual Property"/>
    <tableColumn id="22" xr3:uid="{00000000-0010-0000-0200-000016000000}" name="Visibility" dataDxfId="178" dataCellStyle="NodeXL Visual Property"/>
    <tableColumn id="4" xr3:uid="{00000000-0010-0000-0200-000004000000}" name="Collapsed?" dataCellStyle="NodeXL Visual Property"/>
    <tableColumn id="18" xr3:uid="{00000000-0010-0000-0200-000012000000}" name="Label" dataDxfId="177"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76" dataCellStyle="NodeXL Do Not Edit"/>
    <tableColumn id="19" xr3:uid="{00000000-0010-0000-0200-000013000000}" name="Collapsed Properties" dataDxfId="175" dataCellStyle="NodeXL Do Not Edit"/>
    <tableColumn id="5" xr3:uid="{00000000-0010-0000-0200-000005000000}" name="Vertices" dataDxfId="174" dataCellStyle="NodeXL Graph Metric"/>
    <tableColumn id="7" xr3:uid="{00000000-0010-0000-0200-000007000000}" name="Unique Edges" dataDxfId="173" dataCellStyle="NodeXL Graph Metric"/>
    <tableColumn id="8" xr3:uid="{00000000-0010-0000-0200-000008000000}" name="Edges With Duplicates" dataDxfId="172" dataCellStyle="NodeXL Graph Metric"/>
    <tableColumn id="9" xr3:uid="{00000000-0010-0000-0200-000009000000}" name="Total Edges" dataDxfId="171" dataCellStyle="NodeXL Graph Metric"/>
    <tableColumn id="10" xr3:uid="{00000000-0010-0000-0200-00000A000000}" name="Self-Loops" dataDxfId="170" dataCellStyle="NodeXL Graph Metric"/>
    <tableColumn id="24" xr3:uid="{00000000-0010-0000-0200-000018000000}" name="Reciprocated Vertex Pair Ratio" dataDxfId="169" dataCellStyle="NodeXL Graph Metric"/>
    <tableColumn id="25" xr3:uid="{00000000-0010-0000-0200-000019000000}" name="Reciprocated Edge Ratio" dataDxfId="168" dataCellStyle="NodeXL Graph Metric"/>
    <tableColumn id="11" xr3:uid="{00000000-0010-0000-0200-00000B000000}" name="Connected Components" dataDxfId="167" dataCellStyle="NodeXL Graph Metric"/>
    <tableColumn id="12" xr3:uid="{00000000-0010-0000-0200-00000C000000}" name="Single-Vertex Connected Components" dataDxfId="166" dataCellStyle="NodeXL Graph Metric"/>
    <tableColumn id="13" xr3:uid="{00000000-0010-0000-0200-00000D000000}" name="Maximum Vertices in a Connected Component" dataDxfId="165" dataCellStyle="NodeXL Graph Metric"/>
    <tableColumn id="14" xr3:uid="{00000000-0010-0000-0200-00000E000000}" name="Maximum Edges in a Connected Component" dataDxfId="164" dataCellStyle="NodeXL Graph Metric"/>
    <tableColumn id="15" xr3:uid="{00000000-0010-0000-0200-00000F000000}" name="Maximum Geodesic Distance (Diameter)" dataDxfId="163" dataCellStyle="NodeXL Graph Metric"/>
    <tableColumn id="16" xr3:uid="{00000000-0010-0000-0200-000010000000}" name="Average Geodesic Distance" dataDxfId="162" dataCellStyle="NodeXL Graph Metric"/>
    <tableColumn id="17" xr3:uid="{00000000-0010-0000-0200-000011000000}" name="Graph Density" dataDxfId="161"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60" dataDxfId="159">
  <autoFilter ref="A1:C2" xr:uid="{00000000-0009-0000-0100-000005000000}"/>
  <tableColumns count="3">
    <tableColumn id="1" xr3:uid="{00000000-0010-0000-0300-000001000000}" name="Group" dataDxfId="158"/>
    <tableColumn id="2" xr3:uid="{00000000-0010-0000-0300-000002000000}" name="Vertex" dataDxfId="157"/>
    <tableColumn id="3" xr3:uid="{00000000-0010-0000-0300-000003000000}" name="Vertex ID" dataDxfId="15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5" dataCellStyle="NodeXL Graph Metric"/>
    <tableColumn id="2" xr3:uid="{00000000-0010-0000-0400-000002000000}" name="Value" dataDxfId="4"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55"/>
    <tableColumn id="2" xr3:uid="{00000000-0010-0000-0500-000002000000}" name="Degree Frequency" dataDxfId="154">
      <calculatedColumnFormula>COUNTIF(Vertices[Degree], "&gt;= " &amp; D2) - COUNTIF(Vertices[Degree], "&gt;=" &amp; D3)</calculatedColumnFormula>
    </tableColumn>
    <tableColumn id="3" xr3:uid="{00000000-0010-0000-0500-000003000000}" name="In-Degree Bin" dataDxfId="153"/>
    <tableColumn id="4" xr3:uid="{00000000-0010-0000-0500-000004000000}" name="In-Degree Frequency" dataDxfId="152">
      <calculatedColumnFormula>COUNTIF(Vertices[In-Degree], "&gt;= " &amp; F2) - COUNTIF(Vertices[In-Degree], "&gt;=" &amp; F3)</calculatedColumnFormula>
    </tableColumn>
    <tableColumn id="5" xr3:uid="{00000000-0010-0000-0500-000005000000}" name="Out-Degree Bin" dataDxfId="151"/>
    <tableColumn id="6" xr3:uid="{00000000-0010-0000-0500-000006000000}" name="Out-Degree Frequency" dataDxfId="150">
      <calculatedColumnFormula>COUNTIF(Vertices[Out-Degree], "&gt;= " &amp; H2) - COUNTIF(Vertices[Out-Degree], "&gt;=" &amp; H3)</calculatedColumnFormula>
    </tableColumn>
    <tableColumn id="7" xr3:uid="{00000000-0010-0000-0500-000007000000}" name="Betweenness Centrality Bin" dataDxfId="149"/>
    <tableColumn id="8" xr3:uid="{00000000-0010-0000-0500-000008000000}" name="Betweenness Centrality Frequency" dataDxfId="148">
      <calculatedColumnFormula>COUNTIF(Vertices[Betweenness Centrality], "&gt;= " &amp; J2) - COUNTIF(Vertices[Betweenness Centrality], "&gt;=" &amp; J3)</calculatedColumnFormula>
    </tableColumn>
    <tableColumn id="9" xr3:uid="{00000000-0010-0000-0500-000009000000}" name="Closeness Centrality Bin" dataDxfId="147"/>
    <tableColumn id="10" xr3:uid="{00000000-0010-0000-0500-00000A000000}" name="Closeness Centrality Frequency" dataDxfId="146">
      <calculatedColumnFormula>COUNTIF(Vertices[Closeness Centrality], "&gt;= " &amp; L2) - COUNTIF(Vertices[Closeness Centrality], "&gt;=" &amp; L3)</calculatedColumnFormula>
    </tableColumn>
    <tableColumn id="11" xr3:uid="{00000000-0010-0000-0500-00000B000000}" name="Eigenvector Centrality Bin" dataDxfId="145"/>
    <tableColumn id="12" xr3:uid="{00000000-0010-0000-0500-00000C000000}" name="Eigenvector Centrality Frequency" dataDxfId="144">
      <calculatedColumnFormula>COUNTIF(Vertices[Eigenvector Centrality], "&gt;= " &amp; N2) - COUNTIF(Vertices[Eigenvector Centrality], "&gt;=" &amp; N3)</calculatedColumnFormula>
    </tableColumn>
    <tableColumn id="18" xr3:uid="{00000000-0010-0000-0500-000012000000}" name="PageRank Bin" dataDxfId="143"/>
    <tableColumn id="17" xr3:uid="{00000000-0010-0000-0500-000011000000}" name="PageRank Frequency" dataDxfId="142">
      <calculatedColumnFormula>COUNTIF(Vertices[Eigenvector Centrality], "&gt;= " &amp; P2) - COUNTIF(Vertices[Eigenvector Centrality], "&gt;=" &amp; P3)</calculatedColumnFormula>
    </tableColumn>
    <tableColumn id="13" xr3:uid="{00000000-0010-0000-0500-00000D000000}" name="Clustering Coefficient Bin" dataDxfId="141"/>
    <tableColumn id="14" xr3:uid="{00000000-0010-0000-0500-00000E000000}" name="Clustering Coefficient Frequency" dataDxfId="140">
      <calculatedColumnFormula>COUNTIF(Vertices[Clustering Coefficient], "&gt;= " &amp; R2) - COUNTIF(Vertices[Clustering Coefficient], "&gt;=" &amp; R3)</calculatedColumnFormula>
    </tableColumn>
    <tableColumn id="15" xr3:uid="{00000000-0010-0000-0500-00000F000000}" name="Dynamic Filter Bin" dataDxfId="139"/>
    <tableColumn id="16" xr3:uid="{00000000-0010-0000-0500-000010000000}" name="Dynamic Filter Frequency" dataDxfId="13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1" insertRow="1" totalsRowShown="0" dataCellStyle="NodeXL Graph Metric">
  <autoFilter ref="A60:B61"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37">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90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bestFit="1" customWidth="1"/>
    <col min="4" max="4" width="8.7109375" style="2" bestFit="1" customWidth="1"/>
    <col min="5" max="5" width="7.7109375" style="2" bestFit="1" customWidth="1"/>
    <col min="6" max="6" width="9.85546875" style="2" bestFit="1" customWidth="1"/>
    <col min="7" max="7" width="11" bestFit="1" customWidth="1"/>
    <col min="8" max="8" width="8" style="1" bestFit="1" customWidth="1"/>
    <col min="9" max="9" width="12.28515625" bestFit="1" customWidth="1"/>
    <col min="10" max="10" width="12.42578125" bestFit="1" customWidth="1"/>
    <col min="11" max="11" width="15.5703125"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10.85546875" bestFit="1" customWidth="1"/>
    <col min="19" max="19" width="10.5703125" bestFit="1" customWidth="1"/>
    <col min="20" max="20" width="8.5703125" bestFit="1" customWidth="1"/>
    <col min="21" max="21" width="8.85546875" bestFit="1" customWidth="1"/>
    <col min="22" max="22" width="13.140625" bestFit="1" customWidth="1"/>
    <col min="23" max="23" width="13.28515625" bestFit="1" customWidth="1"/>
    <col min="24" max="24" width="9.5703125" bestFit="1" customWidth="1"/>
    <col min="25" max="25" width="13.140625" bestFit="1" customWidth="1"/>
    <col min="26" max="26" width="13.85546875" bestFit="1" customWidth="1"/>
    <col min="27" max="27" width="11" bestFit="1" customWidth="1"/>
    <col min="28" max="28" width="8.85546875" bestFit="1" customWidth="1"/>
    <col min="29" max="29" width="9.28515625" bestFit="1" customWidth="1"/>
    <col min="30" max="30" width="11.5703125" bestFit="1" customWidth="1"/>
    <col min="31" max="31" width="14.42578125" bestFit="1" customWidth="1"/>
    <col min="32" max="32" width="13.42578125" bestFit="1" customWidth="1"/>
    <col min="33" max="33" width="7.42578125" bestFit="1" customWidth="1"/>
    <col min="34" max="34" width="7.7109375" bestFit="1" customWidth="1"/>
    <col min="35" max="35" width="11.42578125" bestFit="1" customWidth="1"/>
    <col min="36" max="36" width="17" bestFit="1" customWidth="1"/>
    <col min="37" max="37" width="10.28515625" bestFit="1" customWidth="1"/>
    <col min="38" max="38" width="15.5703125" bestFit="1" customWidth="1"/>
    <col min="39" max="39" width="11.7109375" bestFit="1" customWidth="1"/>
    <col min="40" max="40" width="10.28515625" bestFit="1" customWidth="1"/>
    <col min="41" max="41" width="8.5703125" bestFit="1" customWidth="1"/>
    <col min="42" max="42" width="8" bestFit="1" customWidth="1"/>
    <col min="43" max="43" width="8.85546875" bestFit="1" customWidth="1"/>
    <col min="44" max="44" width="17.140625" bestFit="1" customWidth="1"/>
    <col min="46" max="46" width="8.85546875" bestFit="1" customWidth="1"/>
    <col min="47" max="47" width="13.85546875" bestFit="1" customWidth="1"/>
    <col min="48" max="48" width="14.7109375" bestFit="1" customWidth="1"/>
    <col min="49" max="49" width="11.5703125" bestFit="1" customWidth="1"/>
    <col min="50" max="50" width="12.7109375" bestFit="1" customWidth="1"/>
    <col min="51" max="52" width="13" bestFit="1" customWidth="1"/>
    <col min="53" max="53" width="11" bestFit="1" customWidth="1"/>
    <col min="54" max="54" width="13.140625" bestFit="1" customWidth="1"/>
    <col min="55" max="55" width="12" bestFit="1" customWidth="1"/>
    <col min="56" max="56" width="11.7109375" bestFit="1" customWidth="1"/>
    <col min="57" max="57" width="9" bestFit="1" customWidth="1"/>
    <col min="58" max="58" width="10.28515625" bestFit="1" customWidth="1"/>
    <col min="59" max="59" width="11" bestFit="1" customWidth="1"/>
    <col min="60" max="60" width="10.42578125" bestFit="1" customWidth="1"/>
    <col min="61" max="61" width="13" bestFit="1" customWidth="1"/>
  </cols>
  <sheetData>
    <row r="1" spans="1:61" x14ac:dyDescent="0.25">
      <c r="C1" s="15" t="s">
        <v>39</v>
      </c>
      <c r="D1" s="16"/>
      <c r="E1" s="16"/>
      <c r="F1" s="16"/>
      <c r="G1" s="15"/>
      <c r="H1" s="13" t="s">
        <v>43</v>
      </c>
      <c r="I1" s="50"/>
      <c r="J1" s="50"/>
      <c r="K1" s="31" t="s">
        <v>42</v>
      </c>
      <c r="L1" s="17" t="s">
        <v>40</v>
      </c>
      <c r="M1" s="17"/>
      <c r="N1" s="14" t="s">
        <v>41</v>
      </c>
    </row>
    <row r="2" spans="1:61" ht="30" customHeight="1" x14ac:dyDescent="0.25">
      <c r="A2" s="10" t="s">
        <v>0</v>
      </c>
      <c r="B2" s="10" t="s">
        <v>1</v>
      </c>
      <c r="C2" s="7" t="s">
        <v>2</v>
      </c>
      <c r="D2" s="7" t="s">
        <v>3</v>
      </c>
      <c r="E2" s="7" t="s">
        <v>130</v>
      </c>
      <c r="F2" s="7" t="s">
        <v>4</v>
      </c>
      <c r="G2" s="7" t="s">
        <v>11</v>
      </c>
      <c r="H2" s="10" t="s">
        <v>46</v>
      </c>
      <c r="I2" s="7" t="s">
        <v>160</v>
      </c>
      <c r="J2" s="7" t="s">
        <v>161</v>
      </c>
      <c r="K2" s="7" t="s">
        <v>165</v>
      </c>
      <c r="L2" s="7" t="s">
        <v>12</v>
      </c>
      <c r="M2" s="7" t="s">
        <v>38</v>
      </c>
      <c r="N2" s="7" t="s">
        <v>26</v>
      </c>
      <c r="O2" s="7" t="s">
        <v>177</v>
      </c>
      <c r="P2" s="7" t="s">
        <v>178</v>
      </c>
      <c r="Q2" s="7" t="s">
        <v>179</v>
      </c>
      <c r="R2" s="7" t="s">
        <v>180</v>
      </c>
      <c r="S2" s="7" t="s">
        <v>181</v>
      </c>
      <c r="T2" s="7" t="s">
        <v>182</v>
      </c>
      <c r="U2" s="7" t="s">
        <v>183</v>
      </c>
      <c r="V2" s="7" t="s">
        <v>184</v>
      </c>
      <c r="W2" s="7" t="s">
        <v>185</v>
      </c>
      <c r="X2" s="7" t="s">
        <v>186</v>
      </c>
      <c r="Y2" s="7" t="s">
        <v>187</v>
      </c>
      <c r="Z2" s="7" t="s">
        <v>188</v>
      </c>
      <c r="AA2" s="7" t="s">
        <v>189</v>
      </c>
      <c r="AB2" s="7" t="s">
        <v>190</v>
      </c>
      <c r="AC2" s="7" t="s">
        <v>191</v>
      </c>
      <c r="AD2" s="7" t="s">
        <v>192</v>
      </c>
      <c r="AE2" s="7" t="s">
        <v>193</v>
      </c>
      <c r="AF2" s="7" t="s">
        <v>194</v>
      </c>
      <c r="AG2" s="7" t="s">
        <v>195</v>
      </c>
      <c r="AH2" s="7" t="s">
        <v>196</v>
      </c>
      <c r="AI2" s="7" t="s">
        <v>197</v>
      </c>
      <c r="AJ2" s="7" t="s">
        <v>198</v>
      </c>
      <c r="AK2" s="7" t="s">
        <v>199</v>
      </c>
      <c r="AL2" s="7" t="s">
        <v>200</v>
      </c>
      <c r="AM2" s="7" t="s">
        <v>201</v>
      </c>
      <c r="AN2" s="7" t="s">
        <v>202</v>
      </c>
      <c r="AO2" s="7" t="s">
        <v>203</v>
      </c>
      <c r="AP2" s="7" t="s">
        <v>204</v>
      </c>
      <c r="AQ2" s="7" t="s">
        <v>205</v>
      </c>
      <c r="AR2" s="7" t="s">
        <v>206</v>
      </c>
      <c r="AS2" s="7" t="s">
        <v>207</v>
      </c>
      <c r="AT2" s="7" t="s">
        <v>208</v>
      </c>
      <c r="AU2" s="7" t="s">
        <v>209</v>
      </c>
      <c r="AV2" s="7" t="s">
        <v>210</v>
      </c>
      <c r="AW2" s="7" t="s">
        <v>211</v>
      </c>
      <c r="AX2" s="7" t="s">
        <v>212</v>
      </c>
      <c r="AY2" s="7" t="s">
        <v>213</v>
      </c>
      <c r="AZ2" s="7" t="s">
        <v>214</v>
      </c>
      <c r="BA2" s="7" t="s">
        <v>215</v>
      </c>
      <c r="BB2" s="7" t="s">
        <v>216</v>
      </c>
      <c r="BC2" s="7" t="s">
        <v>217</v>
      </c>
      <c r="BD2" s="7" t="s">
        <v>218</v>
      </c>
      <c r="BE2" s="7" t="s">
        <v>219</v>
      </c>
      <c r="BF2" s="7" t="s">
        <v>220</v>
      </c>
      <c r="BG2" s="7" t="s">
        <v>221</v>
      </c>
      <c r="BH2" s="7" t="s">
        <v>222</v>
      </c>
      <c r="BI2" s="7" t="s">
        <v>223</v>
      </c>
    </row>
    <row r="3" spans="1:61" ht="15" customHeight="1" x14ac:dyDescent="0.25">
      <c r="A3" s="62" t="s">
        <v>517</v>
      </c>
      <c r="B3" s="62" t="s">
        <v>517</v>
      </c>
      <c r="C3" s="63"/>
      <c r="D3" s="64"/>
      <c r="E3" s="65"/>
      <c r="F3" s="66"/>
      <c r="G3" s="63"/>
      <c r="H3" s="67"/>
      <c r="I3" s="68"/>
      <c r="J3" s="68"/>
      <c r="K3" s="32"/>
      <c r="L3" s="69">
        <v>3</v>
      </c>
      <c r="M3" s="69"/>
      <c r="N3" s="70"/>
      <c r="O3" s="76" t="s">
        <v>179</v>
      </c>
      <c r="P3" s="78">
        <v>45024.375358796293</v>
      </c>
      <c r="Q3" s="76" t="s">
        <v>1430</v>
      </c>
      <c r="R3" s="76">
        <v>0</v>
      </c>
      <c r="S3" s="76">
        <v>0</v>
      </c>
      <c r="T3" s="76">
        <v>0</v>
      </c>
      <c r="U3" s="76">
        <v>0</v>
      </c>
      <c r="V3" s="76">
        <v>6</v>
      </c>
      <c r="W3" s="81" t="s">
        <v>1973</v>
      </c>
      <c r="X3" s="83" t="str">
        <f>HYPERLINK("https://www.instagram.com/eusoupauloandrade/")</f>
        <v>https://www.instagram.com/eusoupauloandrade/</v>
      </c>
      <c r="Y3" s="76" t="s">
        <v>1974</v>
      </c>
      <c r="Z3" s="76"/>
      <c r="AA3" s="76" t="s">
        <v>2631</v>
      </c>
      <c r="AB3" s="76" t="s">
        <v>2632</v>
      </c>
      <c r="AC3" s="81" t="s">
        <v>2642</v>
      </c>
      <c r="AD3" s="76" t="s">
        <v>2670</v>
      </c>
      <c r="AE3" s="83" t="str">
        <f>HYPERLINK("https://twitter.com/pauloan7344654/status/1644626263175200769")</f>
        <v>https://twitter.com/pauloan7344654/status/1644626263175200769</v>
      </c>
      <c r="AF3" s="78">
        <v>45024.375358796293</v>
      </c>
      <c r="AG3" s="84">
        <v>45024</v>
      </c>
      <c r="AH3" s="81" t="s">
        <v>3399</v>
      </c>
      <c r="AI3" s="76" t="b">
        <v>0</v>
      </c>
      <c r="AJ3" s="76"/>
      <c r="AK3" s="76"/>
      <c r="AL3" s="76"/>
      <c r="AM3" s="76"/>
      <c r="AN3" s="76"/>
      <c r="AO3" s="76"/>
      <c r="AP3" s="76"/>
      <c r="AQ3" s="76" t="s">
        <v>4060</v>
      </c>
      <c r="AR3" s="76"/>
      <c r="AS3" s="76"/>
      <c r="AT3" s="76"/>
      <c r="AU3" s="76"/>
      <c r="AV3" s="83" t="str">
        <f>HYPERLINK("https://pbs.twimg.com/media/FtLi3pYXoAI2Z5C.jpg")</f>
        <v>https://pbs.twimg.com/media/FtLi3pYXoAI2Z5C.jpg</v>
      </c>
      <c r="AW3" s="81" t="s">
        <v>4954</v>
      </c>
      <c r="AX3" s="81" t="s">
        <v>4954</v>
      </c>
      <c r="AY3" s="76"/>
      <c r="AZ3" s="81" t="s">
        <v>5075</v>
      </c>
      <c r="BA3" s="81" t="s">
        <v>5075</v>
      </c>
      <c r="BB3" s="81" t="s">
        <v>5075</v>
      </c>
      <c r="BC3" s="81" t="s">
        <v>4954</v>
      </c>
      <c r="BD3" s="81" t="s">
        <v>5284</v>
      </c>
      <c r="BE3" s="76"/>
      <c r="BF3" s="76"/>
      <c r="BG3" s="76"/>
      <c r="BH3" s="76"/>
      <c r="BI3" s="76"/>
    </row>
    <row r="4" spans="1:61" ht="15" customHeight="1" x14ac:dyDescent="0.25">
      <c r="A4" s="62" t="s">
        <v>224</v>
      </c>
      <c r="B4" s="62" t="s">
        <v>224</v>
      </c>
      <c r="C4" s="63"/>
      <c r="D4" s="64"/>
      <c r="E4" s="65"/>
      <c r="F4" s="66"/>
      <c r="G4" s="63"/>
      <c r="H4" s="67"/>
      <c r="I4" s="68"/>
      <c r="J4" s="68"/>
      <c r="K4" s="32"/>
      <c r="L4" s="75">
        <v>4</v>
      </c>
      <c r="M4" s="75"/>
      <c r="N4" s="70"/>
      <c r="O4" s="77" t="s">
        <v>179</v>
      </c>
      <c r="P4" s="79">
        <v>45079.636203703703</v>
      </c>
      <c r="Q4" s="77" t="s">
        <v>540</v>
      </c>
      <c r="R4" s="77">
        <v>0</v>
      </c>
      <c r="S4" s="77">
        <v>0</v>
      </c>
      <c r="T4" s="77">
        <v>0</v>
      </c>
      <c r="U4" s="77">
        <v>0</v>
      </c>
      <c r="V4" s="77">
        <v>9</v>
      </c>
      <c r="W4" s="82" t="s">
        <v>1431</v>
      </c>
      <c r="X4" s="80" t="str">
        <f>HYPERLINK("https://www.instagram.com/reel/Cs_X1TErYoG/?igshid=MTc4MmM1YmI2Ng==")</f>
        <v>https://www.instagram.com/reel/Cs_X1TErYoG/?igshid=MTc4MmM1YmI2Ng==</v>
      </c>
      <c r="Y4" s="77" t="s">
        <v>1974</v>
      </c>
      <c r="Z4" s="77"/>
      <c r="AA4" s="77"/>
      <c r="AB4" s="77"/>
      <c r="AC4" s="82" t="s">
        <v>2638</v>
      </c>
      <c r="AD4" s="77" t="s">
        <v>2670</v>
      </c>
      <c r="AE4" s="80" t="str">
        <f>HYPERLINK("https://twitter.com/iberezanski/status/1664652122191720450")</f>
        <v>https://twitter.com/iberezanski/status/1664652122191720450</v>
      </c>
      <c r="AF4" s="79">
        <v>45079.636203703703</v>
      </c>
      <c r="AG4" s="85">
        <v>45079</v>
      </c>
      <c r="AH4" s="82" t="s">
        <v>2677</v>
      </c>
      <c r="AI4" s="77" t="b">
        <v>0</v>
      </c>
      <c r="AJ4" s="77"/>
      <c r="AK4" s="77"/>
      <c r="AL4" s="77"/>
      <c r="AM4" s="77"/>
      <c r="AN4" s="77"/>
      <c r="AO4" s="77"/>
      <c r="AP4" s="77"/>
      <c r="AQ4" s="77"/>
      <c r="AR4" s="77"/>
      <c r="AS4" s="77"/>
      <c r="AT4" s="77"/>
      <c r="AU4" s="77"/>
      <c r="AV4" s="80" t="str">
        <f>HYPERLINK("https://pbs.twimg.com/profile_images/1667326263093067777/r3PmTWr2_normal.jpg")</f>
        <v>https://pbs.twimg.com/profile_images/1667326263093067777/r3PmTWr2_normal.jpg</v>
      </c>
      <c r="AW4" s="82" t="s">
        <v>4061</v>
      </c>
      <c r="AX4" s="82" t="s">
        <v>4061</v>
      </c>
      <c r="AY4" s="77"/>
      <c r="AZ4" s="82" t="s">
        <v>5075</v>
      </c>
      <c r="BA4" s="82" t="s">
        <v>5075</v>
      </c>
      <c r="BB4" s="82" t="s">
        <v>5075</v>
      </c>
      <c r="BC4" s="82" t="s">
        <v>4061</v>
      </c>
      <c r="BD4" s="82" t="s">
        <v>5121</v>
      </c>
      <c r="BE4" s="77"/>
      <c r="BF4" s="77"/>
      <c r="BG4" s="77"/>
      <c r="BH4" s="77"/>
      <c r="BI4" s="77"/>
    </row>
    <row r="5" spans="1:61" x14ac:dyDescent="0.25">
      <c r="A5" s="62" t="s">
        <v>224</v>
      </c>
      <c r="B5" s="62" t="s">
        <v>224</v>
      </c>
      <c r="C5" s="63"/>
      <c r="D5" s="64"/>
      <c r="E5" s="65"/>
      <c r="F5" s="66"/>
      <c r="G5" s="63"/>
      <c r="H5" s="67"/>
      <c r="I5" s="68"/>
      <c r="J5" s="68"/>
      <c r="K5" s="32"/>
      <c r="L5" s="75">
        <v>5</v>
      </c>
      <c r="M5" s="75"/>
      <c r="N5" s="70"/>
      <c r="O5" s="77" t="s">
        <v>179</v>
      </c>
      <c r="P5" s="79">
        <v>45134.655370370368</v>
      </c>
      <c r="Q5" s="77" t="s">
        <v>541</v>
      </c>
      <c r="R5" s="77">
        <v>0</v>
      </c>
      <c r="S5" s="77">
        <v>0</v>
      </c>
      <c r="T5" s="77">
        <v>0</v>
      </c>
      <c r="U5" s="77">
        <v>0</v>
      </c>
      <c r="V5" s="77">
        <v>12</v>
      </c>
      <c r="W5" s="82" t="s">
        <v>1432</v>
      </c>
      <c r="X5" s="80" t="str">
        <f>HYPERLINK("https://www.instagram.com/reel")</f>
        <v>https://www.instagram.com/reel</v>
      </c>
      <c r="Y5" s="77" t="s">
        <v>1974</v>
      </c>
      <c r="Z5" s="77"/>
      <c r="AA5" s="77"/>
      <c r="AB5" s="77"/>
      <c r="AC5" s="82" t="s">
        <v>2638</v>
      </c>
      <c r="AD5" s="77" t="s">
        <v>2670</v>
      </c>
      <c r="AE5" s="80" t="str">
        <f>HYPERLINK("https://twitter.com/iberezanski/status/1684590399807971330")</f>
        <v>https://twitter.com/iberezanski/status/1684590399807971330</v>
      </c>
      <c r="AF5" s="79">
        <v>45134.655370370368</v>
      </c>
      <c r="AG5" s="85">
        <v>45134</v>
      </c>
      <c r="AH5" s="82" t="s">
        <v>2678</v>
      </c>
      <c r="AI5" s="77" t="b">
        <v>0</v>
      </c>
      <c r="AJ5" s="77"/>
      <c r="AK5" s="77"/>
      <c r="AL5" s="77"/>
      <c r="AM5" s="77"/>
      <c r="AN5" s="77"/>
      <c r="AO5" s="77"/>
      <c r="AP5" s="77"/>
      <c r="AQ5" s="77"/>
      <c r="AR5" s="77"/>
      <c r="AS5" s="77"/>
      <c r="AT5" s="77"/>
      <c r="AU5" s="77"/>
      <c r="AV5" s="80" t="str">
        <f>HYPERLINK("https://pbs.twimg.com/profile_images/1667326263093067777/r3PmTWr2_normal.jpg")</f>
        <v>https://pbs.twimg.com/profile_images/1667326263093067777/r3PmTWr2_normal.jpg</v>
      </c>
      <c r="AW5" s="82" t="s">
        <v>4062</v>
      </c>
      <c r="AX5" s="82" t="s">
        <v>4062</v>
      </c>
      <c r="AY5" s="77"/>
      <c r="AZ5" s="82" t="s">
        <v>5075</v>
      </c>
      <c r="BA5" s="82" t="s">
        <v>5075</v>
      </c>
      <c r="BB5" s="82" t="s">
        <v>5075</v>
      </c>
      <c r="BC5" s="82" t="s">
        <v>4062</v>
      </c>
      <c r="BD5" s="82" t="s">
        <v>5121</v>
      </c>
      <c r="BE5" s="77"/>
      <c r="BF5" s="77"/>
      <c r="BG5" s="77"/>
      <c r="BH5" s="77"/>
      <c r="BI5" s="77"/>
    </row>
    <row r="6" spans="1:61" x14ac:dyDescent="0.25">
      <c r="A6" s="62" t="s">
        <v>224</v>
      </c>
      <c r="B6" s="62" t="s">
        <v>224</v>
      </c>
      <c r="C6" s="63"/>
      <c r="D6" s="64"/>
      <c r="E6" s="65"/>
      <c r="F6" s="66"/>
      <c r="G6" s="63"/>
      <c r="H6" s="67"/>
      <c r="I6" s="68"/>
      <c r="J6" s="68"/>
      <c r="K6" s="32"/>
      <c r="L6" s="75">
        <v>6</v>
      </c>
      <c r="M6" s="75"/>
      <c r="N6" s="70"/>
      <c r="O6" s="77" t="s">
        <v>179</v>
      </c>
      <c r="P6" s="79">
        <v>45148.594375000001</v>
      </c>
      <c r="Q6" s="77" t="s">
        <v>542</v>
      </c>
      <c r="R6" s="77">
        <v>0</v>
      </c>
      <c r="S6" s="77">
        <v>0</v>
      </c>
      <c r="T6" s="77">
        <v>0</v>
      </c>
      <c r="U6" s="77">
        <v>0</v>
      </c>
      <c r="V6" s="77">
        <v>96</v>
      </c>
      <c r="W6" s="82" t="s">
        <v>1433</v>
      </c>
      <c r="X6" s="77"/>
      <c r="Y6" s="77"/>
      <c r="Z6" s="77"/>
      <c r="AA6" s="77"/>
      <c r="AB6" s="77"/>
      <c r="AC6" s="82" t="s">
        <v>2638</v>
      </c>
      <c r="AD6" s="77" t="s">
        <v>2670</v>
      </c>
      <c r="AE6" s="80" t="str">
        <f>HYPERLINK("https://twitter.com/iberezanski/status/1689641728029196291")</f>
        <v>https://twitter.com/iberezanski/status/1689641728029196291</v>
      </c>
      <c r="AF6" s="79">
        <v>45148.594375000001</v>
      </c>
      <c r="AG6" s="85">
        <v>45148</v>
      </c>
      <c r="AH6" s="82" t="s">
        <v>2679</v>
      </c>
      <c r="AI6" s="77"/>
      <c r="AJ6" s="77"/>
      <c r="AK6" s="77"/>
      <c r="AL6" s="77"/>
      <c r="AM6" s="77"/>
      <c r="AN6" s="77"/>
      <c r="AO6" s="77"/>
      <c r="AP6" s="77"/>
      <c r="AQ6" s="77"/>
      <c r="AR6" s="77"/>
      <c r="AS6" s="77"/>
      <c r="AT6" s="77"/>
      <c r="AU6" s="77"/>
      <c r="AV6" s="80" t="str">
        <f>HYPERLINK("https://pbs.twimg.com/profile_images/1667326263093067777/r3PmTWr2_normal.jpg")</f>
        <v>https://pbs.twimg.com/profile_images/1667326263093067777/r3PmTWr2_normal.jpg</v>
      </c>
      <c r="AW6" s="82" t="s">
        <v>4063</v>
      </c>
      <c r="AX6" s="82" t="s">
        <v>4063</v>
      </c>
      <c r="AY6" s="77"/>
      <c r="AZ6" s="82" t="s">
        <v>5075</v>
      </c>
      <c r="BA6" s="82" t="s">
        <v>5075</v>
      </c>
      <c r="BB6" s="82" t="s">
        <v>5075</v>
      </c>
      <c r="BC6" s="82" t="s">
        <v>4063</v>
      </c>
      <c r="BD6" s="82" t="s">
        <v>5121</v>
      </c>
      <c r="BE6" s="77"/>
      <c r="BF6" s="77"/>
      <c r="BG6" s="77"/>
      <c r="BH6" s="77"/>
      <c r="BI6" s="77"/>
    </row>
    <row r="7" spans="1:61" x14ac:dyDescent="0.25">
      <c r="A7" s="62" t="s">
        <v>224</v>
      </c>
      <c r="B7" s="62" t="s">
        <v>224</v>
      </c>
      <c r="C7" s="63"/>
      <c r="D7" s="64"/>
      <c r="E7" s="65"/>
      <c r="F7" s="66"/>
      <c r="G7" s="63"/>
      <c r="H7" s="67"/>
      <c r="I7" s="68"/>
      <c r="J7" s="68"/>
      <c r="K7" s="32"/>
      <c r="L7" s="75">
        <v>7</v>
      </c>
      <c r="M7" s="75"/>
      <c r="N7" s="70"/>
      <c r="O7" s="77" t="s">
        <v>179</v>
      </c>
      <c r="P7" s="79">
        <v>45127.58693287037</v>
      </c>
      <c r="Q7" s="77" t="s">
        <v>543</v>
      </c>
      <c r="R7" s="77">
        <v>0</v>
      </c>
      <c r="S7" s="77">
        <v>0</v>
      </c>
      <c r="T7" s="77">
        <v>0</v>
      </c>
      <c r="U7" s="77">
        <v>0</v>
      </c>
      <c r="V7" s="77">
        <v>21</v>
      </c>
      <c r="W7" s="82" t="s">
        <v>1434</v>
      </c>
      <c r="X7" s="77"/>
      <c r="Y7" s="77"/>
      <c r="Z7" s="77"/>
      <c r="AA7" s="77"/>
      <c r="AB7" s="77"/>
      <c r="AC7" s="82" t="s">
        <v>2638</v>
      </c>
      <c r="AD7" s="77" t="s">
        <v>2670</v>
      </c>
      <c r="AE7" s="80" t="str">
        <f>HYPERLINK("https://twitter.com/iberezanski/status/1682028883410059271")</f>
        <v>https://twitter.com/iberezanski/status/1682028883410059271</v>
      </c>
      <c r="AF7" s="79">
        <v>45127.58693287037</v>
      </c>
      <c r="AG7" s="85">
        <v>45127</v>
      </c>
      <c r="AH7" s="82" t="s">
        <v>2680</v>
      </c>
      <c r="AI7" s="77"/>
      <c r="AJ7" s="77"/>
      <c r="AK7" s="77"/>
      <c r="AL7" s="77"/>
      <c r="AM7" s="77"/>
      <c r="AN7" s="77"/>
      <c r="AO7" s="77"/>
      <c r="AP7" s="77"/>
      <c r="AQ7" s="77"/>
      <c r="AR7" s="77"/>
      <c r="AS7" s="77"/>
      <c r="AT7" s="77"/>
      <c r="AU7" s="77"/>
      <c r="AV7" s="80" t="str">
        <f>HYPERLINK("https://pbs.twimg.com/profile_images/1667326263093067777/r3PmTWr2_normal.jpg")</f>
        <v>https://pbs.twimg.com/profile_images/1667326263093067777/r3PmTWr2_normal.jpg</v>
      </c>
      <c r="AW7" s="82" t="s">
        <v>4064</v>
      </c>
      <c r="AX7" s="82" t="s">
        <v>4064</v>
      </c>
      <c r="AY7" s="77"/>
      <c r="AZ7" s="82" t="s">
        <v>5075</v>
      </c>
      <c r="BA7" s="82" t="s">
        <v>5075</v>
      </c>
      <c r="BB7" s="82" t="s">
        <v>5075</v>
      </c>
      <c r="BC7" s="82" t="s">
        <v>4064</v>
      </c>
      <c r="BD7" s="82" t="s">
        <v>5121</v>
      </c>
      <c r="BE7" s="77"/>
      <c r="BF7" s="77"/>
      <c r="BG7" s="77"/>
      <c r="BH7" s="77"/>
      <c r="BI7" s="77"/>
    </row>
    <row r="8" spans="1:61" x14ac:dyDescent="0.25">
      <c r="A8" s="62" t="s">
        <v>224</v>
      </c>
      <c r="B8" s="62" t="s">
        <v>224</v>
      </c>
      <c r="C8" s="63"/>
      <c r="D8" s="64"/>
      <c r="E8" s="65"/>
      <c r="F8" s="66"/>
      <c r="G8" s="63"/>
      <c r="H8" s="67"/>
      <c r="I8" s="68"/>
      <c r="J8" s="68"/>
      <c r="K8" s="32"/>
      <c r="L8" s="75">
        <v>8</v>
      </c>
      <c r="M8" s="75"/>
      <c r="N8" s="70"/>
      <c r="O8" s="77" t="s">
        <v>179</v>
      </c>
      <c r="P8" s="79">
        <v>45118.590289351851</v>
      </c>
      <c r="Q8" s="77" t="s">
        <v>544</v>
      </c>
      <c r="R8" s="77">
        <v>0</v>
      </c>
      <c r="S8" s="77">
        <v>0</v>
      </c>
      <c r="T8" s="77">
        <v>0</v>
      </c>
      <c r="U8" s="77">
        <v>0</v>
      </c>
      <c r="V8" s="77">
        <v>3</v>
      </c>
      <c r="W8" s="82" t="s">
        <v>1435</v>
      </c>
      <c r="X8" s="80" t="str">
        <f>HYPERLINK("https://www.instagram.com/reel/CujzratgDJT/?igshid=MTc4MmM1YmI2Ng==")</f>
        <v>https://www.instagram.com/reel/CujzratgDJT/?igshid=MTc4MmM1YmI2Ng==</v>
      </c>
      <c r="Y8" s="77" t="s">
        <v>1974</v>
      </c>
      <c r="Z8" s="77"/>
      <c r="AA8" s="77"/>
      <c r="AB8" s="77"/>
      <c r="AC8" s="82" t="s">
        <v>2638</v>
      </c>
      <c r="AD8" s="77" t="s">
        <v>2670</v>
      </c>
      <c r="AE8" s="80" t="str">
        <f>HYPERLINK("https://twitter.com/iberezanski/status/1678768611098505216")</f>
        <v>https://twitter.com/iberezanski/status/1678768611098505216</v>
      </c>
      <c r="AF8" s="79">
        <v>45118.590289351851</v>
      </c>
      <c r="AG8" s="85">
        <v>45118</v>
      </c>
      <c r="AH8" s="82" t="s">
        <v>2681</v>
      </c>
      <c r="AI8" s="77" t="b">
        <v>0</v>
      </c>
      <c r="AJ8" s="77"/>
      <c r="AK8" s="77"/>
      <c r="AL8" s="77"/>
      <c r="AM8" s="77"/>
      <c r="AN8" s="77"/>
      <c r="AO8" s="77"/>
      <c r="AP8" s="77"/>
      <c r="AQ8" s="77"/>
      <c r="AR8" s="77"/>
      <c r="AS8" s="77"/>
      <c r="AT8" s="77"/>
      <c r="AU8" s="77"/>
      <c r="AV8" s="80" t="str">
        <f>HYPERLINK("https://pbs.twimg.com/profile_images/1667326263093067777/r3PmTWr2_normal.jpg")</f>
        <v>https://pbs.twimg.com/profile_images/1667326263093067777/r3PmTWr2_normal.jpg</v>
      </c>
      <c r="AW8" s="82" t="s">
        <v>4065</v>
      </c>
      <c r="AX8" s="82" t="s">
        <v>4065</v>
      </c>
      <c r="AY8" s="77"/>
      <c r="AZ8" s="82" t="s">
        <v>5075</v>
      </c>
      <c r="BA8" s="82" t="s">
        <v>5075</v>
      </c>
      <c r="BB8" s="82" t="s">
        <v>5075</v>
      </c>
      <c r="BC8" s="82" t="s">
        <v>4065</v>
      </c>
      <c r="BD8" s="82" t="s">
        <v>5121</v>
      </c>
      <c r="BE8" s="77"/>
      <c r="BF8" s="77"/>
      <c r="BG8" s="77"/>
      <c r="BH8" s="77"/>
      <c r="BI8" s="77"/>
    </row>
    <row r="9" spans="1:61" x14ac:dyDescent="0.25">
      <c r="A9" s="62" t="s">
        <v>224</v>
      </c>
      <c r="B9" s="62" t="s">
        <v>224</v>
      </c>
      <c r="C9" s="63"/>
      <c r="D9" s="64"/>
      <c r="E9" s="65"/>
      <c r="F9" s="66"/>
      <c r="G9" s="63"/>
      <c r="H9" s="67"/>
      <c r="I9" s="68"/>
      <c r="J9" s="68"/>
      <c r="K9" s="32"/>
      <c r="L9" s="75">
        <v>9</v>
      </c>
      <c r="M9" s="75"/>
      <c r="N9" s="70"/>
      <c r="O9" s="77" t="s">
        <v>179</v>
      </c>
      <c r="P9" s="79">
        <v>45090.594537037039</v>
      </c>
      <c r="Q9" s="77" t="s">
        <v>545</v>
      </c>
      <c r="R9" s="77">
        <v>0</v>
      </c>
      <c r="S9" s="77">
        <v>0</v>
      </c>
      <c r="T9" s="77">
        <v>0</v>
      </c>
      <c r="U9" s="77">
        <v>0</v>
      </c>
      <c r="V9" s="77"/>
      <c r="W9" s="82" t="s">
        <v>1436</v>
      </c>
      <c r="X9" s="80" t="str">
        <f>HYPERLINK("https://www.instagram.com/reel/CtbsmIRJpPW/?igshid=MTc4MmM1YmI2Ng==")</f>
        <v>https://www.instagram.com/reel/CtbsmIRJpPW/?igshid=MTc4MmM1YmI2Ng==</v>
      </c>
      <c r="Y9" s="77" t="s">
        <v>1974</v>
      </c>
      <c r="Z9" s="77"/>
      <c r="AA9" s="77"/>
      <c r="AB9" s="77"/>
      <c r="AC9" s="82" t="s">
        <v>2638</v>
      </c>
      <c r="AD9" s="77" t="s">
        <v>2670</v>
      </c>
      <c r="AE9" s="80" t="str">
        <f>HYPERLINK("https://twitter.com/iberezanski/status/1668623289525366786")</f>
        <v>https://twitter.com/iberezanski/status/1668623289525366786</v>
      </c>
      <c r="AF9" s="79">
        <v>45090.594537037039</v>
      </c>
      <c r="AG9" s="85">
        <v>45090</v>
      </c>
      <c r="AH9" s="82" t="s">
        <v>2682</v>
      </c>
      <c r="AI9" s="77" t="b">
        <v>0</v>
      </c>
      <c r="AJ9" s="77"/>
      <c r="AK9" s="77"/>
      <c r="AL9" s="77"/>
      <c r="AM9" s="77"/>
      <c r="AN9" s="77"/>
      <c r="AO9" s="77"/>
      <c r="AP9" s="77"/>
      <c r="AQ9" s="77"/>
      <c r="AR9" s="77"/>
      <c r="AS9" s="77"/>
      <c r="AT9" s="77"/>
      <c r="AU9" s="77"/>
      <c r="AV9" s="80" t="str">
        <f>HYPERLINK("https://pbs.twimg.com/profile_images/1667326263093067777/r3PmTWr2_normal.jpg")</f>
        <v>https://pbs.twimg.com/profile_images/1667326263093067777/r3PmTWr2_normal.jpg</v>
      </c>
      <c r="AW9" s="82" t="s">
        <v>4066</v>
      </c>
      <c r="AX9" s="82" t="s">
        <v>4066</v>
      </c>
      <c r="AY9" s="77"/>
      <c r="AZ9" s="82" t="s">
        <v>5075</v>
      </c>
      <c r="BA9" s="82" t="s">
        <v>5075</v>
      </c>
      <c r="BB9" s="82" t="s">
        <v>5075</v>
      </c>
      <c r="BC9" s="82" t="s">
        <v>4066</v>
      </c>
      <c r="BD9" s="82" t="s">
        <v>5121</v>
      </c>
      <c r="BE9" s="77"/>
      <c r="BF9" s="77"/>
      <c r="BG9" s="77"/>
      <c r="BH9" s="77"/>
      <c r="BI9" s="77"/>
    </row>
    <row r="10" spans="1:61" x14ac:dyDescent="0.25">
      <c r="A10" s="62" t="s">
        <v>224</v>
      </c>
      <c r="B10" s="62" t="s">
        <v>224</v>
      </c>
      <c r="C10" s="63"/>
      <c r="D10" s="64"/>
      <c r="E10" s="65"/>
      <c r="F10" s="66"/>
      <c r="G10" s="63"/>
      <c r="H10" s="67"/>
      <c r="I10" s="68"/>
      <c r="J10" s="68"/>
      <c r="K10" s="32"/>
      <c r="L10" s="75">
        <v>10</v>
      </c>
      <c r="M10" s="75"/>
      <c r="N10" s="70"/>
      <c r="O10" s="77" t="s">
        <v>179</v>
      </c>
      <c r="P10" s="79">
        <v>45146.592303240737</v>
      </c>
      <c r="Q10" s="77" t="s">
        <v>546</v>
      </c>
      <c r="R10" s="77">
        <v>0</v>
      </c>
      <c r="S10" s="77">
        <v>0</v>
      </c>
      <c r="T10" s="77">
        <v>0</v>
      </c>
      <c r="U10" s="77">
        <v>0</v>
      </c>
      <c r="V10" s="77">
        <v>82</v>
      </c>
      <c r="W10" s="82" t="s">
        <v>1437</v>
      </c>
      <c r="X10" s="80" t="str">
        <f>HYPERLINK("https://www.instagram.com/reel/Cvr6EsHOqmr/?igshid=MTc4MmM1YmI2Ng==")</f>
        <v>https://www.instagram.com/reel/Cvr6EsHOqmr/?igshid=MTc4MmM1YmI2Ng==</v>
      </c>
      <c r="Y10" s="77" t="s">
        <v>1974</v>
      </c>
      <c r="Z10" s="77"/>
      <c r="AA10" s="77"/>
      <c r="AB10" s="77"/>
      <c r="AC10" s="82" t="s">
        <v>2638</v>
      </c>
      <c r="AD10" s="77" t="s">
        <v>2670</v>
      </c>
      <c r="AE10" s="80" t="str">
        <f>HYPERLINK("https://twitter.com/iberezanski/status/1688916201152606211")</f>
        <v>https://twitter.com/iberezanski/status/1688916201152606211</v>
      </c>
      <c r="AF10" s="79">
        <v>45146.592303240737</v>
      </c>
      <c r="AG10" s="85">
        <v>45146</v>
      </c>
      <c r="AH10" s="82" t="s">
        <v>2683</v>
      </c>
      <c r="AI10" s="77" t="b">
        <v>0</v>
      </c>
      <c r="AJ10" s="77"/>
      <c r="AK10" s="77"/>
      <c r="AL10" s="77"/>
      <c r="AM10" s="77"/>
      <c r="AN10" s="77"/>
      <c r="AO10" s="77"/>
      <c r="AP10" s="77"/>
      <c r="AQ10" s="77"/>
      <c r="AR10" s="77"/>
      <c r="AS10" s="77"/>
      <c r="AT10" s="77"/>
      <c r="AU10" s="77"/>
      <c r="AV10" s="80" t="str">
        <f>HYPERLINK("https://pbs.twimg.com/profile_images/1667326263093067777/r3PmTWr2_normal.jpg")</f>
        <v>https://pbs.twimg.com/profile_images/1667326263093067777/r3PmTWr2_normal.jpg</v>
      </c>
      <c r="AW10" s="82" t="s">
        <v>4067</v>
      </c>
      <c r="AX10" s="82" t="s">
        <v>4067</v>
      </c>
      <c r="AY10" s="77"/>
      <c r="AZ10" s="82" t="s">
        <v>5075</v>
      </c>
      <c r="BA10" s="82" t="s">
        <v>5075</v>
      </c>
      <c r="BB10" s="82" t="s">
        <v>5075</v>
      </c>
      <c r="BC10" s="82" t="s">
        <v>4067</v>
      </c>
      <c r="BD10" s="82" t="s">
        <v>5121</v>
      </c>
      <c r="BE10" s="77"/>
      <c r="BF10" s="77"/>
      <c r="BG10" s="77"/>
      <c r="BH10" s="77"/>
      <c r="BI10" s="77"/>
    </row>
    <row r="11" spans="1:61" x14ac:dyDescent="0.25">
      <c r="A11" s="62" t="s">
        <v>224</v>
      </c>
      <c r="B11" s="62" t="s">
        <v>224</v>
      </c>
      <c r="C11" s="63"/>
      <c r="D11" s="64"/>
      <c r="E11" s="65"/>
      <c r="F11" s="66"/>
      <c r="G11" s="63"/>
      <c r="H11" s="67"/>
      <c r="I11" s="68"/>
      <c r="J11" s="68"/>
      <c r="K11" s="32"/>
      <c r="L11" s="75">
        <v>11</v>
      </c>
      <c r="M11" s="75"/>
      <c r="N11" s="70"/>
      <c r="O11" s="77" t="s">
        <v>179</v>
      </c>
      <c r="P11" s="79">
        <v>45132.604953703703</v>
      </c>
      <c r="Q11" s="77" t="s">
        <v>547</v>
      </c>
      <c r="R11" s="77">
        <v>0</v>
      </c>
      <c r="S11" s="77">
        <v>0</v>
      </c>
      <c r="T11" s="77">
        <v>0</v>
      </c>
      <c r="U11" s="77">
        <v>0</v>
      </c>
      <c r="V11" s="77">
        <v>2</v>
      </c>
      <c r="W11" s="82" t="s">
        <v>1438</v>
      </c>
      <c r="X11" s="80" t="str">
        <f>HYPERLINK("https://www.instagram.com/reel/CvH1l3_xsTX/?igshid=MTc4MmM1YmI2Ng==")</f>
        <v>https://www.instagram.com/reel/CvH1l3_xsTX/?igshid=MTc4MmM1YmI2Ng==</v>
      </c>
      <c r="Y11" s="77" t="s">
        <v>1974</v>
      </c>
      <c r="Z11" s="77"/>
      <c r="AA11" s="77"/>
      <c r="AB11" s="77"/>
      <c r="AC11" s="82" t="s">
        <v>2638</v>
      </c>
      <c r="AD11" s="77" t="s">
        <v>2670</v>
      </c>
      <c r="AE11" s="80" t="str">
        <f>HYPERLINK("https://twitter.com/iberezanski/status/1683847357199155200")</f>
        <v>https://twitter.com/iberezanski/status/1683847357199155200</v>
      </c>
      <c r="AF11" s="79">
        <v>45132.604953703703</v>
      </c>
      <c r="AG11" s="85">
        <v>45132</v>
      </c>
      <c r="AH11" s="82" t="s">
        <v>2684</v>
      </c>
      <c r="AI11" s="77" t="b">
        <v>0</v>
      </c>
      <c r="AJ11" s="77"/>
      <c r="AK11" s="77"/>
      <c r="AL11" s="77"/>
      <c r="AM11" s="77"/>
      <c r="AN11" s="77"/>
      <c r="AO11" s="77"/>
      <c r="AP11" s="77"/>
      <c r="AQ11" s="77"/>
      <c r="AR11" s="77"/>
      <c r="AS11" s="77"/>
      <c r="AT11" s="77"/>
      <c r="AU11" s="77"/>
      <c r="AV11" s="80" t="str">
        <f>HYPERLINK("https://pbs.twimg.com/profile_images/1667326263093067777/r3PmTWr2_normal.jpg")</f>
        <v>https://pbs.twimg.com/profile_images/1667326263093067777/r3PmTWr2_normal.jpg</v>
      </c>
      <c r="AW11" s="82" t="s">
        <v>4068</v>
      </c>
      <c r="AX11" s="82" t="s">
        <v>4068</v>
      </c>
      <c r="AY11" s="77"/>
      <c r="AZ11" s="82" t="s">
        <v>5075</v>
      </c>
      <c r="BA11" s="82" t="s">
        <v>5075</v>
      </c>
      <c r="BB11" s="82" t="s">
        <v>5075</v>
      </c>
      <c r="BC11" s="82" t="s">
        <v>4068</v>
      </c>
      <c r="BD11" s="82" t="s">
        <v>5121</v>
      </c>
      <c r="BE11" s="77"/>
      <c r="BF11" s="77"/>
      <c r="BG11" s="77"/>
      <c r="BH11" s="77"/>
      <c r="BI11" s="77"/>
    </row>
    <row r="12" spans="1:61" x14ac:dyDescent="0.25">
      <c r="A12" s="62" t="s">
        <v>224</v>
      </c>
      <c r="B12" s="62" t="s">
        <v>224</v>
      </c>
      <c r="C12" s="63"/>
      <c r="D12" s="64"/>
      <c r="E12" s="65"/>
      <c r="F12" s="66"/>
      <c r="G12" s="63"/>
      <c r="H12" s="67"/>
      <c r="I12" s="68"/>
      <c r="J12" s="68"/>
      <c r="K12" s="32"/>
      <c r="L12" s="75">
        <v>12</v>
      </c>
      <c r="M12" s="75"/>
      <c r="N12" s="70"/>
      <c r="O12" s="77" t="s">
        <v>179</v>
      </c>
      <c r="P12" s="79">
        <v>45169.598298611112</v>
      </c>
      <c r="Q12" s="77" t="s">
        <v>548</v>
      </c>
      <c r="R12" s="77">
        <v>0</v>
      </c>
      <c r="S12" s="77">
        <v>0</v>
      </c>
      <c r="T12" s="77">
        <v>0</v>
      </c>
      <c r="U12" s="77">
        <v>0</v>
      </c>
      <c r="V12" s="77">
        <v>1</v>
      </c>
      <c r="W12" s="82" t="s">
        <v>1439</v>
      </c>
      <c r="X12" s="80" t="str">
        <f>HYPERLINK("https://www.instagram.com/reel/CwnITnQOcSP/?igshid=MTc4MmM1YmI2Ng==")</f>
        <v>https://www.instagram.com/reel/CwnITnQOcSP/?igshid=MTc4MmM1YmI2Ng==</v>
      </c>
      <c r="Y12" s="77" t="s">
        <v>1974</v>
      </c>
      <c r="Z12" s="77"/>
      <c r="AA12" s="77"/>
      <c r="AB12" s="77"/>
      <c r="AC12" s="82" t="s">
        <v>2638</v>
      </c>
      <c r="AD12" s="77" t="s">
        <v>2670</v>
      </c>
      <c r="AE12" s="80" t="str">
        <f>HYPERLINK("https://twitter.com/iberezanski/status/1697253292634698099")</f>
        <v>https://twitter.com/iberezanski/status/1697253292634698099</v>
      </c>
      <c r="AF12" s="79">
        <v>45169.598298611112</v>
      </c>
      <c r="AG12" s="85">
        <v>45169</v>
      </c>
      <c r="AH12" s="82" t="s">
        <v>2685</v>
      </c>
      <c r="AI12" s="77" t="b">
        <v>0</v>
      </c>
      <c r="AJ12" s="77"/>
      <c r="AK12" s="77"/>
      <c r="AL12" s="77"/>
      <c r="AM12" s="77"/>
      <c r="AN12" s="77"/>
      <c r="AO12" s="77"/>
      <c r="AP12" s="77"/>
      <c r="AQ12" s="77"/>
      <c r="AR12" s="77"/>
      <c r="AS12" s="77"/>
      <c r="AT12" s="77"/>
      <c r="AU12" s="77"/>
      <c r="AV12" s="80" t="str">
        <f>HYPERLINK("https://pbs.twimg.com/profile_images/1667326263093067777/r3PmTWr2_normal.jpg")</f>
        <v>https://pbs.twimg.com/profile_images/1667326263093067777/r3PmTWr2_normal.jpg</v>
      </c>
      <c r="AW12" s="82" t="s">
        <v>4069</v>
      </c>
      <c r="AX12" s="82" t="s">
        <v>4069</v>
      </c>
      <c r="AY12" s="77"/>
      <c r="AZ12" s="82" t="s">
        <v>5075</v>
      </c>
      <c r="BA12" s="82" t="s">
        <v>5075</v>
      </c>
      <c r="BB12" s="82" t="s">
        <v>5075</v>
      </c>
      <c r="BC12" s="82" t="s">
        <v>4069</v>
      </c>
      <c r="BD12" s="82" t="s">
        <v>5121</v>
      </c>
      <c r="BE12" s="77"/>
      <c r="BF12" s="77"/>
      <c r="BG12" s="77"/>
      <c r="BH12" s="77"/>
      <c r="BI12" s="77"/>
    </row>
    <row r="13" spans="1:61" x14ac:dyDescent="0.25">
      <c r="A13" s="62" t="s">
        <v>224</v>
      </c>
      <c r="B13" s="62" t="s">
        <v>224</v>
      </c>
      <c r="C13" s="63"/>
      <c r="D13" s="64"/>
      <c r="E13" s="65"/>
      <c r="F13" s="66"/>
      <c r="G13" s="63"/>
      <c r="H13" s="67"/>
      <c r="I13" s="68"/>
      <c r="J13" s="68"/>
      <c r="K13" s="32"/>
      <c r="L13" s="75">
        <v>13</v>
      </c>
      <c r="M13" s="75"/>
      <c r="N13" s="70"/>
      <c r="O13" s="77" t="s">
        <v>179</v>
      </c>
      <c r="P13" s="79">
        <v>45083.588067129633</v>
      </c>
      <c r="Q13" s="77" t="s">
        <v>549</v>
      </c>
      <c r="R13" s="77">
        <v>0</v>
      </c>
      <c r="S13" s="77">
        <v>0</v>
      </c>
      <c r="T13" s="77">
        <v>0</v>
      </c>
      <c r="U13" s="77">
        <v>0</v>
      </c>
      <c r="V13" s="77">
        <v>21</v>
      </c>
      <c r="W13" s="82" t="s">
        <v>1440</v>
      </c>
      <c r="X13" s="80" t="str">
        <f>HYPERLINK("https://www.instagram.com/reel/CtJresROF20/?igshid=MTc4MmM1YmI2Ng==")</f>
        <v>https://www.instagram.com/reel/CtJresROF20/?igshid=MTc4MmM1YmI2Ng==</v>
      </c>
      <c r="Y13" s="77" t="s">
        <v>1974</v>
      </c>
      <c r="Z13" s="77"/>
      <c r="AA13" s="77"/>
      <c r="AB13" s="77"/>
      <c r="AC13" s="82" t="s">
        <v>2638</v>
      </c>
      <c r="AD13" s="77" t="s">
        <v>2670</v>
      </c>
      <c r="AE13" s="80" t="str">
        <f>HYPERLINK("https://twitter.com/iberezanski/status/1666084232081596421")</f>
        <v>https://twitter.com/iberezanski/status/1666084232081596421</v>
      </c>
      <c r="AF13" s="79">
        <v>45083.588067129633</v>
      </c>
      <c r="AG13" s="85">
        <v>45083</v>
      </c>
      <c r="AH13" s="82" t="s">
        <v>2686</v>
      </c>
      <c r="AI13" s="77" t="b">
        <v>0</v>
      </c>
      <c r="AJ13" s="77"/>
      <c r="AK13" s="77"/>
      <c r="AL13" s="77"/>
      <c r="AM13" s="77"/>
      <c r="AN13" s="77"/>
      <c r="AO13" s="77"/>
      <c r="AP13" s="77"/>
      <c r="AQ13" s="77"/>
      <c r="AR13" s="77"/>
      <c r="AS13" s="77"/>
      <c r="AT13" s="77"/>
      <c r="AU13" s="77"/>
      <c r="AV13" s="80" t="str">
        <f>HYPERLINK("https://pbs.twimg.com/profile_images/1667326263093067777/r3PmTWr2_normal.jpg")</f>
        <v>https://pbs.twimg.com/profile_images/1667326263093067777/r3PmTWr2_normal.jpg</v>
      </c>
      <c r="AW13" s="82" t="s">
        <v>4070</v>
      </c>
      <c r="AX13" s="82" t="s">
        <v>4070</v>
      </c>
      <c r="AY13" s="77"/>
      <c r="AZ13" s="82" t="s">
        <v>5075</v>
      </c>
      <c r="BA13" s="82" t="s">
        <v>5075</v>
      </c>
      <c r="BB13" s="82" t="s">
        <v>5075</v>
      </c>
      <c r="BC13" s="82" t="s">
        <v>4070</v>
      </c>
      <c r="BD13" s="82" t="s">
        <v>5121</v>
      </c>
      <c r="BE13" s="77"/>
      <c r="BF13" s="77"/>
      <c r="BG13" s="77"/>
      <c r="BH13" s="77"/>
      <c r="BI13" s="77"/>
    </row>
    <row r="14" spans="1:61" x14ac:dyDescent="0.25">
      <c r="A14" s="62" t="s">
        <v>224</v>
      </c>
      <c r="B14" s="62" t="s">
        <v>224</v>
      </c>
      <c r="C14" s="63"/>
      <c r="D14" s="64"/>
      <c r="E14" s="65"/>
      <c r="F14" s="66"/>
      <c r="G14" s="63"/>
      <c r="H14" s="67"/>
      <c r="I14" s="68"/>
      <c r="J14" s="68"/>
      <c r="K14" s="32"/>
      <c r="L14" s="75">
        <v>14</v>
      </c>
      <c r="M14" s="75"/>
      <c r="N14" s="70"/>
      <c r="O14" s="77" t="s">
        <v>179</v>
      </c>
      <c r="P14" s="79">
        <v>45188.59039351852</v>
      </c>
      <c r="Q14" s="77" t="s">
        <v>550</v>
      </c>
      <c r="R14" s="77">
        <v>0</v>
      </c>
      <c r="S14" s="77">
        <v>0</v>
      </c>
      <c r="T14" s="77">
        <v>0</v>
      </c>
      <c r="U14" s="77">
        <v>0</v>
      </c>
      <c r="V14" s="77">
        <v>4</v>
      </c>
      <c r="W14" s="82" t="s">
        <v>1441</v>
      </c>
      <c r="X14" s="80" t="str">
        <f>HYPERLINK("https://www.instagram.com/reel")</f>
        <v>https://www.instagram.com/reel</v>
      </c>
      <c r="Y14" s="77" t="s">
        <v>1974</v>
      </c>
      <c r="Z14" s="77"/>
      <c r="AA14" s="77"/>
      <c r="AB14" s="77"/>
      <c r="AC14" s="82" t="s">
        <v>2638</v>
      </c>
      <c r="AD14" s="77" t="s">
        <v>2670</v>
      </c>
      <c r="AE14" s="80" t="str">
        <f>HYPERLINK("https://twitter.com/iberezanski/status/1704135799954939958")</f>
        <v>https://twitter.com/iberezanski/status/1704135799954939958</v>
      </c>
      <c r="AF14" s="79">
        <v>45188.59039351852</v>
      </c>
      <c r="AG14" s="85">
        <v>45188</v>
      </c>
      <c r="AH14" s="82" t="s">
        <v>2687</v>
      </c>
      <c r="AI14" s="77" t="b">
        <v>0</v>
      </c>
      <c r="AJ14" s="77"/>
      <c r="AK14" s="77"/>
      <c r="AL14" s="77"/>
      <c r="AM14" s="77"/>
      <c r="AN14" s="77"/>
      <c r="AO14" s="77"/>
      <c r="AP14" s="77"/>
      <c r="AQ14" s="77"/>
      <c r="AR14" s="77"/>
      <c r="AS14" s="77"/>
      <c r="AT14" s="77"/>
      <c r="AU14" s="77"/>
      <c r="AV14" s="80" t="str">
        <f>HYPERLINK("https://pbs.twimg.com/profile_images/1667326263093067777/r3PmTWr2_normal.jpg")</f>
        <v>https://pbs.twimg.com/profile_images/1667326263093067777/r3PmTWr2_normal.jpg</v>
      </c>
      <c r="AW14" s="82" t="s">
        <v>4071</v>
      </c>
      <c r="AX14" s="82" t="s">
        <v>4071</v>
      </c>
      <c r="AY14" s="77"/>
      <c r="AZ14" s="82" t="s">
        <v>5075</v>
      </c>
      <c r="BA14" s="82" t="s">
        <v>5075</v>
      </c>
      <c r="BB14" s="82" t="s">
        <v>5075</v>
      </c>
      <c r="BC14" s="82" t="s">
        <v>4071</v>
      </c>
      <c r="BD14" s="82" t="s">
        <v>5121</v>
      </c>
      <c r="BE14" s="77"/>
      <c r="BF14" s="77"/>
      <c r="BG14" s="77"/>
      <c r="BH14" s="77"/>
      <c r="BI14" s="77"/>
    </row>
    <row r="15" spans="1:61" x14ac:dyDescent="0.25">
      <c r="A15" s="62" t="s">
        <v>224</v>
      </c>
      <c r="B15" s="62" t="s">
        <v>224</v>
      </c>
      <c r="C15" s="63"/>
      <c r="D15" s="64"/>
      <c r="E15" s="65"/>
      <c r="F15" s="66"/>
      <c r="G15" s="63"/>
      <c r="H15" s="67"/>
      <c r="I15" s="68"/>
      <c r="J15" s="68"/>
      <c r="K15" s="32"/>
      <c r="L15" s="75">
        <v>15</v>
      </c>
      <c r="M15" s="75"/>
      <c r="N15" s="70"/>
      <c r="O15" s="77" t="s">
        <v>179</v>
      </c>
      <c r="P15" s="79">
        <v>45174.596932870372</v>
      </c>
      <c r="Q15" s="77" t="s">
        <v>551</v>
      </c>
      <c r="R15" s="77">
        <v>0</v>
      </c>
      <c r="S15" s="77">
        <v>0</v>
      </c>
      <c r="T15" s="77">
        <v>0</v>
      </c>
      <c r="U15" s="77">
        <v>0</v>
      </c>
      <c r="V15" s="77">
        <v>3</v>
      </c>
      <c r="W15" s="82" t="s">
        <v>1442</v>
      </c>
      <c r="X15" s="80" t="str">
        <f>HYPERLINK("https://www.instagram.com/reel/Cw0ARy6OYqj/?igshid=MTc4MmM1YmI2Ng==")</f>
        <v>https://www.instagram.com/reel/Cw0ARy6OYqj/?igshid=MTc4MmM1YmI2Ng==</v>
      </c>
      <c r="Y15" s="77" t="s">
        <v>1974</v>
      </c>
      <c r="Z15" s="77"/>
      <c r="AA15" s="77"/>
      <c r="AB15" s="77"/>
      <c r="AC15" s="82" t="s">
        <v>2638</v>
      </c>
      <c r="AD15" s="77" t="s">
        <v>2670</v>
      </c>
      <c r="AE15" s="80" t="str">
        <f>HYPERLINK("https://twitter.com/iberezanski/status/1699064737387221367")</f>
        <v>https://twitter.com/iberezanski/status/1699064737387221367</v>
      </c>
      <c r="AF15" s="79">
        <v>45174.596932870372</v>
      </c>
      <c r="AG15" s="85">
        <v>45174</v>
      </c>
      <c r="AH15" s="82" t="s">
        <v>2688</v>
      </c>
      <c r="AI15" s="77" t="b">
        <v>0</v>
      </c>
      <c r="AJ15" s="77"/>
      <c r="AK15" s="77"/>
      <c r="AL15" s="77"/>
      <c r="AM15" s="77"/>
      <c r="AN15" s="77"/>
      <c r="AO15" s="77"/>
      <c r="AP15" s="77"/>
      <c r="AQ15" s="77"/>
      <c r="AR15" s="77"/>
      <c r="AS15" s="77"/>
      <c r="AT15" s="77"/>
      <c r="AU15" s="77"/>
      <c r="AV15" s="80" t="str">
        <f>HYPERLINK("https://pbs.twimg.com/profile_images/1667326263093067777/r3PmTWr2_normal.jpg")</f>
        <v>https://pbs.twimg.com/profile_images/1667326263093067777/r3PmTWr2_normal.jpg</v>
      </c>
      <c r="AW15" s="82" t="s">
        <v>4072</v>
      </c>
      <c r="AX15" s="82" t="s">
        <v>4072</v>
      </c>
      <c r="AY15" s="77"/>
      <c r="AZ15" s="82" t="s">
        <v>5075</v>
      </c>
      <c r="BA15" s="82" t="s">
        <v>5075</v>
      </c>
      <c r="BB15" s="82" t="s">
        <v>5075</v>
      </c>
      <c r="BC15" s="82" t="s">
        <v>4072</v>
      </c>
      <c r="BD15" s="82" t="s">
        <v>5121</v>
      </c>
      <c r="BE15" s="77"/>
      <c r="BF15" s="77"/>
      <c r="BG15" s="77"/>
      <c r="BH15" s="77"/>
      <c r="BI15" s="77"/>
    </row>
    <row r="16" spans="1:61" x14ac:dyDescent="0.25">
      <c r="A16" s="62" t="s">
        <v>224</v>
      </c>
      <c r="B16" s="62" t="s">
        <v>224</v>
      </c>
      <c r="C16" s="63"/>
      <c r="D16" s="64"/>
      <c r="E16" s="65"/>
      <c r="F16" s="66"/>
      <c r="G16" s="63"/>
      <c r="H16" s="67"/>
      <c r="I16" s="68"/>
      <c r="J16" s="68"/>
      <c r="K16" s="32"/>
      <c r="L16" s="75">
        <v>16</v>
      </c>
      <c r="M16" s="75"/>
      <c r="N16" s="70"/>
      <c r="O16" s="77" t="s">
        <v>179</v>
      </c>
      <c r="P16" s="79">
        <v>45153.582129629627</v>
      </c>
      <c r="Q16" s="77" t="s">
        <v>552</v>
      </c>
      <c r="R16" s="77">
        <v>0</v>
      </c>
      <c r="S16" s="77">
        <v>0</v>
      </c>
      <c r="T16" s="77">
        <v>0</v>
      </c>
      <c r="U16" s="77">
        <v>0</v>
      </c>
      <c r="V16" s="77">
        <v>1</v>
      </c>
      <c r="W16" s="82" t="s">
        <v>1443</v>
      </c>
      <c r="X16" s="77"/>
      <c r="Y16" s="77"/>
      <c r="Z16" s="77"/>
      <c r="AA16" s="77"/>
      <c r="AB16" s="77"/>
      <c r="AC16" s="82" t="s">
        <v>2638</v>
      </c>
      <c r="AD16" s="77" t="s">
        <v>2670</v>
      </c>
      <c r="AE16" s="80" t="str">
        <f>HYPERLINK("https://twitter.com/iberezanski/status/1691449228579811328")</f>
        <v>https://twitter.com/iberezanski/status/1691449228579811328</v>
      </c>
      <c r="AF16" s="79">
        <v>45153.582129629627</v>
      </c>
      <c r="AG16" s="85">
        <v>45153</v>
      </c>
      <c r="AH16" s="82" t="s">
        <v>2689</v>
      </c>
      <c r="AI16" s="77"/>
      <c r="AJ16" s="77"/>
      <c r="AK16" s="77"/>
      <c r="AL16" s="77"/>
      <c r="AM16" s="77"/>
      <c r="AN16" s="77"/>
      <c r="AO16" s="77"/>
      <c r="AP16" s="77"/>
      <c r="AQ16" s="77"/>
      <c r="AR16" s="77"/>
      <c r="AS16" s="77"/>
      <c r="AT16" s="77"/>
      <c r="AU16" s="77"/>
      <c r="AV16" s="80" t="str">
        <f>HYPERLINK("https://pbs.twimg.com/profile_images/1667326263093067777/r3PmTWr2_normal.jpg")</f>
        <v>https://pbs.twimg.com/profile_images/1667326263093067777/r3PmTWr2_normal.jpg</v>
      </c>
      <c r="AW16" s="82" t="s">
        <v>4073</v>
      </c>
      <c r="AX16" s="82" t="s">
        <v>4073</v>
      </c>
      <c r="AY16" s="77"/>
      <c r="AZ16" s="82" t="s">
        <v>5075</v>
      </c>
      <c r="BA16" s="82" t="s">
        <v>5075</v>
      </c>
      <c r="BB16" s="82" t="s">
        <v>5075</v>
      </c>
      <c r="BC16" s="82" t="s">
        <v>4073</v>
      </c>
      <c r="BD16" s="82" t="s">
        <v>5121</v>
      </c>
      <c r="BE16" s="77"/>
      <c r="BF16" s="77"/>
      <c r="BG16" s="77"/>
      <c r="BH16" s="77"/>
      <c r="BI16" s="77"/>
    </row>
    <row r="17" spans="1:61" x14ac:dyDescent="0.25">
      <c r="A17" s="62" t="s">
        <v>224</v>
      </c>
      <c r="B17" s="62" t="s">
        <v>224</v>
      </c>
      <c r="C17" s="63"/>
      <c r="D17" s="64"/>
      <c r="E17" s="65"/>
      <c r="F17" s="66"/>
      <c r="G17" s="63"/>
      <c r="H17" s="67"/>
      <c r="I17" s="68"/>
      <c r="J17" s="68"/>
      <c r="K17" s="32"/>
      <c r="L17" s="75">
        <v>17</v>
      </c>
      <c r="M17" s="75"/>
      <c r="N17" s="70"/>
      <c r="O17" s="77" t="s">
        <v>179</v>
      </c>
      <c r="P17" s="79">
        <v>45125.591122685182</v>
      </c>
      <c r="Q17" s="77" t="s">
        <v>553</v>
      </c>
      <c r="R17" s="77">
        <v>0</v>
      </c>
      <c r="S17" s="77">
        <v>0</v>
      </c>
      <c r="T17" s="77">
        <v>0</v>
      </c>
      <c r="U17" s="77">
        <v>0</v>
      </c>
      <c r="V17" s="77">
        <v>4</v>
      </c>
      <c r="W17" s="82" t="s">
        <v>1444</v>
      </c>
      <c r="X17" s="80" t="str">
        <f>HYPERLINK("https://www.instagram.com/reel/Cu12rWBtelO/?igshid=MTc4MmM1YmI2Ng==")</f>
        <v>https://www.instagram.com/reel/Cu12rWBtelO/?igshid=MTc4MmM1YmI2Ng==</v>
      </c>
      <c r="Y17" s="77" t="s">
        <v>1974</v>
      </c>
      <c r="Z17" s="77"/>
      <c r="AA17" s="77"/>
      <c r="AB17" s="77"/>
      <c r="AC17" s="82" t="s">
        <v>2638</v>
      </c>
      <c r="AD17" s="77" t="s">
        <v>2670</v>
      </c>
      <c r="AE17" s="80" t="str">
        <f>HYPERLINK("https://twitter.com/iberezanski/status/1681305629032587272")</f>
        <v>https://twitter.com/iberezanski/status/1681305629032587272</v>
      </c>
      <c r="AF17" s="79">
        <v>45125.591122685182</v>
      </c>
      <c r="AG17" s="85">
        <v>45125</v>
      </c>
      <c r="AH17" s="82" t="s">
        <v>2690</v>
      </c>
      <c r="AI17" s="77" t="b">
        <v>0</v>
      </c>
      <c r="AJ17" s="77"/>
      <c r="AK17" s="77"/>
      <c r="AL17" s="77"/>
      <c r="AM17" s="77"/>
      <c r="AN17" s="77"/>
      <c r="AO17" s="77"/>
      <c r="AP17" s="77"/>
      <c r="AQ17" s="77"/>
      <c r="AR17" s="77"/>
      <c r="AS17" s="77"/>
      <c r="AT17" s="77"/>
      <c r="AU17" s="77"/>
      <c r="AV17" s="80" t="str">
        <f>HYPERLINK("https://pbs.twimg.com/profile_images/1667326263093067777/r3PmTWr2_normal.jpg")</f>
        <v>https://pbs.twimg.com/profile_images/1667326263093067777/r3PmTWr2_normal.jpg</v>
      </c>
      <c r="AW17" s="82" t="s">
        <v>4074</v>
      </c>
      <c r="AX17" s="82" t="s">
        <v>4074</v>
      </c>
      <c r="AY17" s="77"/>
      <c r="AZ17" s="82" t="s">
        <v>5075</v>
      </c>
      <c r="BA17" s="82" t="s">
        <v>5075</v>
      </c>
      <c r="BB17" s="82" t="s">
        <v>5075</v>
      </c>
      <c r="BC17" s="82" t="s">
        <v>4074</v>
      </c>
      <c r="BD17" s="82" t="s">
        <v>5121</v>
      </c>
      <c r="BE17" s="77"/>
      <c r="BF17" s="77"/>
      <c r="BG17" s="77"/>
      <c r="BH17" s="77"/>
      <c r="BI17" s="77"/>
    </row>
    <row r="18" spans="1:61" x14ac:dyDescent="0.25">
      <c r="A18" s="62" t="s">
        <v>225</v>
      </c>
      <c r="B18" s="62" t="s">
        <v>225</v>
      </c>
      <c r="C18" s="63"/>
      <c r="D18" s="64"/>
      <c r="E18" s="65"/>
      <c r="F18" s="66"/>
      <c r="G18" s="63"/>
      <c r="H18" s="67"/>
      <c r="I18" s="68"/>
      <c r="J18" s="68"/>
      <c r="K18" s="32"/>
      <c r="L18" s="75">
        <v>18</v>
      </c>
      <c r="M18" s="75"/>
      <c r="N18" s="70"/>
      <c r="O18" s="77" t="s">
        <v>536</v>
      </c>
      <c r="P18" s="79">
        <v>45025.719976851855</v>
      </c>
      <c r="Q18" s="77" t="s">
        <v>554</v>
      </c>
      <c r="R18" s="77">
        <v>0</v>
      </c>
      <c r="S18" s="77">
        <v>0</v>
      </c>
      <c r="T18" s="77">
        <v>0</v>
      </c>
      <c r="U18" s="77">
        <v>0</v>
      </c>
      <c r="V18" s="77">
        <v>5</v>
      </c>
      <c r="W18" s="82" t="s">
        <v>1445</v>
      </c>
      <c r="X18" s="77"/>
      <c r="Y18" s="77"/>
      <c r="Z18" s="77"/>
      <c r="AA18" s="77"/>
      <c r="AB18" s="77"/>
      <c r="AC18" s="82" t="s">
        <v>2639</v>
      </c>
      <c r="AD18" s="77" t="s">
        <v>2670</v>
      </c>
      <c r="AE18" s="80" t="str">
        <f>HYPERLINK("https://twitter.com/borafalardguito/status/1645113537444864004")</f>
        <v>https://twitter.com/borafalardguito/status/1645113537444864004</v>
      </c>
      <c r="AF18" s="79">
        <v>45025.719976851855</v>
      </c>
      <c r="AG18" s="85">
        <v>45025</v>
      </c>
      <c r="AH18" s="82" t="s">
        <v>2691</v>
      </c>
      <c r="AI18" s="77"/>
      <c r="AJ18" s="77"/>
      <c r="AK18" s="77"/>
      <c r="AL18" s="77"/>
      <c r="AM18" s="77"/>
      <c r="AN18" s="77"/>
      <c r="AO18" s="77"/>
      <c r="AP18" s="77"/>
      <c r="AQ18" s="77"/>
      <c r="AR18" s="77"/>
      <c r="AS18" s="77"/>
      <c r="AT18" s="77"/>
      <c r="AU18" s="77"/>
      <c r="AV18" s="80" t="str">
        <f>HYPERLINK("https://pbs.twimg.com/profile_images/1335657066116096003/WWv9SrEq_normal.jpg")</f>
        <v>https://pbs.twimg.com/profile_images/1335657066116096003/WWv9SrEq_normal.jpg</v>
      </c>
      <c r="AW18" s="82" t="s">
        <v>4075</v>
      </c>
      <c r="AX18" s="82" t="s">
        <v>4955</v>
      </c>
      <c r="AY18" s="82" t="s">
        <v>5026</v>
      </c>
      <c r="AZ18" s="82" t="s">
        <v>4955</v>
      </c>
      <c r="BA18" s="82" t="s">
        <v>5075</v>
      </c>
      <c r="BB18" s="82" t="s">
        <v>5075</v>
      </c>
      <c r="BC18" s="82" t="s">
        <v>4955</v>
      </c>
      <c r="BD18" s="82" t="s">
        <v>5026</v>
      </c>
      <c r="BE18" s="77"/>
      <c r="BF18" s="77"/>
      <c r="BG18" s="77"/>
      <c r="BH18" s="77"/>
      <c r="BI18" s="77"/>
    </row>
    <row r="19" spans="1:61" x14ac:dyDescent="0.25">
      <c r="A19" s="62" t="s">
        <v>226</v>
      </c>
      <c r="B19" s="62" t="s">
        <v>226</v>
      </c>
      <c r="C19" s="63"/>
      <c r="D19" s="64"/>
      <c r="E19" s="65"/>
      <c r="F19" s="66"/>
      <c r="G19" s="63"/>
      <c r="H19" s="67"/>
      <c r="I19" s="68"/>
      <c r="J19" s="68"/>
      <c r="K19" s="32"/>
      <c r="L19" s="75">
        <v>19</v>
      </c>
      <c r="M19" s="75"/>
      <c r="N19" s="70"/>
      <c r="O19" s="77" t="s">
        <v>179</v>
      </c>
      <c r="P19" s="79">
        <v>45067.558530092596</v>
      </c>
      <c r="Q19" s="77" t="s">
        <v>555</v>
      </c>
      <c r="R19" s="77">
        <v>0</v>
      </c>
      <c r="S19" s="77">
        <v>0</v>
      </c>
      <c r="T19" s="77">
        <v>0</v>
      </c>
      <c r="U19" s="77">
        <v>0</v>
      </c>
      <c r="V19" s="77">
        <v>26</v>
      </c>
      <c r="W19" s="82" t="s">
        <v>1446</v>
      </c>
      <c r="X19" s="77"/>
      <c r="Y19" s="77"/>
      <c r="Z19" s="77"/>
      <c r="AA19" s="77"/>
      <c r="AB19" s="77"/>
      <c r="AC19" s="82" t="s">
        <v>2639</v>
      </c>
      <c r="AD19" s="77" t="s">
        <v>2671</v>
      </c>
      <c r="AE19" s="80" t="str">
        <f>HYPERLINK("https://twitter.com/sageousthoughts/status/1660275319176331266")</f>
        <v>https://twitter.com/sageousthoughts/status/1660275319176331266</v>
      </c>
      <c r="AF19" s="79">
        <v>45067.558530092596</v>
      </c>
      <c r="AG19" s="85">
        <v>45067</v>
      </c>
      <c r="AH19" s="82" t="s">
        <v>2692</v>
      </c>
      <c r="AI19" s="77"/>
      <c r="AJ19" s="77"/>
      <c r="AK19" s="77"/>
      <c r="AL19" s="77"/>
      <c r="AM19" s="77"/>
      <c r="AN19" s="77"/>
      <c r="AO19" s="77"/>
      <c r="AP19" s="77"/>
      <c r="AQ19" s="77"/>
      <c r="AR19" s="77"/>
      <c r="AS19" s="77"/>
      <c r="AT19" s="77"/>
      <c r="AU19" s="77"/>
      <c r="AV19" s="80" t="str">
        <f>HYPERLINK("https://pbs.twimg.com/profile_images/1561266924667162624/pXvjyAYE_normal.jpg")</f>
        <v>https://pbs.twimg.com/profile_images/1561266924667162624/pXvjyAYE_normal.jpg</v>
      </c>
      <c r="AW19" s="82" t="s">
        <v>4076</v>
      </c>
      <c r="AX19" s="82" t="s">
        <v>4076</v>
      </c>
      <c r="AY19" s="77"/>
      <c r="AZ19" s="82" t="s">
        <v>5075</v>
      </c>
      <c r="BA19" s="82" t="s">
        <v>5075</v>
      </c>
      <c r="BB19" s="82" t="s">
        <v>5075</v>
      </c>
      <c r="BC19" s="82" t="s">
        <v>4076</v>
      </c>
      <c r="BD19" s="82" t="s">
        <v>5122</v>
      </c>
      <c r="BE19" s="77"/>
      <c r="BF19" s="77"/>
      <c r="BG19" s="77"/>
      <c r="BH19" s="77"/>
      <c r="BI19" s="77"/>
    </row>
    <row r="20" spans="1:61" x14ac:dyDescent="0.25">
      <c r="A20" s="62" t="s">
        <v>227</v>
      </c>
      <c r="B20" s="62" t="s">
        <v>507</v>
      </c>
      <c r="C20" s="63"/>
      <c r="D20" s="64"/>
      <c r="E20" s="65"/>
      <c r="F20" s="66"/>
      <c r="G20" s="63"/>
      <c r="H20" s="67"/>
      <c r="I20" s="68"/>
      <c r="J20" s="68"/>
      <c r="K20" s="32"/>
      <c r="L20" s="75">
        <v>20</v>
      </c>
      <c r="M20" s="75"/>
      <c r="N20" s="70"/>
      <c r="O20" s="77" t="s">
        <v>537</v>
      </c>
      <c r="P20" s="79">
        <v>45190.657118055555</v>
      </c>
      <c r="Q20" s="77" t="s">
        <v>556</v>
      </c>
      <c r="R20" s="77">
        <v>1</v>
      </c>
      <c r="S20" s="77">
        <v>0</v>
      </c>
      <c r="T20" s="77">
        <v>0</v>
      </c>
      <c r="U20" s="77">
        <v>0</v>
      </c>
      <c r="V20" s="77"/>
      <c r="W20" s="77"/>
      <c r="X20" s="77"/>
      <c r="Y20" s="77"/>
      <c r="Z20" s="77" t="s">
        <v>507</v>
      </c>
      <c r="AA20" s="77"/>
      <c r="AB20" s="77"/>
      <c r="AC20" s="82" t="s">
        <v>2639</v>
      </c>
      <c r="AD20" s="77" t="s">
        <v>2670</v>
      </c>
      <c r="AE20" s="80" t="str">
        <f>HYPERLINK("https://twitter.com/turankurnaz/status/1704884754829484445")</f>
        <v>https://twitter.com/turankurnaz/status/1704884754829484445</v>
      </c>
      <c r="AF20" s="79">
        <v>45190.657118055555</v>
      </c>
      <c r="AG20" s="85">
        <v>45190</v>
      </c>
      <c r="AH20" s="82" t="s">
        <v>2693</v>
      </c>
      <c r="AI20" s="77"/>
      <c r="AJ20" s="77"/>
      <c r="AK20" s="77"/>
      <c r="AL20" s="77"/>
      <c r="AM20" s="77"/>
      <c r="AN20" s="77"/>
      <c r="AO20" s="77"/>
      <c r="AP20" s="77"/>
      <c r="AQ20" s="77"/>
      <c r="AR20" s="77"/>
      <c r="AS20" s="77"/>
      <c r="AT20" s="77"/>
      <c r="AU20" s="77"/>
      <c r="AV20" s="80" t="str">
        <f>HYPERLINK("https://pbs.twimg.com/profile_images/1703470112093749248/bgtvgRO3_normal.jpg")</f>
        <v>https://pbs.twimg.com/profile_images/1703470112093749248/bgtvgRO3_normal.jpg</v>
      </c>
      <c r="AW20" s="82" t="s">
        <v>4077</v>
      </c>
      <c r="AX20" s="82" t="s">
        <v>4077</v>
      </c>
      <c r="AY20" s="77"/>
      <c r="AZ20" s="82" t="s">
        <v>5075</v>
      </c>
      <c r="BA20" s="82" t="s">
        <v>5075</v>
      </c>
      <c r="BB20" s="82" t="s">
        <v>4940</v>
      </c>
      <c r="BC20" s="82" t="s">
        <v>4940</v>
      </c>
      <c r="BD20" s="77">
        <v>399265512</v>
      </c>
      <c r="BE20" s="77"/>
      <c r="BF20" s="77"/>
      <c r="BG20" s="77"/>
      <c r="BH20" s="77"/>
      <c r="BI20" s="77"/>
    </row>
    <row r="21" spans="1:61" x14ac:dyDescent="0.25">
      <c r="A21" s="62" t="s">
        <v>228</v>
      </c>
      <c r="B21" s="62" t="s">
        <v>228</v>
      </c>
      <c r="C21" s="63"/>
      <c r="D21" s="64"/>
      <c r="E21" s="65"/>
      <c r="F21" s="66"/>
      <c r="G21" s="63"/>
      <c r="H21" s="67"/>
      <c r="I21" s="68"/>
      <c r="J21" s="68"/>
      <c r="K21" s="32"/>
      <c r="L21" s="75">
        <v>21</v>
      </c>
      <c r="M21" s="75"/>
      <c r="N21" s="70"/>
      <c r="O21" s="77" t="s">
        <v>179</v>
      </c>
      <c r="P21" s="79">
        <v>45049.992789351854</v>
      </c>
      <c r="Q21" s="77" t="s">
        <v>557</v>
      </c>
      <c r="R21" s="77">
        <v>0</v>
      </c>
      <c r="S21" s="77">
        <v>0</v>
      </c>
      <c r="T21" s="77">
        <v>0</v>
      </c>
      <c r="U21" s="77">
        <v>0</v>
      </c>
      <c r="V21" s="77">
        <v>16</v>
      </c>
      <c r="W21" s="82" t="s">
        <v>1447</v>
      </c>
      <c r="X21" s="77"/>
      <c r="Y21" s="77"/>
      <c r="Z21" s="77"/>
      <c r="AA21" s="77" t="s">
        <v>2014</v>
      </c>
      <c r="AB21" s="77" t="s">
        <v>2632</v>
      </c>
      <c r="AC21" s="82" t="s">
        <v>2640</v>
      </c>
      <c r="AD21" s="77" t="s">
        <v>2670</v>
      </c>
      <c r="AE21" s="80" t="str">
        <f>HYPERLINK("https://twitter.com/ajumanganelli/status/1653909708934184961")</f>
        <v>https://twitter.com/ajumanganelli/status/1653909708934184961</v>
      </c>
      <c r="AF21" s="79">
        <v>45049.992789351854</v>
      </c>
      <c r="AG21" s="85">
        <v>45049</v>
      </c>
      <c r="AH21" s="82" t="s">
        <v>2694</v>
      </c>
      <c r="AI21" s="77" t="b">
        <v>0</v>
      </c>
      <c r="AJ21" s="77"/>
      <c r="AK21" s="77"/>
      <c r="AL21" s="77"/>
      <c r="AM21" s="77"/>
      <c r="AN21" s="77"/>
      <c r="AO21" s="77"/>
      <c r="AP21" s="77"/>
      <c r="AQ21" s="77" t="s">
        <v>3443</v>
      </c>
      <c r="AR21" s="77"/>
      <c r="AS21" s="77"/>
      <c r="AT21" s="77"/>
      <c r="AU21" s="77"/>
      <c r="AV21" s="80" t="str">
        <f>HYPERLINK("https://pbs.twimg.com/media/FvPeGg4XgAIo7u3.jpg")</f>
        <v>https://pbs.twimg.com/media/FvPeGg4XgAIo7u3.jpg</v>
      </c>
      <c r="AW21" s="82" t="s">
        <v>4078</v>
      </c>
      <c r="AX21" s="82" t="s">
        <v>4078</v>
      </c>
      <c r="AY21" s="77"/>
      <c r="AZ21" s="82" t="s">
        <v>5075</v>
      </c>
      <c r="BA21" s="82" t="s">
        <v>5075</v>
      </c>
      <c r="BB21" s="82" t="s">
        <v>5075</v>
      </c>
      <c r="BC21" s="82" t="s">
        <v>4078</v>
      </c>
      <c r="BD21" s="82" t="s">
        <v>5123</v>
      </c>
      <c r="BE21" s="77"/>
      <c r="BF21" s="77"/>
      <c r="BG21" s="77"/>
      <c r="BH21" s="77"/>
      <c r="BI21" s="77"/>
    </row>
    <row r="22" spans="1:61" x14ac:dyDescent="0.25">
      <c r="A22" s="62" t="s">
        <v>229</v>
      </c>
      <c r="B22" s="62" t="s">
        <v>229</v>
      </c>
      <c r="C22" s="63"/>
      <c r="D22" s="64"/>
      <c r="E22" s="65"/>
      <c r="F22" s="66"/>
      <c r="G22" s="63"/>
      <c r="H22" s="67"/>
      <c r="I22" s="68"/>
      <c r="J22" s="68"/>
      <c r="K22" s="32"/>
      <c r="L22" s="75">
        <v>22</v>
      </c>
      <c r="M22" s="75"/>
      <c r="N22" s="70"/>
      <c r="O22" s="77" t="s">
        <v>179</v>
      </c>
      <c r="P22" s="79">
        <v>45088.723321759258</v>
      </c>
      <c r="Q22" s="77" t="s">
        <v>558</v>
      </c>
      <c r="R22" s="77">
        <v>0</v>
      </c>
      <c r="S22" s="77">
        <v>0</v>
      </c>
      <c r="T22" s="77">
        <v>0</v>
      </c>
      <c r="U22" s="77">
        <v>0</v>
      </c>
      <c r="V22" s="77">
        <v>21</v>
      </c>
      <c r="W22" s="82" t="s">
        <v>1448</v>
      </c>
      <c r="X22" s="77"/>
      <c r="Y22" s="77"/>
      <c r="Z22" s="77"/>
      <c r="AA22" s="77"/>
      <c r="AB22" s="77"/>
      <c r="AC22" s="82" t="s">
        <v>2639</v>
      </c>
      <c r="AD22" s="77" t="s">
        <v>2670</v>
      </c>
      <c r="AE22" s="80" t="str">
        <f>HYPERLINK("https://twitter.com/streladomar/status/1667945185467146241")</f>
        <v>https://twitter.com/streladomar/status/1667945185467146241</v>
      </c>
      <c r="AF22" s="79">
        <v>45088.723321759258</v>
      </c>
      <c r="AG22" s="85">
        <v>45088</v>
      </c>
      <c r="AH22" s="82" t="s">
        <v>2695</v>
      </c>
      <c r="AI22" s="77" t="b">
        <v>0</v>
      </c>
      <c r="AJ22" s="77"/>
      <c r="AK22" s="77"/>
      <c r="AL22" s="77"/>
      <c r="AM22" s="77"/>
      <c r="AN22" s="77"/>
      <c r="AO22" s="77"/>
      <c r="AP22" s="77"/>
      <c r="AQ22" s="77"/>
      <c r="AR22" s="77"/>
      <c r="AS22" s="77"/>
      <c r="AT22" s="77"/>
      <c r="AU22" s="77"/>
      <c r="AV22" s="80" t="str">
        <f>HYPERLINK("https://pbs.twimg.com/profile_images/1456336633003921409/NyCJliLS_normal.jpg")</f>
        <v>https://pbs.twimg.com/profile_images/1456336633003921409/NyCJliLS_normal.jpg</v>
      </c>
      <c r="AW22" s="82" t="s">
        <v>4079</v>
      </c>
      <c r="AX22" s="82" t="s">
        <v>4079</v>
      </c>
      <c r="AY22" s="77"/>
      <c r="AZ22" s="82" t="s">
        <v>5075</v>
      </c>
      <c r="BA22" s="82" t="s">
        <v>5075</v>
      </c>
      <c r="BB22" s="82" t="s">
        <v>5075</v>
      </c>
      <c r="BC22" s="82" t="s">
        <v>4079</v>
      </c>
      <c r="BD22" s="77">
        <v>141030680</v>
      </c>
      <c r="BE22" s="77" t="s">
        <v>5285</v>
      </c>
      <c r="BF22" s="77" t="s">
        <v>5287</v>
      </c>
      <c r="BG22" s="77">
        <v>10080</v>
      </c>
      <c r="BH22" s="77" t="s">
        <v>5288</v>
      </c>
      <c r="BI22" s="77" t="s">
        <v>5290</v>
      </c>
    </row>
    <row r="23" spans="1:61" x14ac:dyDescent="0.25">
      <c r="A23" s="62" t="s">
        <v>229</v>
      </c>
      <c r="B23" s="62" t="s">
        <v>229</v>
      </c>
      <c r="C23" s="63"/>
      <c r="D23" s="64"/>
      <c r="E23" s="65"/>
      <c r="F23" s="66"/>
      <c r="G23" s="63"/>
      <c r="H23" s="67"/>
      <c r="I23" s="68"/>
      <c r="J23" s="68"/>
      <c r="K23" s="32"/>
      <c r="L23" s="75">
        <v>23</v>
      </c>
      <c r="M23" s="75"/>
      <c r="N23" s="70"/>
      <c r="O23" s="77" t="s">
        <v>179</v>
      </c>
      <c r="P23" s="79">
        <v>45088.722291666665</v>
      </c>
      <c r="Q23" s="77" t="s">
        <v>559</v>
      </c>
      <c r="R23" s="77">
        <v>0</v>
      </c>
      <c r="S23" s="77">
        <v>0</v>
      </c>
      <c r="T23" s="77">
        <v>0</v>
      </c>
      <c r="U23" s="77">
        <v>0</v>
      </c>
      <c r="V23" s="77">
        <v>24</v>
      </c>
      <c r="W23" s="82" t="s">
        <v>1448</v>
      </c>
      <c r="X23" s="77"/>
      <c r="Y23" s="77"/>
      <c r="Z23" s="77"/>
      <c r="AA23" s="77"/>
      <c r="AB23" s="77"/>
      <c r="AC23" s="82" t="s">
        <v>2639</v>
      </c>
      <c r="AD23" s="77" t="s">
        <v>2670</v>
      </c>
      <c r="AE23" s="80" t="str">
        <f>HYPERLINK("https://twitter.com/streladomar/status/1667944812836794368")</f>
        <v>https://twitter.com/streladomar/status/1667944812836794368</v>
      </c>
      <c r="AF23" s="79">
        <v>45088.722291666665</v>
      </c>
      <c r="AG23" s="85">
        <v>45088</v>
      </c>
      <c r="AH23" s="82" t="s">
        <v>2696</v>
      </c>
      <c r="AI23" s="77" t="b">
        <v>0</v>
      </c>
      <c r="AJ23" s="77"/>
      <c r="AK23" s="77"/>
      <c r="AL23" s="77"/>
      <c r="AM23" s="77"/>
      <c r="AN23" s="77"/>
      <c r="AO23" s="77"/>
      <c r="AP23" s="77"/>
      <c r="AQ23" s="77"/>
      <c r="AR23" s="77"/>
      <c r="AS23" s="77"/>
      <c r="AT23" s="77"/>
      <c r="AU23" s="77"/>
      <c r="AV23" s="80" t="str">
        <f>HYPERLINK("https://pbs.twimg.com/profile_images/1456336633003921409/NyCJliLS_normal.jpg")</f>
        <v>https://pbs.twimg.com/profile_images/1456336633003921409/NyCJliLS_normal.jpg</v>
      </c>
      <c r="AW23" s="82" t="s">
        <v>4080</v>
      </c>
      <c r="AX23" s="82" t="s">
        <v>4080</v>
      </c>
      <c r="AY23" s="77"/>
      <c r="AZ23" s="82" t="s">
        <v>5075</v>
      </c>
      <c r="BA23" s="82" t="s">
        <v>5075</v>
      </c>
      <c r="BB23" s="82" t="s">
        <v>5075</v>
      </c>
      <c r="BC23" s="82" t="s">
        <v>4080</v>
      </c>
      <c r="BD23" s="77">
        <v>141030680</v>
      </c>
      <c r="BE23" s="77" t="s">
        <v>5286</v>
      </c>
      <c r="BF23" s="77" t="s">
        <v>5287</v>
      </c>
      <c r="BG23" s="77">
        <v>10080</v>
      </c>
      <c r="BH23" s="77" t="s">
        <v>5289</v>
      </c>
      <c r="BI23" s="77" t="s">
        <v>5290</v>
      </c>
    </row>
    <row r="24" spans="1:61" x14ac:dyDescent="0.25">
      <c r="A24" s="62" t="s">
        <v>230</v>
      </c>
      <c r="B24" s="62" t="s">
        <v>230</v>
      </c>
      <c r="C24" s="63"/>
      <c r="D24" s="64"/>
      <c r="E24" s="65"/>
      <c r="F24" s="66"/>
      <c r="G24" s="63"/>
      <c r="H24" s="67"/>
      <c r="I24" s="68"/>
      <c r="J24" s="68"/>
      <c r="K24" s="32"/>
      <c r="L24" s="75">
        <v>24</v>
      </c>
      <c r="M24" s="75"/>
      <c r="N24" s="70"/>
      <c r="O24" s="77" t="s">
        <v>179</v>
      </c>
      <c r="P24" s="79">
        <v>44957.634560185186</v>
      </c>
      <c r="Q24" s="77" t="s">
        <v>560</v>
      </c>
      <c r="R24" s="77">
        <v>0</v>
      </c>
      <c r="S24" s="77">
        <v>0</v>
      </c>
      <c r="T24" s="77">
        <v>0</v>
      </c>
      <c r="U24" s="77">
        <v>0</v>
      </c>
      <c r="V24" s="77">
        <v>19</v>
      </c>
      <c r="W24" s="82" t="s">
        <v>1449</v>
      </c>
      <c r="X24" s="77"/>
      <c r="Y24" s="77"/>
      <c r="Z24" s="77"/>
      <c r="AA24" s="77"/>
      <c r="AB24" s="77"/>
      <c r="AC24" s="82" t="s">
        <v>2639</v>
      </c>
      <c r="AD24" s="77" t="s">
        <v>2670</v>
      </c>
      <c r="AE24" s="80" t="str">
        <f>HYPERLINK("https://twitter.com/higinomatos/status/1620440206481698817")</f>
        <v>https://twitter.com/higinomatos/status/1620440206481698817</v>
      </c>
      <c r="AF24" s="79">
        <v>44957.634560185186</v>
      </c>
      <c r="AG24" s="85">
        <v>44957</v>
      </c>
      <c r="AH24" s="82" t="s">
        <v>2697</v>
      </c>
      <c r="AI24" s="77"/>
      <c r="AJ24" s="77"/>
      <c r="AK24" s="77"/>
      <c r="AL24" s="77"/>
      <c r="AM24" s="77"/>
      <c r="AN24" s="77"/>
      <c r="AO24" s="77"/>
      <c r="AP24" s="77"/>
      <c r="AQ24" s="77"/>
      <c r="AR24" s="77"/>
      <c r="AS24" s="77"/>
      <c r="AT24" s="77"/>
      <c r="AU24" s="77"/>
      <c r="AV24" s="80" t="str">
        <f>HYPERLINK("https://pbs.twimg.com/profile_images/1490806897657753602/HiQQ2xvl_normal.jpg")</f>
        <v>https://pbs.twimg.com/profile_images/1490806897657753602/HiQQ2xvl_normal.jpg</v>
      </c>
      <c r="AW24" s="82" t="s">
        <v>4081</v>
      </c>
      <c r="AX24" s="82" t="s">
        <v>4081</v>
      </c>
      <c r="AY24" s="77"/>
      <c r="AZ24" s="82" t="s">
        <v>5075</v>
      </c>
      <c r="BA24" s="82" t="s">
        <v>5075</v>
      </c>
      <c r="BB24" s="82" t="s">
        <v>5075</v>
      </c>
      <c r="BC24" s="82" t="s">
        <v>4081</v>
      </c>
      <c r="BD24" s="77">
        <v>186294288</v>
      </c>
      <c r="BE24" s="77"/>
      <c r="BF24" s="77"/>
      <c r="BG24" s="77"/>
      <c r="BH24" s="77"/>
      <c r="BI24" s="77"/>
    </row>
    <row r="25" spans="1:61" x14ac:dyDescent="0.25">
      <c r="A25" s="62" t="s">
        <v>230</v>
      </c>
      <c r="B25" s="62" t="s">
        <v>230</v>
      </c>
      <c r="C25" s="63"/>
      <c r="D25" s="64"/>
      <c r="E25" s="65"/>
      <c r="F25" s="66"/>
      <c r="G25" s="63"/>
      <c r="H25" s="67"/>
      <c r="I25" s="68"/>
      <c r="J25" s="68"/>
      <c r="K25" s="32"/>
      <c r="L25" s="75">
        <v>25</v>
      </c>
      <c r="M25" s="75"/>
      <c r="N25" s="70"/>
      <c r="O25" s="77" t="s">
        <v>179</v>
      </c>
      <c r="P25" s="79">
        <v>44958.545092592591</v>
      </c>
      <c r="Q25" s="77" t="s">
        <v>561</v>
      </c>
      <c r="R25" s="77">
        <v>0</v>
      </c>
      <c r="S25" s="77">
        <v>1</v>
      </c>
      <c r="T25" s="77">
        <v>0</v>
      </c>
      <c r="U25" s="77">
        <v>0</v>
      </c>
      <c r="V25" s="77">
        <v>9</v>
      </c>
      <c r="W25" s="82" t="s">
        <v>1450</v>
      </c>
      <c r="X25" s="77"/>
      <c r="Y25" s="77"/>
      <c r="Z25" s="77"/>
      <c r="AA25" s="77"/>
      <c r="AB25" s="77"/>
      <c r="AC25" s="82" t="s">
        <v>2639</v>
      </c>
      <c r="AD25" s="77" t="s">
        <v>2670</v>
      </c>
      <c r="AE25" s="80" t="str">
        <f>HYPERLINK("https://twitter.com/higinomatos/status/1620770172452868100")</f>
        <v>https://twitter.com/higinomatos/status/1620770172452868100</v>
      </c>
      <c r="AF25" s="79">
        <v>44958.545092592591</v>
      </c>
      <c r="AG25" s="85">
        <v>44958</v>
      </c>
      <c r="AH25" s="82" t="s">
        <v>2698</v>
      </c>
      <c r="AI25" s="77"/>
      <c r="AJ25" s="77"/>
      <c r="AK25" s="77"/>
      <c r="AL25" s="77"/>
      <c r="AM25" s="77"/>
      <c r="AN25" s="77"/>
      <c r="AO25" s="77"/>
      <c r="AP25" s="77"/>
      <c r="AQ25" s="77"/>
      <c r="AR25" s="77"/>
      <c r="AS25" s="77"/>
      <c r="AT25" s="77"/>
      <c r="AU25" s="77"/>
      <c r="AV25" s="80" t="str">
        <f>HYPERLINK("https://pbs.twimg.com/profile_images/1490806897657753602/HiQQ2xvl_normal.jpg")</f>
        <v>https://pbs.twimg.com/profile_images/1490806897657753602/HiQQ2xvl_normal.jpg</v>
      </c>
      <c r="AW25" s="82" t="s">
        <v>4082</v>
      </c>
      <c r="AX25" s="82" t="s">
        <v>4082</v>
      </c>
      <c r="AY25" s="77"/>
      <c r="AZ25" s="82" t="s">
        <v>5075</v>
      </c>
      <c r="BA25" s="82" t="s">
        <v>5075</v>
      </c>
      <c r="BB25" s="82" t="s">
        <v>5075</v>
      </c>
      <c r="BC25" s="82" t="s">
        <v>4082</v>
      </c>
      <c r="BD25" s="77">
        <v>186294288</v>
      </c>
      <c r="BE25" s="77"/>
      <c r="BF25" s="77"/>
      <c r="BG25" s="77"/>
      <c r="BH25" s="77"/>
      <c r="BI25" s="77"/>
    </row>
    <row r="26" spans="1:61" x14ac:dyDescent="0.25">
      <c r="A26" s="62" t="s">
        <v>231</v>
      </c>
      <c r="B26" s="62" t="s">
        <v>231</v>
      </c>
      <c r="C26" s="63"/>
      <c r="D26" s="64"/>
      <c r="E26" s="65"/>
      <c r="F26" s="66"/>
      <c r="G26" s="63"/>
      <c r="H26" s="67"/>
      <c r="I26" s="68"/>
      <c r="J26" s="68"/>
      <c r="K26" s="32"/>
      <c r="L26" s="75">
        <v>26</v>
      </c>
      <c r="M26" s="75"/>
      <c r="N26" s="70"/>
      <c r="O26" s="77" t="s">
        <v>179</v>
      </c>
      <c r="P26" s="79">
        <v>45110.756076388891</v>
      </c>
      <c r="Q26" s="77" t="s">
        <v>562</v>
      </c>
      <c r="R26" s="77">
        <v>0</v>
      </c>
      <c r="S26" s="77">
        <v>0</v>
      </c>
      <c r="T26" s="77">
        <v>0</v>
      </c>
      <c r="U26" s="77">
        <v>0</v>
      </c>
      <c r="V26" s="77">
        <v>9</v>
      </c>
      <c r="W26" s="82" t="s">
        <v>1451</v>
      </c>
      <c r="X26" s="77"/>
      <c r="Y26" s="77"/>
      <c r="Z26" s="77"/>
      <c r="AA26" s="77"/>
      <c r="AB26" s="77"/>
      <c r="AC26" s="82" t="s">
        <v>2638</v>
      </c>
      <c r="AD26" s="77" t="s">
        <v>2670</v>
      </c>
      <c r="AE26" s="80" t="str">
        <f>HYPERLINK("https://twitter.com/brunomelop3/status/1675929587258195968")</f>
        <v>https://twitter.com/brunomelop3/status/1675929587258195968</v>
      </c>
      <c r="AF26" s="79">
        <v>45110.756076388891</v>
      </c>
      <c r="AG26" s="85">
        <v>45110</v>
      </c>
      <c r="AH26" s="82" t="s">
        <v>2699</v>
      </c>
      <c r="AI26" s="77"/>
      <c r="AJ26" s="77" t="s">
        <v>3400</v>
      </c>
      <c r="AK26" s="77" t="s">
        <v>3410</v>
      </c>
      <c r="AL26" s="77" t="s">
        <v>3411</v>
      </c>
      <c r="AM26" s="77" t="s">
        <v>3412</v>
      </c>
      <c r="AN26" s="77" t="s">
        <v>3422</v>
      </c>
      <c r="AO26" s="77" t="s">
        <v>3432</v>
      </c>
      <c r="AP26" s="77" t="s">
        <v>3442</v>
      </c>
      <c r="AQ26" s="77"/>
      <c r="AR26" s="77"/>
      <c r="AS26" s="77"/>
      <c r="AT26" s="77"/>
      <c r="AU26" s="77"/>
      <c r="AV26" s="80" t="str">
        <f>HYPERLINK("https://pbs.twimg.com/profile_images/1672707825921916931/P-ybRb7w_normal.jpg")</f>
        <v>https://pbs.twimg.com/profile_images/1672707825921916931/P-ybRb7w_normal.jpg</v>
      </c>
      <c r="AW26" s="82" t="s">
        <v>4083</v>
      </c>
      <c r="AX26" s="82" t="s">
        <v>4083</v>
      </c>
      <c r="AY26" s="77"/>
      <c r="AZ26" s="82" t="s">
        <v>5075</v>
      </c>
      <c r="BA26" s="82" t="s">
        <v>5075</v>
      </c>
      <c r="BB26" s="82" t="s">
        <v>5075</v>
      </c>
      <c r="BC26" s="82" t="s">
        <v>4083</v>
      </c>
      <c r="BD26" s="82" t="s">
        <v>5124</v>
      </c>
      <c r="BE26" s="77"/>
      <c r="BF26" s="77"/>
      <c r="BG26" s="77"/>
      <c r="BH26" s="77"/>
      <c r="BI26" s="77"/>
    </row>
    <row r="27" spans="1:61" x14ac:dyDescent="0.25">
      <c r="A27" s="62" t="s">
        <v>231</v>
      </c>
      <c r="B27" s="62" t="s">
        <v>231</v>
      </c>
      <c r="C27" s="63"/>
      <c r="D27" s="64"/>
      <c r="E27" s="65"/>
      <c r="F27" s="66"/>
      <c r="G27" s="63"/>
      <c r="H27" s="67"/>
      <c r="I27" s="68"/>
      <c r="J27" s="68"/>
      <c r="K27" s="32"/>
      <c r="L27" s="75">
        <v>27</v>
      </c>
      <c r="M27" s="75"/>
      <c r="N27" s="70"/>
      <c r="O27" s="77" t="s">
        <v>179</v>
      </c>
      <c r="P27" s="79">
        <v>45110.749548611115</v>
      </c>
      <c r="Q27" s="77" t="s">
        <v>563</v>
      </c>
      <c r="R27" s="77">
        <v>0</v>
      </c>
      <c r="S27" s="77">
        <v>0</v>
      </c>
      <c r="T27" s="77">
        <v>0</v>
      </c>
      <c r="U27" s="77">
        <v>0</v>
      </c>
      <c r="V27" s="77">
        <v>21</v>
      </c>
      <c r="W27" s="82" t="s">
        <v>1452</v>
      </c>
      <c r="X27" s="77"/>
      <c r="Y27" s="77"/>
      <c r="Z27" s="77"/>
      <c r="AA27" s="77" t="s">
        <v>2015</v>
      </c>
      <c r="AB27" s="77" t="s">
        <v>2632</v>
      </c>
      <c r="AC27" s="82" t="s">
        <v>2638</v>
      </c>
      <c r="AD27" s="77" t="s">
        <v>2670</v>
      </c>
      <c r="AE27" s="80" t="str">
        <f>HYPERLINK("https://twitter.com/brunomelop3/status/1675927219762241553")</f>
        <v>https://twitter.com/brunomelop3/status/1675927219762241553</v>
      </c>
      <c r="AF27" s="79">
        <v>45110.749548611115</v>
      </c>
      <c r="AG27" s="85">
        <v>45110</v>
      </c>
      <c r="AH27" s="82" t="s">
        <v>2700</v>
      </c>
      <c r="AI27" s="77" t="b">
        <v>0</v>
      </c>
      <c r="AJ27" s="77"/>
      <c r="AK27" s="77"/>
      <c r="AL27" s="77"/>
      <c r="AM27" s="77"/>
      <c r="AN27" s="77"/>
      <c r="AO27" s="77"/>
      <c r="AP27" s="77"/>
      <c r="AQ27" s="77" t="s">
        <v>3444</v>
      </c>
      <c r="AR27" s="77"/>
      <c r="AS27" s="77"/>
      <c r="AT27" s="77"/>
      <c r="AU27" s="77"/>
      <c r="AV27" s="80" t="str">
        <f>HYPERLINK("https://pbs.twimg.com/media/F0IW7NQWIBciZG0.jpg")</f>
        <v>https://pbs.twimg.com/media/F0IW7NQWIBciZG0.jpg</v>
      </c>
      <c r="AW27" s="82" t="s">
        <v>4084</v>
      </c>
      <c r="AX27" s="82" t="s">
        <v>4084</v>
      </c>
      <c r="AY27" s="77"/>
      <c r="AZ27" s="82" t="s">
        <v>5075</v>
      </c>
      <c r="BA27" s="82" t="s">
        <v>5075</v>
      </c>
      <c r="BB27" s="82" t="s">
        <v>5075</v>
      </c>
      <c r="BC27" s="82" t="s">
        <v>4084</v>
      </c>
      <c r="BD27" s="82" t="s">
        <v>5124</v>
      </c>
      <c r="BE27" s="77"/>
      <c r="BF27" s="77"/>
      <c r="BG27" s="77"/>
      <c r="BH27" s="77"/>
      <c r="BI27" s="77"/>
    </row>
    <row r="28" spans="1:61" x14ac:dyDescent="0.25">
      <c r="A28" s="62" t="s">
        <v>231</v>
      </c>
      <c r="B28" s="62" t="s">
        <v>231</v>
      </c>
      <c r="C28" s="63"/>
      <c r="D28" s="64"/>
      <c r="E28" s="65"/>
      <c r="F28" s="66"/>
      <c r="G28" s="63"/>
      <c r="H28" s="67"/>
      <c r="I28" s="68"/>
      <c r="J28" s="68"/>
      <c r="K28" s="32"/>
      <c r="L28" s="75">
        <v>28</v>
      </c>
      <c r="M28" s="75"/>
      <c r="N28" s="70"/>
      <c r="O28" s="77" t="s">
        <v>179</v>
      </c>
      <c r="P28" s="79">
        <v>45109.936620370368</v>
      </c>
      <c r="Q28" s="77" t="s">
        <v>564</v>
      </c>
      <c r="R28" s="77">
        <v>0</v>
      </c>
      <c r="S28" s="77">
        <v>0</v>
      </c>
      <c r="T28" s="77">
        <v>0</v>
      </c>
      <c r="U28" s="77">
        <v>0</v>
      </c>
      <c r="V28" s="77">
        <v>33</v>
      </c>
      <c r="W28" s="82" t="s">
        <v>1453</v>
      </c>
      <c r="X28" s="77"/>
      <c r="Y28" s="77"/>
      <c r="Z28" s="77"/>
      <c r="AA28" s="77" t="s">
        <v>2016</v>
      </c>
      <c r="AB28" s="77" t="s">
        <v>2632</v>
      </c>
      <c r="AC28" s="82" t="s">
        <v>2638</v>
      </c>
      <c r="AD28" s="77" t="s">
        <v>2670</v>
      </c>
      <c r="AE28" s="80" t="str">
        <f>HYPERLINK("https://twitter.com/brunomelop3/status/1675632625166213121")</f>
        <v>https://twitter.com/brunomelop3/status/1675632625166213121</v>
      </c>
      <c r="AF28" s="79">
        <v>45109.936620370368</v>
      </c>
      <c r="AG28" s="85">
        <v>45109</v>
      </c>
      <c r="AH28" s="82" t="s">
        <v>2701</v>
      </c>
      <c r="AI28" s="77" t="b">
        <v>0</v>
      </c>
      <c r="AJ28" s="77" t="s">
        <v>3400</v>
      </c>
      <c r="AK28" s="77" t="s">
        <v>3410</v>
      </c>
      <c r="AL28" s="77" t="s">
        <v>3411</v>
      </c>
      <c r="AM28" s="77" t="s">
        <v>3412</v>
      </c>
      <c r="AN28" s="77" t="s">
        <v>3422</v>
      </c>
      <c r="AO28" s="77" t="s">
        <v>3432</v>
      </c>
      <c r="AP28" s="77" t="s">
        <v>3442</v>
      </c>
      <c r="AQ28" s="77" t="s">
        <v>3445</v>
      </c>
      <c r="AR28" s="77"/>
      <c r="AS28" s="77"/>
      <c r="AT28" s="77"/>
      <c r="AU28" s="77"/>
      <c r="AV28" s="80" t="str">
        <f>HYPERLINK("https://pbs.twimg.com/media/F0EK_f8XwAQHfSu.jpg")</f>
        <v>https://pbs.twimg.com/media/F0EK_f8XwAQHfSu.jpg</v>
      </c>
      <c r="AW28" s="82" t="s">
        <v>4085</v>
      </c>
      <c r="AX28" s="82" t="s">
        <v>4085</v>
      </c>
      <c r="AY28" s="77"/>
      <c r="AZ28" s="82" t="s">
        <v>5075</v>
      </c>
      <c r="BA28" s="82" t="s">
        <v>5075</v>
      </c>
      <c r="BB28" s="82" t="s">
        <v>5075</v>
      </c>
      <c r="BC28" s="82" t="s">
        <v>4085</v>
      </c>
      <c r="BD28" s="82" t="s">
        <v>5124</v>
      </c>
      <c r="BE28" s="77"/>
      <c r="BF28" s="77"/>
      <c r="BG28" s="77"/>
      <c r="BH28" s="77"/>
      <c r="BI28" s="77"/>
    </row>
    <row r="29" spans="1:61" x14ac:dyDescent="0.25">
      <c r="A29" s="62" t="s">
        <v>231</v>
      </c>
      <c r="B29" s="62" t="s">
        <v>231</v>
      </c>
      <c r="C29" s="63"/>
      <c r="D29" s="64"/>
      <c r="E29" s="65"/>
      <c r="F29" s="66"/>
      <c r="G29" s="63"/>
      <c r="H29" s="67"/>
      <c r="I29" s="68"/>
      <c r="J29" s="68"/>
      <c r="K29" s="32"/>
      <c r="L29" s="75">
        <v>29</v>
      </c>
      <c r="M29" s="75"/>
      <c r="N29" s="70"/>
      <c r="O29" s="77" t="s">
        <v>179</v>
      </c>
      <c r="P29" s="79">
        <v>45108.226400462961</v>
      </c>
      <c r="Q29" s="77" t="s">
        <v>565</v>
      </c>
      <c r="R29" s="77">
        <v>0</v>
      </c>
      <c r="S29" s="77">
        <v>1</v>
      </c>
      <c r="T29" s="77">
        <v>0</v>
      </c>
      <c r="U29" s="77">
        <v>0</v>
      </c>
      <c r="V29" s="77">
        <v>23</v>
      </c>
      <c r="W29" s="82" t="s">
        <v>1454</v>
      </c>
      <c r="X29" s="77"/>
      <c r="Y29" s="77"/>
      <c r="Z29" s="77"/>
      <c r="AA29" s="77" t="s">
        <v>2017</v>
      </c>
      <c r="AB29" s="77" t="s">
        <v>2632</v>
      </c>
      <c r="AC29" s="82" t="s">
        <v>2638</v>
      </c>
      <c r="AD29" s="77" t="s">
        <v>2670</v>
      </c>
      <c r="AE29" s="80" t="str">
        <f>HYPERLINK("https://twitter.com/brunomelop3/status/1675012861502844928")</f>
        <v>https://twitter.com/brunomelop3/status/1675012861502844928</v>
      </c>
      <c r="AF29" s="79">
        <v>45108.226400462961</v>
      </c>
      <c r="AG29" s="85">
        <v>45108</v>
      </c>
      <c r="AH29" s="82" t="s">
        <v>2702</v>
      </c>
      <c r="AI29" s="77" t="b">
        <v>0</v>
      </c>
      <c r="AJ29" s="77"/>
      <c r="AK29" s="77"/>
      <c r="AL29" s="77"/>
      <c r="AM29" s="77"/>
      <c r="AN29" s="77"/>
      <c r="AO29" s="77"/>
      <c r="AP29" s="77"/>
      <c r="AQ29" s="77" t="s">
        <v>3446</v>
      </c>
      <c r="AR29" s="77"/>
      <c r="AS29" s="77"/>
      <c r="AT29" s="77"/>
      <c r="AU29" s="77"/>
      <c r="AV29" s="80" t="str">
        <f>HYPERLINK("https://pbs.twimg.com/media/Fz7XUjFWYAI1TnO.jpg")</f>
        <v>https://pbs.twimg.com/media/Fz7XUjFWYAI1TnO.jpg</v>
      </c>
      <c r="AW29" s="82" t="s">
        <v>4086</v>
      </c>
      <c r="AX29" s="82" t="s">
        <v>4086</v>
      </c>
      <c r="AY29" s="77"/>
      <c r="AZ29" s="82" t="s">
        <v>5075</v>
      </c>
      <c r="BA29" s="82" t="s">
        <v>5075</v>
      </c>
      <c r="BB29" s="82" t="s">
        <v>5075</v>
      </c>
      <c r="BC29" s="82" t="s">
        <v>4086</v>
      </c>
      <c r="BD29" s="82" t="s">
        <v>5124</v>
      </c>
      <c r="BE29" s="77"/>
      <c r="BF29" s="77"/>
      <c r="BG29" s="77"/>
      <c r="BH29" s="77"/>
      <c r="BI29" s="77"/>
    </row>
    <row r="30" spans="1:61" x14ac:dyDescent="0.25">
      <c r="A30" s="62" t="s">
        <v>231</v>
      </c>
      <c r="B30" s="62" t="s">
        <v>231</v>
      </c>
      <c r="C30" s="63"/>
      <c r="D30" s="64"/>
      <c r="E30" s="65"/>
      <c r="F30" s="66"/>
      <c r="G30" s="63"/>
      <c r="H30" s="67"/>
      <c r="I30" s="68"/>
      <c r="J30" s="68"/>
      <c r="K30" s="32"/>
      <c r="L30" s="75">
        <v>30</v>
      </c>
      <c r="M30" s="75"/>
      <c r="N30" s="70"/>
      <c r="O30" s="77" t="s">
        <v>179</v>
      </c>
      <c r="P30" s="79">
        <v>45108.223090277781</v>
      </c>
      <c r="Q30" s="77" t="s">
        <v>566</v>
      </c>
      <c r="R30" s="77">
        <v>1</v>
      </c>
      <c r="S30" s="77">
        <v>0</v>
      </c>
      <c r="T30" s="77">
        <v>0</v>
      </c>
      <c r="U30" s="77">
        <v>0</v>
      </c>
      <c r="V30" s="77">
        <v>49</v>
      </c>
      <c r="W30" s="82" t="s">
        <v>1455</v>
      </c>
      <c r="X30" s="77"/>
      <c r="Y30" s="77"/>
      <c r="Z30" s="77"/>
      <c r="AA30" s="77" t="s">
        <v>2018</v>
      </c>
      <c r="AB30" s="77" t="s">
        <v>2632</v>
      </c>
      <c r="AC30" s="82" t="s">
        <v>2638</v>
      </c>
      <c r="AD30" s="77" t="s">
        <v>2670</v>
      </c>
      <c r="AE30" s="80" t="str">
        <f>HYPERLINK("https://twitter.com/brunomelop3/status/1675011665799118848")</f>
        <v>https://twitter.com/brunomelop3/status/1675011665799118848</v>
      </c>
      <c r="AF30" s="79">
        <v>45108.223090277781</v>
      </c>
      <c r="AG30" s="85">
        <v>45108</v>
      </c>
      <c r="AH30" s="82" t="s">
        <v>2703</v>
      </c>
      <c r="AI30" s="77" t="b">
        <v>0</v>
      </c>
      <c r="AJ30" s="77" t="s">
        <v>3400</v>
      </c>
      <c r="AK30" s="77" t="s">
        <v>3410</v>
      </c>
      <c r="AL30" s="77" t="s">
        <v>3411</v>
      </c>
      <c r="AM30" s="77" t="s">
        <v>3412</v>
      </c>
      <c r="AN30" s="77" t="s">
        <v>3422</v>
      </c>
      <c r="AO30" s="77" t="s">
        <v>3432</v>
      </c>
      <c r="AP30" s="77" t="s">
        <v>3442</v>
      </c>
      <c r="AQ30" s="77" t="s">
        <v>3447</v>
      </c>
      <c r="AR30" s="77"/>
      <c r="AS30" s="77"/>
      <c r="AT30" s="77"/>
      <c r="AU30" s="77"/>
      <c r="AV30" s="80" t="str">
        <f>HYPERLINK("https://pbs.twimg.com/media/Fz7WO8JXsAAkgG7.jpg")</f>
        <v>https://pbs.twimg.com/media/Fz7WO8JXsAAkgG7.jpg</v>
      </c>
      <c r="AW30" s="82" t="s">
        <v>4087</v>
      </c>
      <c r="AX30" s="82" t="s">
        <v>4087</v>
      </c>
      <c r="AY30" s="77"/>
      <c r="AZ30" s="82" t="s">
        <v>5075</v>
      </c>
      <c r="BA30" s="82" t="s">
        <v>5075</v>
      </c>
      <c r="BB30" s="82" t="s">
        <v>5075</v>
      </c>
      <c r="BC30" s="82" t="s">
        <v>4087</v>
      </c>
      <c r="BD30" s="82" t="s">
        <v>5124</v>
      </c>
      <c r="BE30" s="77"/>
      <c r="BF30" s="77"/>
      <c r="BG30" s="77"/>
      <c r="BH30" s="77"/>
      <c r="BI30" s="77"/>
    </row>
    <row r="31" spans="1:61" x14ac:dyDescent="0.25">
      <c r="A31" s="62" t="s">
        <v>232</v>
      </c>
      <c r="B31" s="62" t="s">
        <v>232</v>
      </c>
      <c r="C31" s="63"/>
      <c r="D31" s="64"/>
      <c r="E31" s="65"/>
      <c r="F31" s="66"/>
      <c r="G31" s="63"/>
      <c r="H31" s="67"/>
      <c r="I31" s="68"/>
      <c r="J31" s="68"/>
      <c r="K31" s="32"/>
      <c r="L31" s="75">
        <v>31</v>
      </c>
      <c r="M31" s="75"/>
      <c r="N31" s="70"/>
      <c r="O31" s="77" t="s">
        <v>536</v>
      </c>
      <c r="P31" s="79">
        <v>44982.051423611112</v>
      </c>
      <c r="Q31" s="77" t="s">
        <v>567</v>
      </c>
      <c r="R31" s="77">
        <v>0</v>
      </c>
      <c r="S31" s="77">
        <v>0</v>
      </c>
      <c r="T31" s="77">
        <v>0</v>
      </c>
      <c r="U31" s="77">
        <v>0</v>
      </c>
      <c r="V31" s="77">
        <v>2</v>
      </c>
      <c r="W31" s="82" t="s">
        <v>1456</v>
      </c>
      <c r="X31" s="77"/>
      <c r="Y31" s="77"/>
      <c r="Z31" s="77"/>
      <c r="AA31" s="77"/>
      <c r="AB31" s="77"/>
      <c r="AC31" s="82" t="s">
        <v>2639</v>
      </c>
      <c r="AD31" s="77" t="s">
        <v>2670</v>
      </c>
      <c r="AE31" s="80" t="str">
        <f>HYPERLINK("https://twitter.com/consultoramadii/status/1629288583788937217")</f>
        <v>https://twitter.com/consultoramadii/status/1629288583788937217</v>
      </c>
      <c r="AF31" s="79">
        <v>44982.051423611112</v>
      </c>
      <c r="AG31" s="85">
        <v>44982</v>
      </c>
      <c r="AH31" s="82" t="s">
        <v>2704</v>
      </c>
      <c r="AI31" s="77"/>
      <c r="AJ31" s="77"/>
      <c r="AK31" s="77"/>
      <c r="AL31" s="77"/>
      <c r="AM31" s="77"/>
      <c r="AN31" s="77"/>
      <c r="AO31" s="77"/>
      <c r="AP31" s="77"/>
      <c r="AQ31" s="77"/>
      <c r="AR31" s="77"/>
      <c r="AS31" s="77"/>
      <c r="AT31" s="77"/>
      <c r="AU31" s="77"/>
      <c r="AV31" s="80" t="str">
        <f>HYPERLINK("https://pbs.twimg.com/profile_images/1629283315478851584/32WO5yq__normal.jpg")</f>
        <v>https://pbs.twimg.com/profile_images/1629283315478851584/32WO5yq__normal.jpg</v>
      </c>
      <c r="AW31" s="82" t="s">
        <v>4088</v>
      </c>
      <c r="AX31" s="82" t="s">
        <v>4956</v>
      </c>
      <c r="AY31" s="82" t="s">
        <v>5027</v>
      </c>
      <c r="AZ31" s="82" t="s">
        <v>5076</v>
      </c>
      <c r="BA31" s="82" t="s">
        <v>5075</v>
      </c>
      <c r="BB31" s="82" t="s">
        <v>5075</v>
      </c>
      <c r="BC31" s="82" t="s">
        <v>5076</v>
      </c>
      <c r="BD31" s="82" t="s">
        <v>5027</v>
      </c>
      <c r="BE31" s="77"/>
      <c r="BF31" s="77"/>
      <c r="BG31" s="77"/>
      <c r="BH31" s="77"/>
      <c r="BI31" s="77"/>
    </row>
    <row r="32" spans="1:61" x14ac:dyDescent="0.25">
      <c r="A32" s="62" t="s">
        <v>233</v>
      </c>
      <c r="B32" s="62" t="s">
        <v>233</v>
      </c>
      <c r="C32" s="63"/>
      <c r="D32" s="64"/>
      <c r="E32" s="65"/>
      <c r="F32" s="66"/>
      <c r="G32" s="63"/>
      <c r="H32" s="67"/>
      <c r="I32" s="68"/>
      <c r="J32" s="68"/>
      <c r="K32" s="32"/>
      <c r="L32" s="75">
        <v>32</v>
      </c>
      <c r="M32" s="75"/>
      <c r="N32" s="70"/>
      <c r="O32" s="77" t="s">
        <v>179</v>
      </c>
      <c r="P32" s="79">
        <v>45100.72619212963</v>
      </c>
      <c r="Q32" s="77" t="s">
        <v>568</v>
      </c>
      <c r="R32" s="77">
        <v>0</v>
      </c>
      <c r="S32" s="77">
        <v>0</v>
      </c>
      <c r="T32" s="77">
        <v>1</v>
      </c>
      <c r="U32" s="77">
        <v>0</v>
      </c>
      <c r="V32" s="77">
        <v>83</v>
      </c>
      <c r="W32" s="82" t="s">
        <v>1457</v>
      </c>
      <c r="X32" s="77"/>
      <c r="Y32" s="77"/>
      <c r="Z32" s="77"/>
      <c r="AA32" s="77" t="s">
        <v>2019</v>
      </c>
      <c r="AB32" s="77" t="s">
        <v>2633</v>
      </c>
      <c r="AC32" s="82" t="s">
        <v>2639</v>
      </c>
      <c r="AD32" s="77" t="s">
        <v>2670</v>
      </c>
      <c r="AE32" s="80" t="str">
        <f>HYPERLINK("https://twitter.com/geckocripto/status/1672294880826015757")</f>
        <v>https://twitter.com/geckocripto/status/1672294880826015757</v>
      </c>
      <c r="AF32" s="79">
        <v>45100.72619212963</v>
      </c>
      <c r="AG32" s="85">
        <v>45100</v>
      </c>
      <c r="AH32" s="82" t="s">
        <v>2705</v>
      </c>
      <c r="AI32" s="77" t="b">
        <v>0</v>
      </c>
      <c r="AJ32" s="77"/>
      <c r="AK32" s="77"/>
      <c r="AL32" s="77"/>
      <c r="AM32" s="77"/>
      <c r="AN32" s="77"/>
      <c r="AO32" s="77"/>
      <c r="AP32" s="77"/>
      <c r="AQ32" s="77" t="s">
        <v>3448</v>
      </c>
      <c r="AR32" s="77">
        <v>82166</v>
      </c>
      <c r="AS32" s="77"/>
      <c r="AT32" s="77"/>
      <c r="AU32" s="77"/>
      <c r="AV32" s="80" t="str">
        <f>HYPERLINK("https://pbs.twimg.com/ext_tw_video_thumb/1672293117364453384/pu/img/c7eQh9UFS4Aq9Yx4.jpg")</f>
        <v>https://pbs.twimg.com/ext_tw_video_thumb/1672293117364453384/pu/img/c7eQh9UFS4Aq9Yx4.jpg</v>
      </c>
      <c r="AW32" s="82" t="s">
        <v>4089</v>
      </c>
      <c r="AX32" s="82" t="s">
        <v>4089</v>
      </c>
      <c r="AY32" s="77"/>
      <c r="AZ32" s="82" t="s">
        <v>5075</v>
      </c>
      <c r="BA32" s="82" t="s">
        <v>5075</v>
      </c>
      <c r="BB32" s="82" t="s">
        <v>5075</v>
      </c>
      <c r="BC32" s="82" t="s">
        <v>4089</v>
      </c>
      <c r="BD32" s="82" t="s">
        <v>5125</v>
      </c>
      <c r="BE32" s="77"/>
      <c r="BF32" s="77"/>
      <c r="BG32" s="77"/>
      <c r="BH32" s="77"/>
      <c r="BI32" s="77"/>
    </row>
    <row r="33" spans="1:61" x14ac:dyDescent="0.25">
      <c r="A33" s="62" t="s">
        <v>234</v>
      </c>
      <c r="B33" s="62" t="s">
        <v>401</v>
      </c>
      <c r="C33" s="63"/>
      <c r="D33" s="64"/>
      <c r="E33" s="65"/>
      <c r="F33" s="66"/>
      <c r="G33" s="63"/>
      <c r="H33" s="67"/>
      <c r="I33" s="68"/>
      <c r="J33" s="68"/>
      <c r="K33" s="32"/>
      <c r="L33" s="75">
        <v>33</v>
      </c>
      <c r="M33" s="75"/>
      <c r="N33" s="70"/>
      <c r="O33" s="77" t="s">
        <v>538</v>
      </c>
      <c r="P33" s="79">
        <v>44984.218738425923</v>
      </c>
      <c r="Q33" s="77" t="s">
        <v>569</v>
      </c>
      <c r="R33" s="77">
        <v>0</v>
      </c>
      <c r="S33" s="77">
        <v>0</v>
      </c>
      <c r="T33" s="77">
        <v>0</v>
      </c>
      <c r="U33" s="77">
        <v>0</v>
      </c>
      <c r="V33" s="77">
        <v>19</v>
      </c>
      <c r="W33" s="82" t="s">
        <v>1458</v>
      </c>
      <c r="X33" s="77"/>
      <c r="Y33" s="77"/>
      <c r="Z33" s="77"/>
      <c r="AA33" s="77"/>
      <c r="AB33" s="77"/>
      <c r="AC33" s="82" t="s">
        <v>2638</v>
      </c>
      <c r="AD33" s="77" t="s">
        <v>2672</v>
      </c>
      <c r="AE33" s="80" t="str">
        <f>HYPERLINK("https://twitter.com/investidorhedge/status/1630073990675849217")</f>
        <v>https://twitter.com/investidorhedge/status/1630073990675849217</v>
      </c>
      <c r="AF33" s="79">
        <v>44984.218738425923</v>
      </c>
      <c r="AG33" s="85">
        <v>44984</v>
      </c>
      <c r="AH33" s="82" t="s">
        <v>2706</v>
      </c>
      <c r="AI33" s="77"/>
      <c r="AJ33" s="77"/>
      <c r="AK33" s="77"/>
      <c r="AL33" s="77"/>
      <c r="AM33" s="77"/>
      <c r="AN33" s="77"/>
      <c r="AO33" s="77"/>
      <c r="AP33" s="77"/>
      <c r="AQ33" s="77"/>
      <c r="AR33" s="77"/>
      <c r="AS33" s="77"/>
      <c r="AT33" s="77"/>
      <c r="AU33" s="77"/>
      <c r="AV33" s="80" t="str">
        <f>HYPERLINK("https://pbs.twimg.com/profile_images/1526340963676917762/u8m_WpE2_normal.jpg")</f>
        <v>https://pbs.twimg.com/profile_images/1526340963676917762/u8m_WpE2_normal.jpg</v>
      </c>
      <c r="AW33" s="82" t="s">
        <v>4090</v>
      </c>
      <c r="AX33" s="82" t="s">
        <v>4090</v>
      </c>
      <c r="AY33" s="77"/>
      <c r="AZ33" s="82" t="s">
        <v>5075</v>
      </c>
      <c r="BA33" s="82" t="s">
        <v>4551</v>
      </c>
      <c r="BB33" s="82" t="s">
        <v>5075</v>
      </c>
      <c r="BC33" s="82" t="s">
        <v>4551</v>
      </c>
      <c r="BD33" s="82" t="s">
        <v>5126</v>
      </c>
      <c r="BE33" s="77"/>
      <c r="BF33" s="77"/>
      <c r="BG33" s="77"/>
      <c r="BH33" s="77"/>
      <c r="BI33" s="77"/>
    </row>
    <row r="34" spans="1:61" x14ac:dyDescent="0.25">
      <c r="A34" s="62" t="s">
        <v>235</v>
      </c>
      <c r="B34" s="62" t="s">
        <v>235</v>
      </c>
      <c r="C34" s="63"/>
      <c r="D34" s="64"/>
      <c r="E34" s="65"/>
      <c r="F34" s="66"/>
      <c r="G34" s="63"/>
      <c r="H34" s="67"/>
      <c r="I34" s="68"/>
      <c r="J34" s="68"/>
      <c r="K34" s="32"/>
      <c r="L34" s="75">
        <v>34</v>
      </c>
      <c r="M34" s="75"/>
      <c r="N34" s="70"/>
      <c r="O34" s="77" t="s">
        <v>179</v>
      </c>
      <c r="P34" s="79">
        <v>45097.880185185182</v>
      </c>
      <c r="Q34" s="77" t="s">
        <v>570</v>
      </c>
      <c r="R34" s="77">
        <v>0</v>
      </c>
      <c r="S34" s="77">
        <v>0</v>
      </c>
      <c r="T34" s="77">
        <v>0</v>
      </c>
      <c r="U34" s="77">
        <v>0</v>
      </c>
      <c r="V34" s="77">
        <v>40</v>
      </c>
      <c r="W34" s="82" t="s">
        <v>1459</v>
      </c>
      <c r="X34" s="77"/>
      <c r="Y34" s="77"/>
      <c r="Z34" s="77"/>
      <c r="AA34" s="77" t="s">
        <v>2020</v>
      </c>
      <c r="AB34" s="77" t="s">
        <v>2632</v>
      </c>
      <c r="AC34" s="82" t="s">
        <v>2638</v>
      </c>
      <c r="AD34" s="77" t="s">
        <v>2673</v>
      </c>
      <c r="AE34" s="80" t="str">
        <f>HYPERLINK("https://twitter.com/boxtributario/status/1671263521437540352")</f>
        <v>https://twitter.com/boxtributario/status/1671263521437540352</v>
      </c>
      <c r="AF34" s="79">
        <v>45097.880185185182</v>
      </c>
      <c r="AG34" s="85">
        <v>45097</v>
      </c>
      <c r="AH34" s="82" t="s">
        <v>2707</v>
      </c>
      <c r="AI34" s="77" t="b">
        <v>0</v>
      </c>
      <c r="AJ34" s="77"/>
      <c r="AK34" s="77"/>
      <c r="AL34" s="77"/>
      <c r="AM34" s="77"/>
      <c r="AN34" s="77"/>
      <c r="AO34" s="77"/>
      <c r="AP34" s="77"/>
      <c r="AQ34" s="77" t="s">
        <v>3449</v>
      </c>
      <c r="AR34" s="77"/>
      <c r="AS34" s="77"/>
      <c r="AT34" s="77"/>
      <c r="AU34" s="77"/>
      <c r="AV34" s="80" t="str">
        <f>HYPERLINK("https://pbs.twimg.com/media/FzGFUKRXsAIJmLc.jpg")</f>
        <v>https://pbs.twimg.com/media/FzGFUKRXsAIJmLc.jpg</v>
      </c>
      <c r="AW34" s="82" t="s">
        <v>4091</v>
      </c>
      <c r="AX34" s="82" t="s">
        <v>4091</v>
      </c>
      <c r="AY34" s="77"/>
      <c r="AZ34" s="82" t="s">
        <v>5075</v>
      </c>
      <c r="BA34" s="82" t="s">
        <v>5075</v>
      </c>
      <c r="BB34" s="82" t="s">
        <v>5075</v>
      </c>
      <c r="BC34" s="82" t="s">
        <v>4091</v>
      </c>
      <c r="BD34" s="82" t="s">
        <v>5127</v>
      </c>
      <c r="BE34" s="77"/>
      <c r="BF34" s="77"/>
      <c r="BG34" s="77"/>
      <c r="BH34" s="77"/>
      <c r="BI34" s="77"/>
    </row>
    <row r="35" spans="1:61" x14ac:dyDescent="0.25">
      <c r="A35" s="62" t="s">
        <v>236</v>
      </c>
      <c r="B35" s="62" t="s">
        <v>236</v>
      </c>
      <c r="C35" s="63"/>
      <c r="D35" s="64"/>
      <c r="E35" s="65"/>
      <c r="F35" s="66"/>
      <c r="G35" s="63"/>
      <c r="H35" s="67"/>
      <c r="I35" s="68"/>
      <c r="J35" s="68"/>
      <c r="K35" s="32"/>
      <c r="L35" s="75">
        <v>35</v>
      </c>
      <c r="M35" s="75"/>
      <c r="N35" s="70"/>
      <c r="O35" s="77" t="s">
        <v>179</v>
      </c>
      <c r="P35" s="79">
        <v>45003.577893518515</v>
      </c>
      <c r="Q35" s="77" t="s">
        <v>571</v>
      </c>
      <c r="R35" s="77">
        <v>0</v>
      </c>
      <c r="S35" s="77">
        <v>0</v>
      </c>
      <c r="T35" s="77">
        <v>0</v>
      </c>
      <c r="U35" s="77">
        <v>0</v>
      </c>
      <c r="V35" s="77">
        <v>10</v>
      </c>
      <c r="W35" s="82" t="s">
        <v>1460</v>
      </c>
      <c r="X35" s="77"/>
      <c r="Y35" s="77"/>
      <c r="Z35" s="77"/>
      <c r="AA35" s="77" t="s">
        <v>2021</v>
      </c>
      <c r="AB35" s="77" t="s">
        <v>2634</v>
      </c>
      <c r="AC35" s="82" t="s">
        <v>2640</v>
      </c>
      <c r="AD35" s="77" t="s">
        <v>2670</v>
      </c>
      <c r="AE35" s="80" t="str">
        <f>HYPERLINK("https://twitter.com/noelfilho_/status/1637089514698035202")</f>
        <v>https://twitter.com/noelfilho_/status/1637089514698035202</v>
      </c>
      <c r="AF35" s="79">
        <v>45003.577893518515</v>
      </c>
      <c r="AG35" s="85">
        <v>45003</v>
      </c>
      <c r="AH35" s="82" t="s">
        <v>2708</v>
      </c>
      <c r="AI35" s="77" t="b">
        <v>0</v>
      </c>
      <c r="AJ35" s="77"/>
      <c r="AK35" s="77"/>
      <c r="AL35" s="77"/>
      <c r="AM35" s="77"/>
      <c r="AN35" s="77"/>
      <c r="AO35" s="77"/>
      <c r="AP35" s="77"/>
      <c r="AQ35" s="77" t="s">
        <v>3450</v>
      </c>
      <c r="AR35" s="77"/>
      <c r="AS35" s="77"/>
      <c r="AT35" s="77"/>
      <c r="AU35" s="77"/>
      <c r="AV35" s="80" t="str">
        <f>HYPERLINK("https://pbs.twimg.com/media/FrgcPEdXoAILGyv.jpg")</f>
        <v>https://pbs.twimg.com/media/FrgcPEdXoAILGyv.jpg</v>
      </c>
      <c r="AW35" s="82" t="s">
        <v>4092</v>
      </c>
      <c r="AX35" s="82" t="s">
        <v>4092</v>
      </c>
      <c r="AY35" s="77"/>
      <c r="AZ35" s="82" t="s">
        <v>5075</v>
      </c>
      <c r="BA35" s="82" t="s">
        <v>5075</v>
      </c>
      <c r="BB35" s="82" t="s">
        <v>5075</v>
      </c>
      <c r="BC35" s="82" t="s">
        <v>4092</v>
      </c>
      <c r="BD35" s="82" t="s">
        <v>5128</v>
      </c>
      <c r="BE35" s="77"/>
      <c r="BF35" s="77"/>
      <c r="BG35" s="77"/>
      <c r="BH35" s="77"/>
      <c r="BI35" s="77"/>
    </row>
    <row r="36" spans="1:61" x14ac:dyDescent="0.25">
      <c r="A36" s="62" t="s">
        <v>237</v>
      </c>
      <c r="B36" s="62" t="s">
        <v>237</v>
      </c>
      <c r="C36" s="63"/>
      <c r="D36" s="64"/>
      <c r="E36" s="65"/>
      <c r="F36" s="66"/>
      <c r="G36" s="63"/>
      <c r="H36" s="67"/>
      <c r="I36" s="68"/>
      <c r="J36" s="68"/>
      <c r="K36" s="32"/>
      <c r="L36" s="75">
        <v>36</v>
      </c>
      <c r="M36" s="75"/>
      <c r="N36" s="70"/>
      <c r="O36" s="77" t="s">
        <v>179</v>
      </c>
      <c r="P36" s="79">
        <v>45028.757222222222</v>
      </c>
      <c r="Q36" s="77" t="s">
        <v>572</v>
      </c>
      <c r="R36" s="77">
        <v>0</v>
      </c>
      <c r="S36" s="77">
        <v>0</v>
      </c>
      <c r="T36" s="77">
        <v>0</v>
      </c>
      <c r="U36" s="77">
        <v>0</v>
      </c>
      <c r="V36" s="77">
        <v>8</v>
      </c>
      <c r="W36" s="82" t="s">
        <v>1461</v>
      </c>
      <c r="X36" s="77"/>
      <c r="Y36" s="77"/>
      <c r="Z36" s="77"/>
      <c r="AA36" s="77" t="s">
        <v>2022</v>
      </c>
      <c r="AB36" s="77" t="s">
        <v>2632</v>
      </c>
      <c r="AC36" s="82" t="s">
        <v>2641</v>
      </c>
      <c r="AD36" s="77" t="s">
        <v>2670</v>
      </c>
      <c r="AE36" s="80" t="str">
        <f>HYPERLINK("https://twitter.com/ttorres_oficial/status/1646214198534209563")</f>
        <v>https://twitter.com/ttorres_oficial/status/1646214198534209563</v>
      </c>
      <c r="AF36" s="79">
        <v>45028.757222222222</v>
      </c>
      <c r="AG36" s="85">
        <v>45028</v>
      </c>
      <c r="AH36" s="82" t="s">
        <v>2709</v>
      </c>
      <c r="AI36" s="77" t="b">
        <v>0</v>
      </c>
      <c r="AJ36" s="77"/>
      <c r="AK36" s="77"/>
      <c r="AL36" s="77"/>
      <c r="AM36" s="77"/>
      <c r="AN36" s="77"/>
      <c r="AO36" s="77"/>
      <c r="AP36" s="77"/>
      <c r="AQ36" s="77" t="s">
        <v>3451</v>
      </c>
      <c r="AR36" s="77"/>
      <c r="AS36" s="77"/>
      <c r="AT36" s="77"/>
      <c r="AU36" s="77"/>
      <c r="AV36" s="80" t="str">
        <f>HYPERLINK("https://pbs.twimg.com/media/FtiHFtNWABAHZmG.jpg")</f>
        <v>https://pbs.twimg.com/media/FtiHFtNWABAHZmG.jpg</v>
      </c>
      <c r="AW36" s="82" t="s">
        <v>4093</v>
      </c>
      <c r="AX36" s="82" t="s">
        <v>4093</v>
      </c>
      <c r="AY36" s="77"/>
      <c r="AZ36" s="82" t="s">
        <v>5075</v>
      </c>
      <c r="BA36" s="82" t="s">
        <v>5075</v>
      </c>
      <c r="BB36" s="82" t="s">
        <v>5075</v>
      </c>
      <c r="BC36" s="82" t="s">
        <v>4093</v>
      </c>
      <c r="BD36" s="82" t="s">
        <v>5129</v>
      </c>
      <c r="BE36" s="77"/>
      <c r="BF36" s="77"/>
      <c r="BG36" s="77"/>
      <c r="BH36" s="77"/>
      <c r="BI36" s="77"/>
    </row>
    <row r="37" spans="1:61" x14ac:dyDescent="0.25">
      <c r="A37" s="62" t="s">
        <v>238</v>
      </c>
      <c r="B37" s="62" t="s">
        <v>238</v>
      </c>
      <c r="C37" s="63"/>
      <c r="D37" s="64"/>
      <c r="E37" s="65"/>
      <c r="F37" s="66"/>
      <c r="G37" s="63"/>
      <c r="H37" s="67"/>
      <c r="I37" s="68"/>
      <c r="J37" s="68"/>
      <c r="K37" s="32"/>
      <c r="L37" s="75">
        <v>37</v>
      </c>
      <c r="M37" s="75"/>
      <c r="N37" s="70"/>
      <c r="O37" s="77" t="s">
        <v>536</v>
      </c>
      <c r="P37" s="79">
        <v>44979.83489583333</v>
      </c>
      <c r="Q37" s="77" t="s">
        <v>573</v>
      </c>
      <c r="R37" s="77">
        <v>0</v>
      </c>
      <c r="S37" s="77">
        <v>3</v>
      </c>
      <c r="T37" s="77">
        <v>0</v>
      </c>
      <c r="U37" s="77">
        <v>0</v>
      </c>
      <c r="V37" s="77">
        <v>1208</v>
      </c>
      <c r="W37" s="82" t="s">
        <v>1462</v>
      </c>
      <c r="X37" s="80" t="str">
        <f>HYPERLINK("https://bit.ly/Lucro-E-Rentabilidade-sebrae")</f>
        <v>https://bit.ly/Lucro-E-Rentabilidade-sebrae</v>
      </c>
      <c r="Y37" s="77" t="s">
        <v>1975</v>
      </c>
      <c r="Z37" s="77"/>
      <c r="AA37" s="77"/>
      <c r="AB37" s="77"/>
      <c r="AC37" s="82" t="s">
        <v>2639</v>
      </c>
      <c r="AD37" s="77" t="s">
        <v>2670</v>
      </c>
      <c r="AE37" s="80" t="str">
        <f>HYPERLINK("https://twitter.com/sebrae/status/1628485339537965058")</f>
        <v>https://twitter.com/sebrae/status/1628485339537965058</v>
      </c>
      <c r="AF37" s="79">
        <v>44979.83489583333</v>
      </c>
      <c r="AG37" s="85">
        <v>44979</v>
      </c>
      <c r="AH37" s="82" t="s">
        <v>2710</v>
      </c>
      <c r="AI37" s="77" t="b">
        <v>0</v>
      </c>
      <c r="AJ37" s="77"/>
      <c r="AK37" s="77"/>
      <c r="AL37" s="77"/>
      <c r="AM37" s="77"/>
      <c r="AN37" s="77"/>
      <c r="AO37" s="77"/>
      <c r="AP37" s="77"/>
      <c r="AQ37" s="77"/>
      <c r="AR37" s="77"/>
      <c r="AS37" s="77"/>
      <c r="AT37" s="77"/>
      <c r="AU37" s="77"/>
      <c r="AV37" s="80" t="str">
        <f>HYPERLINK("https://pbs.twimg.com/profile_images/1702087694174605312/wIBn99EO_normal.jpg")</f>
        <v>https://pbs.twimg.com/profile_images/1702087694174605312/wIBn99EO_normal.jpg</v>
      </c>
      <c r="AW37" s="82" t="s">
        <v>4094</v>
      </c>
      <c r="AX37" s="82" t="s">
        <v>4957</v>
      </c>
      <c r="AY37" s="82" t="s">
        <v>5028</v>
      </c>
      <c r="AZ37" s="82" t="s">
        <v>5077</v>
      </c>
      <c r="BA37" s="82" t="s">
        <v>5075</v>
      </c>
      <c r="BB37" s="82" t="s">
        <v>5075</v>
      </c>
      <c r="BC37" s="82" t="s">
        <v>5077</v>
      </c>
      <c r="BD37" s="77">
        <v>14584765</v>
      </c>
      <c r="BE37" s="77"/>
      <c r="BF37" s="77"/>
      <c r="BG37" s="77"/>
      <c r="BH37" s="77"/>
      <c r="BI37" s="77"/>
    </row>
    <row r="38" spans="1:61" x14ac:dyDescent="0.25">
      <c r="A38" s="62" t="s">
        <v>239</v>
      </c>
      <c r="B38" s="62" t="s">
        <v>239</v>
      </c>
      <c r="C38" s="63"/>
      <c r="D38" s="64"/>
      <c r="E38" s="65"/>
      <c r="F38" s="66"/>
      <c r="G38" s="63"/>
      <c r="H38" s="67"/>
      <c r="I38" s="68"/>
      <c r="J38" s="68"/>
      <c r="K38" s="32"/>
      <c r="L38" s="75">
        <v>38</v>
      </c>
      <c r="M38" s="75"/>
      <c r="N38" s="70"/>
      <c r="O38" s="77" t="s">
        <v>179</v>
      </c>
      <c r="P38" s="79">
        <v>45015.833958333336</v>
      </c>
      <c r="Q38" s="77" t="s">
        <v>574</v>
      </c>
      <c r="R38" s="77">
        <v>0</v>
      </c>
      <c r="S38" s="77">
        <v>0</v>
      </c>
      <c r="T38" s="77">
        <v>0</v>
      </c>
      <c r="U38" s="77">
        <v>0</v>
      </c>
      <c r="V38" s="77">
        <v>27</v>
      </c>
      <c r="W38" s="82" t="s">
        <v>1463</v>
      </c>
      <c r="X38" s="77"/>
      <c r="Y38" s="77"/>
      <c r="Z38" s="77"/>
      <c r="AA38" s="77" t="s">
        <v>2023</v>
      </c>
      <c r="AB38" s="77" t="s">
        <v>2632</v>
      </c>
      <c r="AC38" s="82" t="s">
        <v>2642</v>
      </c>
      <c r="AD38" s="77" t="s">
        <v>2670</v>
      </c>
      <c r="AE38" s="80" t="str">
        <f>HYPERLINK("https://twitter.com/_meunomelimpo/status/1641530964378546176")</f>
        <v>https://twitter.com/_meunomelimpo/status/1641530964378546176</v>
      </c>
      <c r="AF38" s="79">
        <v>45015.833958333336</v>
      </c>
      <c r="AG38" s="85">
        <v>45015</v>
      </c>
      <c r="AH38" s="82" t="s">
        <v>2711</v>
      </c>
      <c r="AI38" s="77" t="b">
        <v>0</v>
      </c>
      <c r="AJ38" s="77"/>
      <c r="AK38" s="77"/>
      <c r="AL38" s="77"/>
      <c r="AM38" s="77"/>
      <c r="AN38" s="77"/>
      <c r="AO38" s="77"/>
      <c r="AP38" s="77"/>
      <c r="AQ38" s="77" t="s">
        <v>3452</v>
      </c>
      <c r="AR38" s="77"/>
      <c r="AS38" s="77"/>
      <c r="AT38" s="77"/>
      <c r="AU38" s="77"/>
      <c r="AV38" s="80" t="str">
        <f>HYPERLINK("https://pbs.twimg.com/media/FsfjtopWIBE0XUR.jpg")</f>
        <v>https://pbs.twimg.com/media/FsfjtopWIBE0XUR.jpg</v>
      </c>
      <c r="AW38" s="82" t="s">
        <v>4095</v>
      </c>
      <c r="AX38" s="82" t="s">
        <v>4095</v>
      </c>
      <c r="AY38" s="77"/>
      <c r="AZ38" s="82" t="s">
        <v>5075</v>
      </c>
      <c r="BA38" s="82" t="s">
        <v>5075</v>
      </c>
      <c r="BB38" s="82" t="s">
        <v>5075</v>
      </c>
      <c r="BC38" s="82" t="s">
        <v>4095</v>
      </c>
      <c r="BD38" s="82" t="s">
        <v>5130</v>
      </c>
      <c r="BE38" s="77"/>
      <c r="BF38" s="77"/>
      <c r="BG38" s="77"/>
      <c r="BH38" s="77"/>
      <c r="BI38" s="77"/>
    </row>
    <row r="39" spans="1:61" x14ac:dyDescent="0.25">
      <c r="A39" s="62" t="s">
        <v>239</v>
      </c>
      <c r="B39" s="62" t="s">
        <v>239</v>
      </c>
      <c r="C39" s="63"/>
      <c r="D39" s="64"/>
      <c r="E39" s="65"/>
      <c r="F39" s="66"/>
      <c r="G39" s="63"/>
      <c r="H39" s="67"/>
      <c r="I39" s="68"/>
      <c r="J39" s="68"/>
      <c r="K39" s="32"/>
      <c r="L39" s="75">
        <v>39</v>
      </c>
      <c r="M39" s="75"/>
      <c r="N39" s="70"/>
      <c r="O39" s="77" t="s">
        <v>179</v>
      </c>
      <c r="P39" s="79">
        <v>45014.833912037036</v>
      </c>
      <c r="Q39" s="77" t="s">
        <v>575</v>
      </c>
      <c r="R39" s="77">
        <v>0</v>
      </c>
      <c r="S39" s="77">
        <v>0</v>
      </c>
      <c r="T39" s="77">
        <v>0</v>
      </c>
      <c r="U39" s="77">
        <v>0</v>
      </c>
      <c r="V39" s="77">
        <v>35</v>
      </c>
      <c r="W39" s="82" t="s">
        <v>1463</v>
      </c>
      <c r="X39" s="77"/>
      <c r="Y39" s="77"/>
      <c r="Z39" s="77"/>
      <c r="AA39" s="77" t="s">
        <v>2024</v>
      </c>
      <c r="AB39" s="77" t="s">
        <v>2632</v>
      </c>
      <c r="AC39" s="82" t="s">
        <v>2642</v>
      </c>
      <c r="AD39" s="77" t="s">
        <v>2670</v>
      </c>
      <c r="AE39" s="80" t="str">
        <f>HYPERLINK("https://twitter.com/_meunomelimpo/status/1641168558427189249")</f>
        <v>https://twitter.com/_meunomelimpo/status/1641168558427189249</v>
      </c>
      <c r="AF39" s="79">
        <v>45014.833912037036</v>
      </c>
      <c r="AG39" s="85">
        <v>45014</v>
      </c>
      <c r="AH39" s="82" t="s">
        <v>2712</v>
      </c>
      <c r="AI39" s="77" t="b">
        <v>0</v>
      </c>
      <c r="AJ39" s="77"/>
      <c r="AK39" s="77"/>
      <c r="AL39" s="77"/>
      <c r="AM39" s="77"/>
      <c r="AN39" s="77"/>
      <c r="AO39" s="77"/>
      <c r="AP39" s="77"/>
      <c r="AQ39" s="77" t="s">
        <v>3453</v>
      </c>
      <c r="AR39" s="77"/>
      <c r="AS39" s="77"/>
      <c r="AT39" s="77"/>
      <c r="AU39" s="77"/>
      <c r="AV39" s="80" t="str">
        <f>HYPERLINK("https://pbs.twimg.com/media/FsaaG2NXgAcW63_.jpg")</f>
        <v>https://pbs.twimg.com/media/FsaaG2NXgAcW63_.jpg</v>
      </c>
      <c r="AW39" s="82" t="s">
        <v>4096</v>
      </c>
      <c r="AX39" s="82" t="s">
        <v>4096</v>
      </c>
      <c r="AY39" s="77"/>
      <c r="AZ39" s="82" t="s">
        <v>5075</v>
      </c>
      <c r="BA39" s="82" t="s">
        <v>5075</v>
      </c>
      <c r="BB39" s="82" t="s">
        <v>5075</v>
      </c>
      <c r="BC39" s="82" t="s">
        <v>4096</v>
      </c>
      <c r="BD39" s="82" t="s">
        <v>5130</v>
      </c>
      <c r="BE39" s="77"/>
      <c r="BF39" s="77"/>
      <c r="BG39" s="77"/>
      <c r="BH39" s="77"/>
      <c r="BI39" s="77"/>
    </row>
    <row r="40" spans="1:61" x14ac:dyDescent="0.25">
      <c r="A40" s="62" t="s">
        <v>239</v>
      </c>
      <c r="B40" s="62" t="s">
        <v>239</v>
      </c>
      <c r="C40" s="63"/>
      <c r="D40" s="64"/>
      <c r="E40" s="65"/>
      <c r="F40" s="66"/>
      <c r="G40" s="63"/>
      <c r="H40" s="67"/>
      <c r="I40" s="68"/>
      <c r="J40" s="68"/>
      <c r="K40" s="32"/>
      <c r="L40" s="75">
        <v>40</v>
      </c>
      <c r="M40" s="75"/>
      <c r="N40" s="70"/>
      <c r="O40" s="77" t="s">
        <v>179</v>
      </c>
      <c r="P40" s="79">
        <v>45013.833703703705</v>
      </c>
      <c r="Q40" s="77" t="s">
        <v>576</v>
      </c>
      <c r="R40" s="77">
        <v>0</v>
      </c>
      <c r="S40" s="77">
        <v>0</v>
      </c>
      <c r="T40" s="77">
        <v>0</v>
      </c>
      <c r="U40" s="77">
        <v>0</v>
      </c>
      <c r="V40" s="77">
        <v>17</v>
      </c>
      <c r="W40" s="82" t="s">
        <v>1463</v>
      </c>
      <c r="X40" s="77"/>
      <c r="Y40" s="77"/>
      <c r="Z40" s="77"/>
      <c r="AA40" s="77" t="s">
        <v>2025</v>
      </c>
      <c r="AB40" s="77" t="s">
        <v>2632</v>
      </c>
      <c r="AC40" s="82" t="s">
        <v>2642</v>
      </c>
      <c r="AD40" s="77" t="s">
        <v>2670</v>
      </c>
      <c r="AE40" s="80" t="str">
        <f>HYPERLINK("https://twitter.com/_meunomelimpo/status/1640806097152888866")</f>
        <v>https://twitter.com/_meunomelimpo/status/1640806097152888866</v>
      </c>
      <c r="AF40" s="79">
        <v>45013.833703703705</v>
      </c>
      <c r="AG40" s="85">
        <v>45013</v>
      </c>
      <c r="AH40" s="82" t="s">
        <v>2713</v>
      </c>
      <c r="AI40" s="77" t="b">
        <v>0</v>
      </c>
      <c r="AJ40" s="77"/>
      <c r="AK40" s="77"/>
      <c r="AL40" s="77"/>
      <c r="AM40" s="77"/>
      <c r="AN40" s="77"/>
      <c r="AO40" s="77"/>
      <c r="AP40" s="77"/>
      <c r="AQ40" s="77" t="s">
        <v>3454</v>
      </c>
      <c r="AR40" s="77"/>
      <c r="AS40" s="77"/>
      <c r="AT40" s="77"/>
      <c r="AU40" s="77"/>
      <c r="AV40" s="80" t="str">
        <f>HYPERLINK("https://pbs.twimg.com/media/FsVQc0tX0Akg7U9.jpg")</f>
        <v>https://pbs.twimg.com/media/FsVQc0tX0Akg7U9.jpg</v>
      </c>
      <c r="AW40" s="82" t="s">
        <v>4097</v>
      </c>
      <c r="AX40" s="82" t="s">
        <v>4097</v>
      </c>
      <c r="AY40" s="77"/>
      <c r="AZ40" s="82" t="s">
        <v>5075</v>
      </c>
      <c r="BA40" s="82" t="s">
        <v>5075</v>
      </c>
      <c r="BB40" s="82" t="s">
        <v>5075</v>
      </c>
      <c r="BC40" s="82" t="s">
        <v>4097</v>
      </c>
      <c r="BD40" s="82" t="s">
        <v>5130</v>
      </c>
      <c r="BE40" s="77"/>
      <c r="BF40" s="77"/>
      <c r="BG40" s="77"/>
      <c r="BH40" s="77"/>
      <c r="BI40" s="77"/>
    </row>
    <row r="41" spans="1:61" x14ac:dyDescent="0.25">
      <c r="A41" s="62" t="s">
        <v>239</v>
      </c>
      <c r="B41" s="62" t="s">
        <v>239</v>
      </c>
      <c r="C41" s="63"/>
      <c r="D41" s="64"/>
      <c r="E41" s="65"/>
      <c r="F41" s="66"/>
      <c r="G41" s="63"/>
      <c r="H41" s="67"/>
      <c r="I41" s="68"/>
      <c r="J41" s="68"/>
      <c r="K41" s="32"/>
      <c r="L41" s="75">
        <v>41</v>
      </c>
      <c r="M41" s="75"/>
      <c r="N41" s="70"/>
      <c r="O41" s="77" t="s">
        <v>179</v>
      </c>
      <c r="P41" s="79">
        <v>45008.575486111113</v>
      </c>
      <c r="Q41" s="77" t="s">
        <v>577</v>
      </c>
      <c r="R41" s="77">
        <v>0</v>
      </c>
      <c r="S41" s="77">
        <v>0</v>
      </c>
      <c r="T41" s="77">
        <v>0</v>
      </c>
      <c r="U41" s="77">
        <v>0</v>
      </c>
      <c r="V41" s="77">
        <v>7</v>
      </c>
      <c r="W41" s="82" t="s">
        <v>1464</v>
      </c>
      <c r="X41" s="77"/>
      <c r="Y41" s="77"/>
      <c r="Z41" s="77"/>
      <c r="AA41" s="77" t="s">
        <v>2026</v>
      </c>
      <c r="AB41" s="77" t="s">
        <v>2632</v>
      </c>
      <c r="AC41" s="82" t="s">
        <v>2639</v>
      </c>
      <c r="AD41" s="77" t="s">
        <v>2670</v>
      </c>
      <c r="AE41" s="80" t="str">
        <f>HYPERLINK("https://twitter.com/_meunomelimpo/status/1638900580394610688")</f>
        <v>https://twitter.com/_meunomelimpo/status/1638900580394610688</v>
      </c>
      <c r="AF41" s="79">
        <v>45008.575486111113</v>
      </c>
      <c r="AG41" s="85">
        <v>45008</v>
      </c>
      <c r="AH41" s="82" t="s">
        <v>2714</v>
      </c>
      <c r="AI41" s="77" t="b">
        <v>0</v>
      </c>
      <c r="AJ41" s="77"/>
      <c r="AK41" s="77"/>
      <c r="AL41" s="77"/>
      <c r="AM41" s="77"/>
      <c r="AN41" s="77"/>
      <c r="AO41" s="77"/>
      <c r="AP41" s="77"/>
      <c r="AQ41" s="77" t="s">
        <v>3455</v>
      </c>
      <c r="AR41" s="77"/>
      <c r="AS41" s="77"/>
      <c r="AT41" s="77"/>
      <c r="AU41" s="77"/>
      <c r="AV41" s="80" t="str">
        <f>HYPERLINK("https://pbs.twimg.com/media/Fr6LYyYWAAke6vl.jpg")</f>
        <v>https://pbs.twimg.com/media/Fr6LYyYWAAke6vl.jpg</v>
      </c>
      <c r="AW41" s="82" t="s">
        <v>4098</v>
      </c>
      <c r="AX41" s="82" t="s">
        <v>4098</v>
      </c>
      <c r="AY41" s="77"/>
      <c r="AZ41" s="82" t="s">
        <v>5075</v>
      </c>
      <c r="BA41" s="82" t="s">
        <v>5075</v>
      </c>
      <c r="BB41" s="82" t="s">
        <v>5075</v>
      </c>
      <c r="BC41" s="82" t="s">
        <v>4098</v>
      </c>
      <c r="BD41" s="82" t="s">
        <v>5130</v>
      </c>
      <c r="BE41" s="77"/>
      <c r="BF41" s="77"/>
      <c r="BG41" s="77"/>
      <c r="BH41" s="77"/>
      <c r="BI41" s="77"/>
    </row>
    <row r="42" spans="1:61" x14ac:dyDescent="0.25">
      <c r="A42" s="62" t="s">
        <v>240</v>
      </c>
      <c r="B42" s="62" t="s">
        <v>240</v>
      </c>
      <c r="C42" s="63"/>
      <c r="D42" s="64"/>
      <c r="E42" s="65"/>
      <c r="F42" s="66"/>
      <c r="G42" s="63"/>
      <c r="H42" s="67"/>
      <c r="I42" s="68"/>
      <c r="J42" s="68"/>
      <c r="K42" s="32"/>
      <c r="L42" s="75">
        <v>42</v>
      </c>
      <c r="M42" s="75"/>
      <c r="N42" s="70"/>
      <c r="O42" s="77" t="s">
        <v>179</v>
      </c>
      <c r="P42" s="79">
        <v>45104.626354166663</v>
      </c>
      <c r="Q42" s="77" t="s">
        <v>578</v>
      </c>
      <c r="R42" s="77">
        <v>0</v>
      </c>
      <c r="S42" s="77">
        <v>0</v>
      </c>
      <c r="T42" s="77">
        <v>0</v>
      </c>
      <c r="U42" s="77">
        <v>0</v>
      </c>
      <c r="V42" s="77">
        <v>21</v>
      </c>
      <c r="W42" s="82" t="s">
        <v>1465</v>
      </c>
      <c r="X42" s="77"/>
      <c r="Y42" s="77"/>
      <c r="Z42" s="77"/>
      <c r="AA42" s="77" t="s">
        <v>2027</v>
      </c>
      <c r="AB42" s="77" t="s">
        <v>2633</v>
      </c>
      <c r="AC42" s="82" t="s">
        <v>2643</v>
      </c>
      <c r="AD42" s="77" t="s">
        <v>2670</v>
      </c>
      <c r="AE42" s="80" t="str">
        <f>HYPERLINK("https://twitter.com/maumedofficial/status/1673708250011713536")</f>
        <v>https://twitter.com/maumedofficial/status/1673708250011713536</v>
      </c>
      <c r="AF42" s="79">
        <v>45104.626354166663</v>
      </c>
      <c r="AG42" s="85">
        <v>45104</v>
      </c>
      <c r="AH42" s="82" t="s">
        <v>2715</v>
      </c>
      <c r="AI42" s="77" t="b">
        <v>0</v>
      </c>
      <c r="AJ42" s="77"/>
      <c r="AK42" s="77"/>
      <c r="AL42" s="77"/>
      <c r="AM42" s="77"/>
      <c r="AN42" s="77"/>
      <c r="AO42" s="77"/>
      <c r="AP42" s="77"/>
      <c r="AQ42" s="77" t="s">
        <v>3456</v>
      </c>
      <c r="AR42" s="77">
        <v>10000</v>
      </c>
      <c r="AS42" s="77"/>
      <c r="AT42" s="77"/>
      <c r="AU42" s="77"/>
      <c r="AV42" s="80" t="str">
        <f>HYPERLINK("https://pbs.twimg.com/ext_tw_video_thumb/1673708228201390083/pu/img/4MQib4dN7gF2G8ah.jpg")</f>
        <v>https://pbs.twimg.com/ext_tw_video_thumb/1673708228201390083/pu/img/4MQib4dN7gF2G8ah.jpg</v>
      </c>
      <c r="AW42" s="82" t="s">
        <v>4099</v>
      </c>
      <c r="AX42" s="82" t="s">
        <v>4099</v>
      </c>
      <c r="AY42" s="77"/>
      <c r="AZ42" s="82" t="s">
        <v>5075</v>
      </c>
      <c r="BA42" s="82" t="s">
        <v>5075</v>
      </c>
      <c r="BB42" s="82" t="s">
        <v>5075</v>
      </c>
      <c r="BC42" s="82" t="s">
        <v>4099</v>
      </c>
      <c r="BD42" s="82" t="s">
        <v>5131</v>
      </c>
      <c r="BE42" s="77"/>
      <c r="BF42" s="77"/>
      <c r="BG42" s="77"/>
      <c r="BH42" s="77"/>
      <c r="BI42" s="77"/>
    </row>
    <row r="43" spans="1:61" x14ac:dyDescent="0.25">
      <c r="A43" s="62" t="s">
        <v>240</v>
      </c>
      <c r="B43" s="62" t="s">
        <v>240</v>
      </c>
      <c r="C43" s="63"/>
      <c r="D43" s="64"/>
      <c r="E43" s="65"/>
      <c r="F43" s="66"/>
      <c r="G43" s="63"/>
      <c r="H43" s="67"/>
      <c r="I43" s="68"/>
      <c r="J43" s="68"/>
      <c r="K43" s="32"/>
      <c r="L43" s="75">
        <v>43</v>
      </c>
      <c r="M43" s="75"/>
      <c r="N43" s="70"/>
      <c r="O43" s="77" t="s">
        <v>179</v>
      </c>
      <c r="P43" s="79">
        <v>45103.918020833335</v>
      </c>
      <c r="Q43" s="77" t="s">
        <v>579</v>
      </c>
      <c r="R43" s="77">
        <v>0</v>
      </c>
      <c r="S43" s="77">
        <v>0</v>
      </c>
      <c r="T43" s="77">
        <v>0</v>
      </c>
      <c r="U43" s="77">
        <v>0</v>
      </c>
      <c r="V43" s="77">
        <v>11</v>
      </c>
      <c r="W43" s="82" t="s">
        <v>1465</v>
      </c>
      <c r="X43" s="77"/>
      <c r="Y43" s="77"/>
      <c r="Z43" s="77"/>
      <c r="AA43" s="77" t="s">
        <v>2028</v>
      </c>
      <c r="AB43" s="77" t="s">
        <v>2633</v>
      </c>
      <c r="AC43" s="82" t="s">
        <v>2643</v>
      </c>
      <c r="AD43" s="77" t="s">
        <v>2670</v>
      </c>
      <c r="AE43" s="80" t="str">
        <f>HYPERLINK("https://twitter.com/maumedofficial/status/1673451558824968194")</f>
        <v>https://twitter.com/maumedofficial/status/1673451558824968194</v>
      </c>
      <c r="AF43" s="79">
        <v>45103.918020833335</v>
      </c>
      <c r="AG43" s="85">
        <v>45103</v>
      </c>
      <c r="AH43" s="82" t="s">
        <v>2716</v>
      </c>
      <c r="AI43" s="77" t="b">
        <v>0</v>
      </c>
      <c r="AJ43" s="77"/>
      <c r="AK43" s="77"/>
      <c r="AL43" s="77"/>
      <c r="AM43" s="77"/>
      <c r="AN43" s="77"/>
      <c r="AO43" s="77"/>
      <c r="AP43" s="77"/>
      <c r="AQ43" s="77" t="s">
        <v>3457</v>
      </c>
      <c r="AR43" s="77">
        <v>10000</v>
      </c>
      <c r="AS43" s="77"/>
      <c r="AT43" s="77"/>
      <c r="AU43" s="77"/>
      <c r="AV43" s="80" t="str">
        <f>HYPERLINK("https://pbs.twimg.com/ext_tw_video_thumb/1673451536746160128/pu/img/gB41KeGrM1IgBW7f.jpg")</f>
        <v>https://pbs.twimg.com/ext_tw_video_thumb/1673451536746160128/pu/img/gB41KeGrM1IgBW7f.jpg</v>
      </c>
      <c r="AW43" s="82" t="s">
        <v>4100</v>
      </c>
      <c r="AX43" s="82" t="s">
        <v>4100</v>
      </c>
      <c r="AY43" s="77"/>
      <c r="AZ43" s="82" t="s">
        <v>5075</v>
      </c>
      <c r="BA43" s="82" t="s">
        <v>5075</v>
      </c>
      <c r="BB43" s="82" t="s">
        <v>5075</v>
      </c>
      <c r="BC43" s="82" t="s">
        <v>4100</v>
      </c>
      <c r="BD43" s="82" t="s">
        <v>5131</v>
      </c>
      <c r="BE43" s="77"/>
      <c r="BF43" s="77"/>
      <c r="BG43" s="77"/>
      <c r="BH43" s="77"/>
      <c r="BI43" s="77"/>
    </row>
    <row r="44" spans="1:61" x14ac:dyDescent="0.25">
      <c r="A44" s="62" t="s">
        <v>240</v>
      </c>
      <c r="B44" s="62" t="s">
        <v>240</v>
      </c>
      <c r="C44" s="63"/>
      <c r="D44" s="64"/>
      <c r="E44" s="65"/>
      <c r="F44" s="66"/>
      <c r="G44" s="63"/>
      <c r="H44" s="67"/>
      <c r="I44" s="68"/>
      <c r="J44" s="68"/>
      <c r="K44" s="32"/>
      <c r="L44" s="75">
        <v>44</v>
      </c>
      <c r="M44" s="75"/>
      <c r="N44" s="70"/>
      <c r="O44" s="77" t="s">
        <v>179</v>
      </c>
      <c r="P44" s="79">
        <v>45105.626319444447</v>
      </c>
      <c r="Q44" s="77" t="s">
        <v>580</v>
      </c>
      <c r="R44" s="77">
        <v>0</v>
      </c>
      <c r="S44" s="77">
        <v>0</v>
      </c>
      <c r="T44" s="77">
        <v>0</v>
      </c>
      <c r="U44" s="77">
        <v>0</v>
      </c>
      <c r="V44" s="77">
        <v>5</v>
      </c>
      <c r="W44" s="82" t="s">
        <v>1465</v>
      </c>
      <c r="X44" s="77"/>
      <c r="Y44" s="77"/>
      <c r="Z44" s="77"/>
      <c r="AA44" s="77" t="s">
        <v>2029</v>
      </c>
      <c r="AB44" s="77" t="s">
        <v>2633</v>
      </c>
      <c r="AC44" s="82" t="s">
        <v>2643</v>
      </c>
      <c r="AD44" s="77" t="s">
        <v>2670</v>
      </c>
      <c r="AE44" s="80" t="str">
        <f>HYPERLINK("https://twitter.com/maumedofficial/status/1674070626003296258")</f>
        <v>https://twitter.com/maumedofficial/status/1674070626003296258</v>
      </c>
      <c r="AF44" s="79">
        <v>45105.626319444447</v>
      </c>
      <c r="AG44" s="85">
        <v>45105</v>
      </c>
      <c r="AH44" s="82" t="s">
        <v>2717</v>
      </c>
      <c r="AI44" s="77" t="b">
        <v>0</v>
      </c>
      <c r="AJ44" s="77"/>
      <c r="AK44" s="77"/>
      <c r="AL44" s="77"/>
      <c r="AM44" s="77"/>
      <c r="AN44" s="77"/>
      <c r="AO44" s="77"/>
      <c r="AP44" s="77"/>
      <c r="AQ44" s="77" t="s">
        <v>3458</v>
      </c>
      <c r="AR44" s="77">
        <v>10000</v>
      </c>
      <c r="AS44" s="77"/>
      <c r="AT44" s="77"/>
      <c r="AU44" s="77"/>
      <c r="AV44" s="80" t="str">
        <f>HYPERLINK("https://pbs.twimg.com/ext_tw_video_thumb/1674070592687951872/pu/img/WUJubp_JbemJVIYB.jpg")</f>
        <v>https://pbs.twimg.com/ext_tw_video_thumb/1674070592687951872/pu/img/WUJubp_JbemJVIYB.jpg</v>
      </c>
      <c r="AW44" s="82" t="s">
        <v>4101</v>
      </c>
      <c r="AX44" s="82" t="s">
        <v>4101</v>
      </c>
      <c r="AY44" s="77"/>
      <c r="AZ44" s="82" t="s">
        <v>5075</v>
      </c>
      <c r="BA44" s="82" t="s">
        <v>5075</v>
      </c>
      <c r="BB44" s="82" t="s">
        <v>5075</v>
      </c>
      <c r="BC44" s="82" t="s">
        <v>4101</v>
      </c>
      <c r="BD44" s="82" t="s">
        <v>5131</v>
      </c>
      <c r="BE44" s="77"/>
      <c r="BF44" s="77"/>
      <c r="BG44" s="77"/>
      <c r="BH44" s="77"/>
      <c r="BI44" s="77"/>
    </row>
    <row r="45" spans="1:61" x14ac:dyDescent="0.25">
      <c r="A45" s="62" t="s">
        <v>240</v>
      </c>
      <c r="B45" s="62" t="s">
        <v>240</v>
      </c>
      <c r="C45" s="63"/>
      <c r="D45" s="64"/>
      <c r="E45" s="65"/>
      <c r="F45" s="66"/>
      <c r="G45" s="63"/>
      <c r="H45" s="67"/>
      <c r="I45" s="68"/>
      <c r="J45" s="68"/>
      <c r="K45" s="32"/>
      <c r="L45" s="75">
        <v>45</v>
      </c>
      <c r="M45" s="75"/>
      <c r="N45" s="70"/>
      <c r="O45" s="77" t="s">
        <v>179</v>
      </c>
      <c r="P45" s="79">
        <v>45110.459444444445</v>
      </c>
      <c r="Q45" s="77" t="s">
        <v>581</v>
      </c>
      <c r="R45" s="77">
        <v>0</v>
      </c>
      <c r="S45" s="77">
        <v>0</v>
      </c>
      <c r="T45" s="77">
        <v>0</v>
      </c>
      <c r="U45" s="77">
        <v>0</v>
      </c>
      <c r="V45" s="77">
        <v>5</v>
      </c>
      <c r="W45" s="82" t="s">
        <v>1465</v>
      </c>
      <c r="X45" s="77"/>
      <c r="Y45" s="77"/>
      <c r="Z45" s="77"/>
      <c r="AA45" s="77" t="s">
        <v>2030</v>
      </c>
      <c r="AB45" s="77" t="s">
        <v>2633</v>
      </c>
      <c r="AC45" s="82" t="s">
        <v>2643</v>
      </c>
      <c r="AD45" s="77" t="s">
        <v>2670</v>
      </c>
      <c r="AE45" s="80" t="str">
        <f>HYPERLINK("https://twitter.com/maumedofficial/status/1675822090077741057")</f>
        <v>https://twitter.com/maumedofficial/status/1675822090077741057</v>
      </c>
      <c r="AF45" s="79">
        <v>45110.459444444445</v>
      </c>
      <c r="AG45" s="85">
        <v>45110</v>
      </c>
      <c r="AH45" s="82" t="s">
        <v>2718</v>
      </c>
      <c r="AI45" s="77" t="b">
        <v>0</v>
      </c>
      <c r="AJ45" s="77"/>
      <c r="AK45" s="77"/>
      <c r="AL45" s="77"/>
      <c r="AM45" s="77"/>
      <c r="AN45" s="77"/>
      <c r="AO45" s="77"/>
      <c r="AP45" s="77"/>
      <c r="AQ45" s="77" t="s">
        <v>3459</v>
      </c>
      <c r="AR45" s="77">
        <v>10000</v>
      </c>
      <c r="AS45" s="77"/>
      <c r="AT45" s="77"/>
      <c r="AU45" s="77"/>
      <c r="AV45" s="80" t="str">
        <f>HYPERLINK("https://pbs.twimg.com/ext_tw_video_thumb/1675822069651501056/pu/img/sUZD4XEbjS7EAWb7.jpg")</f>
        <v>https://pbs.twimg.com/ext_tw_video_thumb/1675822069651501056/pu/img/sUZD4XEbjS7EAWb7.jpg</v>
      </c>
      <c r="AW45" s="82" t="s">
        <v>4102</v>
      </c>
      <c r="AX45" s="82" t="s">
        <v>4102</v>
      </c>
      <c r="AY45" s="77"/>
      <c r="AZ45" s="82" t="s">
        <v>5075</v>
      </c>
      <c r="BA45" s="82" t="s">
        <v>5075</v>
      </c>
      <c r="BB45" s="82" t="s">
        <v>5075</v>
      </c>
      <c r="BC45" s="82" t="s">
        <v>4102</v>
      </c>
      <c r="BD45" s="82" t="s">
        <v>5131</v>
      </c>
      <c r="BE45" s="77"/>
      <c r="BF45" s="77"/>
      <c r="BG45" s="77"/>
      <c r="BH45" s="77"/>
      <c r="BI45" s="77"/>
    </row>
    <row r="46" spans="1:61" x14ac:dyDescent="0.25">
      <c r="A46" s="62" t="s">
        <v>240</v>
      </c>
      <c r="B46" s="62" t="s">
        <v>240</v>
      </c>
      <c r="C46" s="63"/>
      <c r="D46" s="64"/>
      <c r="E46" s="65"/>
      <c r="F46" s="66"/>
      <c r="G46" s="63"/>
      <c r="H46" s="67"/>
      <c r="I46" s="68"/>
      <c r="J46" s="68"/>
      <c r="K46" s="32"/>
      <c r="L46" s="75">
        <v>46</v>
      </c>
      <c r="M46" s="75"/>
      <c r="N46" s="70"/>
      <c r="O46" s="77" t="s">
        <v>179</v>
      </c>
      <c r="P46" s="79">
        <v>45107.626203703701</v>
      </c>
      <c r="Q46" s="77" t="s">
        <v>582</v>
      </c>
      <c r="R46" s="77">
        <v>0</v>
      </c>
      <c r="S46" s="77">
        <v>0</v>
      </c>
      <c r="T46" s="77">
        <v>0</v>
      </c>
      <c r="U46" s="77">
        <v>0</v>
      </c>
      <c r="V46" s="77">
        <v>16</v>
      </c>
      <c r="W46" s="82" t="s">
        <v>1465</v>
      </c>
      <c r="X46" s="77"/>
      <c r="Y46" s="77"/>
      <c r="Z46" s="77"/>
      <c r="AA46" s="77" t="s">
        <v>2031</v>
      </c>
      <c r="AB46" s="77" t="s">
        <v>2633</v>
      </c>
      <c r="AC46" s="82" t="s">
        <v>2643</v>
      </c>
      <c r="AD46" s="77" t="s">
        <v>2670</v>
      </c>
      <c r="AE46" s="80" t="str">
        <f>HYPERLINK("https://twitter.com/maumedofficial/status/1674795360836030469")</f>
        <v>https://twitter.com/maumedofficial/status/1674795360836030469</v>
      </c>
      <c r="AF46" s="79">
        <v>45107.626203703701</v>
      </c>
      <c r="AG46" s="85">
        <v>45107</v>
      </c>
      <c r="AH46" s="82" t="s">
        <v>2719</v>
      </c>
      <c r="AI46" s="77" t="b">
        <v>0</v>
      </c>
      <c r="AJ46" s="77"/>
      <c r="AK46" s="77"/>
      <c r="AL46" s="77"/>
      <c r="AM46" s="77"/>
      <c r="AN46" s="77"/>
      <c r="AO46" s="77"/>
      <c r="AP46" s="77"/>
      <c r="AQ46" s="77" t="s">
        <v>3460</v>
      </c>
      <c r="AR46" s="77">
        <v>10000</v>
      </c>
      <c r="AS46" s="77"/>
      <c r="AT46" s="77"/>
      <c r="AU46" s="77"/>
      <c r="AV46" s="80" t="str">
        <f>HYPERLINK("https://pbs.twimg.com/ext_tw_video_thumb/1674795330565701637/pu/img/ZMVyZff3zQj4SZy7.jpg")</f>
        <v>https://pbs.twimg.com/ext_tw_video_thumb/1674795330565701637/pu/img/ZMVyZff3zQj4SZy7.jpg</v>
      </c>
      <c r="AW46" s="82" t="s">
        <v>4103</v>
      </c>
      <c r="AX46" s="82" t="s">
        <v>4103</v>
      </c>
      <c r="AY46" s="77"/>
      <c r="AZ46" s="82" t="s">
        <v>5075</v>
      </c>
      <c r="BA46" s="82" t="s">
        <v>5075</v>
      </c>
      <c r="BB46" s="82" t="s">
        <v>5075</v>
      </c>
      <c r="BC46" s="82" t="s">
        <v>4103</v>
      </c>
      <c r="BD46" s="82" t="s">
        <v>5131</v>
      </c>
      <c r="BE46" s="77"/>
      <c r="BF46" s="77"/>
      <c r="BG46" s="77"/>
      <c r="BH46" s="77"/>
      <c r="BI46" s="77"/>
    </row>
    <row r="47" spans="1:61" x14ac:dyDescent="0.25">
      <c r="A47" s="62" t="s">
        <v>240</v>
      </c>
      <c r="B47" s="62" t="s">
        <v>240</v>
      </c>
      <c r="C47" s="63"/>
      <c r="D47" s="64"/>
      <c r="E47" s="65"/>
      <c r="F47" s="66"/>
      <c r="G47" s="63"/>
      <c r="H47" s="67"/>
      <c r="I47" s="68"/>
      <c r="J47" s="68"/>
      <c r="K47" s="32"/>
      <c r="L47" s="75">
        <v>47</v>
      </c>
      <c r="M47" s="75"/>
      <c r="N47" s="70"/>
      <c r="O47" s="77" t="s">
        <v>179</v>
      </c>
      <c r="P47" s="79">
        <v>45106.626064814816</v>
      </c>
      <c r="Q47" s="77" t="s">
        <v>583</v>
      </c>
      <c r="R47" s="77">
        <v>0</v>
      </c>
      <c r="S47" s="77">
        <v>0</v>
      </c>
      <c r="T47" s="77">
        <v>0</v>
      </c>
      <c r="U47" s="77">
        <v>0</v>
      </c>
      <c r="V47" s="77">
        <v>9</v>
      </c>
      <c r="W47" s="82" t="s">
        <v>1465</v>
      </c>
      <c r="X47" s="77"/>
      <c r="Y47" s="77"/>
      <c r="Z47" s="77"/>
      <c r="AA47" s="77" t="s">
        <v>2032</v>
      </c>
      <c r="AB47" s="77" t="s">
        <v>2633</v>
      </c>
      <c r="AC47" s="82" t="s">
        <v>2643</v>
      </c>
      <c r="AD47" s="77" t="s">
        <v>2670</v>
      </c>
      <c r="AE47" s="80" t="str">
        <f>HYPERLINK("https://twitter.com/maumedofficial/status/1674432919996370945")</f>
        <v>https://twitter.com/maumedofficial/status/1674432919996370945</v>
      </c>
      <c r="AF47" s="79">
        <v>45106.626064814816</v>
      </c>
      <c r="AG47" s="85">
        <v>45106</v>
      </c>
      <c r="AH47" s="82" t="s">
        <v>2720</v>
      </c>
      <c r="AI47" s="77" t="b">
        <v>0</v>
      </c>
      <c r="AJ47" s="77"/>
      <c r="AK47" s="77"/>
      <c r="AL47" s="77"/>
      <c r="AM47" s="77"/>
      <c r="AN47" s="77"/>
      <c r="AO47" s="77"/>
      <c r="AP47" s="77"/>
      <c r="AQ47" s="77" t="s">
        <v>3461</v>
      </c>
      <c r="AR47" s="77">
        <v>10000</v>
      </c>
      <c r="AS47" s="77"/>
      <c r="AT47" s="77"/>
      <c r="AU47" s="77"/>
      <c r="AV47" s="80" t="str">
        <f>HYPERLINK("https://pbs.twimg.com/ext_tw_video_thumb/1674432895526780929/pu/img/kylYXrEHzHQ2l7a-.jpg")</f>
        <v>https://pbs.twimg.com/ext_tw_video_thumb/1674432895526780929/pu/img/kylYXrEHzHQ2l7a-.jpg</v>
      </c>
      <c r="AW47" s="82" t="s">
        <v>4104</v>
      </c>
      <c r="AX47" s="82" t="s">
        <v>4104</v>
      </c>
      <c r="AY47" s="77"/>
      <c r="AZ47" s="82" t="s">
        <v>5075</v>
      </c>
      <c r="BA47" s="82" t="s">
        <v>5075</v>
      </c>
      <c r="BB47" s="82" t="s">
        <v>5075</v>
      </c>
      <c r="BC47" s="82" t="s">
        <v>4104</v>
      </c>
      <c r="BD47" s="82" t="s">
        <v>5131</v>
      </c>
      <c r="BE47" s="77"/>
      <c r="BF47" s="77"/>
      <c r="BG47" s="77"/>
      <c r="BH47" s="77"/>
      <c r="BI47" s="77"/>
    </row>
    <row r="48" spans="1:61" x14ac:dyDescent="0.25">
      <c r="A48" s="62" t="s">
        <v>240</v>
      </c>
      <c r="B48" s="62" t="s">
        <v>240</v>
      </c>
      <c r="C48" s="63"/>
      <c r="D48" s="64"/>
      <c r="E48" s="65"/>
      <c r="F48" s="66"/>
      <c r="G48" s="63"/>
      <c r="H48" s="67"/>
      <c r="I48" s="68"/>
      <c r="J48" s="68"/>
      <c r="K48" s="32"/>
      <c r="L48" s="75">
        <v>48</v>
      </c>
      <c r="M48" s="75"/>
      <c r="N48" s="70"/>
      <c r="O48" s="77" t="s">
        <v>179</v>
      </c>
      <c r="P48" s="79">
        <v>45109.626273148147</v>
      </c>
      <c r="Q48" s="77" t="s">
        <v>584</v>
      </c>
      <c r="R48" s="77">
        <v>0</v>
      </c>
      <c r="S48" s="77">
        <v>0</v>
      </c>
      <c r="T48" s="77">
        <v>0</v>
      </c>
      <c r="U48" s="77">
        <v>0</v>
      </c>
      <c r="V48" s="77">
        <v>5</v>
      </c>
      <c r="W48" s="82" t="s">
        <v>1465</v>
      </c>
      <c r="X48" s="77"/>
      <c r="Y48" s="77"/>
      <c r="Z48" s="77"/>
      <c r="AA48" s="77" t="s">
        <v>2033</v>
      </c>
      <c r="AB48" s="77" t="s">
        <v>2633</v>
      </c>
      <c r="AC48" s="82" t="s">
        <v>2643</v>
      </c>
      <c r="AD48" s="77" t="s">
        <v>2670</v>
      </c>
      <c r="AE48" s="80" t="str">
        <f>HYPERLINK("https://twitter.com/maumedofficial/status/1675520161850204160")</f>
        <v>https://twitter.com/maumedofficial/status/1675520161850204160</v>
      </c>
      <c r="AF48" s="79">
        <v>45109.626273148147</v>
      </c>
      <c r="AG48" s="85">
        <v>45109</v>
      </c>
      <c r="AH48" s="82" t="s">
        <v>2721</v>
      </c>
      <c r="AI48" s="77" t="b">
        <v>0</v>
      </c>
      <c r="AJ48" s="77"/>
      <c r="AK48" s="77"/>
      <c r="AL48" s="77"/>
      <c r="AM48" s="77"/>
      <c r="AN48" s="77"/>
      <c r="AO48" s="77"/>
      <c r="AP48" s="77"/>
      <c r="AQ48" s="77" t="s">
        <v>3462</v>
      </c>
      <c r="AR48" s="77">
        <v>10000</v>
      </c>
      <c r="AS48" s="77"/>
      <c r="AT48" s="77"/>
      <c r="AU48" s="77"/>
      <c r="AV48" s="80" t="str">
        <f>HYPERLINK("https://pbs.twimg.com/ext_tw_video_thumb/1675520131072507905/pu/img/t5qlKW_mNfr7z5wN.jpg")</f>
        <v>https://pbs.twimg.com/ext_tw_video_thumb/1675520131072507905/pu/img/t5qlKW_mNfr7z5wN.jpg</v>
      </c>
      <c r="AW48" s="82" t="s">
        <v>4105</v>
      </c>
      <c r="AX48" s="82" t="s">
        <v>4105</v>
      </c>
      <c r="AY48" s="77"/>
      <c r="AZ48" s="82" t="s">
        <v>5075</v>
      </c>
      <c r="BA48" s="82" t="s">
        <v>5075</v>
      </c>
      <c r="BB48" s="82" t="s">
        <v>5075</v>
      </c>
      <c r="BC48" s="82" t="s">
        <v>4105</v>
      </c>
      <c r="BD48" s="82" t="s">
        <v>5131</v>
      </c>
      <c r="BE48" s="77"/>
      <c r="BF48" s="77"/>
      <c r="BG48" s="77"/>
      <c r="BH48" s="77"/>
      <c r="BI48" s="77"/>
    </row>
    <row r="49" spans="1:61" x14ac:dyDescent="0.25">
      <c r="A49" s="62" t="s">
        <v>240</v>
      </c>
      <c r="B49" s="62" t="s">
        <v>240</v>
      </c>
      <c r="C49" s="63"/>
      <c r="D49" s="64"/>
      <c r="E49" s="65"/>
      <c r="F49" s="66"/>
      <c r="G49" s="63"/>
      <c r="H49" s="67"/>
      <c r="I49" s="68"/>
      <c r="J49" s="68"/>
      <c r="K49" s="32"/>
      <c r="L49" s="75">
        <v>49</v>
      </c>
      <c r="M49" s="75"/>
      <c r="N49" s="70"/>
      <c r="O49" s="77" t="s">
        <v>179</v>
      </c>
      <c r="P49" s="79">
        <v>45108.626111111109</v>
      </c>
      <c r="Q49" s="77" t="s">
        <v>585</v>
      </c>
      <c r="R49" s="77">
        <v>0</v>
      </c>
      <c r="S49" s="77">
        <v>0</v>
      </c>
      <c r="T49" s="77">
        <v>0</v>
      </c>
      <c r="U49" s="77">
        <v>0</v>
      </c>
      <c r="V49" s="77">
        <v>17</v>
      </c>
      <c r="W49" s="82" t="s">
        <v>1465</v>
      </c>
      <c r="X49" s="77"/>
      <c r="Y49" s="77"/>
      <c r="Z49" s="77"/>
      <c r="AA49" s="77" t="s">
        <v>2034</v>
      </c>
      <c r="AB49" s="77" t="s">
        <v>2633</v>
      </c>
      <c r="AC49" s="82" t="s">
        <v>2643</v>
      </c>
      <c r="AD49" s="77" t="s">
        <v>2670</v>
      </c>
      <c r="AE49" s="80" t="str">
        <f>HYPERLINK("https://twitter.com/maumedofficial/status/1675157712273920000")</f>
        <v>https://twitter.com/maumedofficial/status/1675157712273920000</v>
      </c>
      <c r="AF49" s="79">
        <v>45108.626111111109</v>
      </c>
      <c r="AG49" s="85">
        <v>45108</v>
      </c>
      <c r="AH49" s="82" t="s">
        <v>2722</v>
      </c>
      <c r="AI49" s="77" t="b">
        <v>0</v>
      </c>
      <c r="AJ49" s="77"/>
      <c r="AK49" s="77"/>
      <c r="AL49" s="77"/>
      <c r="AM49" s="77"/>
      <c r="AN49" s="77"/>
      <c r="AO49" s="77"/>
      <c r="AP49" s="77"/>
      <c r="AQ49" s="77" t="s">
        <v>3463</v>
      </c>
      <c r="AR49" s="77">
        <v>10000</v>
      </c>
      <c r="AS49" s="77"/>
      <c r="AT49" s="77"/>
      <c r="AU49" s="77"/>
      <c r="AV49" s="80" t="str">
        <f>HYPERLINK("https://pbs.twimg.com/ext_tw_video_thumb/1675157681525456896/pu/img/c0mfWPZUtdg5gnCm.jpg")</f>
        <v>https://pbs.twimg.com/ext_tw_video_thumb/1675157681525456896/pu/img/c0mfWPZUtdg5gnCm.jpg</v>
      </c>
      <c r="AW49" s="82" t="s">
        <v>4106</v>
      </c>
      <c r="AX49" s="82" t="s">
        <v>4106</v>
      </c>
      <c r="AY49" s="77"/>
      <c r="AZ49" s="82" t="s">
        <v>5075</v>
      </c>
      <c r="BA49" s="82" t="s">
        <v>5075</v>
      </c>
      <c r="BB49" s="82" t="s">
        <v>5075</v>
      </c>
      <c r="BC49" s="82" t="s">
        <v>4106</v>
      </c>
      <c r="BD49" s="82" t="s">
        <v>5131</v>
      </c>
      <c r="BE49" s="77"/>
      <c r="BF49" s="77"/>
      <c r="BG49" s="77"/>
      <c r="BH49" s="77"/>
      <c r="BI49" s="77"/>
    </row>
    <row r="50" spans="1:61" x14ac:dyDescent="0.25">
      <c r="A50" s="62" t="s">
        <v>241</v>
      </c>
      <c r="B50" s="62" t="s">
        <v>488</v>
      </c>
      <c r="C50" s="63"/>
      <c r="D50" s="64"/>
      <c r="E50" s="65"/>
      <c r="F50" s="66"/>
      <c r="G50" s="63"/>
      <c r="H50" s="67"/>
      <c r="I50" s="68"/>
      <c r="J50" s="68"/>
      <c r="K50" s="32"/>
      <c r="L50" s="75">
        <v>50</v>
      </c>
      <c r="M50" s="75"/>
      <c r="N50" s="70"/>
      <c r="O50" s="77" t="s">
        <v>537</v>
      </c>
      <c r="P50" s="79">
        <v>45196.431840277779</v>
      </c>
      <c r="Q50" s="77" t="s">
        <v>586</v>
      </c>
      <c r="R50" s="77">
        <v>1</v>
      </c>
      <c r="S50" s="77">
        <v>0</v>
      </c>
      <c r="T50" s="77">
        <v>0</v>
      </c>
      <c r="U50" s="77">
        <v>0</v>
      </c>
      <c r="V50" s="77"/>
      <c r="W50" s="77"/>
      <c r="X50" s="77"/>
      <c r="Y50" s="77"/>
      <c r="Z50" s="77" t="s">
        <v>488</v>
      </c>
      <c r="AA50" s="77"/>
      <c r="AB50" s="77"/>
      <c r="AC50" s="82" t="s">
        <v>2640</v>
      </c>
      <c r="AD50" s="77" t="s">
        <v>2670</v>
      </c>
      <c r="AE50" s="80" t="str">
        <f>HYPERLINK("https://twitter.com/mmontezzi/status/1706977444652023827")</f>
        <v>https://twitter.com/mmontezzi/status/1706977444652023827</v>
      </c>
      <c r="AF50" s="79">
        <v>45196.431840277779</v>
      </c>
      <c r="AG50" s="85">
        <v>45196</v>
      </c>
      <c r="AH50" s="82" t="s">
        <v>2723</v>
      </c>
      <c r="AI50" s="77"/>
      <c r="AJ50" s="77"/>
      <c r="AK50" s="77"/>
      <c r="AL50" s="77"/>
      <c r="AM50" s="77"/>
      <c r="AN50" s="77"/>
      <c r="AO50" s="77"/>
      <c r="AP50" s="77"/>
      <c r="AQ50" s="77"/>
      <c r="AR50" s="77"/>
      <c r="AS50" s="77"/>
      <c r="AT50" s="77"/>
      <c r="AU50" s="77"/>
      <c r="AV50" s="80" t="str">
        <f>HYPERLINK("https://pbs.twimg.com/profile_images/1401630739075153921/lHNg-Ats_normal.jpg")</f>
        <v>https://pbs.twimg.com/profile_images/1401630739075153921/lHNg-Ats_normal.jpg</v>
      </c>
      <c r="AW50" s="82" t="s">
        <v>4107</v>
      </c>
      <c r="AX50" s="82" t="s">
        <v>4107</v>
      </c>
      <c r="AY50" s="77"/>
      <c r="AZ50" s="82" t="s">
        <v>5075</v>
      </c>
      <c r="BA50" s="82" t="s">
        <v>5075</v>
      </c>
      <c r="BB50" s="82" t="s">
        <v>4903</v>
      </c>
      <c r="BC50" s="82" t="s">
        <v>4903</v>
      </c>
      <c r="BD50" s="77">
        <v>382927727</v>
      </c>
      <c r="BE50" s="77"/>
      <c r="BF50" s="77"/>
      <c r="BG50" s="77"/>
      <c r="BH50" s="77"/>
      <c r="BI50" s="77"/>
    </row>
    <row r="51" spans="1:61" x14ac:dyDescent="0.25">
      <c r="A51" s="62" t="s">
        <v>242</v>
      </c>
      <c r="B51" s="62" t="s">
        <v>242</v>
      </c>
      <c r="C51" s="63"/>
      <c r="D51" s="64"/>
      <c r="E51" s="65"/>
      <c r="F51" s="66"/>
      <c r="G51" s="63"/>
      <c r="H51" s="67"/>
      <c r="I51" s="68"/>
      <c r="J51" s="68"/>
      <c r="K51" s="32"/>
      <c r="L51" s="75">
        <v>51</v>
      </c>
      <c r="M51" s="75"/>
      <c r="N51" s="70"/>
      <c r="O51" s="77" t="s">
        <v>179</v>
      </c>
      <c r="P51" s="79">
        <v>45056.750023148146</v>
      </c>
      <c r="Q51" s="77" t="s">
        <v>587</v>
      </c>
      <c r="R51" s="77">
        <v>0</v>
      </c>
      <c r="S51" s="77">
        <v>1</v>
      </c>
      <c r="T51" s="77">
        <v>0</v>
      </c>
      <c r="U51" s="77">
        <v>0</v>
      </c>
      <c r="V51" s="77">
        <v>24</v>
      </c>
      <c r="W51" s="82" t="s">
        <v>1466</v>
      </c>
      <c r="X51" s="77"/>
      <c r="Y51" s="77"/>
      <c r="Z51" s="77"/>
      <c r="AA51" s="77" t="s">
        <v>2035</v>
      </c>
      <c r="AB51" s="77" t="s">
        <v>2635</v>
      </c>
      <c r="AC51" s="82" t="s">
        <v>2639</v>
      </c>
      <c r="AD51" s="77" t="s">
        <v>2670</v>
      </c>
      <c r="AE51" s="80" t="str">
        <f>HYPERLINK("https://twitter.com/sebraeto/status/1656358448731422720")</f>
        <v>https://twitter.com/sebraeto/status/1656358448731422720</v>
      </c>
      <c r="AF51" s="79">
        <v>45056.750023148146</v>
      </c>
      <c r="AG51" s="85">
        <v>45056</v>
      </c>
      <c r="AH51" s="82" t="s">
        <v>2724</v>
      </c>
      <c r="AI51" s="77" t="b">
        <v>0</v>
      </c>
      <c r="AJ51" s="77"/>
      <c r="AK51" s="77"/>
      <c r="AL51" s="77"/>
      <c r="AM51" s="77"/>
      <c r="AN51" s="77"/>
      <c r="AO51" s="77"/>
      <c r="AP51" s="77"/>
      <c r="AQ51" s="77" t="s">
        <v>3464</v>
      </c>
      <c r="AR51" s="77"/>
      <c r="AS51" s="77"/>
      <c r="AT51" s="77"/>
      <c r="AU51" s="77"/>
      <c r="AV51" s="80" t="str">
        <f>HYPERLINK("https://pbs.twimg.com/media/FvxYTlkXsAIKmgp.jpg")</f>
        <v>https://pbs.twimg.com/media/FvxYTlkXsAIKmgp.jpg</v>
      </c>
      <c r="AW51" s="82" t="s">
        <v>4108</v>
      </c>
      <c r="AX51" s="82" t="s">
        <v>4108</v>
      </c>
      <c r="AY51" s="77"/>
      <c r="AZ51" s="82" t="s">
        <v>5075</v>
      </c>
      <c r="BA51" s="82" t="s">
        <v>5075</v>
      </c>
      <c r="BB51" s="82" t="s">
        <v>5075</v>
      </c>
      <c r="BC51" s="82" t="s">
        <v>4108</v>
      </c>
      <c r="BD51" s="77">
        <v>322260032</v>
      </c>
      <c r="BE51" s="77"/>
      <c r="BF51" s="77"/>
      <c r="BG51" s="77"/>
      <c r="BH51" s="77"/>
      <c r="BI51" s="77"/>
    </row>
    <row r="52" spans="1:61" x14ac:dyDescent="0.25">
      <c r="A52" s="62" t="s">
        <v>243</v>
      </c>
      <c r="B52" s="62" t="s">
        <v>243</v>
      </c>
      <c r="C52" s="63"/>
      <c r="D52" s="64"/>
      <c r="E52" s="65"/>
      <c r="F52" s="66"/>
      <c r="G52" s="63"/>
      <c r="H52" s="67"/>
      <c r="I52" s="68"/>
      <c r="J52" s="68"/>
      <c r="K52" s="32"/>
      <c r="L52" s="75">
        <v>52</v>
      </c>
      <c r="M52" s="75"/>
      <c r="N52" s="70"/>
      <c r="O52" s="77" t="s">
        <v>179</v>
      </c>
      <c r="P52" s="79">
        <v>44949.113946759258</v>
      </c>
      <c r="Q52" s="77" t="s">
        <v>588</v>
      </c>
      <c r="R52" s="77">
        <v>0</v>
      </c>
      <c r="S52" s="77">
        <v>2</v>
      </c>
      <c r="T52" s="77">
        <v>0</v>
      </c>
      <c r="U52" s="77">
        <v>0</v>
      </c>
      <c r="V52" s="77">
        <v>107</v>
      </c>
      <c r="W52" s="82" t="s">
        <v>1435</v>
      </c>
      <c r="X52" s="77"/>
      <c r="Y52" s="77"/>
      <c r="Z52" s="77"/>
      <c r="AA52" s="77"/>
      <c r="AB52" s="77"/>
      <c r="AC52" s="82" t="s">
        <v>2640</v>
      </c>
      <c r="AD52" s="77" t="s">
        <v>2670</v>
      </c>
      <c r="AE52" s="80" t="str">
        <f>HYPERLINK("https://twitter.com/thiagonakazone/status/1617352442504704000")</f>
        <v>https://twitter.com/thiagonakazone/status/1617352442504704000</v>
      </c>
      <c r="AF52" s="79">
        <v>44949.113946759258</v>
      </c>
      <c r="AG52" s="85">
        <v>44949</v>
      </c>
      <c r="AH52" s="82" t="s">
        <v>2725</v>
      </c>
      <c r="AI52" s="77"/>
      <c r="AJ52" s="77"/>
      <c r="AK52" s="77"/>
      <c r="AL52" s="77"/>
      <c r="AM52" s="77"/>
      <c r="AN52" s="77"/>
      <c r="AO52" s="77"/>
      <c r="AP52" s="77"/>
      <c r="AQ52" s="77"/>
      <c r="AR52" s="77"/>
      <c r="AS52" s="77"/>
      <c r="AT52" s="77"/>
      <c r="AU52" s="77"/>
      <c r="AV52" s="80" t="str">
        <f>HYPERLINK("https://pbs.twimg.com/profile_images/1694153656755445761/F7M1lyT9_normal.jpg")</f>
        <v>https://pbs.twimg.com/profile_images/1694153656755445761/F7M1lyT9_normal.jpg</v>
      </c>
      <c r="AW52" s="82" t="s">
        <v>4109</v>
      </c>
      <c r="AX52" s="82" t="s">
        <v>4109</v>
      </c>
      <c r="AY52" s="77"/>
      <c r="AZ52" s="82" t="s">
        <v>5075</v>
      </c>
      <c r="BA52" s="82" t="s">
        <v>5075</v>
      </c>
      <c r="BB52" s="82" t="s">
        <v>5075</v>
      </c>
      <c r="BC52" s="82" t="s">
        <v>4109</v>
      </c>
      <c r="BD52" s="77">
        <v>3006284777</v>
      </c>
      <c r="BE52" s="77"/>
      <c r="BF52" s="77"/>
      <c r="BG52" s="77"/>
      <c r="BH52" s="77"/>
      <c r="BI52" s="77"/>
    </row>
    <row r="53" spans="1:61" x14ac:dyDescent="0.25">
      <c r="A53" s="62" t="s">
        <v>244</v>
      </c>
      <c r="B53" s="62" t="s">
        <v>244</v>
      </c>
      <c r="C53" s="63"/>
      <c r="D53" s="64"/>
      <c r="E53" s="65"/>
      <c r="F53" s="66"/>
      <c r="G53" s="63"/>
      <c r="H53" s="67"/>
      <c r="I53" s="68"/>
      <c r="J53" s="68"/>
      <c r="K53" s="32"/>
      <c r="L53" s="75">
        <v>53</v>
      </c>
      <c r="M53" s="75"/>
      <c r="N53" s="70"/>
      <c r="O53" s="77" t="s">
        <v>179</v>
      </c>
      <c r="P53" s="79">
        <v>44928.916400462964</v>
      </c>
      <c r="Q53" s="77" t="s">
        <v>589</v>
      </c>
      <c r="R53" s="77">
        <v>0</v>
      </c>
      <c r="S53" s="77">
        <v>0</v>
      </c>
      <c r="T53" s="77">
        <v>0</v>
      </c>
      <c r="U53" s="77">
        <v>0</v>
      </c>
      <c r="V53" s="77">
        <v>14</v>
      </c>
      <c r="W53" s="82" t="s">
        <v>1467</v>
      </c>
      <c r="X53" s="80" t="str">
        <f>HYPERLINK("https://www.instagram.com/p/Cm7cJFzOV3w/?igshid=YTgzYjQ4ZTY=")</f>
        <v>https://www.instagram.com/p/Cm7cJFzOV3w/?igshid=YTgzYjQ4ZTY=</v>
      </c>
      <c r="Y53" s="77" t="s">
        <v>1974</v>
      </c>
      <c r="Z53" s="77"/>
      <c r="AA53" s="77"/>
      <c r="AB53" s="77"/>
      <c r="AC53" s="82" t="s">
        <v>2644</v>
      </c>
      <c r="AD53" s="77" t="s">
        <v>2670</v>
      </c>
      <c r="AE53" s="80" t="str">
        <f>HYPERLINK("https://twitter.com/segdasempresas/status/1610033094589059072")</f>
        <v>https://twitter.com/segdasempresas/status/1610033094589059072</v>
      </c>
      <c r="AF53" s="79">
        <v>44928.916400462964</v>
      </c>
      <c r="AG53" s="85">
        <v>44928</v>
      </c>
      <c r="AH53" s="82" t="s">
        <v>2726</v>
      </c>
      <c r="AI53" s="77" t="b">
        <v>0</v>
      </c>
      <c r="AJ53" s="77"/>
      <c r="AK53" s="77"/>
      <c r="AL53" s="77"/>
      <c r="AM53" s="77"/>
      <c r="AN53" s="77"/>
      <c r="AO53" s="77"/>
      <c r="AP53" s="77"/>
      <c r="AQ53" s="77"/>
      <c r="AR53" s="77"/>
      <c r="AS53" s="77"/>
      <c r="AT53" s="77"/>
      <c r="AU53" s="77"/>
      <c r="AV53" s="80" t="str">
        <f>HYPERLINK("https://pbs.twimg.com/profile_images/1624869252871163908/ohrgZfQS_normal.jpg")</f>
        <v>https://pbs.twimg.com/profile_images/1624869252871163908/ohrgZfQS_normal.jpg</v>
      </c>
      <c r="AW53" s="82" t="s">
        <v>4110</v>
      </c>
      <c r="AX53" s="82" t="s">
        <v>4110</v>
      </c>
      <c r="AY53" s="77"/>
      <c r="AZ53" s="82" t="s">
        <v>5075</v>
      </c>
      <c r="BA53" s="82" t="s">
        <v>5075</v>
      </c>
      <c r="BB53" s="82" t="s">
        <v>5075</v>
      </c>
      <c r="BC53" s="82" t="s">
        <v>4110</v>
      </c>
      <c r="BD53" s="82" t="s">
        <v>5132</v>
      </c>
      <c r="BE53" s="77"/>
      <c r="BF53" s="77"/>
      <c r="BG53" s="77"/>
      <c r="BH53" s="77"/>
      <c r="BI53" s="77"/>
    </row>
    <row r="54" spans="1:61" x14ac:dyDescent="0.25">
      <c r="A54" s="62" t="s">
        <v>245</v>
      </c>
      <c r="B54" s="62" t="s">
        <v>245</v>
      </c>
      <c r="C54" s="63"/>
      <c r="D54" s="64"/>
      <c r="E54" s="65"/>
      <c r="F54" s="66"/>
      <c r="G54" s="63"/>
      <c r="H54" s="67"/>
      <c r="I54" s="68"/>
      <c r="J54" s="68"/>
      <c r="K54" s="32"/>
      <c r="L54" s="75">
        <v>54</v>
      </c>
      <c r="M54" s="75"/>
      <c r="N54" s="70"/>
      <c r="O54" s="77" t="s">
        <v>536</v>
      </c>
      <c r="P54" s="79">
        <v>44986.783055555556</v>
      </c>
      <c r="Q54" s="77" t="s">
        <v>590</v>
      </c>
      <c r="R54" s="77">
        <v>0</v>
      </c>
      <c r="S54" s="77">
        <v>0</v>
      </c>
      <c r="T54" s="77">
        <v>1</v>
      </c>
      <c r="U54" s="77">
        <v>0</v>
      </c>
      <c r="V54" s="77">
        <v>14</v>
      </c>
      <c r="W54" s="82" t="s">
        <v>1468</v>
      </c>
      <c r="X54" s="77"/>
      <c r="Y54" s="77"/>
      <c r="Z54" s="77"/>
      <c r="AA54" s="77"/>
      <c r="AB54" s="77"/>
      <c r="AC54" s="82" t="s">
        <v>2639</v>
      </c>
      <c r="AD54" s="77" t="s">
        <v>2670</v>
      </c>
      <c r="AE54" s="80" t="str">
        <f>HYPERLINK("https://twitter.com/comoreinventar/status/1631003268460544009")</f>
        <v>https://twitter.com/comoreinventar/status/1631003268460544009</v>
      </c>
      <c r="AF54" s="79">
        <v>44986.783055555556</v>
      </c>
      <c r="AG54" s="85">
        <v>44986</v>
      </c>
      <c r="AH54" s="82" t="s">
        <v>2727</v>
      </c>
      <c r="AI54" s="77"/>
      <c r="AJ54" s="77"/>
      <c r="AK54" s="77"/>
      <c r="AL54" s="77"/>
      <c r="AM54" s="77"/>
      <c r="AN54" s="77"/>
      <c r="AO54" s="77"/>
      <c r="AP54" s="77"/>
      <c r="AQ54" s="77"/>
      <c r="AR54" s="77"/>
      <c r="AS54" s="77"/>
      <c r="AT54" s="77"/>
      <c r="AU54" s="77"/>
      <c r="AV54" s="80" t="str">
        <f>HYPERLINK("https://pbs.twimg.com/profile_images/1630192989946499073/6IqvnUb5_normal.jpg")</f>
        <v>https://pbs.twimg.com/profile_images/1630192989946499073/6IqvnUb5_normal.jpg</v>
      </c>
      <c r="AW54" s="82" t="s">
        <v>4111</v>
      </c>
      <c r="AX54" s="82" t="s">
        <v>4958</v>
      </c>
      <c r="AY54" s="82" t="s">
        <v>5029</v>
      </c>
      <c r="AZ54" s="82" t="s">
        <v>4958</v>
      </c>
      <c r="BA54" s="82" t="s">
        <v>5075</v>
      </c>
      <c r="BB54" s="82" t="s">
        <v>5075</v>
      </c>
      <c r="BC54" s="82" t="s">
        <v>4958</v>
      </c>
      <c r="BD54" s="82" t="s">
        <v>5029</v>
      </c>
      <c r="BE54" s="77"/>
      <c r="BF54" s="77"/>
      <c r="BG54" s="77"/>
      <c r="BH54" s="77"/>
      <c r="BI54" s="77"/>
    </row>
    <row r="55" spans="1:61" x14ac:dyDescent="0.25">
      <c r="A55" s="62" t="s">
        <v>245</v>
      </c>
      <c r="B55" s="62" t="s">
        <v>245</v>
      </c>
      <c r="C55" s="63"/>
      <c r="D55" s="64"/>
      <c r="E55" s="65"/>
      <c r="F55" s="66"/>
      <c r="G55" s="63"/>
      <c r="H55" s="67"/>
      <c r="I55" s="68"/>
      <c r="J55" s="68"/>
      <c r="K55" s="32"/>
      <c r="L55" s="75">
        <v>55</v>
      </c>
      <c r="M55" s="75"/>
      <c r="N55" s="70"/>
      <c r="O55" s="77" t="s">
        <v>536</v>
      </c>
      <c r="P55" s="79">
        <v>44985.96671296296</v>
      </c>
      <c r="Q55" s="77" t="s">
        <v>591</v>
      </c>
      <c r="R55" s="77">
        <v>0</v>
      </c>
      <c r="S55" s="77">
        <v>2</v>
      </c>
      <c r="T55" s="77">
        <v>1</v>
      </c>
      <c r="U55" s="77">
        <v>0</v>
      </c>
      <c r="V55" s="77">
        <v>31</v>
      </c>
      <c r="W55" s="82" t="s">
        <v>1435</v>
      </c>
      <c r="X55" s="77"/>
      <c r="Y55" s="77"/>
      <c r="Z55" s="77"/>
      <c r="AA55" s="77"/>
      <c r="AB55" s="77"/>
      <c r="AC55" s="82" t="s">
        <v>2639</v>
      </c>
      <c r="AD55" s="77" t="s">
        <v>2670</v>
      </c>
      <c r="AE55" s="80" t="str">
        <f>HYPERLINK("https://twitter.com/comoreinventar/status/1630707436104425472")</f>
        <v>https://twitter.com/comoreinventar/status/1630707436104425472</v>
      </c>
      <c r="AF55" s="79">
        <v>44985.96671296296</v>
      </c>
      <c r="AG55" s="85">
        <v>44985</v>
      </c>
      <c r="AH55" s="82" t="s">
        <v>2728</v>
      </c>
      <c r="AI55" s="77"/>
      <c r="AJ55" s="77"/>
      <c r="AK55" s="77"/>
      <c r="AL55" s="77"/>
      <c r="AM55" s="77"/>
      <c r="AN55" s="77"/>
      <c r="AO55" s="77"/>
      <c r="AP55" s="77"/>
      <c r="AQ55" s="77"/>
      <c r="AR55" s="77"/>
      <c r="AS55" s="77"/>
      <c r="AT55" s="77"/>
      <c r="AU55" s="77"/>
      <c r="AV55" s="80" t="str">
        <f>HYPERLINK("https://pbs.twimg.com/profile_images/1630192989946499073/6IqvnUb5_normal.jpg")</f>
        <v>https://pbs.twimg.com/profile_images/1630192989946499073/6IqvnUb5_normal.jpg</v>
      </c>
      <c r="AW55" s="82" t="s">
        <v>4112</v>
      </c>
      <c r="AX55" s="82" t="s">
        <v>4959</v>
      </c>
      <c r="AY55" s="82" t="s">
        <v>5029</v>
      </c>
      <c r="AZ55" s="82" t="s">
        <v>5078</v>
      </c>
      <c r="BA55" s="82" t="s">
        <v>5075</v>
      </c>
      <c r="BB55" s="82" t="s">
        <v>5075</v>
      </c>
      <c r="BC55" s="82" t="s">
        <v>5078</v>
      </c>
      <c r="BD55" s="82" t="s">
        <v>5029</v>
      </c>
      <c r="BE55" s="77"/>
      <c r="BF55" s="77"/>
      <c r="BG55" s="77"/>
      <c r="BH55" s="77"/>
      <c r="BI55" s="77"/>
    </row>
    <row r="56" spans="1:61" x14ac:dyDescent="0.25">
      <c r="A56" s="62" t="s">
        <v>246</v>
      </c>
      <c r="B56" s="62" t="s">
        <v>246</v>
      </c>
      <c r="C56" s="63"/>
      <c r="D56" s="64"/>
      <c r="E56" s="65"/>
      <c r="F56" s="66"/>
      <c r="G56" s="63"/>
      <c r="H56" s="67"/>
      <c r="I56" s="68"/>
      <c r="J56" s="68"/>
      <c r="K56" s="32"/>
      <c r="L56" s="75">
        <v>56</v>
      </c>
      <c r="M56" s="75"/>
      <c r="N56" s="70"/>
      <c r="O56" s="77" t="s">
        <v>179</v>
      </c>
      <c r="P56" s="79">
        <v>45131.571261574078</v>
      </c>
      <c r="Q56" s="77" t="s">
        <v>592</v>
      </c>
      <c r="R56" s="77">
        <v>0</v>
      </c>
      <c r="S56" s="77">
        <v>0</v>
      </c>
      <c r="T56" s="77">
        <v>0</v>
      </c>
      <c r="U56" s="77">
        <v>0</v>
      </c>
      <c r="V56" s="77">
        <v>3</v>
      </c>
      <c r="W56" s="82" t="s">
        <v>1469</v>
      </c>
      <c r="X56" s="77"/>
      <c r="Y56" s="77"/>
      <c r="Z56" s="77"/>
      <c r="AA56" s="77" t="s">
        <v>2036</v>
      </c>
      <c r="AB56" s="77" t="s">
        <v>2633</v>
      </c>
      <c r="AC56" s="82" t="s">
        <v>2638</v>
      </c>
      <c r="AD56" s="77" t="s">
        <v>2670</v>
      </c>
      <c r="AE56" s="80" t="str">
        <f>HYPERLINK("https://twitter.com/jhonblackmist/status/1683472757529387011")</f>
        <v>https://twitter.com/jhonblackmist/status/1683472757529387011</v>
      </c>
      <c r="AF56" s="79">
        <v>45131.571261574078</v>
      </c>
      <c r="AG56" s="85">
        <v>45131</v>
      </c>
      <c r="AH56" s="82" t="s">
        <v>2729</v>
      </c>
      <c r="AI56" s="77" t="b">
        <v>0</v>
      </c>
      <c r="AJ56" s="77"/>
      <c r="AK56" s="77"/>
      <c r="AL56" s="77"/>
      <c r="AM56" s="77"/>
      <c r="AN56" s="77"/>
      <c r="AO56" s="77"/>
      <c r="AP56" s="77"/>
      <c r="AQ56" s="77" t="s">
        <v>3465</v>
      </c>
      <c r="AR56" s="77">
        <v>32433</v>
      </c>
      <c r="AS56" s="77"/>
      <c r="AT56" s="77"/>
      <c r="AU56" s="77"/>
      <c r="AV56" s="80" t="str">
        <f>HYPERLINK("https://pbs.twimg.com/ext_tw_video_thumb/1683472668274696193/pu/img/f57tyLT9i1dUxdbH.jpg")</f>
        <v>https://pbs.twimg.com/ext_tw_video_thumb/1683472668274696193/pu/img/f57tyLT9i1dUxdbH.jpg</v>
      </c>
      <c r="AW56" s="82" t="s">
        <v>4113</v>
      </c>
      <c r="AX56" s="82" t="s">
        <v>4113</v>
      </c>
      <c r="AY56" s="77"/>
      <c r="AZ56" s="82" t="s">
        <v>5075</v>
      </c>
      <c r="BA56" s="82" t="s">
        <v>5075</v>
      </c>
      <c r="BB56" s="82" t="s">
        <v>5075</v>
      </c>
      <c r="BC56" s="82" t="s">
        <v>4113</v>
      </c>
      <c r="BD56" s="82" t="s">
        <v>5133</v>
      </c>
      <c r="BE56" s="77"/>
      <c r="BF56" s="77"/>
      <c r="BG56" s="77"/>
      <c r="BH56" s="77"/>
      <c r="BI56" s="77"/>
    </row>
    <row r="57" spans="1:61" x14ac:dyDescent="0.25">
      <c r="A57" s="62" t="s">
        <v>247</v>
      </c>
      <c r="B57" s="62" t="s">
        <v>247</v>
      </c>
      <c r="C57" s="63"/>
      <c r="D57" s="64"/>
      <c r="E57" s="65"/>
      <c r="F57" s="66"/>
      <c r="G57" s="63"/>
      <c r="H57" s="67"/>
      <c r="I57" s="68"/>
      <c r="J57" s="68"/>
      <c r="K57" s="32"/>
      <c r="L57" s="75">
        <v>57</v>
      </c>
      <c r="M57" s="75"/>
      <c r="N57" s="70"/>
      <c r="O57" s="77" t="s">
        <v>179</v>
      </c>
      <c r="P57" s="79">
        <v>45141.726423611108</v>
      </c>
      <c r="Q57" s="77" t="s">
        <v>593</v>
      </c>
      <c r="R57" s="77">
        <v>0</v>
      </c>
      <c r="S57" s="77">
        <v>2</v>
      </c>
      <c r="T57" s="77">
        <v>1</v>
      </c>
      <c r="U57" s="77">
        <v>0</v>
      </c>
      <c r="V57" s="77">
        <v>225</v>
      </c>
      <c r="W57" s="82" t="s">
        <v>1470</v>
      </c>
      <c r="X57" s="80" t="str">
        <f>HYPERLINK("http://www.itaguai.rj.gov.br")</f>
        <v>http://www.itaguai.rj.gov.br</v>
      </c>
      <c r="Y57" s="77" t="s">
        <v>1976</v>
      </c>
      <c r="Z57" s="77"/>
      <c r="AA57" s="77" t="s">
        <v>2037</v>
      </c>
      <c r="AB57" s="77" t="s">
        <v>2632</v>
      </c>
      <c r="AC57" s="82" t="s">
        <v>2645</v>
      </c>
      <c r="AD57" s="77" t="s">
        <v>2670</v>
      </c>
      <c r="AE57" s="80" t="str">
        <f>HYPERLINK("https://twitter.com/prefitaguai/status/1687152864601260040")</f>
        <v>https://twitter.com/prefitaguai/status/1687152864601260040</v>
      </c>
      <c r="AF57" s="79">
        <v>45141.726423611108</v>
      </c>
      <c r="AG57" s="85">
        <v>45141</v>
      </c>
      <c r="AH57" s="82" t="s">
        <v>2730</v>
      </c>
      <c r="AI57" s="77" t="b">
        <v>0</v>
      </c>
      <c r="AJ57" s="77"/>
      <c r="AK57" s="77"/>
      <c r="AL57" s="77"/>
      <c r="AM57" s="77"/>
      <c r="AN57" s="77"/>
      <c r="AO57" s="77"/>
      <c r="AP57" s="77"/>
      <c r="AQ57" s="77" t="s">
        <v>3466</v>
      </c>
      <c r="AR57" s="77"/>
      <c r="AS57" s="77"/>
      <c r="AT57" s="77"/>
      <c r="AU57" s="77"/>
      <c r="AV57" s="80" t="str">
        <f>HYPERLINK("https://pbs.twimg.com/media/F2n4lrLXQAAOIW_.jpg")</f>
        <v>https://pbs.twimg.com/media/F2n4lrLXQAAOIW_.jpg</v>
      </c>
      <c r="AW57" s="82" t="s">
        <v>4114</v>
      </c>
      <c r="AX57" s="82" t="s">
        <v>4114</v>
      </c>
      <c r="AY57" s="77"/>
      <c r="AZ57" s="82" t="s">
        <v>5075</v>
      </c>
      <c r="BA57" s="82" t="s">
        <v>5075</v>
      </c>
      <c r="BB57" s="82" t="s">
        <v>5075</v>
      </c>
      <c r="BC57" s="82" t="s">
        <v>4114</v>
      </c>
      <c r="BD57" s="77">
        <v>3225278345</v>
      </c>
      <c r="BE57" s="77"/>
      <c r="BF57" s="77"/>
      <c r="BG57" s="77"/>
      <c r="BH57" s="77"/>
      <c r="BI57" s="77"/>
    </row>
    <row r="58" spans="1:61" x14ac:dyDescent="0.25">
      <c r="A58" s="62" t="s">
        <v>248</v>
      </c>
      <c r="B58" s="62" t="s">
        <v>248</v>
      </c>
      <c r="C58" s="63"/>
      <c r="D58" s="64"/>
      <c r="E58" s="65"/>
      <c r="F58" s="66"/>
      <c r="G58" s="63"/>
      <c r="H58" s="67"/>
      <c r="I58" s="68"/>
      <c r="J58" s="68"/>
      <c r="K58" s="32"/>
      <c r="L58" s="75">
        <v>58</v>
      </c>
      <c r="M58" s="75"/>
      <c r="N58" s="70"/>
      <c r="O58" s="77" t="s">
        <v>179</v>
      </c>
      <c r="P58" s="79">
        <v>44957.902118055557</v>
      </c>
      <c r="Q58" s="77" t="s">
        <v>594</v>
      </c>
      <c r="R58" s="77">
        <v>0</v>
      </c>
      <c r="S58" s="77">
        <v>9</v>
      </c>
      <c r="T58" s="77">
        <v>2</v>
      </c>
      <c r="U58" s="77">
        <v>0</v>
      </c>
      <c r="V58" s="77">
        <v>878</v>
      </c>
      <c r="W58" s="82" t="s">
        <v>1471</v>
      </c>
      <c r="X58" s="80" t="str">
        <f>HYPERLINK("http://ms.spr.ly/60135Dfev")</f>
        <v>http://ms.spr.ly/60135Dfev</v>
      </c>
      <c r="Y58" s="77" t="s">
        <v>1977</v>
      </c>
      <c r="Z58" s="77"/>
      <c r="AA58" s="77"/>
      <c r="AB58" s="77"/>
      <c r="AC58" s="82" t="s">
        <v>2646</v>
      </c>
      <c r="AD58" s="77" t="s">
        <v>2670</v>
      </c>
      <c r="AE58" s="80" t="str">
        <f>HYPERLINK("https://twitter.com/portoseguro/status/1620537167582724097")</f>
        <v>https://twitter.com/portoseguro/status/1620537167582724097</v>
      </c>
      <c r="AF58" s="79">
        <v>44957.902118055557</v>
      </c>
      <c r="AG58" s="85">
        <v>44957</v>
      </c>
      <c r="AH58" s="82" t="s">
        <v>2731</v>
      </c>
      <c r="AI58" s="77" t="b">
        <v>0</v>
      </c>
      <c r="AJ58" s="77"/>
      <c r="AK58" s="77"/>
      <c r="AL58" s="77"/>
      <c r="AM58" s="77"/>
      <c r="AN58" s="77"/>
      <c r="AO58" s="77"/>
      <c r="AP58" s="77"/>
      <c r="AQ58" s="77"/>
      <c r="AR58" s="77"/>
      <c r="AS58" s="77"/>
      <c r="AT58" s="77"/>
      <c r="AU58" s="77"/>
      <c r="AV58" s="80" t="str">
        <f>HYPERLINK("https://pbs.twimg.com/profile_images/1519794326972338176/yGlQhQPn_normal.jpg")</f>
        <v>https://pbs.twimg.com/profile_images/1519794326972338176/yGlQhQPn_normal.jpg</v>
      </c>
      <c r="AW58" s="82" t="s">
        <v>4115</v>
      </c>
      <c r="AX58" s="82" t="s">
        <v>4115</v>
      </c>
      <c r="AY58" s="77"/>
      <c r="AZ58" s="82" t="s">
        <v>5075</v>
      </c>
      <c r="BA58" s="82" t="s">
        <v>5075</v>
      </c>
      <c r="BB58" s="82" t="s">
        <v>5075</v>
      </c>
      <c r="BC58" s="82" t="s">
        <v>4115</v>
      </c>
      <c r="BD58" s="77">
        <v>17443707</v>
      </c>
      <c r="BE58" s="77"/>
      <c r="BF58" s="77"/>
      <c r="BG58" s="77"/>
      <c r="BH58" s="77"/>
      <c r="BI58" s="77"/>
    </row>
    <row r="59" spans="1:61" x14ac:dyDescent="0.25">
      <c r="A59" s="62" t="s">
        <v>249</v>
      </c>
      <c r="B59" s="62" t="s">
        <v>249</v>
      </c>
      <c r="C59" s="63"/>
      <c r="D59" s="64"/>
      <c r="E59" s="65"/>
      <c r="F59" s="66"/>
      <c r="G59" s="63"/>
      <c r="H59" s="67"/>
      <c r="I59" s="68"/>
      <c r="J59" s="68"/>
      <c r="K59" s="32"/>
      <c r="L59" s="75">
        <v>59</v>
      </c>
      <c r="M59" s="75"/>
      <c r="N59" s="70"/>
      <c r="O59" s="77" t="s">
        <v>179</v>
      </c>
      <c r="P59" s="79">
        <v>45068.536631944444</v>
      </c>
      <c r="Q59" s="77" t="s">
        <v>595</v>
      </c>
      <c r="R59" s="77">
        <v>0</v>
      </c>
      <c r="S59" s="77">
        <v>0</v>
      </c>
      <c r="T59" s="77">
        <v>0</v>
      </c>
      <c r="U59" s="77">
        <v>0</v>
      </c>
      <c r="V59" s="77">
        <v>37</v>
      </c>
      <c r="W59" s="82" t="s">
        <v>1472</v>
      </c>
      <c r="X59" s="80" t="str">
        <f>HYPERLINK("http://www.parquememorialdegoiania.com.br")</f>
        <v>http://www.parquememorialdegoiania.com.br</v>
      </c>
      <c r="Y59" s="77" t="s">
        <v>1978</v>
      </c>
      <c r="Z59" s="77"/>
      <c r="AA59" s="77" t="s">
        <v>2038</v>
      </c>
      <c r="AB59" s="77" t="s">
        <v>2632</v>
      </c>
      <c r="AC59" s="82" t="s">
        <v>2639</v>
      </c>
      <c r="AD59" s="77" t="s">
        <v>2670</v>
      </c>
      <c r="AE59" s="80" t="str">
        <f>HYPERLINK("https://twitter.com/memorialgoiania/status/1660629773788274689")</f>
        <v>https://twitter.com/memorialgoiania/status/1660629773788274689</v>
      </c>
      <c r="AF59" s="79">
        <v>45068.536631944444</v>
      </c>
      <c r="AG59" s="85">
        <v>45068</v>
      </c>
      <c r="AH59" s="82" t="s">
        <v>2732</v>
      </c>
      <c r="AI59" s="77" t="b">
        <v>0</v>
      </c>
      <c r="AJ59" s="77"/>
      <c r="AK59" s="77"/>
      <c r="AL59" s="77"/>
      <c r="AM59" s="77"/>
      <c r="AN59" s="77"/>
      <c r="AO59" s="77"/>
      <c r="AP59" s="77"/>
      <c r="AQ59" s="77" t="s">
        <v>3467</v>
      </c>
      <c r="AR59" s="77"/>
      <c r="AS59" s="77"/>
      <c r="AT59" s="77"/>
      <c r="AU59" s="77"/>
      <c r="AV59" s="80" t="str">
        <f>HYPERLINK("https://pbs.twimg.com/media/Fwu911oWAAAVom7.jpg")</f>
        <v>https://pbs.twimg.com/media/Fwu911oWAAAVom7.jpg</v>
      </c>
      <c r="AW59" s="82" t="s">
        <v>4116</v>
      </c>
      <c r="AX59" s="82" t="s">
        <v>4116</v>
      </c>
      <c r="AY59" s="77"/>
      <c r="AZ59" s="82" t="s">
        <v>5075</v>
      </c>
      <c r="BA59" s="82" t="s">
        <v>5075</v>
      </c>
      <c r="BB59" s="82" t="s">
        <v>5075</v>
      </c>
      <c r="BC59" s="82" t="s">
        <v>4116</v>
      </c>
      <c r="BD59" s="82" t="s">
        <v>5134</v>
      </c>
      <c r="BE59" s="77"/>
      <c r="BF59" s="77"/>
      <c r="BG59" s="77"/>
      <c r="BH59" s="77"/>
      <c r="BI59" s="77"/>
    </row>
    <row r="60" spans="1:61" x14ac:dyDescent="0.25">
      <c r="A60" s="62" t="s">
        <v>250</v>
      </c>
      <c r="B60" s="62" t="s">
        <v>250</v>
      </c>
      <c r="C60" s="63"/>
      <c r="D60" s="64"/>
      <c r="E60" s="65"/>
      <c r="F60" s="66"/>
      <c r="G60" s="63"/>
      <c r="H60" s="67"/>
      <c r="I60" s="68"/>
      <c r="J60" s="68"/>
      <c r="K60" s="32"/>
      <c r="L60" s="75">
        <v>60</v>
      </c>
      <c r="M60" s="75"/>
      <c r="N60" s="70"/>
      <c r="O60" s="77" t="s">
        <v>179</v>
      </c>
      <c r="P60" s="79">
        <v>45081.892951388887</v>
      </c>
      <c r="Q60" s="77" t="s">
        <v>596</v>
      </c>
      <c r="R60" s="77">
        <v>0</v>
      </c>
      <c r="S60" s="77">
        <v>0</v>
      </c>
      <c r="T60" s="77">
        <v>0</v>
      </c>
      <c r="U60" s="77">
        <v>0</v>
      </c>
      <c r="V60" s="77">
        <v>60</v>
      </c>
      <c r="W60" s="82" t="s">
        <v>1473</v>
      </c>
      <c r="X60" s="77"/>
      <c r="Y60" s="77"/>
      <c r="Z60" s="77"/>
      <c r="AA60" s="77" t="s">
        <v>2039</v>
      </c>
      <c r="AB60" s="77" t="s">
        <v>2633</v>
      </c>
      <c r="AC60" s="82" t="s">
        <v>2638</v>
      </c>
      <c r="AD60" s="77" t="s">
        <v>2673</v>
      </c>
      <c r="AE60" s="80" t="str">
        <f>HYPERLINK("https://twitter.com/calilecalil/status/1665469941322006528")</f>
        <v>https://twitter.com/calilecalil/status/1665469941322006528</v>
      </c>
      <c r="AF60" s="79">
        <v>45081.892951388887</v>
      </c>
      <c r="AG60" s="85">
        <v>45081</v>
      </c>
      <c r="AH60" s="82" t="s">
        <v>2733</v>
      </c>
      <c r="AI60" s="77" t="b">
        <v>0</v>
      </c>
      <c r="AJ60" s="77"/>
      <c r="AK60" s="77"/>
      <c r="AL60" s="77"/>
      <c r="AM60" s="77"/>
      <c r="AN60" s="77"/>
      <c r="AO60" s="77"/>
      <c r="AP60" s="77"/>
      <c r="AQ60" s="77" t="s">
        <v>3468</v>
      </c>
      <c r="AR60" s="77">
        <v>44986</v>
      </c>
      <c r="AS60" s="77"/>
      <c r="AT60" s="77"/>
      <c r="AU60" s="77"/>
      <c r="AV60" s="80" t="str">
        <f>HYPERLINK("https://pbs.twimg.com/ext_tw_video_thumb/1665469865728131074/pu/img/ZznTvifBd8Tk0KNB.jpg")</f>
        <v>https://pbs.twimg.com/ext_tw_video_thumb/1665469865728131074/pu/img/ZznTvifBd8Tk0KNB.jpg</v>
      </c>
      <c r="AW60" s="82" t="s">
        <v>4117</v>
      </c>
      <c r="AX60" s="82" t="s">
        <v>4117</v>
      </c>
      <c r="AY60" s="77"/>
      <c r="AZ60" s="82" t="s">
        <v>5075</v>
      </c>
      <c r="BA60" s="82" t="s">
        <v>5075</v>
      </c>
      <c r="BB60" s="82" t="s">
        <v>5075</v>
      </c>
      <c r="BC60" s="82" t="s">
        <v>4117</v>
      </c>
      <c r="BD60" s="77">
        <v>75173434</v>
      </c>
      <c r="BE60" s="77"/>
      <c r="BF60" s="77"/>
      <c r="BG60" s="77"/>
      <c r="BH60" s="77"/>
      <c r="BI60" s="77"/>
    </row>
    <row r="61" spans="1:61" x14ac:dyDescent="0.25">
      <c r="A61" s="62" t="s">
        <v>250</v>
      </c>
      <c r="B61" s="62" t="s">
        <v>250</v>
      </c>
      <c r="C61" s="63"/>
      <c r="D61" s="64"/>
      <c r="E61" s="65"/>
      <c r="F61" s="66"/>
      <c r="G61" s="63"/>
      <c r="H61" s="67"/>
      <c r="I61" s="68"/>
      <c r="J61" s="68"/>
      <c r="K61" s="32"/>
      <c r="L61" s="75">
        <v>61</v>
      </c>
      <c r="M61" s="75"/>
      <c r="N61" s="70"/>
      <c r="O61" s="77" t="s">
        <v>179</v>
      </c>
      <c r="P61" s="79">
        <v>45143.883761574078</v>
      </c>
      <c r="Q61" s="77" t="s">
        <v>597</v>
      </c>
      <c r="R61" s="77">
        <v>0</v>
      </c>
      <c r="S61" s="77">
        <v>0</v>
      </c>
      <c r="T61" s="77">
        <v>0</v>
      </c>
      <c r="U61" s="77">
        <v>1</v>
      </c>
      <c r="V61" s="77">
        <v>299</v>
      </c>
      <c r="W61" s="82" t="s">
        <v>1474</v>
      </c>
      <c r="X61" s="77"/>
      <c r="Y61" s="77"/>
      <c r="Z61" s="77"/>
      <c r="AA61" s="77" t="s">
        <v>2040</v>
      </c>
      <c r="AB61" s="77" t="s">
        <v>2633</v>
      </c>
      <c r="AC61" s="82" t="s">
        <v>2638</v>
      </c>
      <c r="AD61" s="77" t="s">
        <v>2673</v>
      </c>
      <c r="AE61" s="80" t="str">
        <f>HYPERLINK("https://twitter.com/calilecalil/status/1687934659450060801")</f>
        <v>https://twitter.com/calilecalil/status/1687934659450060801</v>
      </c>
      <c r="AF61" s="79">
        <v>45143.883761574078</v>
      </c>
      <c r="AG61" s="85">
        <v>45143</v>
      </c>
      <c r="AH61" s="82" t="s">
        <v>2734</v>
      </c>
      <c r="AI61" s="77" t="b">
        <v>0</v>
      </c>
      <c r="AJ61" s="77"/>
      <c r="AK61" s="77"/>
      <c r="AL61" s="77"/>
      <c r="AM61" s="77"/>
      <c r="AN61" s="77"/>
      <c r="AO61" s="77"/>
      <c r="AP61" s="77"/>
      <c r="AQ61" s="77" t="s">
        <v>3469</v>
      </c>
      <c r="AR61" s="77">
        <v>44957</v>
      </c>
      <c r="AS61" s="77"/>
      <c r="AT61" s="77"/>
      <c r="AU61" s="77"/>
      <c r="AV61" s="80" t="str">
        <f>HYPERLINK("https://pbs.twimg.com/ext_tw_video_thumb/1687934589967228929/pu/img/dOaJwE3A_Y3_ueAi.jpg")</f>
        <v>https://pbs.twimg.com/ext_tw_video_thumb/1687934589967228929/pu/img/dOaJwE3A_Y3_ueAi.jpg</v>
      </c>
      <c r="AW61" s="82" t="s">
        <v>4118</v>
      </c>
      <c r="AX61" s="82" t="s">
        <v>4118</v>
      </c>
      <c r="AY61" s="77"/>
      <c r="AZ61" s="82" t="s">
        <v>5075</v>
      </c>
      <c r="BA61" s="82" t="s">
        <v>5075</v>
      </c>
      <c r="BB61" s="82" t="s">
        <v>5075</v>
      </c>
      <c r="BC61" s="82" t="s">
        <v>4118</v>
      </c>
      <c r="BD61" s="77">
        <v>75173434</v>
      </c>
      <c r="BE61" s="77"/>
      <c r="BF61" s="77"/>
      <c r="BG61" s="77"/>
      <c r="BH61" s="77"/>
      <c r="BI61" s="77"/>
    </row>
    <row r="62" spans="1:61" x14ac:dyDescent="0.25">
      <c r="A62" s="62" t="s">
        <v>250</v>
      </c>
      <c r="B62" s="62" t="s">
        <v>250</v>
      </c>
      <c r="C62" s="63"/>
      <c r="D62" s="64"/>
      <c r="E62" s="65"/>
      <c r="F62" s="66"/>
      <c r="G62" s="63"/>
      <c r="H62" s="67"/>
      <c r="I62" s="68"/>
      <c r="J62" s="68"/>
      <c r="K62" s="32"/>
      <c r="L62" s="75">
        <v>62</v>
      </c>
      <c r="M62" s="75"/>
      <c r="N62" s="70"/>
      <c r="O62" s="77" t="s">
        <v>179</v>
      </c>
      <c r="P62" s="79">
        <v>45136.858888888892</v>
      </c>
      <c r="Q62" s="77" t="s">
        <v>598</v>
      </c>
      <c r="R62" s="77">
        <v>1</v>
      </c>
      <c r="S62" s="77">
        <v>1</v>
      </c>
      <c r="T62" s="77">
        <v>0</v>
      </c>
      <c r="U62" s="77">
        <v>0</v>
      </c>
      <c r="V62" s="77">
        <v>71</v>
      </c>
      <c r="W62" s="82" t="s">
        <v>1475</v>
      </c>
      <c r="X62" s="77"/>
      <c r="Y62" s="77"/>
      <c r="Z62" s="77"/>
      <c r="AA62" s="77" t="s">
        <v>2041</v>
      </c>
      <c r="AB62" s="77" t="s">
        <v>2633</v>
      </c>
      <c r="AC62" s="82" t="s">
        <v>2638</v>
      </c>
      <c r="AD62" s="77" t="s">
        <v>2670</v>
      </c>
      <c r="AE62" s="80" t="str">
        <f>HYPERLINK("https://twitter.com/calilecalil/status/1685388929992671232")</f>
        <v>https://twitter.com/calilecalil/status/1685388929992671232</v>
      </c>
      <c r="AF62" s="79">
        <v>45136.858888888892</v>
      </c>
      <c r="AG62" s="85">
        <v>45136</v>
      </c>
      <c r="AH62" s="82" t="s">
        <v>2735</v>
      </c>
      <c r="AI62" s="77" t="b">
        <v>0</v>
      </c>
      <c r="AJ62" s="77"/>
      <c r="AK62" s="77"/>
      <c r="AL62" s="77"/>
      <c r="AM62" s="77"/>
      <c r="AN62" s="77"/>
      <c r="AO62" s="77"/>
      <c r="AP62" s="77"/>
      <c r="AQ62" s="77" t="s">
        <v>3470</v>
      </c>
      <c r="AR62" s="77">
        <v>34799</v>
      </c>
      <c r="AS62" s="77"/>
      <c r="AT62" s="77"/>
      <c r="AU62" s="77"/>
      <c r="AV62" s="80" t="str">
        <f>HYPERLINK("https://pbs.twimg.com/ext_tw_video_thumb/1685388877362601984/pu/img/IMWKBPfDVXSD6vZU.jpg")</f>
        <v>https://pbs.twimg.com/ext_tw_video_thumb/1685388877362601984/pu/img/IMWKBPfDVXSD6vZU.jpg</v>
      </c>
      <c r="AW62" s="82" t="s">
        <v>4119</v>
      </c>
      <c r="AX62" s="82" t="s">
        <v>4119</v>
      </c>
      <c r="AY62" s="77"/>
      <c r="AZ62" s="82" t="s">
        <v>5075</v>
      </c>
      <c r="BA62" s="82" t="s">
        <v>5075</v>
      </c>
      <c r="BB62" s="82" t="s">
        <v>5075</v>
      </c>
      <c r="BC62" s="82" t="s">
        <v>4119</v>
      </c>
      <c r="BD62" s="77">
        <v>75173434</v>
      </c>
      <c r="BE62" s="77"/>
      <c r="BF62" s="77"/>
      <c r="BG62" s="77"/>
      <c r="BH62" s="77"/>
      <c r="BI62" s="77"/>
    </row>
    <row r="63" spans="1:61" x14ac:dyDescent="0.25">
      <c r="A63" s="62" t="s">
        <v>250</v>
      </c>
      <c r="B63" s="62" t="s">
        <v>250</v>
      </c>
      <c r="C63" s="63"/>
      <c r="D63" s="64"/>
      <c r="E63" s="65"/>
      <c r="F63" s="66"/>
      <c r="G63" s="63"/>
      <c r="H63" s="67"/>
      <c r="I63" s="68"/>
      <c r="J63" s="68"/>
      <c r="K63" s="32"/>
      <c r="L63" s="75">
        <v>63</v>
      </c>
      <c r="M63" s="75"/>
      <c r="N63" s="70"/>
      <c r="O63" s="77" t="s">
        <v>179</v>
      </c>
      <c r="P63" s="79">
        <v>45079.757662037038</v>
      </c>
      <c r="Q63" s="77" t="s">
        <v>599</v>
      </c>
      <c r="R63" s="77">
        <v>0</v>
      </c>
      <c r="S63" s="77">
        <v>0</v>
      </c>
      <c r="T63" s="77">
        <v>0</v>
      </c>
      <c r="U63" s="77">
        <v>0</v>
      </c>
      <c r="V63" s="77">
        <v>44</v>
      </c>
      <c r="W63" s="82" t="s">
        <v>1473</v>
      </c>
      <c r="X63" s="77"/>
      <c r="Y63" s="77"/>
      <c r="Z63" s="77"/>
      <c r="AA63" s="77" t="s">
        <v>2042</v>
      </c>
      <c r="AB63" s="77" t="s">
        <v>2633</v>
      </c>
      <c r="AC63" s="82" t="s">
        <v>2638</v>
      </c>
      <c r="AD63" s="77" t="s">
        <v>2673</v>
      </c>
      <c r="AE63" s="80" t="str">
        <f>HYPERLINK("https://twitter.com/calilecalil/status/1664696138232913921")</f>
        <v>https://twitter.com/calilecalil/status/1664696138232913921</v>
      </c>
      <c r="AF63" s="79">
        <v>45079.757662037038</v>
      </c>
      <c r="AG63" s="85">
        <v>45079</v>
      </c>
      <c r="AH63" s="82" t="s">
        <v>2736</v>
      </c>
      <c r="AI63" s="77" t="b">
        <v>0</v>
      </c>
      <c r="AJ63" s="77"/>
      <c r="AK63" s="77"/>
      <c r="AL63" s="77"/>
      <c r="AM63" s="77"/>
      <c r="AN63" s="77"/>
      <c r="AO63" s="77"/>
      <c r="AP63" s="77"/>
      <c r="AQ63" s="77" t="s">
        <v>3471</v>
      </c>
      <c r="AR63" s="77">
        <v>44963</v>
      </c>
      <c r="AS63" s="77"/>
      <c r="AT63" s="77"/>
      <c r="AU63" s="77"/>
      <c r="AV63" s="80" t="str">
        <f>HYPERLINK("https://pbs.twimg.com/ext_tw_video_thumb/1664696055798149120/pu/img/3J_FbkSYSW39DC8l.jpg")</f>
        <v>https://pbs.twimg.com/ext_tw_video_thumb/1664696055798149120/pu/img/3J_FbkSYSW39DC8l.jpg</v>
      </c>
      <c r="AW63" s="82" t="s">
        <v>4120</v>
      </c>
      <c r="AX63" s="82" t="s">
        <v>4120</v>
      </c>
      <c r="AY63" s="77"/>
      <c r="AZ63" s="82" t="s">
        <v>5075</v>
      </c>
      <c r="BA63" s="82" t="s">
        <v>5075</v>
      </c>
      <c r="BB63" s="82" t="s">
        <v>5075</v>
      </c>
      <c r="BC63" s="82" t="s">
        <v>4120</v>
      </c>
      <c r="BD63" s="77">
        <v>75173434</v>
      </c>
      <c r="BE63" s="77"/>
      <c r="BF63" s="77"/>
      <c r="BG63" s="77"/>
      <c r="BH63" s="77"/>
      <c r="BI63" s="77"/>
    </row>
    <row r="64" spans="1:61" x14ac:dyDescent="0.25">
      <c r="A64" s="62" t="s">
        <v>251</v>
      </c>
      <c r="B64" s="62" t="s">
        <v>251</v>
      </c>
      <c r="C64" s="63"/>
      <c r="D64" s="64"/>
      <c r="E64" s="65"/>
      <c r="F64" s="66"/>
      <c r="G64" s="63"/>
      <c r="H64" s="67"/>
      <c r="I64" s="68"/>
      <c r="J64" s="68"/>
      <c r="K64" s="32"/>
      <c r="L64" s="75">
        <v>64</v>
      </c>
      <c r="M64" s="75"/>
      <c r="N64" s="70"/>
      <c r="O64" s="77" t="s">
        <v>179</v>
      </c>
      <c r="P64" s="79">
        <v>45097.64508101852</v>
      </c>
      <c r="Q64" s="77" t="s">
        <v>600</v>
      </c>
      <c r="R64" s="77">
        <v>0</v>
      </c>
      <c r="S64" s="77">
        <v>0</v>
      </c>
      <c r="T64" s="77">
        <v>1</v>
      </c>
      <c r="U64" s="77">
        <v>0</v>
      </c>
      <c r="V64" s="77">
        <v>14</v>
      </c>
      <c r="W64" s="82" t="s">
        <v>1476</v>
      </c>
      <c r="X64" s="77"/>
      <c r="Y64" s="77"/>
      <c r="Z64" s="77"/>
      <c r="AA64" s="77"/>
      <c r="AB64" s="77"/>
      <c r="AC64" s="82" t="s">
        <v>2639</v>
      </c>
      <c r="AD64" s="77" t="s">
        <v>2670</v>
      </c>
      <c r="AE64" s="80" t="str">
        <f>HYPERLINK("https://twitter.com/saguicontrol/status/1671178319931273222")</f>
        <v>https://twitter.com/saguicontrol/status/1671178319931273222</v>
      </c>
      <c r="AF64" s="79">
        <v>45097.64508101852</v>
      </c>
      <c r="AG64" s="85">
        <v>45097</v>
      </c>
      <c r="AH64" s="82" t="s">
        <v>2737</v>
      </c>
      <c r="AI64" s="77"/>
      <c r="AJ64" s="77"/>
      <c r="AK64" s="77"/>
      <c r="AL64" s="77"/>
      <c r="AM64" s="77"/>
      <c r="AN64" s="77"/>
      <c r="AO64" s="77"/>
      <c r="AP64" s="77"/>
      <c r="AQ64" s="77"/>
      <c r="AR64" s="77"/>
      <c r="AS64" s="77"/>
      <c r="AT64" s="77"/>
      <c r="AU64" s="77"/>
      <c r="AV64" s="80" t="str">
        <f>HYPERLINK("https://pbs.twimg.com/profile_images/1658092607950446592/Eflm470Y_normal.jpg")</f>
        <v>https://pbs.twimg.com/profile_images/1658092607950446592/Eflm470Y_normal.jpg</v>
      </c>
      <c r="AW64" s="82" t="s">
        <v>4121</v>
      </c>
      <c r="AX64" s="82" t="s">
        <v>4121</v>
      </c>
      <c r="AY64" s="77"/>
      <c r="AZ64" s="82" t="s">
        <v>5075</v>
      </c>
      <c r="BA64" s="82" t="s">
        <v>5075</v>
      </c>
      <c r="BB64" s="82" t="s">
        <v>5075</v>
      </c>
      <c r="BC64" s="82" t="s">
        <v>4121</v>
      </c>
      <c r="BD64" s="82" t="s">
        <v>5135</v>
      </c>
      <c r="BE64" s="77"/>
      <c r="BF64" s="77"/>
      <c r="BG64" s="77"/>
      <c r="BH64" s="77"/>
      <c r="BI64" s="77"/>
    </row>
    <row r="65" spans="1:61" x14ac:dyDescent="0.25">
      <c r="A65" s="62" t="s">
        <v>252</v>
      </c>
      <c r="B65" s="62" t="s">
        <v>252</v>
      </c>
      <c r="C65" s="63"/>
      <c r="D65" s="64"/>
      <c r="E65" s="65"/>
      <c r="F65" s="66"/>
      <c r="G65" s="63"/>
      <c r="H65" s="67"/>
      <c r="I65" s="68"/>
      <c r="J65" s="68"/>
      <c r="K65" s="32"/>
      <c r="L65" s="75">
        <v>65</v>
      </c>
      <c r="M65" s="75"/>
      <c r="N65" s="70"/>
      <c r="O65" s="77" t="s">
        <v>179</v>
      </c>
      <c r="P65" s="79">
        <v>44936.473553240743</v>
      </c>
      <c r="Q65" s="77" t="s">
        <v>601</v>
      </c>
      <c r="R65" s="77">
        <v>0</v>
      </c>
      <c r="S65" s="77">
        <v>0</v>
      </c>
      <c r="T65" s="77">
        <v>0</v>
      </c>
      <c r="U65" s="77">
        <v>0</v>
      </c>
      <c r="V65" s="77">
        <v>10</v>
      </c>
      <c r="W65" s="82" t="s">
        <v>1477</v>
      </c>
      <c r="X65" s="80" t="str">
        <f>HYPERLINK("https://www.instagram.com/p/CnO5hbluTqh/?igshid=YTgzYjQ4ZTY=")</f>
        <v>https://www.instagram.com/p/CnO5hbluTqh/?igshid=YTgzYjQ4ZTY=</v>
      </c>
      <c r="Y65" s="77" t="s">
        <v>1974</v>
      </c>
      <c r="Z65" s="77"/>
      <c r="AA65" s="77"/>
      <c r="AB65" s="77"/>
      <c r="AC65" s="82" t="s">
        <v>2644</v>
      </c>
      <c r="AD65" s="77" t="s">
        <v>2670</v>
      </c>
      <c r="AE65" s="80" t="str">
        <f>HYPERLINK("https://twitter.com/maxjr32113486/status/1612771717406986240")</f>
        <v>https://twitter.com/maxjr32113486/status/1612771717406986240</v>
      </c>
      <c r="AF65" s="79">
        <v>44936.473553240743</v>
      </c>
      <c r="AG65" s="85">
        <v>44936</v>
      </c>
      <c r="AH65" s="82" t="s">
        <v>2738</v>
      </c>
      <c r="AI65" s="77" t="b">
        <v>0</v>
      </c>
      <c r="AJ65" s="77" t="s">
        <v>3401</v>
      </c>
      <c r="AK65" s="77" t="s">
        <v>3410</v>
      </c>
      <c r="AL65" s="77" t="s">
        <v>3411</v>
      </c>
      <c r="AM65" s="77" t="s">
        <v>3413</v>
      </c>
      <c r="AN65" s="77" t="s">
        <v>3423</v>
      </c>
      <c r="AO65" s="77" t="s">
        <v>3433</v>
      </c>
      <c r="AP65" s="77" t="s">
        <v>3442</v>
      </c>
      <c r="AQ65" s="77"/>
      <c r="AR65" s="77"/>
      <c r="AS65" s="77"/>
      <c r="AT65" s="77"/>
      <c r="AU65" s="77"/>
      <c r="AV65" s="80" t="str">
        <f>HYPERLINK("https://pbs.twimg.com/profile_images/1262733406837891072/eGXxKvQd_normal.jpg")</f>
        <v>https://pbs.twimg.com/profile_images/1262733406837891072/eGXxKvQd_normal.jpg</v>
      </c>
      <c r="AW65" s="82" t="s">
        <v>4122</v>
      </c>
      <c r="AX65" s="82" t="s">
        <v>4122</v>
      </c>
      <c r="AY65" s="77"/>
      <c r="AZ65" s="82" t="s">
        <v>5075</v>
      </c>
      <c r="BA65" s="82" t="s">
        <v>5075</v>
      </c>
      <c r="BB65" s="82" t="s">
        <v>5075</v>
      </c>
      <c r="BC65" s="82" t="s">
        <v>4122</v>
      </c>
      <c r="BD65" s="82" t="s">
        <v>5136</v>
      </c>
      <c r="BE65" s="77"/>
      <c r="BF65" s="77"/>
      <c r="BG65" s="77"/>
      <c r="BH65" s="77"/>
      <c r="BI65" s="77"/>
    </row>
    <row r="66" spans="1:61" x14ac:dyDescent="0.25">
      <c r="A66" s="62" t="s">
        <v>253</v>
      </c>
      <c r="B66" s="62" t="s">
        <v>253</v>
      </c>
      <c r="C66" s="63"/>
      <c r="D66" s="64"/>
      <c r="E66" s="65"/>
      <c r="F66" s="66"/>
      <c r="G66" s="63"/>
      <c r="H66" s="67"/>
      <c r="I66" s="68"/>
      <c r="J66" s="68"/>
      <c r="K66" s="32"/>
      <c r="L66" s="75">
        <v>66</v>
      </c>
      <c r="M66" s="75"/>
      <c r="N66" s="70"/>
      <c r="O66" s="77" t="s">
        <v>179</v>
      </c>
      <c r="P66" s="79">
        <v>44928.936423611114</v>
      </c>
      <c r="Q66" s="77" t="s">
        <v>602</v>
      </c>
      <c r="R66" s="77">
        <v>0</v>
      </c>
      <c r="S66" s="77">
        <v>0</v>
      </c>
      <c r="T66" s="77">
        <v>0</v>
      </c>
      <c r="U66" s="77">
        <v>0</v>
      </c>
      <c r="V66" s="77">
        <v>41</v>
      </c>
      <c r="W66" s="82" t="s">
        <v>1478</v>
      </c>
      <c r="X66" s="77"/>
      <c r="Y66" s="77"/>
      <c r="Z66" s="77"/>
      <c r="AA66" s="77" t="s">
        <v>2043</v>
      </c>
      <c r="AB66" s="77" t="s">
        <v>2632</v>
      </c>
      <c r="AC66" s="82" t="s">
        <v>2638</v>
      </c>
      <c r="AD66" s="77" t="s">
        <v>2673</v>
      </c>
      <c r="AE66" s="80" t="str">
        <f>HYPERLINK("https://twitter.com/asc_alancoelho/status/1610040350260740098")</f>
        <v>https://twitter.com/asc_alancoelho/status/1610040350260740098</v>
      </c>
      <c r="AF66" s="79">
        <v>44928.936423611114</v>
      </c>
      <c r="AG66" s="85">
        <v>44928</v>
      </c>
      <c r="AH66" s="82" t="s">
        <v>2739</v>
      </c>
      <c r="AI66" s="77" t="b">
        <v>0</v>
      </c>
      <c r="AJ66" s="77"/>
      <c r="AK66" s="77"/>
      <c r="AL66" s="77"/>
      <c r="AM66" s="77"/>
      <c r="AN66" s="77"/>
      <c r="AO66" s="77"/>
      <c r="AP66" s="77"/>
      <c r="AQ66" s="77" t="s">
        <v>3472</v>
      </c>
      <c r="AR66" s="77"/>
      <c r="AS66" s="77"/>
      <c r="AT66" s="77"/>
      <c r="AU66" s="77"/>
      <c r="AV66" s="80" t="str">
        <f>HYPERLINK("https://pbs.twimg.com/media/FlgDKjxXEAYS3JC.jpg")</f>
        <v>https://pbs.twimg.com/media/FlgDKjxXEAYS3JC.jpg</v>
      </c>
      <c r="AW66" s="82" t="s">
        <v>4123</v>
      </c>
      <c r="AX66" s="82" t="s">
        <v>4123</v>
      </c>
      <c r="AY66" s="77"/>
      <c r="AZ66" s="82" t="s">
        <v>5075</v>
      </c>
      <c r="BA66" s="82" t="s">
        <v>5075</v>
      </c>
      <c r="BB66" s="82" t="s">
        <v>5075</v>
      </c>
      <c r="BC66" s="82" t="s">
        <v>4123</v>
      </c>
      <c r="BD66" s="82" t="s">
        <v>5137</v>
      </c>
      <c r="BE66" s="77"/>
      <c r="BF66" s="77"/>
      <c r="BG66" s="77"/>
      <c r="BH66" s="77"/>
      <c r="BI66" s="77"/>
    </row>
    <row r="67" spans="1:61" x14ac:dyDescent="0.25">
      <c r="A67" s="62" t="s">
        <v>254</v>
      </c>
      <c r="B67" s="62" t="s">
        <v>254</v>
      </c>
      <c r="C67" s="63"/>
      <c r="D67" s="64"/>
      <c r="E67" s="65"/>
      <c r="F67" s="66"/>
      <c r="G67" s="63"/>
      <c r="H67" s="67"/>
      <c r="I67" s="68"/>
      <c r="J67" s="68"/>
      <c r="K67" s="32"/>
      <c r="L67" s="75">
        <v>67</v>
      </c>
      <c r="M67" s="75"/>
      <c r="N67" s="70"/>
      <c r="O67" s="77" t="s">
        <v>179</v>
      </c>
      <c r="P67" s="79">
        <v>45078.448055555556</v>
      </c>
      <c r="Q67" s="77" t="s">
        <v>603</v>
      </c>
      <c r="R67" s="77">
        <v>0</v>
      </c>
      <c r="S67" s="77">
        <v>0</v>
      </c>
      <c r="T67" s="77">
        <v>0</v>
      </c>
      <c r="U67" s="77">
        <v>0</v>
      </c>
      <c r="V67" s="77">
        <v>13</v>
      </c>
      <c r="W67" s="82" t="s">
        <v>1479</v>
      </c>
      <c r="X67" s="77"/>
      <c r="Y67" s="77"/>
      <c r="Z67" s="77"/>
      <c r="AA67" s="77"/>
      <c r="AB67" s="77"/>
      <c r="AC67" s="82" t="s">
        <v>2638</v>
      </c>
      <c r="AD67" s="77" t="s">
        <v>2670</v>
      </c>
      <c r="AE67" s="80" t="str">
        <f>HYPERLINK("https://twitter.com/euvanessagouvea/status/1664221551552602113")</f>
        <v>https://twitter.com/euvanessagouvea/status/1664221551552602113</v>
      </c>
      <c r="AF67" s="79">
        <v>45078.448055555556</v>
      </c>
      <c r="AG67" s="85">
        <v>45078</v>
      </c>
      <c r="AH67" s="82" t="s">
        <v>2740</v>
      </c>
      <c r="AI67" s="77"/>
      <c r="AJ67" s="77"/>
      <c r="AK67" s="77"/>
      <c r="AL67" s="77"/>
      <c r="AM67" s="77"/>
      <c r="AN67" s="77"/>
      <c r="AO67" s="77"/>
      <c r="AP67" s="77"/>
      <c r="AQ67" s="77"/>
      <c r="AR67" s="77"/>
      <c r="AS67" s="77"/>
      <c r="AT67" s="77"/>
      <c r="AU67" s="77"/>
      <c r="AV67" s="80" t="str">
        <f>HYPERLINK("https://pbs.twimg.com/profile_images/1640146445515862017/eFpkzuHo_normal.jpg")</f>
        <v>https://pbs.twimg.com/profile_images/1640146445515862017/eFpkzuHo_normal.jpg</v>
      </c>
      <c r="AW67" s="82" t="s">
        <v>4124</v>
      </c>
      <c r="AX67" s="82" t="s">
        <v>4124</v>
      </c>
      <c r="AY67" s="77"/>
      <c r="AZ67" s="82" t="s">
        <v>5075</v>
      </c>
      <c r="BA67" s="82" t="s">
        <v>5075</v>
      </c>
      <c r="BB67" s="82" t="s">
        <v>5075</v>
      </c>
      <c r="BC67" s="82" t="s">
        <v>4124</v>
      </c>
      <c r="BD67" s="82" t="s">
        <v>5138</v>
      </c>
      <c r="BE67" s="77"/>
      <c r="BF67" s="77"/>
      <c r="BG67" s="77"/>
      <c r="BH67" s="77"/>
      <c r="BI67" s="77"/>
    </row>
    <row r="68" spans="1:61" x14ac:dyDescent="0.25">
      <c r="A68" s="62" t="s">
        <v>255</v>
      </c>
      <c r="B68" s="62" t="s">
        <v>255</v>
      </c>
      <c r="C68" s="63"/>
      <c r="D68" s="64"/>
      <c r="E68" s="65"/>
      <c r="F68" s="66"/>
      <c r="G68" s="63"/>
      <c r="H68" s="67"/>
      <c r="I68" s="68"/>
      <c r="J68" s="68"/>
      <c r="K68" s="32"/>
      <c r="L68" s="75">
        <v>68</v>
      </c>
      <c r="M68" s="75"/>
      <c r="N68" s="70"/>
      <c r="O68" s="77" t="s">
        <v>179</v>
      </c>
      <c r="P68" s="79">
        <v>45021.63989583333</v>
      </c>
      <c r="Q68" s="77" t="s">
        <v>604</v>
      </c>
      <c r="R68" s="77">
        <v>0</v>
      </c>
      <c r="S68" s="77">
        <v>2</v>
      </c>
      <c r="T68" s="77">
        <v>0</v>
      </c>
      <c r="U68" s="77">
        <v>0</v>
      </c>
      <c r="V68" s="77">
        <v>30</v>
      </c>
      <c r="W68" s="82" t="s">
        <v>1435</v>
      </c>
      <c r="X68" s="80" t="str">
        <f>HYPERLINK("https://www.instagram.com/p/CqoCkDMPmQv/?igshid=YmMyMTA2M2Y=")</f>
        <v>https://www.instagram.com/p/CqoCkDMPmQv/?igshid=YmMyMTA2M2Y=</v>
      </c>
      <c r="Y68" s="77" t="s">
        <v>1974</v>
      </c>
      <c r="Z68" s="77"/>
      <c r="AA68" s="77"/>
      <c r="AB68" s="77"/>
      <c r="AC68" s="82" t="s">
        <v>2640</v>
      </c>
      <c r="AD68" s="77" t="s">
        <v>2670</v>
      </c>
      <c r="AE68" s="80" t="str">
        <f>HYPERLINK("https://twitter.com/carlapaixaoi/status/1643634965874192385")</f>
        <v>https://twitter.com/carlapaixaoi/status/1643634965874192385</v>
      </c>
      <c r="AF68" s="79">
        <v>45021.63989583333</v>
      </c>
      <c r="AG68" s="85">
        <v>45021</v>
      </c>
      <c r="AH68" s="82" t="s">
        <v>2741</v>
      </c>
      <c r="AI68" s="77" t="b">
        <v>0</v>
      </c>
      <c r="AJ68" s="77"/>
      <c r="AK68" s="77"/>
      <c r="AL68" s="77"/>
      <c r="AM68" s="77"/>
      <c r="AN68" s="77"/>
      <c r="AO68" s="77"/>
      <c r="AP68" s="77"/>
      <c r="AQ68" s="77"/>
      <c r="AR68" s="77"/>
      <c r="AS68" s="77"/>
      <c r="AT68" s="77"/>
      <c r="AU68" s="77"/>
      <c r="AV68" s="80" t="str">
        <f>HYPERLINK("https://pbs.twimg.com/profile_images/1622374906842193922/SloqTzB-_normal.jpg")</f>
        <v>https://pbs.twimg.com/profile_images/1622374906842193922/SloqTzB-_normal.jpg</v>
      </c>
      <c r="AW68" s="82" t="s">
        <v>4125</v>
      </c>
      <c r="AX68" s="82" t="s">
        <v>4125</v>
      </c>
      <c r="AY68" s="77"/>
      <c r="AZ68" s="82" t="s">
        <v>5075</v>
      </c>
      <c r="BA68" s="82" t="s">
        <v>5075</v>
      </c>
      <c r="BB68" s="82" t="s">
        <v>5075</v>
      </c>
      <c r="BC68" s="82" t="s">
        <v>4125</v>
      </c>
      <c r="BD68" s="77">
        <v>174310768</v>
      </c>
      <c r="BE68" s="77"/>
      <c r="BF68" s="77"/>
      <c r="BG68" s="77"/>
      <c r="BH68" s="77"/>
      <c r="BI68" s="77"/>
    </row>
    <row r="69" spans="1:61" x14ac:dyDescent="0.25">
      <c r="A69" s="62" t="s">
        <v>256</v>
      </c>
      <c r="B69" s="62" t="s">
        <v>256</v>
      </c>
      <c r="C69" s="63"/>
      <c r="D69" s="64"/>
      <c r="E69" s="65"/>
      <c r="F69" s="66"/>
      <c r="G69" s="63"/>
      <c r="H69" s="67"/>
      <c r="I69" s="68"/>
      <c r="J69" s="68"/>
      <c r="K69" s="32"/>
      <c r="L69" s="75">
        <v>69</v>
      </c>
      <c r="M69" s="75"/>
      <c r="N69" s="70"/>
      <c r="O69" s="77" t="s">
        <v>179</v>
      </c>
      <c r="P69" s="79">
        <v>44987.561874999999</v>
      </c>
      <c r="Q69" s="77" t="s">
        <v>605</v>
      </c>
      <c r="R69" s="77">
        <v>0</v>
      </c>
      <c r="S69" s="77">
        <v>1</v>
      </c>
      <c r="T69" s="77">
        <v>0</v>
      </c>
      <c r="U69" s="77">
        <v>0</v>
      </c>
      <c r="V69" s="77">
        <v>33</v>
      </c>
      <c r="W69" s="82" t="s">
        <v>1435</v>
      </c>
      <c r="X69" s="77"/>
      <c r="Y69" s="77"/>
      <c r="Z69" s="77"/>
      <c r="AA69" s="77"/>
      <c r="AB69" s="77"/>
      <c r="AC69" s="82" t="s">
        <v>2640</v>
      </c>
      <c r="AD69" s="77" t="s">
        <v>2670</v>
      </c>
      <c r="AE69" s="80" t="str">
        <f>HYPERLINK("https://twitter.com/douglazzc/status/1631285505005330432")</f>
        <v>https://twitter.com/douglazzc/status/1631285505005330432</v>
      </c>
      <c r="AF69" s="79">
        <v>44987.561874999999</v>
      </c>
      <c r="AG69" s="85">
        <v>44987</v>
      </c>
      <c r="AH69" s="82" t="s">
        <v>2742</v>
      </c>
      <c r="AI69" s="77"/>
      <c r="AJ69" s="77"/>
      <c r="AK69" s="77"/>
      <c r="AL69" s="77"/>
      <c r="AM69" s="77"/>
      <c r="AN69" s="77"/>
      <c r="AO69" s="77"/>
      <c r="AP69" s="77"/>
      <c r="AQ69" s="77"/>
      <c r="AR69" s="77"/>
      <c r="AS69" s="77"/>
      <c r="AT69" s="77"/>
      <c r="AU69" s="77"/>
      <c r="AV69" s="80" t="str">
        <f>HYPERLINK("https://pbs.twimg.com/profile_images/1516387300686671872/l3lnM1mQ_normal.jpg")</f>
        <v>https://pbs.twimg.com/profile_images/1516387300686671872/l3lnM1mQ_normal.jpg</v>
      </c>
      <c r="AW69" s="82" t="s">
        <v>4126</v>
      </c>
      <c r="AX69" s="82" t="s">
        <v>4126</v>
      </c>
      <c r="AY69" s="77"/>
      <c r="AZ69" s="82" t="s">
        <v>5075</v>
      </c>
      <c r="BA69" s="82" t="s">
        <v>5075</v>
      </c>
      <c r="BB69" s="82" t="s">
        <v>5075</v>
      </c>
      <c r="BC69" s="82" t="s">
        <v>4126</v>
      </c>
      <c r="BD69" s="82" t="s">
        <v>5139</v>
      </c>
      <c r="BE69" s="77"/>
      <c r="BF69" s="77"/>
      <c r="BG69" s="77"/>
      <c r="BH69" s="77"/>
      <c r="BI69" s="77"/>
    </row>
    <row r="70" spans="1:61" x14ac:dyDescent="0.25">
      <c r="A70" s="62" t="s">
        <v>257</v>
      </c>
      <c r="B70" s="62" t="s">
        <v>257</v>
      </c>
      <c r="C70" s="63"/>
      <c r="D70" s="64"/>
      <c r="E70" s="65"/>
      <c r="F70" s="66"/>
      <c r="G70" s="63"/>
      <c r="H70" s="67"/>
      <c r="I70" s="68"/>
      <c r="J70" s="68"/>
      <c r="K70" s="32"/>
      <c r="L70" s="75">
        <v>70</v>
      </c>
      <c r="M70" s="75"/>
      <c r="N70" s="70"/>
      <c r="O70" s="77" t="s">
        <v>179</v>
      </c>
      <c r="P70" s="79">
        <v>45062.48196759259</v>
      </c>
      <c r="Q70" s="77" t="s">
        <v>606</v>
      </c>
      <c r="R70" s="77">
        <v>0</v>
      </c>
      <c r="S70" s="77">
        <v>1</v>
      </c>
      <c r="T70" s="77">
        <v>0</v>
      </c>
      <c r="U70" s="77">
        <v>0</v>
      </c>
      <c r="V70" s="77">
        <v>22</v>
      </c>
      <c r="W70" s="82" t="s">
        <v>1480</v>
      </c>
      <c r="X70" s="77"/>
      <c r="Y70" s="77"/>
      <c r="Z70" s="77"/>
      <c r="AA70" s="77" t="s">
        <v>2044</v>
      </c>
      <c r="AB70" s="77" t="s">
        <v>2632</v>
      </c>
      <c r="AC70" s="82" t="s">
        <v>2640</v>
      </c>
      <c r="AD70" s="77" t="s">
        <v>2670</v>
      </c>
      <c r="AE70" s="80" t="str">
        <f>HYPERLINK("https://twitter.com/igor_vieiraa/status/1658435634506104832")</f>
        <v>https://twitter.com/igor_vieiraa/status/1658435634506104832</v>
      </c>
      <c r="AF70" s="79">
        <v>45062.48196759259</v>
      </c>
      <c r="AG70" s="85">
        <v>45062</v>
      </c>
      <c r="AH70" s="82" t="s">
        <v>2743</v>
      </c>
      <c r="AI70" s="77" t="b">
        <v>0</v>
      </c>
      <c r="AJ70" s="77"/>
      <c r="AK70" s="77"/>
      <c r="AL70" s="77"/>
      <c r="AM70" s="77"/>
      <c r="AN70" s="77"/>
      <c r="AO70" s="77"/>
      <c r="AP70" s="77"/>
      <c r="AQ70" s="77" t="s">
        <v>3473</v>
      </c>
      <c r="AR70" s="77"/>
      <c r="AS70" s="77"/>
      <c r="AT70" s="77"/>
      <c r="AU70" s="77"/>
      <c r="AV70" s="80" t="str">
        <f>HYPERLINK("https://pbs.twimg.com/media/FwPyarYXsAIKtHm.jpg")</f>
        <v>https://pbs.twimg.com/media/FwPyarYXsAIKtHm.jpg</v>
      </c>
      <c r="AW70" s="82" t="s">
        <v>4127</v>
      </c>
      <c r="AX70" s="82" t="s">
        <v>4127</v>
      </c>
      <c r="AY70" s="77"/>
      <c r="AZ70" s="82" t="s">
        <v>5075</v>
      </c>
      <c r="BA70" s="82" t="s">
        <v>5075</v>
      </c>
      <c r="BB70" s="82" t="s">
        <v>5075</v>
      </c>
      <c r="BC70" s="82" t="s">
        <v>4127</v>
      </c>
      <c r="BD70" s="77">
        <v>292867857</v>
      </c>
      <c r="BE70" s="77"/>
      <c r="BF70" s="77"/>
      <c r="BG70" s="77"/>
      <c r="BH70" s="77"/>
      <c r="BI70" s="77"/>
    </row>
    <row r="71" spans="1:61" x14ac:dyDescent="0.25">
      <c r="A71" s="62" t="s">
        <v>257</v>
      </c>
      <c r="B71" s="62" t="s">
        <v>518</v>
      </c>
      <c r="C71" s="63"/>
      <c r="D71" s="64"/>
      <c r="E71" s="65"/>
      <c r="F71" s="66"/>
      <c r="G71" s="63"/>
      <c r="H71" s="67"/>
      <c r="I71" s="68"/>
      <c r="J71" s="68"/>
      <c r="K71" s="32"/>
      <c r="L71" s="75">
        <v>71</v>
      </c>
      <c r="M71" s="75"/>
      <c r="N71" s="70"/>
      <c r="O71" s="77" t="s">
        <v>539</v>
      </c>
      <c r="P71" s="79">
        <v>45136.512465277781</v>
      </c>
      <c r="Q71" s="77" t="s">
        <v>607</v>
      </c>
      <c r="R71" s="77">
        <v>0</v>
      </c>
      <c r="S71" s="77">
        <v>1</v>
      </c>
      <c r="T71" s="77">
        <v>0</v>
      </c>
      <c r="U71" s="77">
        <v>0</v>
      </c>
      <c r="V71" s="77">
        <v>15</v>
      </c>
      <c r="W71" s="82" t="s">
        <v>1481</v>
      </c>
      <c r="X71" s="80" t="str">
        <f>HYPERLINK("https://youtu.be/GAJVgxCvYuk")</f>
        <v>https://youtu.be/GAJVgxCvYuk</v>
      </c>
      <c r="Y71" s="77" t="s">
        <v>1979</v>
      </c>
      <c r="Z71" s="77" t="s">
        <v>518</v>
      </c>
      <c r="AA71" s="77"/>
      <c r="AB71" s="77"/>
      <c r="AC71" s="82" t="s">
        <v>2640</v>
      </c>
      <c r="AD71" s="77" t="s">
        <v>2670</v>
      </c>
      <c r="AE71" s="80" t="str">
        <f>HYPERLINK("https://twitter.com/igor_vieiraa/status/1685263391718354944")</f>
        <v>https://twitter.com/igor_vieiraa/status/1685263391718354944</v>
      </c>
      <c r="AF71" s="79">
        <v>45136.512465277781</v>
      </c>
      <c r="AG71" s="85">
        <v>45136</v>
      </c>
      <c r="AH71" s="82" t="s">
        <v>2744</v>
      </c>
      <c r="AI71" s="77" t="b">
        <v>0</v>
      </c>
      <c r="AJ71" s="77"/>
      <c r="AK71" s="77"/>
      <c r="AL71" s="77"/>
      <c r="AM71" s="77"/>
      <c r="AN71" s="77"/>
      <c r="AO71" s="77"/>
      <c r="AP71" s="77"/>
      <c r="AQ71" s="77"/>
      <c r="AR71" s="77"/>
      <c r="AS71" s="77"/>
      <c r="AT71" s="77"/>
      <c r="AU71" s="77"/>
      <c r="AV71" s="80" t="str">
        <f>HYPERLINK("https://pbs.twimg.com/profile_images/1678460129300160512/AECoUF6N_normal.jpg")</f>
        <v>https://pbs.twimg.com/profile_images/1678460129300160512/AECoUF6N_normal.jpg</v>
      </c>
      <c r="AW71" s="82" t="s">
        <v>4128</v>
      </c>
      <c r="AX71" s="82" t="s">
        <v>4128</v>
      </c>
      <c r="AY71" s="77"/>
      <c r="AZ71" s="82" t="s">
        <v>5075</v>
      </c>
      <c r="BA71" s="82" t="s">
        <v>5075</v>
      </c>
      <c r="BB71" s="82" t="s">
        <v>5075</v>
      </c>
      <c r="BC71" s="82" t="s">
        <v>4128</v>
      </c>
      <c r="BD71" s="77">
        <v>292867857</v>
      </c>
      <c r="BE71" s="77"/>
      <c r="BF71" s="77"/>
      <c r="BG71" s="77"/>
      <c r="BH71" s="77"/>
      <c r="BI71" s="77"/>
    </row>
    <row r="72" spans="1:61" x14ac:dyDescent="0.25">
      <c r="A72" s="62" t="s">
        <v>257</v>
      </c>
      <c r="B72" s="62" t="s">
        <v>518</v>
      </c>
      <c r="C72" s="63"/>
      <c r="D72" s="64"/>
      <c r="E72" s="65"/>
      <c r="F72" s="66"/>
      <c r="G72" s="63"/>
      <c r="H72" s="67"/>
      <c r="I72" s="68"/>
      <c r="J72" s="68"/>
      <c r="K72" s="32"/>
      <c r="L72" s="75">
        <v>72</v>
      </c>
      <c r="M72" s="75"/>
      <c r="N72" s="70"/>
      <c r="O72" s="77" t="s">
        <v>539</v>
      </c>
      <c r="P72" s="79">
        <v>45136.53806712963</v>
      </c>
      <c r="Q72" s="77" t="s">
        <v>608</v>
      </c>
      <c r="R72" s="77">
        <v>0</v>
      </c>
      <c r="S72" s="77">
        <v>2</v>
      </c>
      <c r="T72" s="77">
        <v>0</v>
      </c>
      <c r="U72" s="77">
        <v>0</v>
      </c>
      <c r="V72" s="77">
        <v>9</v>
      </c>
      <c r="W72" s="82" t="s">
        <v>1481</v>
      </c>
      <c r="X72" s="80" t="str">
        <f>HYPERLINK("https://youtu.be/bBNpIzF84V0")</f>
        <v>https://youtu.be/bBNpIzF84V0</v>
      </c>
      <c r="Y72" s="77" t="s">
        <v>1979</v>
      </c>
      <c r="Z72" s="77" t="s">
        <v>518</v>
      </c>
      <c r="AA72" s="77"/>
      <c r="AB72" s="77"/>
      <c r="AC72" s="82" t="s">
        <v>2640</v>
      </c>
      <c r="AD72" s="77" t="s">
        <v>2670</v>
      </c>
      <c r="AE72" s="80" t="str">
        <f>HYPERLINK("https://twitter.com/igor_vieiraa/status/1685272669598445568")</f>
        <v>https://twitter.com/igor_vieiraa/status/1685272669598445568</v>
      </c>
      <c r="AF72" s="79">
        <v>45136.53806712963</v>
      </c>
      <c r="AG72" s="85">
        <v>45136</v>
      </c>
      <c r="AH72" s="82" t="s">
        <v>2745</v>
      </c>
      <c r="AI72" s="77" t="b">
        <v>0</v>
      </c>
      <c r="AJ72" s="77"/>
      <c r="AK72" s="77"/>
      <c r="AL72" s="77"/>
      <c r="AM72" s="77"/>
      <c r="AN72" s="77"/>
      <c r="AO72" s="77"/>
      <c r="AP72" s="77"/>
      <c r="AQ72" s="77"/>
      <c r="AR72" s="77"/>
      <c r="AS72" s="77"/>
      <c r="AT72" s="77"/>
      <c r="AU72" s="77"/>
      <c r="AV72" s="80" t="str">
        <f>HYPERLINK("https://pbs.twimg.com/profile_images/1678460129300160512/AECoUF6N_normal.jpg")</f>
        <v>https://pbs.twimg.com/profile_images/1678460129300160512/AECoUF6N_normal.jpg</v>
      </c>
      <c r="AW72" s="82" t="s">
        <v>4129</v>
      </c>
      <c r="AX72" s="82" t="s">
        <v>4129</v>
      </c>
      <c r="AY72" s="77"/>
      <c r="AZ72" s="82" t="s">
        <v>5075</v>
      </c>
      <c r="BA72" s="82" t="s">
        <v>5075</v>
      </c>
      <c r="BB72" s="82" t="s">
        <v>5075</v>
      </c>
      <c r="BC72" s="82" t="s">
        <v>4129</v>
      </c>
      <c r="BD72" s="77">
        <v>292867857</v>
      </c>
      <c r="BE72" s="77"/>
      <c r="BF72" s="77"/>
      <c r="BG72" s="77"/>
      <c r="BH72" s="77"/>
      <c r="BI72" s="77"/>
    </row>
    <row r="73" spans="1:61" x14ac:dyDescent="0.25">
      <c r="A73" s="62" t="s">
        <v>257</v>
      </c>
      <c r="B73" s="62" t="s">
        <v>257</v>
      </c>
      <c r="C73" s="63"/>
      <c r="D73" s="64"/>
      <c r="E73" s="65"/>
      <c r="F73" s="66"/>
      <c r="G73" s="63"/>
      <c r="H73" s="67"/>
      <c r="I73" s="68"/>
      <c r="J73" s="68"/>
      <c r="K73" s="32"/>
      <c r="L73" s="75">
        <v>73</v>
      </c>
      <c r="M73" s="75"/>
      <c r="N73" s="70"/>
      <c r="O73" s="77" t="s">
        <v>179</v>
      </c>
      <c r="P73" s="79">
        <v>45095.910046296296</v>
      </c>
      <c r="Q73" s="77" t="s">
        <v>609</v>
      </c>
      <c r="R73" s="77">
        <v>0</v>
      </c>
      <c r="S73" s="77">
        <v>2</v>
      </c>
      <c r="T73" s="77">
        <v>0</v>
      </c>
      <c r="U73" s="77">
        <v>0</v>
      </c>
      <c r="V73" s="77">
        <v>36</v>
      </c>
      <c r="W73" s="82" t="s">
        <v>1482</v>
      </c>
      <c r="X73" s="77"/>
      <c r="Y73" s="77"/>
      <c r="Z73" s="77"/>
      <c r="AA73" s="77" t="s">
        <v>2045</v>
      </c>
      <c r="AB73" s="77" t="s">
        <v>2632</v>
      </c>
      <c r="AC73" s="82" t="s">
        <v>2640</v>
      </c>
      <c r="AD73" s="77" t="s">
        <v>2670</v>
      </c>
      <c r="AE73" s="80" t="str">
        <f>HYPERLINK("https://twitter.com/igor_vieiraa/status/1670549565420761094")</f>
        <v>https://twitter.com/igor_vieiraa/status/1670549565420761094</v>
      </c>
      <c r="AF73" s="79">
        <v>45095.910046296296</v>
      </c>
      <c r="AG73" s="85">
        <v>45095</v>
      </c>
      <c r="AH73" s="82" t="s">
        <v>2746</v>
      </c>
      <c r="AI73" s="77" t="b">
        <v>0</v>
      </c>
      <c r="AJ73" s="77" t="s">
        <v>3402</v>
      </c>
      <c r="AK73" s="77" t="s">
        <v>3410</v>
      </c>
      <c r="AL73" s="77" t="s">
        <v>3411</v>
      </c>
      <c r="AM73" s="77" t="s">
        <v>3414</v>
      </c>
      <c r="AN73" s="77" t="s">
        <v>3424</v>
      </c>
      <c r="AO73" s="77" t="s">
        <v>3434</v>
      </c>
      <c r="AP73" s="77" t="s">
        <v>3442</v>
      </c>
      <c r="AQ73" s="77" t="s">
        <v>3474</v>
      </c>
      <c r="AR73" s="77"/>
      <c r="AS73" s="77"/>
      <c r="AT73" s="77"/>
      <c r="AU73" s="77"/>
      <c r="AV73" s="80" t="str">
        <f>HYPERLINK("https://pbs.twimg.com/media/Fy77-W0WwAI2e-e.jpg")</f>
        <v>https://pbs.twimg.com/media/Fy77-W0WwAI2e-e.jpg</v>
      </c>
      <c r="AW73" s="82" t="s">
        <v>4130</v>
      </c>
      <c r="AX73" s="82" t="s">
        <v>4130</v>
      </c>
      <c r="AY73" s="77"/>
      <c r="AZ73" s="82" t="s">
        <v>5075</v>
      </c>
      <c r="BA73" s="82" t="s">
        <v>5075</v>
      </c>
      <c r="BB73" s="82" t="s">
        <v>5075</v>
      </c>
      <c r="BC73" s="82" t="s">
        <v>4130</v>
      </c>
      <c r="BD73" s="77">
        <v>292867857</v>
      </c>
      <c r="BE73" s="77"/>
      <c r="BF73" s="77"/>
      <c r="BG73" s="77"/>
      <c r="BH73" s="77"/>
      <c r="BI73" s="77"/>
    </row>
    <row r="74" spans="1:61" x14ac:dyDescent="0.25">
      <c r="A74" s="62" t="s">
        <v>258</v>
      </c>
      <c r="B74" s="62" t="s">
        <v>258</v>
      </c>
      <c r="C74" s="63"/>
      <c r="D74" s="64"/>
      <c r="E74" s="65"/>
      <c r="F74" s="66"/>
      <c r="G74" s="63"/>
      <c r="H74" s="67"/>
      <c r="I74" s="68"/>
      <c r="J74" s="68"/>
      <c r="K74" s="32"/>
      <c r="L74" s="75">
        <v>74</v>
      </c>
      <c r="M74" s="75"/>
      <c r="N74" s="70"/>
      <c r="O74" s="77" t="s">
        <v>179</v>
      </c>
      <c r="P74" s="79">
        <v>45020.663217592592</v>
      </c>
      <c r="Q74" s="77" t="s">
        <v>610</v>
      </c>
      <c r="R74" s="77">
        <v>0</v>
      </c>
      <c r="S74" s="77">
        <v>0</v>
      </c>
      <c r="T74" s="77">
        <v>0</v>
      </c>
      <c r="U74" s="77">
        <v>0</v>
      </c>
      <c r="V74" s="77">
        <v>28</v>
      </c>
      <c r="W74" s="82" t="s">
        <v>1483</v>
      </c>
      <c r="X74" s="80" t="str">
        <f>HYPERLINK("https://www.prevcom.com.br/P/BeneficiosRisco#agentes")</f>
        <v>https://www.prevcom.com.br/P/BeneficiosRisco#agentes</v>
      </c>
      <c r="Y74" s="77" t="s">
        <v>1978</v>
      </c>
      <c r="Z74" s="77"/>
      <c r="AA74" s="77" t="s">
        <v>2046</v>
      </c>
      <c r="AB74" s="77" t="s">
        <v>2632</v>
      </c>
      <c r="AC74" s="82" t="s">
        <v>2642</v>
      </c>
      <c r="AD74" s="77" t="s">
        <v>2670</v>
      </c>
      <c r="AE74" s="80" t="str">
        <f>HYPERLINK("https://twitter.com/spprevcom/status/1643281026309931008")</f>
        <v>https://twitter.com/spprevcom/status/1643281026309931008</v>
      </c>
      <c r="AF74" s="79">
        <v>45020.663217592592</v>
      </c>
      <c r="AG74" s="85">
        <v>45020</v>
      </c>
      <c r="AH74" s="82" t="s">
        <v>2747</v>
      </c>
      <c r="AI74" s="77" t="b">
        <v>0</v>
      </c>
      <c r="AJ74" s="77"/>
      <c r="AK74" s="77"/>
      <c r="AL74" s="77"/>
      <c r="AM74" s="77"/>
      <c r="AN74" s="77"/>
      <c r="AO74" s="77"/>
      <c r="AP74" s="77"/>
      <c r="AQ74" s="77" t="s">
        <v>3475</v>
      </c>
      <c r="AR74" s="77"/>
      <c r="AS74" s="77"/>
      <c r="AT74" s="77"/>
      <c r="AU74" s="77"/>
      <c r="AV74" s="80" t="str">
        <f>HYPERLINK("https://pbs.twimg.com/media/Fs4bYqGX0AIY29T.png")</f>
        <v>https://pbs.twimg.com/media/Fs4bYqGX0AIY29T.png</v>
      </c>
      <c r="AW74" s="82" t="s">
        <v>4131</v>
      </c>
      <c r="AX74" s="82" t="s">
        <v>4131</v>
      </c>
      <c r="AY74" s="77"/>
      <c r="AZ74" s="82" t="s">
        <v>5075</v>
      </c>
      <c r="BA74" s="82" t="s">
        <v>5075</v>
      </c>
      <c r="BB74" s="82" t="s">
        <v>5075</v>
      </c>
      <c r="BC74" s="82" t="s">
        <v>4131</v>
      </c>
      <c r="BD74" s="77">
        <v>593015078</v>
      </c>
      <c r="BE74" s="77"/>
      <c r="BF74" s="77"/>
      <c r="BG74" s="77"/>
      <c r="BH74" s="77"/>
      <c r="BI74" s="77"/>
    </row>
    <row r="75" spans="1:61" x14ac:dyDescent="0.25">
      <c r="A75" s="62" t="s">
        <v>259</v>
      </c>
      <c r="B75" s="62" t="s">
        <v>259</v>
      </c>
      <c r="C75" s="63"/>
      <c r="D75" s="64"/>
      <c r="E75" s="65"/>
      <c r="F75" s="66"/>
      <c r="G75" s="63"/>
      <c r="H75" s="67"/>
      <c r="I75" s="68"/>
      <c r="J75" s="68"/>
      <c r="K75" s="32"/>
      <c r="L75" s="75">
        <v>75</v>
      </c>
      <c r="M75" s="75"/>
      <c r="N75" s="70"/>
      <c r="O75" s="77" t="s">
        <v>179</v>
      </c>
      <c r="P75" s="79">
        <v>45065.332511574074</v>
      </c>
      <c r="Q75" s="77" t="s">
        <v>611</v>
      </c>
      <c r="R75" s="77">
        <v>0</v>
      </c>
      <c r="S75" s="77">
        <v>0</v>
      </c>
      <c r="T75" s="77">
        <v>0</v>
      </c>
      <c r="U75" s="77">
        <v>0</v>
      </c>
      <c r="V75" s="77">
        <v>44</v>
      </c>
      <c r="W75" s="82" t="s">
        <v>1484</v>
      </c>
      <c r="X75" s="77"/>
      <c r="Y75" s="77"/>
      <c r="Z75" s="77"/>
      <c r="AA75" s="77" t="s">
        <v>2047</v>
      </c>
      <c r="AB75" s="77" t="s">
        <v>2632</v>
      </c>
      <c r="AC75" s="82" t="s">
        <v>2640</v>
      </c>
      <c r="AD75" s="77" t="s">
        <v>2670</v>
      </c>
      <c r="AE75" s="80" t="str">
        <f>HYPERLINK("https://twitter.com/lopeseconomista/status/1659468640431886336")</f>
        <v>https://twitter.com/lopeseconomista/status/1659468640431886336</v>
      </c>
      <c r="AF75" s="79">
        <v>45065.332511574074</v>
      </c>
      <c r="AG75" s="85">
        <v>45065</v>
      </c>
      <c r="AH75" s="82" t="s">
        <v>2748</v>
      </c>
      <c r="AI75" s="77" t="b">
        <v>0</v>
      </c>
      <c r="AJ75" s="77"/>
      <c r="AK75" s="77"/>
      <c r="AL75" s="77"/>
      <c r="AM75" s="77"/>
      <c r="AN75" s="77"/>
      <c r="AO75" s="77"/>
      <c r="AP75" s="77"/>
      <c r="AQ75" s="77" t="s">
        <v>3476</v>
      </c>
      <c r="AR75" s="77"/>
      <c r="AS75" s="77"/>
      <c r="AT75" s="77"/>
      <c r="AU75" s="77"/>
      <c r="AV75" s="80" t="str">
        <f>HYPERLINK("https://pbs.twimg.com/media/Fwed7i_XsAMnwbo.jpg")</f>
        <v>https://pbs.twimg.com/media/Fwed7i_XsAMnwbo.jpg</v>
      </c>
      <c r="AW75" s="82" t="s">
        <v>4132</v>
      </c>
      <c r="AX75" s="82" t="s">
        <v>4132</v>
      </c>
      <c r="AY75" s="77"/>
      <c r="AZ75" s="82" t="s">
        <v>5075</v>
      </c>
      <c r="BA75" s="82" t="s">
        <v>5075</v>
      </c>
      <c r="BB75" s="82" t="s">
        <v>5075</v>
      </c>
      <c r="BC75" s="82" t="s">
        <v>4132</v>
      </c>
      <c r="BD75" s="82" t="s">
        <v>5140</v>
      </c>
      <c r="BE75" s="77"/>
      <c r="BF75" s="77"/>
      <c r="BG75" s="77"/>
      <c r="BH75" s="77"/>
      <c r="BI75" s="77"/>
    </row>
    <row r="76" spans="1:61" x14ac:dyDescent="0.25">
      <c r="A76" s="62" t="s">
        <v>259</v>
      </c>
      <c r="B76" s="62" t="s">
        <v>259</v>
      </c>
      <c r="C76" s="63"/>
      <c r="D76" s="64"/>
      <c r="E76" s="65"/>
      <c r="F76" s="66"/>
      <c r="G76" s="63"/>
      <c r="H76" s="67"/>
      <c r="I76" s="68"/>
      <c r="J76" s="68"/>
      <c r="K76" s="32"/>
      <c r="L76" s="75">
        <v>76</v>
      </c>
      <c r="M76" s="75"/>
      <c r="N76" s="70"/>
      <c r="O76" s="77" t="s">
        <v>179</v>
      </c>
      <c r="P76" s="79">
        <v>45054.421284722222</v>
      </c>
      <c r="Q76" s="77" t="s">
        <v>612</v>
      </c>
      <c r="R76" s="77">
        <v>0</v>
      </c>
      <c r="S76" s="77">
        <v>1</v>
      </c>
      <c r="T76" s="77">
        <v>0</v>
      </c>
      <c r="U76" s="77">
        <v>0</v>
      </c>
      <c r="V76" s="77">
        <v>32</v>
      </c>
      <c r="W76" s="82" t="s">
        <v>1485</v>
      </c>
      <c r="X76" s="77"/>
      <c r="Y76" s="77"/>
      <c r="Z76" s="77"/>
      <c r="AA76" s="77" t="s">
        <v>2048</v>
      </c>
      <c r="AB76" s="77" t="s">
        <v>2632</v>
      </c>
      <c r="AC76" s="82" t="s">
        <v>2640</v>
      </c>
      <c r="AD76" s="77" t="s">
        <v>2670</v>
      </c>
      <c r="AE76" s="80" t="str">
        <f>HYPERLINK("https://twitter.com/lopeseconomista/status/1655514542917468160")</f>
        <v>https://twitter.com/lopeseconomista/status/1655514542917468160</v>
      </c>
      <c r="AF76" s="79">
        <v>45054.421284722222</v>
      </c>
      <c r="AG76" s="85">
        <v>45054</v>
      </c>
      <c r="AH76" s="82" t="s">
        <v>2749</v>
      </c>
      <c r="AI76" s="77" t="b">
        <v>0</v>
      </c>
      <c r="AJ76" s="77"/>
      <c r="AK76" s="77"/>
      <c r="AL76" s="77"/>
      <c r="AM76" s="77"/>
      <c r="AN76" s="77"/>
      <c r="AO76" s="77"/>
      <c r="AP76" s="77"/>
      <c r="AQ76" s="77" t="s">
        <v>3477</v>
      </c>
      <c r="AR76" s="77"/>
      <c r="AS76" s="77"/>
      <c r="AT76" s="77"/>
      <c r="AU76" s="77"/>
      <c r="AV76" s="80" t="str">
        <f>HYPERLINK("https://pbs.twimg.com/media/FvmRswXWAAAsZ1N.jpg")</f>
        <v>https://pbs.twimg.com/media/FvmRswXWAAAsZ1N.jpg</v>
      </c>
      <c r="AW76" s="82" t="s">
        <v>4133</v>
      </c>
      <c r="AX76" s="82" t="s">
        <v>4133</v>
      </c>
      <c r="AY76" s="77"/>
      <c r="AZ76" s="82" t="s">
        <v>5075</v>
      </c>
      <c r="BA76" s="82" t="s">
        <v>5075</v>
      </c>
      <c r="BB76" s="82" t="s">
        <v>5075</v>
      </c>
      <c r="BC76" s="82" t="s">
        <v>4133</v>
      </c>
      <c r="BD76" s="82" t="s">
        <v>5140</v>
      </c>
      <c r="BE76" s="77"/>
      <c r="BF76" s="77"/>
      <c r="BG76" s="77"/>
      <c r="BH76" s="77"/>
      <c r="BI76" s="77"/>
    </row>
    <row r="77" spans="1:61" x14ac:dyDescent="0.25">
      <c r="A77" s="62" t="s">
        <v>259</v>
      </c>
      <c r="B77" s="62" t="s">
        <v>259</v>
      </c>
      <c r="C77" s="63"/>
      <c r="D77" s="64"/>
      <c r="E77" s="65"/>
      <c r="F77" s="66"/>
      <c r="G77" s="63"/>
      <c r="H77" s="67"/>
      <c r="I77" s="68"/>
      <c r="J77" s="68"/>
      <c r="K77" s="32"/>
      <c r="L77" s="75">
        <v>77</v>
      </c>
      <c r="M77" s="75"/>
      <c r="N77" s="70"/>
      <c r="O77" s="77" t="s">
        <v>179</v>
      </c>
      <c r="P77" s="79">
        <v>45097.882881944446</v>
      </c>
      <c r="Q77" s="77" t="s">
        <v>613</v>
      </c>
      <c r="R77" s="77">
        <v>0</v>
      </c>
      <c r="S77" s="77">
        <v>0</v>
      </c>
      <c r="T77" s="77">
        <v>0</v>
      </c>
      <c r="U77" s="77">
        <v>0</v>
      </c>
      <c r="V77" s="77">
        <v>30</v>
      </c>
      <c r="W77" s="82" t="s">
        <v>1486</v>
      </c>
      <c r="X77" s="77"/>
      <c r="Y77" s="77"/>
      <c r="Z77" s="77"/>
      <c r="AA77" s="77" t="s">
        <v>2049</v>
      </c>
      <c r="AB77" s="77" t="s">
        <v>2632</v>
      </c>
      <c r="AC77" s="82" t="s">
        <v>2640</v>
      </c>
      <c r="AD77" s="77" t="s">
        <v>2670</v>
      </c>
      <c r="AE77" s="80" t="str">
        <f>HYPERLINK("https://twitter.com/lopeseconomista/status/1671264497003294722")</f>
        <v>https://twitter.com/lopeseconomista/status/1671264497003294722</v>
      </c>
      <c r="AF77" s="79">
        <v>45097.882881944446</v>
      </c>
      <c r="AG77" s="85">
        <v>45097</v>
      </c>
      <c r="AH77" s="82" t="s">
        <v>2750</v>
      </c>
      <c r="AI77" s="77" t="b">
        <v>0</v>
      </c>
      <c r="AJ77" s="77"/>
      <c r="AK77" s="77"/>
      <c r="AL77" s="77"/>
      <c r="AM77" s="77"/>
      <c r="AN77" s="77"/>
      <c r="AO77" s="77"/>
      <c r="AP77" s="77"/>
      <c r="AQ77" s="77" t="s">
        <v>3478</v>
      </c>
      <c r="AR77" s="77"/>
      <c r="AS77" s="77"/>
      <c r="AT77" s="77"/>
      <c r="AU77" s="77"/>
      <c r="AV77" s="80" t="str">
        <f>HYPERLINK("https://pbs.twimg.com/media/FzGGMwhWwAQeRI9.jpg")</f>
        <v>https://pbs.twimg.com/media/FzGGMwhWwAQeRI9.jpg</v>
      </c>
      <c r="AW77" s="82" t="s">
        <v>4134</v>
      </c>
      <c r="AX77" s="82" t="s">
        <v>4134</v>
      </c>
      <c r="AY77" s="77"/>
      <c r="AZ77" s="82" t="s">
        <v>5075</v>
      </c>
      <c r="BA77" s="82" t="s">
        <v>5075</v>
      </c>
      <c r="BB77" s="82" t="s">
        <v>5075</v>
      </c>
      <c r="BC77" s="82" t="s">
        <v>4134</v>
      </c>
      <c r="BD77" s="82" t="s">
        <v>5140</v>
      </c>
      <c r="BE77" s="77"/>
      <c r="BF77" s="77"/>
      <c r="BG77" s="77"/>
      <c r="BH77" s="77"/>
      <c r="BI77" s="77"/>
    </row>
    <row r="78" spans="1:61" x14ac:dyDescent="0.25">
      <c r="A78" s="62" t="s">
        <v>259</v>
      </c>
      <c r="B78" s="62" t="s">
        <v>259</v>
      </c>
      <c r="C78" s="63"/>
      <c r="D78" s="64"/>
      <c r="E78" s="65"/>
      <c r="F78" s="66"/>
      <c r="G78" s="63"/>
      <c r="H78" s="67"/>
      <c r="I78" s="68"/>
      <c r="J78" s="68"/>
      <c r="K78" s="32"/>
      <c r="L78" s="75">
        <v>78</v>
      </c>
      <c r="M78" s="75"/>
      <c r="N78" s="70"/>
      <c r="O78" s="77" t="s">
        <v>179</v>
      </c>
      <c r="P78" s="79">
        <v>45079.649421296293</v>
      </c>
      <c r="Q78" s="77" t="s">
        <v>614</v>
      </c>
      <c r="R78" s="77">
        <v>0</v>
      </c>
      <c r="S78" s="77">
        <v>0</v>
      </c>
      <c r="T78" s="77">
        <v>0</v>
      </c>
      <c r="U78" s="77">
        <v>0</v>
      </c>
      <c r="V78" s="77">
        <v>26</v>
      </c>
      <c r="W78" s="82" t="s">
        <v>1487</v>
      </c>
      <c r="X78" s="77"/>
      <c r="Y78" s="77"/>
      <c r="Z78" s="77"/>
      <c r="AA78" s="77" t="s">
        <v>2050</v>
      </c>
      <c r="AB78" s="77" t="s">
        <v>2632</v>
      </c>
      <c r="AC78" s="82" t="s">
        <v>2640</v>
      </c>
      <c r="AD78" s="77" t="s">
        <v>2670</v>
      </c>
      <c r="AE78" s="80" t="str">
        <f>HYPERLINK("https://twitter.com/lopeseconomista/status/1664656913999568906")</f>
        <v>https://twitter.com/lopeseconomista/status/1664656913999568906</v>
      </c>
      <c r="AF78" s="79">
        <v>45079.649421296293</v>
      </c>
      <c r="AG78" s="85">
        <v>45079</v>
      </c>
      <c r="AH78" s="82" t="s">
        <v>2751</v>
      </c>
      <c r="AI78" s="77" t="b">
        <v>0</v>
      </c>
      <c r="AJ78" s="77"/>
      <c r="AK78" s="77"/>
      <c r="AL78" s="77"/>
      <c r="AM78" s="77"/>
      <c r="AN78" s="77"/>
      <c r="AO78" s="77"/>
      <c r="AP78" s="77"/>
      <c r="AQ78" s="77" t="s">
        <v>3479</v>
      </c>
      <c r="AR78" s="77"/>
      <c r="AS78" s="77"/>
      <c r="AT78" s="77"/>
      <c r="AU78" s="77"/>
      <c r="AV78" s="80" t="str">
        <f>HYPERLINK("https://pbs.twimg.com/media/FxoMon3WcAAeOTH.jpg")</f>
        <v>https://pbs.twimg.com/media/FxoMon3WcAAeOTH.jpg</v>
      </c>
      <c r="AW78" s="82" t="s">
        <v>4135</v>
      </c>
      <c r="AX78" s="82" t="s">
        <v>4135</v>
      </c>
      <c r="AY78" s="77"/>
      <c r="AZ78" s="82" t="s">
        <v>5075</v>
      </c>
      <c r="BA78" s="82" t="s">
        <v>5075</v>
      </c>
      <c r="BB78" s="82" t="s">
        <v>5075</v>
      </c>
      <c r="BC78" s="82" t="s">
        <v>4135</v>
      </c>
      <c r="BD78" s="82" t="s">
        <v>5140</v>
      </c>
      <c r="BE78" s="77"/>
      <c r="BF78" s="77"/>
      <c r="BG78" s="77"/>
      <c r="BH78" s="77"/>
      <c r="BI78" s="77"/>
    </row>
    <row r="79" spans="1:61" x14ac:dyDescent="0.25">
      <c r="A79" s="62" t="s">
        <v>259</v>
      </c>
      <c r="B79" s="62" t="s">
        <v>259</v>
      </c>
      <c r="C79" s="63"/>
      <c r="D79" s="64"/>
      <c r="E79" s="65"/>
      <c r="F79" s="66"/>
      <c r="G79" s="63"/>
      <c r="H79" s="67"/>
      <c r="I79" s="68"/>
      <c r="J79" s="68"/>
      <c r="K79" s="32"/>
      <c r="L79" s="75">
        <v>79</v>
      </c>
      <c r="M79" s="75"/>
      <c r="N79" s="70"/>
      <c r="O79" s="77" t="s">
        <v>179</v>
      </c>
      <c r="P79" s="79">
        <v>45128.905416666668</v>
      </c>
      <c r="Q79" s="77" t="s">
        <v>615</v>
      </c>
      <c r="R79" s="77">
        <v>0</v>
      </c>
      <c r="S79" s="77">
        <v>1</v>
      </c>
      <c r="T79" s="77">
        <v>0</v>
      </c>
      <c r="U79" s="77">
        <v>0</v>
      </c>
      <c r="V79" s="77">
        <v>54</v>
      </c>
      <c r="W79" s="82" t="s">
        <v>1488</v>
      </c>
      <c r="X79" s="77"/>
      <c r="Y79" s="77"/>
      <c r="Z79" s="77"/>
      <c r="AA79" s="77" t="s">
        <v>2051</v>
      </c>
      <c r="AB79" s="77" t="s">
        <v>2632</v>
      </c>
      <c r="AC79" s="82" t="s">
        <v>2640</v>
      </c>
      <c r="AD79" s="77" t="s">
        <v>2670</v>
      </c>
      <c r="AE79" s="80" t="str">
        <f>HYPERLINK("https://twitter.com/lopeseconomista/status/1682506687964430337")</f>
        <v>https://twitter.com/lopeseconomista/status/1682506687964430337</v>
      </c>
      <c r="AF79" s="79">
        <v>45128.905416666668</v>
      </c>
      <c r="AG79" s="85">
        <v>45128</v>
      </c>
      <c r="AH79" s="82" t="s">
        <v>2752</v>
      </c>
      <c r="AI79" s="77" t="b">
        <v>0</v>
      </c>
      <c r="AJ79" s="77"/>
      <c r="AK79" s="77"/>
      <c r="AL79" s="77"/>
      <c r="AM79" s="77"/>
      <c r="AN79" s="77"/>
      <c r="AO79" s="77"/>
      <c r="AP79" s="77"/>
      <c r="AQ79" s="77" t="s">
        <v>3480</v>
      </c>
      <c r="AR79" s="77"/>
      <c r="AS79" s="77"/>
      <c r="AT79" s="77"/>
      <c r="AU79" s="77"/>
      <c r="AV79" s="80" t="str">
        <f>HYPERLINK("https://pbs.twimg.com/media/F1l26cLXsAAESKT.jpg")</f>
        <v>https://pbs.twimg.com/media/F1l26cLXsAAESKT.jpg</v>
      </c>
      <c r="AW79" s="82" t="s">
        <v>4136</v>
      </c>
      <c r="AX79" s="82" t="s">
        <v>4136</v>
      </c>
      <c r="AY79" s="77"/>
      <c r="AZ79" s="82" t="s">
        <v>5075</v>
      </c>
      <c r="BA79" s="82" t="s">
        <v>5075</v>
      </c>
      <c r="BB79" s="82" t="s">
        <v>5075</v>
      </c>
      <c r="BC79" s="82" t="s">
        <v>4136</v>
      </c>
      <c r="BD79" s="82" t="s">
        <v>5140</v>
      </c>
      <c r="BE79" s="77"/>
      <c r="BF79" s="77"/>
      <c r="BG79" s="77"/>
      <c r="BH79" s="77"/>
      <c r="BI79" s="77"/>
    </row>
    <row r="80" spans="1:61" x14ac:dyDescent="0.25">
      <c r="A80" s="62" t="s">
        <v>259</v>
      </c>
      <c r="B80" s="62" t="s">
        <v>259</v>
      </c>
      <c r="C80" s="63"/>
      <c r="D80" s="64"/>
      <c r="E80" s="65"/>
      <c r="F80" s="66"/>
      <c r="G80" s="63"/>
      <c r="H80" s="67"/>
      <c r="I80" s="68"/>
      <c r="J80" s="68"/>
      <c r="K80" s="32"/>
      <c r="L80" s="75">
        <v>80</v>
      </c>
      <c r="M80" s="75"/>
      <c r="N80" s="70"/>
      <c r="O80" s="77" t="s">
        <v>179</v>
      </c>
      <c r="P80" s="79">
        <v>45167.049826388888</v>
      </c>
      <c r="Q80" s="77" t="s">
        <v>616</v>
      </c>
      <c r="R80" s="77">
        <v>0</v>
      </c>
      <c r="S80" s="77">
        <v>0</v>
      </c>
      <c r="T80" s="77">
        <v>0</v>
      </c>
      <c r="U80" s="77">
        <v>0</v>
      </c>
      <c r="V80" s="77">
        <v>43</v>
      </c>
      <c r="W80" s="82" t="s">
        <v>1489</v>
      </c>
      <c r="X80" s="77"/>
      <c r="Y80" s="77"/>
      <c r="Z80" s="77"/>
      <c r="AA80" s="77" t="s">
        <v>2052</v>
      </c>
      <c r="AB80" s="77" t="s">
        <v>2632</v>
      </c>
      <c r="AC80" s="82" t="s">
        <v>2640</v>
      </c>
      <c r="AD80" s="77" t="s">
        <v>2670</v>
      </c>
      <c r="AE80" s="80" t="str">
        <f>HYPERLINK("https://twitter.com/lopeseconomista/status/1696329757414015249")</f>
        <v>https://twitter.com/lopeseconomista/status/1696329757414015249</v>
      </c>
      <c r="AF80" s="79">
        <v>45167.049826388888</v>
      </c>
      <c r="AG80" s="85">
        <v>45167</v>
      </c>
      <c r="AH80" s="82" t="s">
        <v>2753</v>
      </c>
      <c r="AI80" s="77" t="b">
        <v>0</v>
      </c>
      <c r="AJ80" s="77"/>
      <c r="AK80" s="77"/>
      <c r="AL80" s="77"/>
      <c r="AM80" s="77"/>
      <c r="AN80" s="77"/>
      <c r="AO80" s="77"/>
      <c r="AP80" s="77"/>
      <c r="AQ80" s="77" t="s">
        <v>3481</v>
      </c>
      <c r="AR80" s="77"/>
      <c r="AS80" s="77"/>
      <c r="AT80" s="77"/>
      <c r="AU80" s="77"/>
      <c r="AV80" s="80" t="str">
        <f>HYPERLINK("https://pbs.twimg.com/media/F4qS67TWQAA6qdh.jpg")</f>
        <v>https://pbs.twimg.com/media/F4qS67TWQAA6qdh.jpg</v>
      </c>
      <c r="AW80" s="82" t="s">
        <v>4137</v>
      </c>
      <c r="AX80" s="82" t="s">
        <v>4137</v>
      </c>
      <c r="AY80" s="77"/>
      <c r="AZ80" s="82" t="s">
        <v>5075</v>
      </c>
      <c r="BA80" s="82" t="s">
        <v>5075</v>
      </c>
      <c r="BB80" s="82" t="s">
        <v>5075</v>
      </c>
      <c r="BC80" s="82" t="s">
        <v>4137</v>
      </c>
      <c r="BD80" s="82" t="s">
        <v>5140</v>
      </c>
      <c r="BE80" s="77"/>
      <c r="BF80" s="77"/>
      <c r="BG80" s="77"/>
      <c r="BH80" s="77"/>
      <c r="BI80" s="77"/>
    </row>
    <row r="81" spans="1:61" x14ac:dyDescent="0.25">
      <c r="A81" s="62" t="s">
        <v>259</v>
      </c>
      <c r="B81" s="62" t="s">
        <v>259</v>
      </c>
      <c r="C81" s="63"/>
      <c r="D81" s="64"/>
      <c r="E81" s="65"/>
      <c r="F81" s="66"/>
      <c r="G81" s="63"/>
      <c r="H81" s="67"/>
      <c r="I81" s="68"/>
      <c r="J81" s="68"/>
      <c r="K81" s="32"/>
      <c r="L81" s="75">
        <v>81</v>
      </c>
      <c r="M81" s="75"/>
      <c r="N81" s="70"/>
      <c r="O81" s="77" t="s">
        <v>179</v>
      </c>
      <c r="P81" s="79">
        <v>45081.342928240738</v>
      </c>
      <c r="Q81" s="77" t="s">
        <v>617</v>
      </c>
      <c r="R81" s="77">
        <v>0</v>
      </c>
      <c r="S81" s="77">
        <v>0</v>
      </c>
      <c r="T81" s="77">
        <v>0</v>
      </c>
      <c r="U81" s="77">
        <v>0</v>
      </c>
      <c r="V81" s="77">
        <v>47</v>
      </c>
      <c r="W81" s="82" t="s">
        <v>1490</v>
      </c>
      <c r="X81" s="77"/>
      <c r="Y81" s="77"/>
      <c r="Z81" s="77"/>
      <c r="AA81" s="77" t="s">
        <v>2053</v>
      </c>
      <c r="AB81" s="77" t="s">
        <v>2632</v>
      </c>
      <c r="AC81" s="82" t="s">
        <v>2640</v>
      </c>
      <c r="AD81" s="77" t="s">
        <v>2670</v>
      </c>
      <c r="AE81" s="80" t="str">
        <f>HYPERLINK("https://twitter.com/lopeseconomista/status/1665270619649318914")</f>
        <v>https://twitter.com/lopeseconomista/status/1665270619649318914</v>
      </c>
      <c r="AF81" s="79">
        <v>45081.342928240738</v>
      </c>
      <c r="AG81" s="85">
        <v>45081</v>
      </c>
      <c r="AH81" s="82" t="s">
        <v>2754</v>
      </c>
      <c r="AI81" s="77" t="b">
        <v>0</v>
      </c>
      <c r="AJ81" s="77"/>
      <c r="AK81" s="77"/>
      <c r="AL81" s="77"/>
      <c r="AM81" s="77"/>
      <c r="AN81" s="77"/>
      <c r="AO81" s="77"/>
      <c r="AP81" s="77"/>
      <c r="AQ81" s="77" t="s">
        <v>3482</v>
      </c>
      <c r="AR81" s="77"/>
      <c r="AS81" s="77"/>
      <c r="AT81" s="77"/>
      <c r="AU81" s="77"/>
      <c r="AV81" s="80" t="str">
        <f>HYPERLINK("https://pbs.twimg.com/media/Fxw6zMYWAAM-IfU.jpg")</f>
        <v>https://pbs.twimg.com/media/Fxw6zMYWAAM-IfU.jpg</v>
      </c>
      <c r="AW81" s="82" t="s">
        <v>4138</v>
      </c>
      <c r="AX81" s="82" t="s">
        <v>4138</v>
      </c>
      <c r="AY81" s="77"/>
      <c r="AZ81" s="82" t="s">
        <v>5075</v>
      </c>
      <c r="BA81" s="82" t="s">
        <v>5075</v>
      </c>
      <c r="BB81" s="82" t="s">
        <v>5075</v>
      </c>
      <c r="BC81" s="82" t="s">
        <v>4138</v>
      </c>
      <c r="BD81" s="82" t="s">
        <v>5140</v>
      </c>
      <c r="BE81" s="77"/>
      <c r="BF81" s="77"/>
      <c r="BG81" s="77"/>
      <c r="BH81" s="77"/>
      <c r="BI81" s="77"/>
    </row>
    <row r="82" spans="1:61" x14ac:dyDescent="0.25">
      <c r="A82" s="62" t="s">
        <v>259</v>
      </c>
      <c r="B82" s="62" t="s">
        <v>259</v>
      </c>
      <c r="C82" s="63"/>
      <c r="D82" s="64"/>
      <c r="E82" s="65"/>
      <c r="F82" s="66"/>
      <c r="G82" s="63"/>
      <c r="H82" s="67"/>
      <c r="I82" s="68"/>
      <c r="J82" s="68"/>
      <c r="K82" s="32"/>
      <c r="L82" s="75">
        <v>82</v>
      </c>
      <c r="M82" s="75"/>
      <c r="N82" s="70"/>
      <c r="O82" s="77" t="s">
        <v>179</v>
      </c>
      <c r="P82" s="79">
        <v>45048.490601851852</v>
      </c>
      <c r="Q82" s="77" t="s">
        <v>618</v>
      </c>
      <c r="R82" s="77">
        <v>0</v>
      </c>
      <c r="S82" s="77">
        <v>1</v>
      </c>
      <c r="T82" s="77">
        <v>0</v>
      </c>
      <c r="U82" s="77">
        <v>0</v>
      </c>
      <c r="V82" s="77">
        <v>11</v>
      </c>
      <c r="W82" s="82" t="s">
        <v>1491</v>
      </c>
      <c r="X82" s="80" t="str">
        <f>HYPERLINK("https://www.evertonlopes.com.br/livros")</f>
        <v>https://www.evertonlopes.com.br/livros</v>
      </c>
      <c r="Y82" s="77" t="s">
        <v>1978</v>
      </c>
      <c r="Z82" s="77"/>
      <c r="AA82" s="77"/>
      <c r="AB82" s="77"/>
      <c r="AC82" s="82" t="s">
        <v>2640</v>
      </c>
      <c r="AD82" s="77" t="s">
        <v>2670</v>
      </c>
      <c r="AE82" s="80" t="str">
        <f>HYPERLINK("https://twitter.com/lopeseconomista/status/1653365335729340418")</f>
        <v>https://twitter.com/lopeseconomista/status/1653365335729340418</v>
      </c>
      <c r="AF82" s="79">
        <v>45048.490601851852</v>
      </c>
      <c r="AG82" s="85">
        <v>45048</v>
      </c>
      <c r="AH82" s="82" t="s">
        <v>2755</v>
      </c>
      <c r="AI82" s="77" t="b">
        <v>0</v>
      </c>
      <c r="AJ82" s="77"/>
      <c r="AK82" s="77"/>
      <c r="AL82" s="77"/>
      <c r="AM82" s="77"/>
      <c r="AN82" s="77"/>
      <c r="AO82" s="77"/>
      <c r="AP82" s="77"/>
      <c r="AQ82" s="77"/>
      <c r="AR82" s="77"/>
      <c r="AS82" s="77"/>
      <c r="AT82" s="77"/>
      <c r="AU82" s="77"/>
      <c r="AV82" s="80" t="str">
        <f>HYPERLINK("https://pbs.twimg.com/profile_images/1256996109337190400/krLYrVpV_normal.jpg")</f>
        <v>https://pbs.twimg.com/profile_images/1256996109337190400/krLYrVpV_normal.jpg</v>
      </c>
      <c r="AW82" s="82" t="s">
        <v>4139</v>
      </c>
      <c r="AX82" s="82" t="s">
        <v>4139</v>
      </c>
      <c r="AY82" s="77"/>
      <c r="AZ82" s="82" t="s">
        <v>5075</v>
      </c>
      <c r="BA82" s="82" t="s">
        <v>5075</v>
      </c>
      <c r="BB82" s="82" t="s">
        <v>5075</v>
      </c>
      <c r="BC82" s="82" t="s">
        <v>4139</v>
      </c>
      <c r="BD82" s="82" t="s">
        <v>5140</v>
      </c>
      <c r="BE82" s="77"/>
      <c r="BF82" s="77"/>
      <c r="BG82" s="77"/>
      <c r="BH82" s="77"/>
      <c r="BI82" s="77"/>
    </row>
    <row r="83" spans="1:61" x14ac:dyDescent="0.25">
      <c r="A83" s="62" t="s">
        <v>260</v>
      </c>
      <c r="B83" s="62" t="s">
        <v>260</v>
      </c>
      <c r="C83" s="63"/>
      <c r="D83" s="64"/>
      <c r="E83" s="65"/>
      <c r="F83" s="66"/>
      <c r="G83" s="63"/>
      <c r="H83" s="67"/>
      <c r="I83" s="68"/>
      <c r="J83" s="68"/>
      <c r="K83" s="32"/>
      <c r="L83" s="75">
        <v>83</v>
      </c>
      <c r="M83" s="75"/>
      <c r="N83" s="70"/>
      <c r="O83" s="77" t="s">
        <v>179</v>
      </c>
      <c r="P83" s="79">
        <v>45155.425625000003</v>
      </c>
      <c r="Q83" s="77" t="s">
        <v>619</v>
      </c>
      <c r="R83" s="77">
        <v>0</v>
      </c>
      <c r="S83" s="77">
        <v>0</v>
      </c>
      <c r="T83" s="77">
        <v>0</v>
      </c>
      <c r="U83" s="77">
        <v>0</v>
      </c>
      <c r="V83" s="77">
        <v>79</v>
      </c>
      <c r="W83" s="82" t="s">
        <v>1492</v>
      </c>
      <c r="X83" s="77"/>
      <c r="Y83" s="77"/>
      <c r="Z83" s="77"/>
      <c r="AA83" s="77" t="s">
        <v>2054</v>
      </c>
      <c r="AB83" s="77" t="s">
        <v>2633</v>
      </c>
      <c r="AC83" s="82" t="s">
        <v>2647</v>
      </c>
      <c r="AD83" s="77" t="s">
        <v>2670</v>
      </c>
      <c r="AE83" s="80" t="str">
        <f>HYPERLINK("https://twitter.com/aline_tarot/status/1692117291033350182")</f>
        <v>https://twitter.com/aline_tarot/status/1692117291033350182</v>
      </c>
      <c r="AF83" s="79">
        <v>45155.425625000003</v>
      </c>
      <c r="AG83" s="85">
        <v>45155</v>
      </c>
      <c r="AH83" s="82" t="s">
        <v>2756</v>
      </c>
      <c r="AI83" s="77" t="b">
        <v>0</v>
      </c>
      <c r="AJ83" s="77"/>
      <c r="AK83" s="77"/>
      <c r="AL83" s="77"/>
      <c r="AM83" s="77"/>
      <c r="AN83" s="77"/>
      <c r="AO83" s="77"/>
      <c r="AP83" s="77"/>
      <c r="AQ83" s="77" t="s">
        <v>3483</v>
      </c>
      <c r="AR83" s="77">
        <v>60000</v>
      </c>
      <c r="AS83" s="77"/>
      <c r="AT83" s="77"/>
      <c r="AU83" s="77"/>
      <c r="AV83" s="80" t="str">
        <f>HYPERLINK("https://pbs.twimg.com/ext_tw_video_thumb/1692117222754250752/pu/img/i8UvOdjVFqfvOZki.jpg")</f>
        <v>https://pbs.twimg.com/ext_tw_video_thumb/1692117222754250752/pu/img/i8UvOdjVFqfvOZki.jpg</v>
      </c>
      <c r="AW83" s="82" t="s">
        <v>4140</v>
      </c>
      <c r="AX83" s="82" t="s">
        <v>4140</v>
      </c>
      <c r="AY83" s="77"/>
      <c r="AZ83" s="82" t="s">
        <v>5075</v>
      </c>
      <c r="BA83" s="82" t="s">
        <v>5075</v>
      </c>
      <c r="BB83" s="82" t="s">
        <v>5075</v>
      </c>
      <c r="BC83" s="82" t="s">
        <v>4140</v>
      </c>
      <c r="BD83" s="82" t="s">
        <v>5141</v>
      </c>
      <c r="BE83" s="77"/>
      <c r="BF83" s="77"/>
      <c r="BG83" s="77"/>
      <c r="BH83" s="77"/>
      <c r="BI83" s="77"/>
    </row>
    <row r="84" spans="1:61" x14ac:dyDescent="0.25">
      <c r="A84" s="62" t="s">
        <v>261</v>
      </c>
      <c r="B84" s="62" t="s">
        <v>261</v>
      </c>
      <c r="C84" s="63"/>
      <c r="D84" s="64"/>
      <c r="E84" s="65"/>
      <c r="F84" s="66"/>
      <c r="G84" s="63"/>
      <c r="H84" s="67"/>
      <c r="I84" s="68"/>
      <c r="J84" s="68"/>
      <c r="K84" s="32"/>
      <c r="L84" s="75">
        <v>84</v>
      </c>
      <c r="M84" s="75"/>
      <c r="N84" s="70"/>
      <c r="O84" s="77" t="s">
        <v>179</v>
      </c>
      <c r="P84" s="79">
        <v>45019.50240740741</v>
      </c>
      <c r="Q84" s="77" t="s">
        <v>620</v>
      </c>
      <c r="R84" s="77">
        <v>0</v>
      </c>
      <c r="S84" s="77">
        <v>0</v>
      </c>
      <c r="T84" s="77">
        <v>0</v>
      </c>
      <c r="U84" s="77">
        <v>0</v>
      </c>
      <c r="V84" s="77">
        <v>22</v>
      </c>
      <c r="W84" s="82" t="s">
        <v>1493</v>
      </c>
      <c r="X84" s="77"/>
      <c r="Y84" s="77"/>
      <c r="Z84" s="77"/>
      <c r="AA84" s="77"/>
      <c r="AB84" s="77"/>
      <c r="AC84" s="82" t="s">
        <v>2640</v>
      </c>
      <c r="AD84" s="77" t="s">
        <v>2670</v>
      </c>
      <c r="AE84" s="80" t="str">
        <f>HYPERLINK("https://twitter.com/nascimentomma/status/1642860365754122240")</f>
        <v>https://twitter.com/nascimentomma/status/1642860365754122240</v>
      </c>
      <c r="AF84" s="79">
        <v>45019.50240740741</v>
      </c>
      <c r="AG84" s="85">
        <v>45019</v>
      </c>
      <c r="AH84" s="82" t="s">
        <v>2757</v>
      </c>
      <c r="AI84" s="77"/>
      <c r="AJ84" s="77"/>
      <c r="AK84" s="77"/>
      <c r="AL84" s="77"/>
      <c r="AM84" s="77"/>
      <c r="AN84" s="77"/>
      <c r="AO84" s="77"/>
      <c r="AP84" s="77"/>
      <c r="AQ84" s="77"/>
      <c r="AR84" s="77"/>
      <c r="AS84" s="77"/>
      <c r="AT84" s="77"/>
      <c r="AU84" s="77"/>
      <c r="AV84" s="80" t="str">
        <f>HYPERLINK("https://pbs.twimg.com/profile_images/1419995425491333120/wGuKJNby_normal.jpg")</f>
        <v>https://pbs.twimg.com/profile_images/1419995425491333120/wGuKJNby_normal.jpg</v>
      </c>
      <c r="AW84" s="82" t="s">
        <v>4141</v>
      </c>
      <c r="AX84" s="82" t="s">
        <v>4141</v>
      </c>
      <c r="AY84" s="77"/>
      <c r="AZ84" s="82" t="s">
        <v>5075</v>
      </c>
      <c r="BA84" s="82" t="s">
        <v>5075</v>
      </c>
      <c r="BB84" s="82" t="s">
        <v>5075</v>
      </c>
      <c r="BC84" s="82" t="s">
        <v>4141</v>
      </c>
      <c r="BD84" s="82" t="s">
        <v>5142</v>
      </c>
      <c r="BE84" s="77"/>
      <c r="BF84" s="77"/>
      <c r="BG84" s="77"/>
      <c r="BH84" s="77"/>
      <c r="BI84" s="77"/>
    </row>
    <row r="85" spans="1:61" x14ac:dyDescent="0.25">
      <c r="A85" s="62" t="s">
        <v>262</v>
      </c>
      <c r="B85" s="62" t="s">
        <v>262</v>
      </c>
      <c r="C85" s="63"/>
      <c r="D85" s="64"/>
      <c r="E85" s="65"/>
      <c r="F85" s="66"/>
      <c r="G85" s="63"/>
      <c r="H85" s="67"/>
      <c r="I85" s="68"/>
      <c r="J85" s="68"/>
      <c r="K85" s="32"/>
      <c r="L85" s="75">
        <v>85</v>
      </c>
      <c r="M85" s="75"/>
      <c r="N85" s="70"/>
      <c r="O85" s="77" t="s">
        <v>179</v>
      </c>
      <c r="P85" s="79">
        <v>45084.427893518521</v>
      </c>
      <c r="Q85" s="77" t="s">
        <v>621</v>
      </c>
      <c r="R85" s="77">
        <v>0</v>
      </c>
      <c r="S85" s="77">
        <v>0</v>
      </c>
      <c r="T85" s="77">
        <v>0</v>
      </c>
      <c r="U85" s="77">
        <v>0</v>
      </c>
      <c r="V85" s="77">
        <v>26</v>
      </c>
      <c r="W85" s="82" t="s">
        <v>1494</v>
      </c>
      <c r="X85" s="77"/>
      <c r="Y85" s="77"/>
      <c r="Z85" s="77"/>
      <c r="AA85" s="77" t="s">
        <v>2055</v>
      </c>
      <c r="AB85" s="77" t="s">
        <v>2632</v>
      </c>
      <c r="AC85" s="82" t="s">
        <v>2638</v>
      </c>
      <c r="AD85" s="77" t="s">
        <v>2670</v>
      </c>
      <c r="AE85" s="80" t="str">
        <f>HYPERLINK("https://twitter.com/brunossm/status/1666388571807203329")</f>
        <v>https://twitter.com/brunossm/status/1666388571807203329</v>
      </c>
      <c r="AF85" s="79">
        <v>45084.427893518521</v>
      </c>
      <c r="AG85" s="85">
        <v>45084</v>
      </c>
      <c r="AH85" s="82" t="s">
        <v>2758</v>
      </c>
      <c r="AI85" s="77" t="b">
        <v>0</v>
      </c>
      <c r="AJ85" s="77"/>
      <c r="AK85" s="77"/>
      <c r="AL85" s="77"/>
      <c r="AM85" s="77"/>
      <c r="AN85" s="77"/>
      <c r="AO85" s="77"/>
      <c r="AP85" s="77"/>
      <c r="AQ85" s="77" t="s">
        <v>3484</v>
      </c>
      <c r="AR85" s="77"/>
      <c r="AS85" s="77"/>
      <c r="AT85" s="77"/>
      <c r="AU85" s="77"/>
      <c r="AV85" s="80" t="str">
        <f>HYPERLINK("https://pbs.twimg.com/media/FyAzks9WcAEAf9M.jpg")</f>
        <v>https://pbs.twimg.com/media/FyAzks9WcAEAf9M.jpg</v>
      </c>
      <c r="AW85" s="82" t="s">
        <v>4142</v>
      </c>
      <c r="AX85" s="82" t="s">
        <v>4142</v>
      </c>
      <c r="AY85" s="77"/>
      <c r="AZ85" s="82" t="s">
        <v>5075</v>
      </c>
      <c r="BA85" s="82" t="s">
        <v>5075</v>
      </c>
      <c r="BB85" s="82" t="s">
        <v>5075</v>
      </c>
      <c r="BC85" s="82" t="s">
        <v>4142</v>
      </c>
      <c r="BD85" s="77">
        <v>111397831</v>
      </c>
      <c r="BE85" s="77"/>
      <c r="BF85" s="77"/>
      <c r="BG85" s="77"/>
      <c r="BH85" s="77"/>
      <c r="BI85" s="77"/>
    </row>
    <row r="86" spans="1:61" x14ac:dyDescent="0.25">
      <c r="A86" s="62" t="s">
        <v>263</v>
      </c>
      <c r="B86" s="62" t="s">
        <v>263</v>
      </c>
      <c r="C86" s="63"/>
      <c r="D86" s="64"/>
      <c r="E86" s="65"/>
      <c r="F86" s="66"/>
      <c r="G86" s="63"/>
      <c r="H86" s="67"/>
      <c r="I86" s="68"/>
      <c r="J86" s="68"/>
      <c r="K86" s="32"/>
      <c r="L86" s="75">
        <v>86</v>
      </c>
      <c r="M86" s="75"/>
      <c r="N86" s="70"/>
      <c r="O86" s="77" t="s">
        <v>179</v>
      </c>
      <c r="P86" s="79">
        <v>45095.708333333336</v>
      </c>
      <c r="Q86" s="77" t="s">
        <v>622</v>
      </c>
      <c r="R86" s="77">
        <v>0</v>
      </c>
      <c r="S86" s="77">
        <v>2</v>
      </c>
      <c r="T86" s="77">
        <v>0</v>
      </c>
      <c r="U86" s="77">
        <v>0</v>
      </c>
      <c r="V86" s="77">
        <v>209</v>
      </c>
      <c r="W86" s="82" t="s">
        <v>1495</v>
      </c>
      <c r="X86" s="80" t="str">
        <f>HYPERLINK("https://www.jornalcontabil.com.br/10-dicas-para-voce-juntar-e-multiplicar-o-seu-dinheiro/")</f>
        <v>https://www.jornalcontabil.com.br/10-dicas-para-voce-juntar-e-multiplicar-o-seu-dinheiro/</v>
      </c>
      <c r="Y86" s="77" t="s">
        <v>1978</v>
      </c>
      <c r="Z86" s="77"/>
      <c r="AA86" s="77"/>
      <c r="AB86" s="77"/>
      <c r="AC86" s="82" t="s">
        <v>2639</v>
      </c>
      <c r="AD86" s="77" t="s">
        <v>2670</v>
      </c>
      <c r="AE86" s="80" t="str">
        <f>HYPERLINK("https://twitter.com/jornalcontabil_/status/1670476467489374208")</f>
        <v>https://twitter.com/jornalcontabil_/status/1670476467489374208</v>
      </c>
      <c r="AF86" s="79">
        <v>45095.708333333336</v>
      </c>
      <c r="AG86" s="85">
        <v>45095</v>
      </c>
      <c r="AH86" s="82" t="s">
        <v>2759</v>
      </c>
      <c r="AI86" s="77" t="b">
        <v>0</v>
      </c>
      <c r="AJ86" s="77"/>
      <c r="AK86" s="77"/>
      <c r="AL86" s="77"/>
      <c r="AM86" s="77"/>
      <c r="AN86" s="77"/>
      <c r="AO86" s="77"/>
      <c r="AP86" s="77"/>
      <c r="AQ86" s="77"/>
      <c r="AR86" s="77"/>
      <c r="AS86" s="77"/>
      <c r="AT86" s="77"/>
      <c r="AU86" s="77"/>
      <c r="AV86" s="80" t="str">
        <f>HYPERLINK("https://pbs.twimg.com/profile_images/1618704448913645585/SRa-pW4s_normal.jpg")</f>
        <v>https://pbs.twimg.com/profile_images/1618704448913645585/SRa-pW4s_normal.jpg</v>
      </c>
      <c r="AW86" s="82" t="s">
        <v>4143</v>
      </c>
      <c r="AX86" s="82" t="s">
        <v>4143</v>
      </c>
      <c r="AY86" s="77"/>
      <c r="AZ86" s="82" t="s">
        <v>5075</v>
      </c>
      <c r="BA86" s="82" t="s">
        <v>5075</v>
      </c>
      <c r="BB86" s="82" t="s">
        <v>5075</v>
      </c>
      <c r="BC86" s="82" t="s">
        <v>4143</v>
      </c>
      <c r="BD86" s="77">
        <v>212916157</v>
      </c>
      <c r="BE86" s="77"/>
      <c r="BF86" s="77"/>
      <c r="BG86" s="77"/>
      <c r="BH86" s="77"/>
      <c r="BI86" s="77"/>
    </row>
    <row r="87" spans="1:61" x14ac:dyDescent="0.25">
      <c r="A87" s="62" t="s">
        <v>263</v>
      </c>
      <c r="B87" s="62" t="s">
        <v>263</v>
      </c>
      <c r="C87" s="63"/>
      <c r="D87" s="64"/>
      <c r="E87" s="65"/>
      <c r="F87" s="66"/>
      <c r="G87" s="63"/>
      <c r="H87" s="67"/>
      <c r="I87" s="68"/>
      <c r="J87" s="68"/>
      <c r="K87" s="32"/>
      <c r="L87" s="75">
        <v>87</v>
      </c>
      <c r="M87" s="75"/>
      <c r="N87" s="70"/>
      <c r="O87" s="77" t="s">
        <v>179</v>
      </c>
      <c r="P87" s="79">
        <v>45120.916678240741</v>
      </c>
      <c r="Q87" s="77" t="s">
        <v>623</v>
      </c>
      <c r="R87" s="77">
        <v>0</v>
      </c>
      <c r="S87" s="77">
        <v>0</v>
      </c>
      <c r="T87" s="77">
        <v>0</v>
      </c>
      <c r="U87" s="77">
        <v>0</v>
      </c>
      <c r="V87" s="77">
        <v>106</v>
      </c>
      <c r="W87" s="82" t="s">
        <v>1496</v>
      </c>
      <c r="X87" s="80" t="str">
        <f>HYPERLINK("https://www.jornalcontabil.com.br/a-importancia-do-planejamento-financeiro-e-gestao-eficiente-para-o-mei/")</f>
        <v>https://www.jornalcontabil.com.br/a-importancia-do-planejamento-financeiro-e-gestao-eficiente-para-o-mei/</v>
      </c>
      <c r="Y87" s="77" t="s">
        <v>1978</v>
      </c>
      <c r="Z87" s="77"/>
      <c r="AA87" s="77"/>
      <c r="AB87" s="77"/>
      <c r="AC87" s="82" t="s">
        <v>2639</v>
      </c>
      <c r="AD87" s="77" t="s">
        <v>2670</v>
      </c>
      <c r="AE87" s="80" t="str">
        <f>HYPERLINK("https://twitter.com/jornalcontabil_/status/1679611666273542152")</f>
        <v>https://twitter.com/jornalcontabil_/status/1679611666273542152</v>
      </c>
      <c r="AF87" s="79">
        <v>45120.916678240741</v>
      </c>
      <c r="AG87" s="85">
        <v>45120</v>
      </c>
      <c r="AH87" s="82" t="s">
        <v>2760</v>
      </c>
      <c r="AI87" s="77" t="b">
        <v>0</v>
      </c>
      <c r="AJ87" s="77"/>
      <c r="AK87" s="77"/>
      <c r="AL87" s="77"/>
      <c r="AM87" s="77"/>
      <c r="AN87" s="77"/>
      <c r="AO87" s="77"/>
      <c r="AP87" s="77"/>
      <c r="AQ87" s="77"/>
      <c r="AR87" s="77"/>
      <c r="AS87" s="77"/>
      <c r="AT87" s="77"/>
      <c r="AU87" s="77"/>
      <c r="AV87" s="80" t="str">
        <f>HYPERLINK("https://pbs.twimg.com/profile_images/1618704448913645585/SRa-pW4s_normal.jpg")</f>
        <v>https://pbs.twimg.com/profile_images/1618704448913645585/SRa-pW4s_normal.jpg</v>
      </c>
      <c r="AW87" s="82" t="s">
        <v>4144</v>
      </c>
      <c r="AX87" s="82" t="s">
        <v>4144</v>
      </c>
      <c r="AY87" s="77"/>
      <c r="AZ87" s="82" t="s">
        <v>5075</v>
      </c>
      <c r="BA87" s="82" t="s">
        <v>5075</v>
      </c>
      <c r="BB87" s="82" t="s">
        <v>5075</v>
      </c>
      <c r="BC87" s="82" t="s">
        <v>4144</v>
      </c>
      <c r="BD87" s="77">
        <v>212916157</v>
      </c>
      <c r="BE87" s="77"/>
      <c r="BF87" s="77"/>
      <c r="BG87" s="77"/>
      <c r="BH87" s="77"/>
      <c r="BI87" s="77"/>
    </row>
    <row r="88" spans="1:61" x14ac:dyDescent="0.25">
      <c r="A88" s="62" t="s">
        <v>263</v>
      </c>
      <c r="B88" s="62" t="s">
        <v>263</v>
      </c>
      <c r="C88" s="63"/>
      <c r="D88" s="64"/>
      <c r="E88" s="65"/>
      <c r="F88" s="66"/>
      <c r="G88" s="63"/>
      <c r="H88" s="67"/>
      <c r="I88" s="68"/>
      <c r="J88" s="68"/>
      <c r="K88" s="32"/>
      <c r="L88" s="75">
        <v>88</v>
      </c>
      <c r="M88" s="75"/>
      <c r="N88" s="70"/>
      <c r="O88" s="77" t="s">
        <v>179</v>
      </c>
      <c r="P88" s="79">
        <v>45166.791678240741</v>
      </c>
      <c r="Q88" s="77" t="s">
        <v>624</v>
      </c>
      <c r="R88" s="77">
        <v>1</v>
      </c>
      <c r="S88" s="77">
        <v>0</v>
      </c>
      <c r="T88" s="77">
        <v>0</v>
      </c>
      <c r="U88" s="77">
        <v>0</v>
      </c>
      <c r="V88" s="77">
        <v>191</v>
      </c>
      <c r="W88" s="82" t="s">
        <v>1435</v>
      </c>
      <c r="X88" s="80" t="str">
        <f>HYPERLINK("https://www.jornalcontabil.com.br/9-gastos-para-cortar-e-economizar-nas-despesas-mensais/")</f>
        <v>https://www.jornalcontabil.com.br/9-gastos-para-cortar-e-economizar-nas-despesas-mensais/</v>
      </c>
      <c r="Y88" s="77" t="s">
        <v>1978</v>
      </c>
      <c r="Z88" s="77"/>
      <c r="AA88" s="77"/>
      <c r="AB88" s="77"/>
      <c r="AC88" s="82" t="s">
        <v>2639</v>
      </c>
      <c r="AD88" s="77" t="s">
        <v>2670</v>
      </c>
      <c r="AE88" s="80" t="str">
        <f>HYPERLINK("https://twitter.com/jornalcontabil_/status/1696236207544414302")</f>
        <v>https://twitter.com/jornalcontabil_/status/1696236207544414302</v>
      </c>
      <c r="AF88" s="79">
        <v>45166.791678240741</v>
      </c>
      <c r="AG88" s="85">
        <v>45166</v>
      </c>
      <c r="AH88" s="82" t="s">
        <v>2761</v>
      </c>
      <c r="AI88" s="77" t="b">
        <v>0</v>
      </c>
      <c r="AJ88" s="77"/>
      <c r="AK88" s="77"/>
      <c r="AL88" s="77"/>
      <c r="AM88" s="77"/>
      <c r="AN88" s="77"/>
      <c r="AO88" s="77"/>
      <c r="AP88" s="77"/>
      <c r="AQ88" s="77"/>
      <c r="AR88" s="77"/>
      <c r="AS88" s="77"/>
      <c r="AT88" s="77"/>
      <c r="AU88" s="77"/>
      <c r="AV88" s="80" t="str">
        <f>HYPERLINK("https://pbs.twimg.com/profile_images/1618704448913645585/SRa-pW4s_normal.jpg")</f>
        <v>https://pbs.twimg.com/profile_images/1618704448913645585/SRa-pW4s_normal.jpg</v>
      </c>
      <c r="AW88" s="82" t="s">
        <v>4145</v>
      </c>
      <c r="AX88" s="82" t="s">
        <v>4145</v>
      </c>
      <c r="AY88" s="77"/>
      <c r="AZ88" s="82" t="s">
        <v>5075</v>
      </c>
      <c r="BA88" s="82" t="s">
        <v>5075</v>
      </c>
      <c r="BB88" s="82" t="s">
        <v>5075</v>
      </c>
      <c r="BC88" s="82" t="s">
        <v>4145</v>
      </c>
      <c r="BD88" s="77">
        <v>212916157</v>
      </c>
      <c r="BE88" s="77"/>
      <c r="BF88" s="77"/>
      <c r="BG88" s="77"/>
      <c r="BH88" s="77"/>
      <c r="BI88" s="77"/>
    </row>
    <row r="89" spans="1:61" x14ac:dyDescent="0.25">
      <c r="A89" s="62" t="s">
        <v>264</v>
      </c>
      <c r="B89" s="62" t="s">
        <v>264</v>
      </c>
      <c r="C89" s="63"/>
      <c r="D89" s="64"/>
      <c r="E89" s="65"/>
      <c r="F89" s="66"/>
      <c r="G89" s="63"/>
      <c r="H89" s="67"/>
      <c r="I89" s="68"/>
      <c r="J89" s="68"/>
      <c r="K89" s="32"/>
      <c r="L89" s="75">
        <v>89</v>
      </c>
      <c r="M89" s="75"/>
      <c r="N89" s="70"/>
      <c r="O89" s="77" t="s">
        <v>179</v>
      </c>
      <c r="P89" s="79">
        <v>45142.791678240741</v>
      </c>
      <c r="Q89" s="77" t="s">
        <v>625</v>
      </c>
      <c r="R89" s="77">
        <v>0</v>
      </c>
      <c r="S89" s="77">
        <v>0</v>
      </c>
      <c r="T89" s="77">
        <v>0</v>
      </c>
      <c r="U89" s="77">
        <v>0</v>
      </c>
      <c r="V89" s="77">
        <v>5</v>
      </c>
      <c r="W89" s="82" t="s">
        <v>1497</v>
      </c>
      <c r="X89" s="77"/>
      <c r="Y89" s="77"/>
      <c r="Z89" s="77"/>
      <c r="AA89" s="77" t="s">
        <v>2056</v>
      </c>
      <c r="AB89" s="77" t="s">
        <v>2632</v>
      </c>
      <c r="AC89" s="82" t="s">
        <v>2639</v>
      </c>
      <c r="AD89" s="77" t="s">
        <v>2670</v>
      </c>
      <c r="AE89" s="80" t="str">
        <f>HYPERLINK("https://twitter.com/colegiopectrus/status/1687538900175400960")</f>
        <v>https://twitter.com/colegiopectrus/status/1687538900175400960</v>
      </c>
      <c r="AF89" s="79">
        <v>45142.791678240741</v>
      </c>
      <c r="AG89" s="85">
        <v>45142</v>
      </c>
      <c r="AH89" s="82" t="s">
        <v>2761</v>
      </c>
      <c r="AI89" s="77" t="b">
        <v>0</v>
      </c>
      <c r="AJ89" s="77"/>
      <c r="AK89" s="77"/>
      <c r="AL89" s="77"/>
      <c r="AM89" s="77"/>
      <c r="AN89" s="77"/>
      <c r="AO89" s="77"/>
      <c r="AP89" s="77"/>
      <c r="AQ89" s="77" t="s">
        <v>3485</v>
      </c>
      <c r="AR89" s="77"/>
      <c r="AS89" s="77"/>
      <c r="AT89" s="77"/>
      <c r="AU89" s="77"/>
      <c r="AV89" s="80" t="str">
        <f>HYPERLINK("https://pbs.twimg.com/media/F1zloYxWcAA--4K.jpg")</f>
        <v>https://pbs.twimg.com/media/F1zloYxWcAA--4K.jpg</v>
      </c>
      <c r="AW89" s="82" t="s">
        <v>4146</v>
      </c>
      <c r="AX89" s="82" t="s">
        <v>4146</v>
      </c>
      <c r="AY89" s="77"/>
      <c r="AZ89" s="82" t="s">
        <v>5075</v>
      </c>
      <c r="BA89" s="82" t="s">
        <v>5075</v>
      </c>
      <c r="BB89" s="82" t="s">
        <v>5075</v>
      </c>
      <c r="BC89" s="82" t="s">
        <v>4146</v>
      </c>
      <c r="BD89" s="82" t="s">
        <v>5143</v>
      </c>
      <c r="BE89" s="77"/>
      <c r="BF89" s="77"/>
      <c r="BG89" s="77"/>
      <c r="BH89" s="77"/>
      <c r="BI89" s="77"/>
    </row>
    <row r="90" spans="1:61" x14ac:dyDescent="0.25">
      <c r="A90" s="62" t="s">
        <v>265</v>
      </c>
      <c r="B90" s="62" t="s">
        <v>265</v>
      </c>
      <c r="C90" s="63"/>
      <c r="D90" s="64"/>
      <c r="E90" s="65"/>
      <c r="F90" s="66"/>
      <c r="G90" s="63"/>
      <c r="H90" s="67"/>
      <c r="I90" s="68"/>
      <c r="J90" s="68"/>
      <c r="K90" s="32"/>
      <c r="L90" s="75">
        <v>90</v>
      </c>
      <c r="M90" s="75"/>
      <c r="N90" s="70"/>
      <c r="O90" s="77" t="s">
        <v>179</v>
      </c>
      <c r="P90" s="79">
        <v>44947.062430555554</v>
      </c>
      <c r="Q90" s="77" t="s">
        <v>626</v>
      </c>
      <c r="R90" s="77">
        <v>0</v>
      </c>
      <c r="S90" s="77">
        <v>0</v>
      </c>
      <c r="T90" s="77">
        <v>0</v>
      </c>
      <c r="U90" s="77">
        <v>0</v>
      </c>
      <c r="V90" s="77">
        <v>15</v>
      </c>
      <c r="W90" s="82" t="s">
        <v>1498</v>
      </c>
      <c r="X90" s="77"/>
      <c r="Y90" s="77"/>
      <c r="Z90" s="77"/>
      <c r="AA90" s="77"/>
      <c r="AB90" s="77"/>
      <c r="AC90" s="82" t="s">
        <v>2639</v>
      </c>
      <c r="AD90" s="77" t="s">
        <v>2670</v>
      </c>
      <c r="AE90" s="80" t="str">
        <f>HYPERLINK("https://twitter.com/javarinijean/status/1616608997808775168")</f>
        <v>https://twitter.com/javarinijean/status/1616608997808775168</v>
      </c>
      <c r="AF90" s="79">
        <v>44947.062430555554</v>
      </c>
      <c r="AG90" s="85">
        <v>44947</v>
      </c>
      <c r="AH90" s="82" t="s">
        <v>2762</v>
      </c>
      <c r="AI90" s="77"/>
      <c r="AJ90" s="77"/>
      <c r="AK90" s="77"/>
      <c r="AL90" s="77"/>
      <c r="AM90" s="77"/>
      <c r="AN90" s="77"/>
      <c r="AO90" s="77"/>
      <c r="AP90" s="77"/>
      <c r="AQ90" s="77"/>
      <c r="AR90" s="77"/>
      <c r="AS90" s="77"/>
      <c r="AT90" s="77"/>
      <c r="AU90" s="77"/>
      <c r="AV90" s="80" t="str">
        <f>HYPERLINK("https://pbs.twimg.com/profile_images/1277245067221237760/Zapce2Ts_normal.jpg")</f>
        <v>https://pbs.twimg.com/profile_images/1277245067221237760/Zapce2Ts_normal.jpg</v>
      </c>
      <c r="AW90" s="82" t="s">
        <v>4147</v>
      </c>
      <c r="AX90" s="82" t="s">
        <v>4147</v>
      </c>
      <c r="AY90" s="77"/>
      <c r="AZ90" s="82" t="s">
        <v>5075</v>
      </c>
      <c r="BA90" s="82" t="s">
        <v>5075</v>
      </c>
      <c r="BB90" s="82" t="s">
        <v>5075</v>
      </c>
      <c r="BC90" s="82" t="s">
        <v>4147</v>
      </c>
      <c r="BD90" s="82" t="s">
        <v>5144</v>
      </c>
      <c r="BE90" s="77"/>
      <c r="BF90" s="77"/>
      <c r="BG90" s="77"/>
      <c r="BH90" s="77"/>
      <c r="BI90" s="77"/>
    </row>
    <row r="91" spans="1:61" x14ac:dyDescent="0.25">
      <c r="A91" s="62" t="s">
        <v>266</v>
      </c>
      <c r="B91" s="62" t="s">
        <v>266</v>
      </c>
      <c r="C91" s="63"/>
      <c r="D91" s="64"/>
      <c r="E91" s="65"/>
      <c r="F91" s="66"/>
      <c r="G91" s="63"/>
      <c r="H91" s="67"/>
      <c r="I91" s="68"/>
      <c r="J91" s="68"/>
      <c r="K91" s="32"/>
      <c r="L91" s="75">
        <v>91</v>
      </c>
      <c r="M91" s="75"/>
      <c r="N91" s="70"/>
      <c r="O91" s="77" t="s">
        <v>179</v>
      </c>
      <c r="P91" s="79">
        <v>45063.500023148146</v>
      </c>
      <c r="Q91" s="77" t="s">
        <v>627</v>
      </c>
      <c r="R91" s="77">
        <v>0</v>
      </c>
      <c r="S91" s="77">
        <v>0</v>
      </c>
      <c r="T91" s="77">
        <v>0</v>
      </c>
      <c r="U91" s="77">
        <v>0</v>
      </c>
      <c r="V91" s="77">
        <v>8</v>
      </c>
      <c r="W91" s="82" t="s">
        <v>1499</v>
      </c>
      <c r="X91" s="80" t="str">
        <f>HYPERLINK("https://www.williamhunt.com.br/segredos-dos-investimentos-para-iniciantes")</f>
        <v>https://www.williamhunt.com.br/segredos-dos-investimentos-para-iniciantes</v>
      </c>
      <c r="Y91" s="77" t="s">
        <v>1978</v>
      </c>
      <c r="Z91" s="77"/>
      <c r="AA91" s="77" t="s">
        <v>2057</v>
      </c>
      <c r="AB91" s="77" t="s">
        <v>2632</v>
      </c>
      <c r="AC91" s="82" t="s">
        <v>2639</v>
      </c>
      <c r="AD91" s="77" t="s">
        <v>2670</v>
      </c>
      <c r="AE91" s="80" t="str">
        <f>HYPERLINK("https://twitter.com/williamhuntbr/status/1658804568283545602")</f>
        <v>https://twitter.com/williamhuntbr/status/1658804568283545602</v>
      </c>
      <c r="AF91" s="79">
        <v>45063.500023148146</v>
      </c>
      <c r="AG91" s="85">
        <v>45063</v>
      </c>
      <c r="AH91" s="82" t="s">
        <v>2763</v>
      </c>
      <c r="AI91" s="77" t="b">
        <v>0</v>
      </c>
      <c r="AJ91" s="77"/>
      <c r="AK91" s="77"/>
      <c r="AL91" s="77"/>
      <c r="AM91" s="77"/>
      <c r="AN91" s="77"/>
      <c r="AO91" s="77"/>
      <c r="AP91" s="77"/>
      <c r="AQ91" s="77" t="s">
        <v>3486</v>
      </c>
      <c r="AR91" s="77"/>
      <c r="AS91" s="77"/>
      <c r="AT91" s="77"/>
      <c r="AU91" s="77"/>
      <c r="AV91" s="80" t="str">
        <f>HYPERLINK("https://pbs.twimg.com/media/Fv33mvfWcBU4Txc.jpg")</f>
        <v>https://pbs.twimg.com/media/Fv33mvfWcBU4Txc.jpg</v>
      </c>
      <c r="AW91" s="82" t="s">
        <v>4148</v>
      </c>
      <c r="AX91" s="82" t="s">
        <v>4148</v>
      </c>
      <c r="AY91" s="77"/>
      <c r="AZ91" s="82" t="s">
        <v>5075</v>
      </c>
      <c r="BA91" s="82" t="s">
        <v>5075</v>
      </c>
      <c r="BB91" s="82" t="s">
        <v>5075</v>
      </c>
      <c r="BC91" s="82" t="s">
        <v>4148</v>
      </c>
      <c r="BD91" s="82" t="s">
        <v>5145</v>
      </c>
      <c r="BE91" s="77"/>
      <c r="BF91" s="77"/>
      <c r="BG91" s="77"/>
      <c r="BH91" s="77"/>
      <c r="BI91" s="77"/>
    </row>
    <row r="92" spans="1:61" x14ac:dyDescent="0.25">
      <c r="A92" s="62" t="s">
        <v>266</v>
      </c>
      <c r="B92" s="62" t="s">
        <v>266</v>
      </c>
      <c r="C92" s="63"/>
      <c r="D92" s="64"/>
      <c r="E92" s="65"/>
      <c r="F92" s="66"/>
      <c r="G92" s="63"/>
      <c r="H92" s="67"/>
      <c r="I92" s="68"/>
      <c r="J92" s="68"/>
      <c r="K92" s="32"/>
      <c r="L92" s="75">
        <v>92</v>
      </c>
      <c r="M92" s="75"/>
      <c r="N92" s="70"/>
      <c r="O92" s="77" t="s">
        <v>179</v>
      </c>
      <c r="P92" s="79">
        <v>45049.500034722223</v>
      </c>
      <c r="Q92" s="77" t="s">
        <v>628</v>
      </c>
      <c r="R92" s="77">
        <v>0</v>
      </c>
      <c r="S92" s="77">
        <v>0</v>
      </c>
      <c r="T92" s="77">
        <v>0</v>
      </c>
      <c r="U92" s="77">
        <v>0</v>
      </c>
      <c r="V92" s="77">
        <v>18</v>
      </c>
      <c r="W92" s="82" t="s">
        <v>1500</v>
      </c>
      <c r="X92" s="80" t="str">
        <f>HYPERLINK("https://williamhunt.com.br/segredos-dos-investimentos-para-iniciantes")</f>
        <v>https://williamhunt.com.br/segredos-dos-investimentos-para-iniciantes</v>
      </c>
      <c r="Y92" s="77" t="s">
        <v>1978</v>
      </c>
      <c r="Z92" s="77"/>
      <c r="AA92" s="77" t="s">
        <v>2058</v>
      </c>
      <c r="AB92" s="77" t="s">
        <v>2632</v>
      </c>
      <c r="AC92" s="82" t="s">
        <v>2639</v>
      </c>
      <c r="AD92" s="77" t="s">
        <v>2670</v>
      </c>
      <c r="AE92" s="80" t="str">
        <f>HYPERLINK("https://twitter.com/williamhuntbr/status/1653731140191272960")</f>
        <v>https://twitter.com/williamhuntbr/status/1653731140191272960</v>
      </c>
      <c r="AF92" s="79">
        <v>45049.500034722223</v>
      </c>
      <c r="AG92" s="85">
        <v>45049</v>
      </c>
      <c r="AH92" s="82" t="s">
        <v>2764</v>
      </c>
      <c r="AI92" s="77" t="b">
        <v>0</v>
      </c>
      <c r="AJ92" s="77"/>
      <c r="AK92" s="77"/>
      <c r="AL92" s="77"/>
      <c r="AM92" s="77"/>
      <c r="AN92" s="77"/>
      <c r="AO92" s="77"/>
      <c r="AP92" s="77"/>
      <c r="AQ92" s="77" t="s">
        <v>3487</v>
      </c>
      <c r="AR92" s="77"/>
      <c r="AS92" s="77"/>
      <c r="AT92" s="77"/>
      <c r="AU92" s="77"/>
      <c r="AV92" s="80" t="str">
        <f>HYPERLINK("https://pbs.twimg.com/media/FvD2xnAWYA84OIZ.jpg")</f>
        <v>https://pbs.twimg.com/media/FvD2xnAWYA84OIZ.jpg</v>
      </c>
      <c r="AW92" s="82" t="s">
        <v>4149</v>
      </c>
      <c r="AX92" s="82" t="s">
        <v>4149</v>
      </c>
      <c r="AY92" s="77"/>
      <c r="AZ92" s="82" t="s">
        <v>5075</v>
      </c>
      <c r="BA92" s="82" t="s">
        <v>5075</v>
      </c>
      <c r="BB92" s="82" t="s">
        <v>5075</v>
      </c>
      <c r="BC92" s="82" t="s">
        <v>4149</v>
      </c>
      <c r="BD92" s="82" t="s">
        <v>5145</v>
      </c>
      <c r="BE92" s="77"/>
      <c r="BF92" s="77"/>
      <c r="BG92" s="77"/>
      <c r="BH92" s="77"/>
      <c r="BI92" s="77"/>
    </row>
    <row r="93" spans="1:61" x14ac:dyDescent="0.25">
      <c r="A93" s="62" t="s">
        <v>266</v>
      </c>
      <c r="B93" s="62" t="s">
        <v>266</v>
      </c>
      <c r="C93" s="63"/>
      <c r="D93" s="64"/>
      <c r="E93" s="65"/>
      <c r="F93" s="66"/>
      <c r="G93" s="63"/>
      <c r="H93" s="67"/>
      <c r="I93" s="68"/>
      <c r="J93" s="68"/>
      <c r="K93" s="32"/>
      <c r="L93" s="75">
        <v>93</v>
      </c>
      <c r="M93" s="75"/>
      <c r="N93" s="70"/>
      <c r="O93" s="77" t="s">
        <v>179</v>
      </c>
      <c r="P93" s="79">
        <v>45021.634143518517</v>
      </c>
      <c r="Q93" s="77" t="s">
        <v>629</v>
      </c>
      <c r="R93" s="77">
        <v>0</v>
      </c>
      <c r="S93" s="77">
        <v>0</v>
      </c>
      <c r="T93" s="77">
        <v>0</v>
      </c>
      <c r="U93" s="77">
        <v>0</v>
      </c>
      <c r="V93" s="77">
        <v>18</v>
      </c>
      <c r="W93" s="82" t="s">
        <v>1501</v>
      </c>
      <c r="X93" s="80" t="str">
        <f>HYPERLINK("https://www.williamhunt.com.br/segredos-dos-investimentos-para-iniciantes")</f>
        <v>https://www.williamhunt.com.br/segredos-dos-investimentos-para-iniciantes</v>
      </c>
      <c r="Y93" s="77" t="s">
        <v>1978</v>
      </c>
      <c r="Z93" s="77"/>
      <c r="AA93" s="77" t="s">
        <v>2059</v>
      </c>
      <c r="AB93" s="77" t="s">
        <v>2632</v>
      </c>
      <c r="AC93" s="82" t="s">
        <v>2639</v>
      </c>
      <c r="AD93" s="77" t="s">
        <v>2670</v>
      </c>
      <c r="AE93" s="80" t="str">
        <f>HYPERLINK("https://twitter.com/williamhuntbr/status/1643632882169028608")</f>
        <v>https://twitter.com/williamhuntbr/status/1643632882169028608</v>
      </c>
      <c r="AF93" s="79">
        <v>45021.634143518517</v>
      </c>
      <c r="AG93" s="85">
        <v>45021</v>
      </c>
      <c r="AH93" s="82" t="s">
        <v>2765</v>
      </c>
      <c r="AI93" s="77" t="b">
        <v>0</v>
      </c>
      <c r="AJ93" s="77"/>
      <c r="AK93" s="77"/>
      <c r="AL93" s="77"/>
      <c r="AM93" s="77"/>
      <c r="AN93" s="77"/>
      <c r="AO93" s="77"/>
      <c r="AP93" s="77"/>
      <c r="AQ93" s="77" t="s">
        <v>3488</v>
      </c>
      <c r="AR93" s="77"/>
      <c r="AS93" s="77"/>
      <c r="AT93" s="77"/>
      <c r="AU93" s="77"/>
      <c r="AV93" s="80" t="str">
        <f>HYPERLINK("https://pbs.twimg.com/media/Fs9bQyNXsAANI6e.jpg")</f>
        <v>https://pbs.twimg.com/media/Fs9bQyNXsAANI6e.jpg</v>
      </c>
      <c r="AW93" s="82" t="s">
        <v>4150</v>
      </c>
      <c r="AX93" s="82" t="s">
        <v>4150</v>
      </c>
      <c r="AY93" s="77"/>
      <c r="AZ93" s="82" t="s">
        <v>5075</v>
      </c>
      <c r="BA93" s="82" t="s">
        <v>5075</v>
      </c>
      <c r="BB93" s="82" t="s">
        <v>5075</v>
      </c>
      <c r="BC93" s="82" t="s">
        <v>4150</v>
      </c>
      <c r="BD93" s="82" t="s">
        <v>5145</v>
      </c>
      <c r="BE93" s="77"/>
      <c r="BF93" s="77"/>
      <c r="BG93" s="77"/>
      <c r="BH93" s="77"/>
      <c r="BI93" s="77"/>
    </row>
    <row r="94" spans="1:61" x14ac:dyDescent="0.25">
      <c r="A94" s="62" t="s">
        <v>266</v>
      </c>
      <c r="B94" s="62" t="s">
        <v>266</v>
      </c>
      <c r="C94" s="63"/>
      <c r="D94" s="64"/>
      <c r="E94" s="65"/>
      <c r="F94" s="66"/>
      <c r="G94" s="63"/>
      <c r="H94" s="67"/>
      <c r="I94" s="68"/>
      <c r="J94" s="68"/>
      <c r="K94" s="32"/>
      <c r="L94" s="75">
        <v>94</v>
      </c>
      <c r="M94" s="75"/>
      <c r="N94" s="70"/>
      <c r="O94" s="77" t="s">
        <v>179</v>
      </c>
      <c r="P94" s="79">
        <v>45154.500023148146</v>
      </c>
      <c r="Q94" s="77" t="s">
        <v>630</v>
      </c>
      <c r="R94" s="77">
        <v>0</v>
      </c>
      <c r="S94" s="77">
        <v>0</v>
      </c>
      <c r="T94" s="77">
        <v>0</v>
      </c>
      <c r="U94" s="77">
        <v>0</v>
      </c>
      <c r="V94" s="77">
        <v>44</v>
      </c>
      <c r="W94" s="82" t="s">
        <v>1502</v>
      </c>
      <c r="X94" s="80" t="str">
        <f>HYPERLINK("http://www.williamhunt.com.br/completo")</f>
        <v>http://www.williamhunt.com.br/completo</v>
      </c>
      <c r="Y94" s="77" t="s">
        <v>1978</v>
      </c>
      <c r="Z94" s="77"/>
      <c r="AA94" s="77" t="s">
        <v>2060</v>
      </c>
      <c r="AB94" s="77" t="s">
        <v>2632</v>
      </c>
      <c r="AC94" s="82" t="s">
        <v>2639</v>
      </c>
      <c r="AD94" s="77" t="s">
        <v>2670</v>
      </c>
      <c r="AE94" s="80" t="str">
        <f>HYPERLINK("https://twitter.com/williamhuntbr/status/1691781863285604745")</f>
        <v>https://twitter.com/williamhuntbr/status/1691781863285604745</v>
      </c>
      <c r="AF94" s="79">
        <v>45154.500023148146</v>
      </c>
      <c r="AG94" s="85">
        <v>45154</v>
      </c>
      <c r="AH94" s="82" t="s">
        <v>2763</v>
      </c>
      <c r="AI94" s="77" t="b">
        <v>0</v>
      </c>
      <c r="AJ94" s="77"/>
      <c r="AK94" s="77"/>
      <c r="AL94" s="77"/>
      <c r="AM94" s="77"/>
      <c r="AN94" s="77"/>
      <c r="AO94" s="77"/>
      <c r="AP94" s="77"/>
      <c r="AQ94" s="77" t="s">
        <v>3489</v>
      </c>
      <c r="AR94" s="77"/>
      <c r="AS94" s="77"/>
      <c r="AT94" s="77"/>
      <c r="AU94" s="77"/>
      <c r="AV94" s="80" t="str">
        <f>HYPERLINK("https://pbs.twimg.com/media/F3gygA8XgAAqJlH.jpg")</f>
        <v>https://pbs.twimg.com/media/F3gygA8XgAAqJlH.jpg</v>
      </c>
      <c r="AW94" s="82" t="s">
        <v>4151</v>
      </c>
      <c r="AX94" s="82" t="s">
        <v>4151</v>
      </c>
      <c r="AY94" s="77"/>
      <c r="AZ94" s="82" t="s">
        <v>5075</v>
      </c>
      <c r="BA94" s="82" t="s">
        <v>5075</v>
      </c>
      <c r="BB94" s="82" t="s">
        <v>5075</v>
      </c>
      <c r="BC94" s="82" t="s">
        <v>4151</v>
      </c>
      <c r="BD94" s="82" t="s">
        <v>5145</v>
      </c>
      <c r="BE94" s="77"/>
      <c r="BF94" s="77"/>
      <c r="BG94" s="77"/>
      <c r="BH94" s="77"/>
      <c r="BI94" s="77"/>
    </row>
    <row r="95" spans="1:61" x14ac:dyDescent="0.25">
      <c r="A95" s="62" t="s">
        <v>266</v>
      </c>
      <c r="B95" s="62" t="s">
        <v>266</v>
      </c>
      <c r="C95" s="63"/>
      <c r="D95" s="64"/>
      <c r="E95" s="65"/>
      <c r="F95" s="66"/>
      <c r="G95" s="63"/>
      <c r="H95" s="67"/>
      <c r="I95" s="68"/>
      <c r="J95" s="68"/>
      <c r="K95" s="32"/>
      <c r="L95" s="75">
        <v>95</v>
      </c>
      <c r="M95" s="75"/>
      <c r="N95" s="70"/>
      <c r="O95" s="77" t="s">
        <v>179</v>
      </c>
      <c r="P95" s="79">
        <v>45147.500023148146</v>
      </c>
      <c r="Q95" s="77" t="s">
        <v>631</v>
      </c>
      <c r="R95" s="77">
        <v>0</v>
      </c>
      <c r="S95" s="77">
        <v>0</v>
      </c>
      <c r="T95" s="77">
        <v>0</v>
      </c>
      <c r="U95" s="77">
        <v>0</v>
      </c>
      <c r="V95" s="77">
        <v>22</v>
      </c>
      <c r="W95" s="82" t="s">
        <v>1503</v>
      </c>
      <c r="X95" s="80" t="str">
        <f>HYPERLINK("http://www.williamhunt.com.br/completo")</f>
        <v>http://www.williamhunt.com.br/completo</v>
      </c>
      <c r="Y95" s="77" t="s">
        <v>1978</v>
      </c>
      <c r="Z95" s="77"/>
      <c r="AA95" s="77" t="s">
        <v>2061</v>
      </c>
      <c r="AB95" s="77" t="s">
        <v>2632</v>
      </c>
      <c r="AC95" s="82" t="s">
        <v>2639</v>
      </c>
      <c r="AD95" s="77" t="s">
        <v>2670</v>
      </c>
      <c r="AE95" s="80" t="str">
        <f>HYPERLINK("https://twitter.com/williamhuntbr/status/1689245146867699712")</f>
        <v>https://twitter.com/williamhuntbr/status/1689245146867699712</v>
      </c>
      <c r="AF95" s="79">
        <v>45147.500023148146</v>
      </c>
      <c r="AG95" s="85">
        <v>45147</v>
      </c>
      <c r="AH95" s="82" t="s">
        <v>2763</v>
      </c>
      <c r="AI95" s="77" t="b">
        <v>0</v>
      </c>
      <c r="AJ95" s="77"/>
      <c r="AK95" s="77"/>
      <c r="AL95" s="77"/>
      <c r="AM95" s="77"/>
      <c r="AN95" s="77"/>
      <c r="AO95" s="77"/>
      <c r="AP95" s="77"/>
      <c r="AQ95" s="77" t="s">
        <v>3490</v>
      </c>
      <c r="AR95" s="77"/>
      <c r="AS95" s="77"/>
      <c r="AT95" s="77"/>
      <c r="AU95" s="77"/>
      <c r="AV95" s="80" t="str">
        <f>HYPERLINK("https://pbs.twimg.com/media/F2Epw19XYAE_L1Z.jpg")</f>
        <v>https://pbs.twimg.com/media/F2Epw19XYAE_L1Z.jpg</v>
      </c>
      <c r="AW95" s="82" t="s">
        <v>4152</v>
      </c>
      <c r="AX95" s="82" t="s">
        <v>4152</v>
      </c>
      <c r="AY95" s="77"/>
      <c r="AZ95" s="82" t="s">
        <v>5075</v>
      </c>
      <c r="BA95" s="82" t="s">
        <v>5075</v>
      </c>
      <c r="BB95" s="82" t="s">
        <v>5075</v>
      </c>
      <c r="BC95" s="82" t="s">
        <v>4152</v>
      </c>
      <c r="BD95" s="82" t="s">
        <v>5145</v>
      </c>
      <c r="BE95" s="77"/>
      <c r="BF95" s="77"/>
      <c r="BG95" s="77"/>
      <c r="BH95" s="77"/>
      <c r="BI95" s="77"/>
    </row>
    <row r="96" spans="1:61" x14ac:dyDescent="0.25">
      <c r="A96" s="62" t="s">
        <v>266</v>
      </c>
      <c r="B96" s="62" t="s">
        <v>266</v>
      </c>
      <c r="C96" s="63"/>
      <c r="D96" s="64"/>
      <c r="E96" s="65"/>
      <c r="F96" s="66"/>
      <c r="G96" s="63"/>
      <c r="H96" s="67"/>
      <c r="I96" s="68"/>
      <c r="J96" s="68"/>
      <c r="K96" s="32"/>
      <c r="L96" s="75">
        <v>96</v>
      </c>
      <c r="M96" s="75"/>
      <c r="N96" s="70"/>
      <c r="O96" s="77" t="s">
        <v>179</v>
      </c>
      <c r="P96" s="79">
        <v>45138.5</v>
      </c>
      <c r="Q96" s="77" t="s">
        <v>632</v>
      </c>
      <c r="R96" s="77">
        <v>0</v>
      </c>
      <c r="S96" s="77">
        <v>0</v>
      </c>
      <c r="T96" s="77">
        <v>0</v>
      </c>
      <c r="U96" s="77">
        <v>0</v>
      </c>
      <c r="V96" s="77">
        <v>21</v>
      </c>
      <c r="W96" s="82" t="s">
        <v>1504</v>
      </c>
      <c r="X96" s="80" t="str">
        <f>HYPERLINK("https://www.williamhunt.com.br/segredos-dos-investimentos-para-iniciantes")</f>
        <v>https://www.williamhunt.com.br/segredos-dos-investimentos-para-iniciantes</v>
      </c>
      <c r="Y96" s="77" t="s">
        <v>1978</v>
      </c>
      <c r="Z96" s="77"/>
      <c r="AA96" s="77" t="s">
        <v>2062</v>
      </c>
      <c r="AB96" s="77" t="s">
        <v>2632</v>
      </c>
      <c r="AC96" s="82" t="s">
        <v>2639</v>
      </c>
      <c r="AD96" s="77" t="s">
        <v>2670</v>
      </c>
      <c r="AE96" s="80" t="str">
        <f>HYPERLINK("https://twitter.com/williamhuntbr/status/1685983650234408960")</f>
        <v>https://twitter.com/williamhuntbr/status/1685983650234408960</v>
      </c>
      <c r="AF96" s="79">
        <v>45138.5</v>
      </c>
      <c r="AG96" s="85">
        <v>45138</v>
      </c>
      <c r="AH96" s="82" t="s">
        <v>2766</v>
      </c>
      <c r="AI96" s="77" t="b">
        <v>0</v>
      </c>
      <c r="AJ96" s="77"/>
      <c r="AK96" s="77"/>
      <c r="AL96" s="77"/>
      <c r="AM96" s="77"/>
      <c r="AN96" s="77"/>
      <c r="AO96" s="77"/>
      <c r="AP96" s="77"/>
      <c r="AQ96" s="77" t="s">
        <v>3491</v>
      </c>
      <c r="AR96" s="77"/>
      <c r="AS96" s="77"/>
      <c r="AT96" s="77"/>
      <c r="AU96" s="77"/>
      <c r="AV96" s="80" t="str">
        <f>HYPERLINK("https://pbs.twimg.com/media/F1lhk60WwAA34Oj.jpg")</f>
        <v>https://pbs.twimg.com/media/F1lhk60WwAA34Oj.jpg</v>
      </c>
      <c r="AW96" s="82" t="s">
        <v>4153</v>
      </c>
      <c r="AX96" s="82" t="s">
        <v>4153</v>
      </c>
      <c r="AY96" s="77"/>
      <c r="AZ96" s="82" t="s">
        <v>5075</v>
      </c>
      <c r="BA96" s="82" t="s">
        <v>5075</v>
      </c>
      <c r="BB96" s="82" t="s">
        <v>5075</v>
      </c>
      <c r="BC96" s="82" t="s">
        <v>4153</v>
      </c>
      <c r="BD96" s="82" t="s">
        <v>5145</v>
      </c>
      <c r="BE96" s="77"/>
      <c r="BF96" s="77"/>
      <c r="BG96" s="77"/>
      <c r="BH96" s="77"/>
      <c r="BI96" s="77"/>
    </row>
    <row r="97" spans="1:61" x14ac:dyDescent="0.25">
      <c r="A97" s="62" t="s">
        <v>266</v>
      </c>
      <c r="B97" s="62" t="s">
        <v>266</v>
      </c>
      <c r="C97" s="63"/>
      <c r="D97" s="64"/>
      <c r="E97" s="65"/>
      <c r="F97" s="66"/>
      <c r="G97" s="63"/>
      <c r="H97" s="67"/>
      <c r="I97" s="68"/>
      <c r="J97" s="68"/>
      <c r="K97" s="32"/>
      <c r="L97" s="75">
        <v>97</v>
      </c>
      <c r="M97" s="75"/>
      <c r="N97" s="70"/>
      <c r="O97" s="77" t="s">
        <v>179</v>
      </c>
      <c r="P97" s="79">
        <v>45126.500023148146</v>
      </c>
      <c r="Q97" s="77" t="s">
        <v>633</v>
      </c>
      <c r="R97" s="77">
        <v>0</v>
      </c>
      <c r="S97" s="77">
        <v>0</v>
      </c>
      <c r="T97" s="77">
        <v>0</v>
      </c>
      <c r="U97" s="77">
        <v>0</v>
      </c>
      <c r="V97" s="77">
        <v>18</v>
      </c>
      <c r="W97" s="82" t="s">
        <v>1505</v>
      </c>
      <c r="X97" s="80" t="str">
        <f>HYPERLINK("https://www.williamhunt.com.br/segredos-dos-investimentos-para-iniciantes")</f>
        <v>https://www.williamhunt.com.br/segredos-dos-investimentos-para-iniciantes</v>
      </c>
      <c r="Y97" s="77" t="s">
        <v>1978</v>
      </c>
      <c r="Z97" s="77"/>
      <c r="AA97" s="77" t="s">
        <v>2063</v>
      </c>
      <c r="AB97" s="77" t="s">
        <v>2632</v>
      </c>
      <c r="AC97" s="82" t="s">
        <v>2639</v>
      </c>
      <c r="AD97" s="77" t="s">
        <v>2670</v>
      </c>
      <c r="AE97" s="80" t="str">
        <f>HYPERLINK("https://twitter.com/williamhuntbr/status/1681635002683981826")</f>
        <v>https://twitter.com/williamhuntbr/status/1681635002683981826</v>
      </c>
      <c r="AF97" s="79">
        <v>45126.500023148146</v>
      </c>
      <c r="AG97" s="85">
        <v>45126</v>
      </c>
      <c r="AH97" s="82" t="s">
        <v>2763</v>
      </c>
      <c r="AI97" s="77" t="b">
        <v>0</v>
      </c>
      <c r="AJ97" s="77"/>
      <c r="AK97" s="77"/>
      <c r="AL97" s="77"/>
      <c r="AM97" s="77"/>
      <c r="AN97" s="77"/>
      <c r="AO97" s="77"/>
      <c r="AP97" s="77"/>
      <c r="AQ97" s="77" t="s">
        <v>3492</v>
      </c>
      <c r="AR97" s="77"/>
      <c r="AS97" s="77"/>
      <c r="AT97" s="77"/>
      <c r="AU97" s="77"/>
      <c r="AV97" s="80" t="str">
        <f>HYPERLINK("https://pbs.twimg.com/media/F1BPQGHWwAo4wOI.jpg")</f>
        <v>https://pbs.twimg.com/media/F1BPQGHWwAo4wOI.jpg</v>
      </c>
      <c r="AW97" s="82" t="s">
        <v>4154</v>
      </c>
      <c r="AX97" s="82" t="s">
        <v>4154</v>
      </c>
      <c r="AY97" s="77"/>
      <c r="AZ97" s="82" t="s">
        <v>5075</v>
      </c>
      <c r="BA97" s="82" t="s">
        <v>5075</v>
      </c>
      <c r="BB97" s="82" t="s">
        <v>5075</v>
      </c>
      <c r="BC97" s="82" t="s">
        <v>4154</v>
      </c>
      <c r="BD97" s="82" t="s">
        <v>5145</v>
      </c>
      <c r="BE97" s="77"/>
      <c r="BF97" s="77"/>
      <c r="BG97" s="77"/>
      <c r="BH97" s="77"/>
      <c r="BI97" s="77"/>
    </row>
    <row r="98" spans="1:61" x14ac:dyDescent="0.25">
      <c r="A98" s="62" t="s">
        <v>266</v>
      </c>
      <c r="B98" s="62" t="s">
        <v>266</v>
      </c>
      <c r="C98" s="63"/>
      <c r="D98" s="64"/>
      <c r="E98" s="65"/>
      <c r="F98" s="66"/>
      <c r="G98" s="63"/>
      <c r="H98" s="67"/>
      <c r="I98" s="68"/>
      <c r="J98" s="68"/>
      <c r="K98" s="32"/>
      <c r="L98" s="75">
        <v>98</v>
      </c>
      <c r="M98" s="75"/>
      <c r="N98" s="70"/>
      <c r="O98" s="77" t="s">
        <v>179</v>
      </c>
      <c r="P98" s="79">
        <v>45114.500023148146</v>
      </c>
      <c r="Q98" s="77" t="s">
        <v>634</v>
      </c>
      <c r="R98" s="77">
        <v>0</v>
      </c>
      <c r="S98" s="77">
        <v>0</v>
      </c>
      <c r="T98" s="77">
        <v>0</v>
      </c>
      <c r="U98" s="77">
        <v>0</v>
      </c>
      <c r="V98" s="77">
        <v>12</v>
      </c>
      <c r="W98" s="82" t="s">
        <v>1506</v>
      </c>
      <c r="X98" s="80" t="str">
        <f>HYPERLINK("https://www.williamhunt.com.br/segredos-dos-investimentos-para-iniciantes")</f>
        <v>https://www.williamhunt.com.br/segredos-dos-investimentos-para-iniciantes</v>
      </c>
      <c r="Y98" s="77" t="s">
        <v>1978</v>
      </c>
      <c r="Z98" s="77"/>
      <c r="AA98" s="77" t="s">
        <v>2064</v>
      </c>
      <c r="AB98" s="77" t="s">
        <v>2632</v>
      </c>
      <c r="AC98" s="82" t="s">
        <v>2639</v>
      </c>
      <c r="AD98" s="77" t="s">
        <v>2670</v>
      </c>
      <c r="AE98" s="80" t="str">
        <f>HYPERLINK("https://twitter.com/williamhuntbr/status/1677286349299412992")</f>
        <v>https://twitter.com/williamhuntbr/status/1677286349299412992</v>
      </c>
      <c r="AF98" s="79">
        <v>45114.500023148146</v>
      </c>
      <c r="AG98" s="85">
        <v>45114</v>
      </c>
      <c r="AH98" s="82" t="s">
        <v>2763</v>
      </c>
      <c r="AI98" s="77" t="b">
        <v>0</v>
      </c>
      <c r="AJ98" s="77"/>
      <c r="AK98" s="77"/>
      <c r="AL98" s="77"/>
      <c r="AM98" s="77"/>
      <c r="AN98" s="77"/>
      <c r="AO98" s="77"/>
      <c r="AP98" s="77"/>
      <c r="AQ98" s="77" t="s">
        <v>3493</v>
      </c>
      <c r="AR98" s="77"/>
      <c r="AS98" s="77"/>
      <c r="AT98" s="77"/>
      <c r="AU98" s="77"/>
      <c r="AV98" s="80" t="str">
        <f>HYPERLINK("https://pbs.twimg.com/media/Fz5xjKQXwAAXGEp.jpg")</f>
        <v>https://pbs.twimg.com/media/Fz5xjKQXwAAXGEp.jpg</v>
      </c>
      <c r="AW98" s="82" t="s">
        <v>4155</v>
      </c>
      <c r="AX98" s="82" t="s">
        <v>4155</v>
      </c>
      <c r="AY98" s="77"/>
      <c r="AZ98" s="82" t="s">
        <v>5075</v>
      </c>
      <c r="BA98" s="82" t="s">
        <v>5075</v>
      </c>
      <c r="BB98" s="82" t="s">
        <v>5075</v>
      </c>
      <c r="BC98" s="82" t="s">
        <v>4155</v>
      </c>
      <c r="BD98" s="82" t="s">
        <v>5145</v>
      </c>
      <c r="BE98" s="77"/>
      <c r="BF98" s="77"/>
      <c r="BG98" s="77"/>
      <c r="BH98" s="77"/>
      <c r="BI98" s="77"/>
    </row>
    <row r="99" spans="1:61" x14ac:dyDescent="0.25">
      <c r="A99" s="62" t="s">
        <v>266</v>
      </c>
      <c r="B99" s="62" t="s">
        <v>266</v>
      </c>
      <c r="C99" s="63"/>
      <c r="D99" s="64"/>
      <c r="E99" s="65"/>
      <c r="F99" s="66"/>
      <c r="G99" s="63"/>
      <c r="H99" s="67"/>
      <c r="I99" s="68"/>
      <c r="J99" s="68"/>
      <c r="K99" s="32"/>
      <c r="L99" s="75">
        <v>99</v>
      </c>
      <c r="M99" s="75"/>
      <c r="N99" s="70"/>
      <c r="O99" s="77" t="s">
        <v>179</v>
      </c>
      <c r="P99" s="79">
        <v>45105.500034722223</v>
      </c>
      <c r="Q99" s="77" t="s">
        <v>635</v>
      </c>
      <c r="R99" s="77">
        <v>0</v>
      </c>
      <c r="S99" s="77">
        <v>0</v>
      </c>
      <c r="T99" s="77">
        <v>0</v>
      </c>
      <c r="U99" s="77">
        <v>0</v>
      </c>
      <c r="V99" s="77">
        <v>12</v>
      </c>
      <c r="W99" s="82" t="s">
        <v>1507</v>
      </c>
      <c r="X99" s="80" t="str">
        <f>HYPERLINK("https://www.williamhunt.com.br/segredos-dos-investimentos-para-iniciantes")</f>
        <v>https://www.williamhunt.com.br/segredos-dos-investimentos-para-iniciantes</v>
      </c>
      <c r="Y99" s="77" t="s">
        <v>1978</v>
      </c>
      <c r="Z99" s="77"/>
      <c r="AA99" s="77" t="s">
        <v>2065</v>
      </c>
      <c r="AB99" s="77" t="s">
        <v>2632</v>
      </c>
      <c r="AC99" s="82" t="s">
        <v>2639</v>
      </c>
      <c r="AD99" s="77" t="s">
        <v>2670</v>
      </c>
      <c r="AE99" s="80" t="str">
        <f>HYPERLINK("https://twitter.com/williamhuntbr/status/1674024862590058497")</f>
        <v>https://twitter.com/williamhuntbr/status/1674024862590058497</v>
      </c>
      <c r="AF99" s="79">
        <v>45105.500034722223</v>
      </c>
      <c r="AG99" s="85">
        <v>45105</v>
      </c>
      <c r="AH99" s="82" t="s">
        <v>2764</v>
      </c>
      <c r="AI99" s="77" t="b">
        <v>0</v>
      </c>
      <c r="AJ99" s="77"/>
      <c r="AK99" s="77"/>
      <c r="AL99" s="77"/>
      <c r="AM99" s="77"/>
      <c r="AN99" s="77"/>
      <c r="AO99" s="77"/>
      <c r="AP99" s="77"/>
      <c r="AQ99" s="77" t="s">
        <v>3494</v>
      </c>
      <c r="AR99" s="77"/>
      <c r="AS99" s="77"/>
      <c r="AT99" s="77"/>
      <c r="AU99" s="77"/>
      <c r="AV99" s="80" t="str">
        <f>HYPERLINK("https://pbs.twimg.com/media/FzA5StbWAAAZ9ex.jpg")</f>
        <v>https://pbs.twimg.com/media/FzA5StbWAAAZ9ex.jpg</v>
      </c>
      <c r="AW99" s="82" t="s">
        <v>4156</v>
      </c>
      <c r="AX99" s="82" t="s">
        <v>4156</v>
      </c>
      <c r="AY99" s="77"/>
      <c r="AZ99" s="82" t="s">
        <v>5075</v>
      </c>
      <c r="BA99" s="82" t="s">
        <v>5075</v>
      </c>
      <c r="BB99" s="82" t="s">
        <v>5075</v>
      </c>
      <c r="BC99" s="82" t="s">
        <v>4156</v>
      </c>
      <c r="BD99" s="82" t="s">
        <v>5145</v>
      </c>
      <c r="BE99" s="77"/>
      <c r="BF99" s="77"/>
      <c r="BG99" s="77"/>
      <c r="BH99" s="77"/>
      <c r="BI99" s="77"/>
    </row>
    <row r="100" spans="1:61" x14ac:dyDescent="0.25">
      <c r="A100" s="62" t="s">
        <v>266</v>
      </c>
      <c r="B100" s="62" t="s">
        <v>266</v>
      </c>
      <c r="C100" s="63"/>
      <c r="D100" s="64"/>
      <c r="E100" s="65"/>
      <c r="F100" s="66"/>
      <c r="G100" s="63"/>
      <c r="H100" s="67"/>
      <c r="I100" s="68"/>
      <c r="J100" s="68"/>
      <c r="K100" s="32"/>
      <c r="L100" s="75">
        <v>100</v>
      </c>
      <c r="M100" s="75"/>
      <c r="N100" s="70"/>
      <c r="O100" s="77" t="s">
        <v>179</v>
      </c>
      <c r="P100" s="79">
        <v>45086.5</v>
      </c>
      <c r="Q100" s="77" t="s">
        <v>636</v>
      </c>
      <c r="R100" s="77">
        <v>0</v>
      </c>
      <c r="S100" s="77">
        <v>0</v>
      </c>
      <c r="T100" s="77">
        <v>0</v>
      </c>
      <c r="U100" s="77">
        <v>0</v>
      </c>
      <c r="V100" s="77">
        <v>29</v>
      </c>
      <c r="W100" s="82" t="s">
        <v>1508</v>
      </c>
      <c r="X100" s="80" t="str">
        <f>HYPERLINK("https://www.williamhunt.com.br/segredos-dos-investimentos-para-iniciantes")</f>
        <v>https://www.williamhunt.com.br/segredos-dos-investimentos-para-iniciantes</v>
      </c>
      <c r="Y100" s="77" t="s">
        <v>1978</v>
      </c>
      <c r="Z100" s="77"/>
      <c r="AA100" s="77" t="s">
        <v>2066</v>
      </c>
      <c r="AB100" s="77" t="s">
        <v>2632</v>
      </c>
      <c r="AC100" s="82" t="s">
        <v>2639</v>
      </c>
      <c r="AD100" s="77" t="s">
        <v>2670</v>
      </c>
      <c r="AE100" s="80" t="str">
        <f>HYPERLINK("https://twitter.com/williamhuntbr/status/1667139480195670016")</f>
        <v>https://twitter.com/williamhuntbr/status/1667139480195670016</v>
      </c>
      <c r="AF100" s="79">
        <v>45086.5</v>
      </c>
      <c r="AG100" s="85">
        <v>45086</v>
      </c>
      <c r="AH100" s="82" t="s">
        <v>2766</v>
      </c>
      <c r="AI100" s="77" t="b">
        <v>0</v>
      </c>
      <c r="AJ100" s="77"/>
      <c r="AK100" s="77"/>
      <c r="AL100" s="77"/>
      <c r="AM100" s="77"/>
      <c r="AN100" s="77"/>
      <c r="AO100" s="77"/>
      <c r="AP100" s="77"/>
      <c r="AQ100" s="77" t="s">
        <v>3495</v>
      </c>
      <c r="AR100" s="77"/>
      <c r="AS100" s="77"/>
      <c r="AT100" s="77"/>
      <c r="AU100" s="77"/>
      <c r="AV100" s="80" t="str">
        <f>HYPERLINK("https://pbs.twimg.com/media/FyGsYjoWcAIwRaa.jpg")</f>
        <v>https://pbs.twimg.com/media/FyGsYjoWcAIwRaa.jpg</v>
      </c>
      <c r="AW100" s="82" t="s">
        <v>4157</v>
      </c>
      <c r="AX100" s="82" t="s">
        <v>4157</v>
      </c>
      <c r="AY100" s="77"/>
      <c r="AZ100" s="82" t="s">
        <v>5075</v>
      </c>
      <c r="BA100" s="82" t="s">
        <v>5075</v>
      </c>
      <c r="BB100" s="82" t="s">
        <v>5075</v>
      </c>
      <c r="BC100" s="82" t="s">
        <v>4157</v>
      </c>
      <c r="BD100" s="82" t="s">
        <v>5145</v>
      </c>
      <c r="BE100" s="77"/>
      <c r="BF100" s="77"/>
      <c r="BG100" s="77"/>
      <c r="BH100" s="77"/>
      <c r="BI100" s="77"/>
    </row>
    <row r="101" spans="1:61" x14ac:dyDescent="0.25">
      <c r="A101" s="62" t="s">
        <v>266</v>
      </c>
      <c r="B101" s="62" t="s">
        <v>266</v>
      </c>
      <c r="C101" s="63"/>
      <c r="D101" s="64"/>
      <c r="E101" s="65"/>
      <c r="F101" s="66"/>
      <c r="G101" s="63"/>
      <c r="H101" s="67"/>
      <c r="I101" s="68"/>
      <c r="J101" s="68"/>
      <c r="K101" s="32"/>
      <c r="L101" s="75">
        <v>101</v>
      </c>
      <c r="M101" s="75"/>
      <c r="N101" s="70"/>
      <c r="O101" s="77" t="s">
        <v>179</v>
      </c>
      <c r="P101" s="79">
        <v>45051.500023148146</v>
      </c>
      <c r="Q101" s="77" t="s">
        <v>637</v>
      </c>
      <c r="R101" s="77">
        <v>0</v>
      </c>
      <c r="S101" s="77">
        <v>0</v>
      </c>
      <c r="T101" s="77">
        <v>0</v>
      </c>
      <c r="U101" s="77">
        <v>0</v>
      </c>
      <c r="V101" s="77">
        <v>27</v>
      </c>
      <c r="W101" s="82" t="s">
        <v>1509</v>
      </c>
      <c r="X101" s="80" t="str">
        <f>HYPERLINK("https://www.williamhunt.com.br/segredos-dos-investimentos-para-iniciantes")</f>
        <v>https://www.williamhunt.com.br/segredos-dos-investimentos-para-iniciantes</v>
      </c>
      <c r="Y101" s="77" t="s">
        <v>1978</v>
      </c>
      <c r="Z101" s="77"/>
      <c r="AA101" s="77" t="s">
        <v>2067</v>
      </c>
      <c r="AB101" s="77" t="s">
        <v>2632</v>
      </c>
      <c r="AC101" s="82" t="s">
        <v>2639</v>
      </c>
      <c r="AD101" s="77" t="s">
        <v>2670</v>
      </c>
      <c r="AE101" s="80" t="str">
        <f>HYPERLINK("https://twitter.com/williamhuntbr/status/1654455914412531712")</f>
        <v>https://twitter.com/williamhuntbr/status/1654455914412531712</v>
      </c>
      <c r="AF101" s="79">
        <v>45051.500023148146</v>
      </c>
      <c r="AG101" s="85">
        <v>45051</v>
      </c>
      <c r="AH101" s="82" t="s">
        <v>2763</v>
      </c>
      <c r="AI101" s="77" t="b">
        <v>0</v>
      </c>
      <c r="AJ101" s="77"/>
      <c r="AK101" s="77"/>
      <c r="AL101" s="77"/>
      <c r="AM101" s="77"/>
      <c r="AN101" s="77"/>
      <c r="AO101" s="77"/>
      <c r="AP101" s="77"/>
      <c r="AQ101" s="77" t="s">
        <v>3496</v>
      </c>
      <c r="AR101" s="77"/>
      <c r="AS101" s="77"/>
      <c r="AT101" s="77"/>
      <c r="AU101" s="77"/>
      <c r="AV101" s="80" t="str">
        <f>HYPERLINK("https://pbs.twimg.com/media/FvD7DXpWcAE6BwN.jpg")</f>
        <v>https://pbs.twimg.com/media/FvD7DXpWcAE6BwN.jpg</v>
      </c>
      <c r="AW101" s="82" t="s">
        <v>4158</v>
      </c>
      <c r="AX101" s="82" t="s">
        <v>4158</v>
      </c>
      <c r="AY101" s="77"/>
      <c r="AZ101" s="82" t="s">
        <v>5075</v>
      </c>
      <c r="BA101" s="82" t="s">
        <v>5075</v>
      </c>
      <c r="BB101" s="82" t="s">
        <v>5075</v>
      </c>
      <c r="BC101" s="82" t="s">
        <v>4158</v>
      </c>
      <c r="BD101" s="82" t="s">
        <v>5145</v>
      </c>
      <c r="BE101" s="77"/>
      <c r="BF101" s="77"/>
      <c r="BG101" s="77"/>
      <c r="BH101" s="77"/>
      <c r="BI101" s="77"/>
    </row>
    <row r="102" spans="1:61" x14ac:dyDescent="0.25">
      <c r="A102" s="62" t="s">
        <v>266</v>
      </c>
      <c r="B102" s="62" t="s">
        <v>266</v>
      </c>
      <c r="C102" s="63"/>
      <c r="D102" s="64"/>
      <c r="E102" s="65"/>
      <c r="F102" s="66"/>
      <c r="G102" s="63"/>
      <c r="H102" s="67"/>
      <c r="I102" s="68"/>
      <c r="J102" s="68"/>
      <c r="K102" s="32"/>
      <c r="L102" s="75">
        <v>102</v>
      </c>
      <c r="M102" s="75"/>
      <c r="N102" s="70"/>
      <c r="O102" s="77" t="s">
        <v>179</v>
      </c>
      <c r="P102" s="79">
        <v>45000.622777777775</v>
      </c>
      <c r="Q102" s="77" t="s">
        <v>638</v>
      </c>
      <c r="R102" s="77">
        <v>0</v>
      </c>
      <c r="S102" s="77">
        <v>1</v>
      </c>
      <c r="T102" s="77">
        <v>0</v>
      </c>
      <c r="U102" s="77">
        <v>0</v>
      </c>
      <c r="V102" s="77">
        <v>27</v>
      </c>
      <c r="W102" s="82" t="s">
        <v>1510</v>
      </c>
      <c r="X102" s="77"/>
      <c r="Y102" s="77"/>
      <c r="Z102" s="77"/>
      <c r="AA102" s="77" t="s">
        <v>2068</v>
      </c>
      <c r="AB102" s="77" t="s">
        <v>2632</v>
      </c>
      <c r="AC102" s="82" t="s">
        <v>2639</v>
      </c>
      <c r="AD102" s="77" t="s">
        <v>2670</v>
      </c>
      <c r="AE102" s="80" t="str">
        <f>HYPERLINK("https://twitter.com/williamhuntbr/status/1636018616276582414")</f>
        <v>https://twitter.com/williamhuntbr/status/1636018616276582414</v>
      </c>
      <c r="AF102" s="79">
        <v>45000.622777777775</v>
      </c>
      <c r="AG102" s="85">
        <v>45000</v>
      </c>
      <c r="AH102" s="82" t="s">
        <v>2767</v>
      </c>
      <c r="AI102" s="77" t="b">
        <v>0</v>
      </c>
      <c r="AJ102" s="77"/>
      <c r="AK102" s="77"/>
      <c r="AL102" s="77"/>
      <c r="AM102" s="77"/>
      <c r="AN102" s="77"/>
      <c r="AO102" s="77"/>
      <c r="AP102" s="77"/>
      <c r="AQ102" s="77" t="s">
        <v>3497</v>
      </c>
      <c r="AR102" s="77"/>
      <c r="AS102" s="77"/>
      <c r="AT102" s="77"/>
      <c r="AU102" s="77"/>
      <c r="AV102" s="80" t="str">
        <f>HYPERLINK("https://pbs.twimg.com/media/FrROOutXoAQkKDg.jpg")</f>
        <v>https://pbs.twimg.com/media/FrROOutXoAQkKDg.jpg</v>
      </c>
      <c r="AW102" s="82" t="s">
        <v>4159</v>
      </c>
      <c r="AX102" s="82" t="s">
        <v>4159</v>
      </c>
      <c r="AY102" s="77"/>
      <c r="AZ102" s="82" t="s">
        <v>5075</v>
      </c>
      <c r="BA102" s="82" t="s">
        <v>5075</v>
      </c>
      <c r="BB102" s="82" t="s">
        <v>5075</v>
      </c>
      <c r="BC102" s="82" t="s">
        <v>4159</v>
      </c>
      <c r="BD102" s="82" t="s">
        <v>5145</v>
      </c>
      <c r="BE102" s="77"/>
      <c r="BF102" s="77"/>
      <c r="BG102" s="77"/>
      <c r="BH102" s="77"/>
      <c r="BI102" s="77"/>
    </row>
    <row r="103" spans="1:61" x14ac:dyDescent="0.25">
      <c r="A103" s="62" t="s">
        <v>266</v>
      </c>
      <c r="B103" s="62" t="s">
        <v>266</v>
      </c>
      <c r="C103" s="63"/>
      <c r="D103" s="64"/>
      <c r="E103" s="65"/>
      <c r="F103" s="66"/>
      <c r="G103" s="63"/>
      <c r="H103" s="67"/>
      <c r="I103" s="68"/>
      <c r="J103" s="68"/>
      <c r="K103" s="32"/>
      <c r="L103" s="75">
        <v>103</v>
      </c>
      <c r="M103" s="75"/>
      <c r="N103" s="70"/>
      <c r="O103" s="77" t="s">
        <v>179</v>
      </c>
      <c r="P103" s="79">
        <v>44998.725775462961</v>
      </c>
      <c r="Q103" s="77" t="s">
        <v>639</v>
      </c>
      <c r="R103" s="77">
        <v>0</v>
      </c>
      <c r="S103" s="77">
        <v>0</v>
      </c>
      <c r="T103" s="77">
        <v>0</v>
      </c>
      <c r="U103" s="77">
        <v>0</v>
      </c>
      <c r="V103" s="77">
        <v>80</v>
      </c>
      <c r="W103" s="82" t="s">
        <v>1511</v>
      </c>
      <c r="X103" s="77"/>
      <c r="Y103" s="77"/>
      <c r="Z103" s="77"/>
      <c r="AA103" s="77" t="s">
        <v>2069</v>
      </c>
      <c r="AB103" s="77" t="s">
        <v>2636</v>
      </c>
      <c r="AC103" s="82" t="s">
        <v>2639</v>
      </c>
      <c r="AD103" s="77" t="s">
        <v>2670</v>
      </c>
      <c r="AE103" s="80" t="str">
        <f>HYPERLINK("https://twitter.com/williamhuntbr/status/1635331166869016576")</f>
        <v>https://twitter.com/williamhuntbr/status/1635331166869016576</v>
      </c>
      <c r="AF103" s="79">
        <v>44998.725775462961</v>
      </c>
      <c r="AG103" s="85">
        <v>44998</v>
      </c>
      <c r="AH103" s="82" t="s">
        <v>2768</v>
      </c>
      <c r="AI103" s="77" t="b">
        <v>0</v>
      </c>
      <c r="AJ103" s="77"/>
      <c r="AK103" s="77"/>
      <c r="AL103" s="77"/>
      <c r="AM103" s="77"/>
      <c r="AN103" s="77"/>
      <c r="AO103" s="77"/>
      <c r="AP103" s="77"/>
      <c r="AQ103" s="77" t="s">
        <v>3498</v>
      </c>
      <c r="AR103" s="77"/>
      <c r="AS103" s="77"/>
      <c r="AT103" s="77"/>
      <c r="AU103" s="77"/>
      <c r="AV103" s="80" t="str">
        <f>HYPERLINK("https://pbs.twimg.com/media/FrHc8kqXoCM1lnH.jpg")</f>
        <v>https://pbs.twimg.com/media/FrHc8kqXoCM1lnH.jpg</v>
      </c>
      <c r="AW103" s="82" t="s">
        <v>4160</v>
      </c>
      <c r="AX103" s="82" t="s">
        <v>4160</v>
      </c>
      <c r="AY103" s="77"/>
      <c r="AZ103" s="82" t="s">
        <v>5075</v>
      </c>
      <c r="BA103" s="82" t="s">
        <v>5075</v>
      </c>
      <c r="BB103" s="82" t="s">
        <v>5075</v>
      </c>
      <c r="BC103" s="82" t="s">
        <v>4160</v>
      </c>
      <c r="BD103" s="82" t="s">
        <v>5145</v>
      </c>
      <c r="BE103" s="77"/>
      <c r="BF103" s="77"/>
      <c r="BG103" s="77"/>
      <c r="BH103" s="77"/>
      <c r="BI103" s="77"/>
    </row>
    <row r="104" spans="1:61" x14ac:dyDescent="0.25">
      <c r="A104" s="62" t="s">
        <v>266</v>
      </c>
      <c r="B104" s="62" t="s">
        <v>266</v>
      </c>
      <c r="C104" s="63"/>
      <c r="D104" s="64"/>
      <c r="E104" s="65"/>
      <c r="F104" s="66"/>
      <c r="G104" s="63"/>
      <c r="H104" s="67"/>
      <c r="I104" s="68"/>
      <c r="J104" s="68"/>
      <c r="K104" s="32"/>
      <c r="L104" s="75">
        <v>104</v>
      </c>
      <c r="M104" s="75"/>
      <c r="N104" s="70"/>
      <c r="O104" s="77" t="s">
        <v>179</v>
      </c>
      <c r="P104" s="79">
        <v>45180.500023148146</v>
      </c>
      <c r="Q104" s="77" t="s">
        <v>640</v>
      </c>
      <c r="R104" s="77">
        <v>0</v>
      </c>
      <c r="S104" s="77">
        <v>0</v>
      </c>
      <c r="T104" s="77">
        <v>0</v>
      </c>
      <c r="U104" s="77">
        <v>0</v>
      </c>
      <c r="V104" s="77">
        <v>81</v>
      </c>
      <c r="W104" s="82" t="s">
        <v>1512</v>
      </c>
      <c r="X104" s="80" t="str">
        <f>HYPERLINK("http://www.williamhunt.com.br/completo")</f>
        <v>http://www.williamhunt.com.br/completo</v>
      </c>
      <c r="Y104" s="77" t="s">
        <v>1978</v>
      </c>
      <c r="Z104" s="77"/>
      <c r="AA104" s="77" t="s">
        <v>2070</v>
      </c>
      <c r="AB104" s="77" t="s">
        <v>2636</v>
      </c>
      <c r="AC104" s="82" t="s">
        <v>2639</v>
      </c>
      <c r="AD104" s="77" t="s">
        <v>2670</v>
      </c>
      <c r="AE104" s="80" t="str">
        <f>HYPERLINK("https://twitter.com/williamhuntbr/status/1701203945685713228")</f>
        <v>https://twitter.com/williamhuntbr/status/1701203945685713228</v>
      </c>
      <c r="AF104" s="79">
        <v>45180.500023148146</v>
      </c>
      <c r="AG104" s="85">
        <v>45180</v>
      </c>
      <c r="AH104" s="82" t="s">
        <v>2763</v>
      </c>
      <c r="AI104" s="77" t="b">
        <v>0</v>
      </c>
      <c r="AJ104" s="77"/>
      <c r="AK104" s="77"/>
      <c r="AL104" s="77"/>
      <c r="AM104" s="77"/>
      <c r="AN104" s="77"/>
      <c r="AO104" s="77"/>
      <c r="AP104" s="77"/>
      <c r="AQ104" s="77" t="s">
        <v>3499</v>
      </c>
      <c r="AR104" s="77"/>
      <c r="AS104" s="77"/>
      <c r="AT104" s="77"/>
      <c r="AU104" s="77"/>
      <c r="AV104" s="80" t="str">
        <f>HYPERLINK("https://pbs.twimg.com/media/F49qt6QXIAA5uj1.jpg")</f>
        <v>https://pbs.twimg.com/media/F49qt6QXIAA5uj1.jpg</v>
      </c>
      <c r="AW104" s="82" t="s">
        <v>4161</v>
      </c>
      <c r="AX104" s="82" t="s">
        <v>4161</v>
      </c>
      <c r="AY104" s="77"/>
      <c r="AZ104" s="82" t="s">
        <v>5075</v>
      </c>
      <c r="BA104" s="82" t="s">
        <v>5075</v>
      </c>
      <c r="BB104" s="82" t="s">
        <v>5075</v>
      </c>
      <c r="BC104" s="82" t="s">
        <v>4161</v>
      </c>
      <c r="BD104" s="82" t="s">
        <v>5145</v>
      </c>
      <c r="BE104" s="77"/>
      <c r="BF104" s="77"/>
      <c r="BG104" s="77"/>
      <c r="BH104" s="77"/>
      <c r="BI104" s="77"/>
    </row>
    <row r="105" spans="1:61" x14ac:dyDescent="0.25">
      <c r="A105" s="62" t="s">
        <v>266</v>
      </c>
      <c r="B105" s="62" t="s">
        <v>266</v>
      </c>
      <c r="C105" s="63"/>
      <c r="D105" s="64"/>
      <c r="E105" s="65"/>
      <c r="F105" s="66"/>
      <c r="G105" s="63"/>
      <c r="H105" s="67"/>
      <c r="I105" s="68"/>
      <c r="J105" s="68"/>
      <c r="K105" s="32"/>
      <c r="L105" s="75">
        <v>105</v>
      </c>
      <c r="M105" s="75"/>
      <c r="N105" s="70"/>
      <c r="O105" s="77" t="s">
        <v>179</v>
      </c>
      <c r="P105" s="79">
        <v>45112.500011574077</v>
      </c>
      <c r="Q105" s="77" t="s">
        <v>641</v>
      </c>
      <c r="R105" s="77">
        <v>0</v>
      </c>
      <c r="S105" s="77">
        <v>1</v>
      </c>
      <c r="T105" s="77">
        <v>0</v>
      </c>
      <c r="U105" s="77">
        <v>0</v>
      </c>
      <c r="V105" s="77">
        <v>12</v>
      </c>
      <c r="W105" s="82" t="s">
        <v>1513</v>
      </c>
      <c r="X105" s="80" t="str">
        <f>HYPERLINK("https://www.williamhunt.com.br/segredos-dos-investimentos-para-iniciantes")</f>
        <v>https://www.williamhunt.com.br/segredos-dos-investimentos-para-iniciantes</v>
      </c>
      <c r="Y105" s="77" t="s">
        <v>1978</v>
      </c>
      <c r="Z105" s="77"/>
      <c r="AA105" s="77" t="s">
        <v>2071</v>
      </c>
      <c r="AB105" s="77" t="s">
        <v>2632</v>
      </c>
      <c r="AC105" s="82" t="s">
        <v>2639</v>
      </c>
      <c r="AD105" s="77" t="s">
        <v>2670</v>
      </c>
      <c r="AE105" s="80" t="str">
        <f>HYPERLINK("https://twitter.com/williamhuntbr/status/1676561566185971712")</f>
        <v>https://twitter.com/williamhuntbr/status/1676561566185971712</v>
      </c>
      <c r="AF105" s="79">
        <v>45112.500011574077</v>
      </c>
      <c r="AG105" s="85">
        <v>45112</v>
      </c>
      <c r="AH105" s="82" t="s">
        <v>2769</v>
      </c>
      <c r="AI105" s="77" t="b">
        <v>0</v>
      </c>
      <c r="AJ105" s="77"/>
      <c r="AK105" s="77"/>
      <c r="AL105" s="77"/>
      <c r="AM105" s="77"/>
      <c r="AN105" s="77"/>
      <c r="AO105" s="77"/>
      <c r="AP105" s="77"/>
      <c r="AQ105" s="77" t="s">
        <v>3500</v>
      </c>
      <c r="AR105" s="77"/>
      <c r="AS105" s="77"/>
      <c r="AT105" s="77"/>
      <c r="AU105" s="77"/>
      <c r="AV105" s="80" t="str">
        <f>HYPERLINK("https://pbs.twimg.com/media/Fz5tIh5XgAUhWNk.jpg")</f>
        <v>https://pbs.twimg.com/media/Fz5tIh5XgAUhWNk.jpg</v>
      </c>
      <c r="AW105" s="82" t="s">
        <v>4162</v>
      </c>
      <c r="AX105" s="82" t="s">
        <v>4162</v>
      </c>
      <c r="AY105" s="77"/>
      <c r="AZ105" s="82" t="s">
        <v>5075</v>
      </c>
      <c r="BA105" s="82" t="s">
        <v>5075</v>
      </c>
      <c r="BB105" s="82" t="s">
        <v>5075</v>
      </c>
      <c r="BC105" s="82" t="s">
        <v>4162</v>
      </c>
      <c r="BD105" s="82" t="s">
        <v>5145</v>
      </c>
      <c r="BE105" s="77"/>
      <c r="BF105" s="77"/>
      <c r="BG105" s="77"/>
      <c r="BH105" s="77"/>
      <c r="BI105" s="77"/>
    </row>
    <row r="106" spans="1:61" x14ac:dyDescent="0.25">
      <c r="A106" s="62" t="s">
        <v>266</v>
      </c>
      <c r="B106" s="62" t="s">
        <v>266</v>
      </c>
      <c r="C106" s="63"/>
      <c r="D106" s="64"/>
      <c r="E106" s="65"/>
      <c r="F106" s="66"/>
      <c r="G106" s="63"/>
      <c r="H106" s="67"/>
      <c r="I106" s="68"/>
      <c r="J106" s="68"/>
      <c r="K106" s="32"/>
      <c r="L106" s="75">
        <v>106</v>
      </c>
      <c r="M106" s="75"/>
      <c r="N106" s="70"/>
      <c r="O106" s="77" t="s">
        <v>179</v>
      </c>
      <c r="P106" s="79">
        <v>45103.5</v>
      </c>
      <c r="Q106" s="77" t="s">
        <v>642</v>
      </c>
      <c r="R106" s="77">
        <v>0</v>
      </c>
      <c r="S106" s="77">
        <v>0</v>
      </c>
      <c r="T106" s="77">
        <v>0</v>
      </c>
      <c r="U106" s="77">
        <v>0</v>
      </c>
      <c r="V106" s="77">
        <v>10</v>
      </c>
      <c r="W106" s="82" t="s">
        <v>1499</v>
      </c>
      <c r="X106" s="80" t="str">
        <f>HYPERLINK("https://www.williamhunt.com.br/segredos-dos-investimentos-para-iniciantes")</f>
        <v>https://www.williamhunt.com.br/segredos-dos-investimentos-para-iniciantes</v>
      </c>
      <c r="Y106" s="77" t="s">
        <v>1978</v>
      </c>
      <c r="Z106" s="77"/>
      <c r="AA106" s="77" t="s">
        <v>2072</v>
      </c>
      <c r="AB106" s="77" t="s">
        <v>2632</v>
      </c>
      <c r="AC106" s="82" t="s">
        <v>2639</v>
      </c>
      <c r="AD106" s="77" t="s">
        <v>2670</v>
      </c>
      <c r="AE106" s="80" t="str">
        <f>HYPERLINK("https://twitter.com/williamhuntbr/status/1673300075206811653")</f>
        <v>https://twitter.com/williamhuntbr/status/1673300075206811653</v>
      </c>
      <c r="AF106" s="79">
        <v>45103.5</v>
      </c>
      <c r="AG106" s="85">
        <v>45103</v>
      </c>
      <c r="AH106" s="82" t="s">
        <v>2766</v>
      </c>
      <c r="AI106" s="77" t="b">
        <v>0</v>
      </c>
      <c r="AJ106" s="77"/>
      <c r="AK106" s="77"/>
      <c r="AL106" s="77"/>
      <c r="AM106" s="77"/>
      <c r="AN106" s="77"/>
      <c r="AO106" s="77"/>
      <c r="AP106" s="77"/>
      <c r="AQ106" s="77" t="s">
        <v>3501</v>
      </c>
      <c r="AR106" s="77"/>
      <c r="AS106" s="77"/>
      <c r="AT106" s="77"/>
      <c r="AU106" s="77"/>
      <c r="AV106" s="80" t="str">
        <f>HYPERLINK("https://pbs.twimg.com/media/FyxFu1IWAAE9i7k.jpg")</f>
        <v>https://pbs.twimg.com/media/FyxFu1IWAAE9i7k.jpg</v>
      </c>
      <c r="AW106" s="82" t="s">
        <v>4163</v>
      </c>
      <c r="AX106" s="82" t="s">
        <v>4163</v>
      </c>
      <c r="AY106" s="77"/>
      <c r="AZ106" s="82" t="s">
        <v>5075</v>
      </c>
      <c r="BA106" s="82" t="s">
        <v>5075</v>
      </c>
      <c r="BB106" s="82" t="s">
        <v>5075</v>
      </c>
      <c r="BC106" s="82" t="s">
        <v>4163</v>
      </c>
      <c r="BD106" s="82" t="s">
        <v>5145</v>
      </c>
      <c r="BE106" s="77"/>
      <c r="BF106" s="77"/>
      <c r="BG106" s="77"/>
      <c r="BH106" s="77"/>
      <c r="BI106" s="77"/>
    </row>
    <row r="107" spans="1:61" x14ac:dyDescent="0.25">
      <c r="A107" s="62" t="s">
        <v>266</v>
      </c>
      <c r="B107" s="62" t="s">
        <v>266</v>
      </c>
      <c r="C107" s="63"/>
      <c r="D107" s="64"/>
      <c r="E107" s="65"/>
      <c r="F107" s="66"/>
      <c r="G107" s="63"/>
      <c r="H107" s="67"/>
      <c r="I107" s="68"/>
      <c r="J107" s="68"/>
      <c r="K107" s="32"/>
      <c r="L107" s="75">
        <v>107</v>
      </c>
      <c r="M107" s="75"/>
      <c r="N107" s="70"/>
      <c r="O107" s="77" t="s">
        <v>179</v>
      </c>
      <c r="P107" s="79">
        <v>45082.500023148146</v>
      </c>
      <c r="Q107" s="77" t="s">
        <v>643</v>
      </c>
      <c r="R107" s="77">
        <v>0</v>
      </c>
      <c r="S107" s="77">
        <v>0</v>
      </c>
      <c r="T107" s="77">
        <v>0</v>
      </c>
      <c r="U107" s="77">
        <v>0</v>
      </c>
      <c r="V107" s="77">
        <v>12</v>
      </c>
      <c r="W107" s="82" t="s">
        <v>1499</v>
      </c>
      <c r="X107" s="80" t="str">
        <f>HYPERLINK("https://www.williamhunt.com.br/segredos-dos-investimentos-para-iniciantes")</f>
        <v>https://www.williamhunt.com.br/segredos-dos-investimentos-para-iniciantes</v>
      </c>
      <c r="Y107" s="77" t="s">
        <v>1978</v>
      </c>
      <c r="Z107" s="77"/>
      <c r="AA107" s="77" t="s">
        <v>2073</v>
      </c>
      <c r="AB107" s="77" t="s">
        <v>2632</v>
      </c>
      <c r="AC107" s="82" t="s">
        <v>2639</v>
      </c>
      <c r="AD107" s="77" t="s">
        <v>2670</v>
      </c>
      <c r="AE107" s="80" t="str">
        <f>HYPERLINK("https://twitter.com/williamhuntbr/status/1665689936622747648")</f>
        <v>https://twitter.com/williamhuntbr/status/1665689936622747648</v>
      </c>
      <c r="AF107" s="79">
        <v>45082.500023148146</v>
      </c>
      <c r="AG107" s="85">
        <v>45082</v>
      </c>
      <c r="AH107" s="82" t="s">
        <v>2763</v>
      </c>
      <c r="AI107" s="77" t="b">
        <v>0</v>
      </c>
      <c r="AJ107" s="77"/>
      <c r="AK107" s="77"/>
      <c r="AL107" s="77"/>
      <c r="AM107" s="77"/>
      <c r="AN107" s="77"/>
      <c r="AO107" s="77"/>
      <c r="AP107" s="77"/>
      <c r="AQ107" s="77" t="s">
        <v>3502</v>
      </c>
      <c r="AR107" s="77"/>
      <c r="AS107" s="77"/>
      <c r="AT107" s="77"/>
      <c r="AU107" s="77"/>
      <c r="AV107" s="80" t="str">
        <f>HYPERLINK("https://pbs.twimg.com/media/FxpCW4rWYAAtS6l.jpg")</f>
        <v>https://pbs.twimg.com/media/FxpCW4rWYAAtS6l.jpg</v>
      </c>
      <c r="AW107" s="82" t="s">
        <v>4164</v>
      </c>
      <c r="AX107" s="82" t="s">
        <v>4164</v>
      </c>
      <c r="AY107" s="77"/>
      <c r="AZ107" s="82" t="s">
        <v>5075</v>
      </c>
      <c r="BA107" s="82" t="s">
        <v>5075</v>
      </c>
      <c r="BB107" s="82" t="s">
        <v>5075</v>
      </c>
      <c r="BC107" s="82" t="s">
        <v>4164</v>
      </c>
      <c r="BD107" s="82" t="s">
        <v>5145</v>
      </c>
      <c r="BE107" s="77"/>
      <c r="BF107" s="77"/>
      <c r="BG107" s="77"/>
      <c r="BH107" s="77"/>
      <c r="BI107" s="77"/>
    </row>
    <row r="108" spans="1:61" x14ac:dyDescent="0.25">
      <c r="A108" s="62" t="s">
        <v>266</v>
      </c>
      <c r="B108" s="62" t="s">
        <v>266</v>
      </c>
      <c r="C108" s="63"/>
      <c r="D108" s="64"/>
      <c r="E108" s="65"/>
      <c r="F108" s="66"/>
      <c r="G108" s="63"/>
      <c r="H108" s="67"/>
      <c r="I108" s="68"/>
      <c r="J108" s="68"/>
      <c r="K108" s="32"/>
      <c r="L108" s="75">
        <v>108</v>
      </c>
      <c r="M108" s="75"/>
      <c r="N108" s="70"/>
      <c r="O108" s="77" t="s">
        <v>179</v>
      </c>
      <c r="P108" s="79">
        <v>45047.652303240742</v>
      </c>
      <c r="Q108" s="77" t="s">
        <v>644</v>
      </c>
      <c r="R108" s="77">
        <v>0</v>
      </c>
      <c r="S108" s="77">
        <v>0</v>
      </c>
      <c r="T108" s="77">
        <v>0</v>
      </c>
      <c r="U108" s="77">
        <v>0</v>
      </c>
      <c r="V108" s="77">
        <v>21</v>
      </c>
      <c r="W108" s="82" t="s">
        <v>1514</v>
      </c>
      <c r="X108" s="80" t="str">
        <f>HYPERLINK("http://www.williamhunt.com.br/completo")</f>
        <v>http://www.williamhunt.com.br/completo</v>
      </c>
      <c r="Y108" s="77" t="s">
        <v>1978</v>
      </c>
      <c r="Z108" s="77"/>
      <c r="AA108" s="77" t="s">
        <v>2074</v>
      </c>
      <c r="AB108" s="77" t="s">
        <v>2632</v>
      </c>
      <c r="AC108" s="82" t="s">
        <v>2639</v>
      </c>
      <c r="AD108" s="77" t="s">
        <v>2670</v>
      </c>
      <c r="AE108" s="80" t="str">
        <f>HYPERLINK("https://twitter.com/williamhuntbr/status/1653061545675333634")</f>
        <v>https://twitter.com/williamhuntbr/status/1653061545675333634</v>
      </c>
      <c r="AF108" s="79">
        <v>45047.652303240742</v>
      </c>
      <c r="AG108" s="85">
        <v>45047</v>
      </c>
      <c r="AH108" s="82" t="s">
        <v>2770</v>
      </c>
      <c r="AI108" s="77" t="b">
        <v>0</v>
      </c>
      <c r="AJ108" s="77"/>
      <c r="AK108" s="77"/>
      <c r="AL108" s="77"/>
      <c r="AM108" s="77"/>
      <c r="AN108" s="77"/>
      <c r="AO108" s="77"/>
      <c r="AP108" s="77"/>
      <c r="AQ108" s="77" t="s">
        <v>3503</v>
      </c>
      <c r="AR108" s="77"/>
      <c r="AS108" s="77"/>
      <c r="AT108" s="77"/>
      <c r="AU108" s="77"/>
      <c r="AV108" s="80" t="str">
        <f>HYPERLINK("https://pbs.twimg.com/media/FvDahdUXgAA3awb.jpg")</f>
        <v>https://pbs.twimg.com/media/FvDahdUXgAA3awb.jpg</v>
      </c>
      <c r="AW108" s="82" t="s">
        <v>4165</v>
      </c>
      <c r="AX108" s="82" t="s">
        <v>4165</v>
      </c>
      <c r="AY108" s="77"/>
      <c r="AZ108" s="82" t="s">
        <v>5075</v>
      </c>
      <c r="BA108" s="82" t="s">
        <v>5075</v>
      </c>
      <c r="BB108" s="82" t="s">
        <v>5075</v>
      </c>
      <c r="BC108" s="82" t="s">
        <v>4165</v>
      </c>
      <c r="BD108" s="82" t="s">
        <v>5145</v>
      </c>
      <c r="BE108" s="77"/>
      <c r="BF108" s="77"/>
      <c r="BG108" s="77"/>
      <c r="BH108" s="77"/>
      <c r="BI108" s="77"/>
    </row>
    <row r="109" spans="1:61" x14ac:dyDescent="0.25">
      <c r="A109" s="62" t="s">
        <v>266</v>
      </c>
      <c r="B109" s="62" t="s">
        <v>266</v>
      </c>
      <c r="C109" s="63"/>
      <c r="D109" s="64"/>
      <c r="E109" s="65"/>
      <c r="F109" s="66"/>
      <c r="G109" s="63"/>
      <c r="H109" s="67"/>
      <c r="I109" s="68"/>
      <c r="J109" s="68"/>
      <c r="K109" s="32"/>
      <c r="L109" s="75">
        <v>109</v>
      </c>
      <c r="M109" s="75"/>
      <c r="N109" s="70"/>
      <c r="O109" s="77" t="s">
        <v>179</v>
      </c>
      <c r="P109" s="79">
        <v>44987.749768518515</v>
      </c>
      <c r="Q109" s="77" t="s">
        <v>645</v>
      </c>
      <c r="R109" s="77">
        <v>0</v>
      </c>
      <c r="S109" s="77">
        <v>0</v>
      </c>
      <c r="T109" s="77">
        <v>0</v>
      </c>
      <c r="U109" s="77">
        <v>0</v>
      </c>
      <c r="V109" s="77">
        <v>15</v>
      </c>
      <c r="W109" s="82" t="s">
        <v>1515</v>
      </c>
      <c r="X109" s="80" t="str">
        <f>HYPERLINK("http://williamhunt.com.br/segredos-dos-investimentos-para-iniciantes")</f>
        <v>http://williamhunt.com.br/segredos-dos-investimentos-para-iniciantes</v>
      </c>
      <c r="Y109" s="77" t="s">
        <v>1978</v>
      </c>
      <c r="Z109" s="77"/>
      <c r="AA109" s="77" t="s">
        <v>2075</v>
      </c>
      <c r="AB109" s="77" t="s">
        <v>2635</v>
      </c>
      <c r="AC109" s="82" t="s">
        <v>2639</v>
      </c>
      <c r="AD109" s="77" t="s">
        <v>2670</v>
      </c>
      <c r="AE109" s="80" t="str">
        <f>HYPERLINK("https://twitter.com/williamhuntbr/status/1631353592941518848")</f>
        <v>https://twitter.com/williamhuntbr/status/1631353592941518848</v>
      </c>
      <c r="AF109" s="79">
        <v>44987.749768518515</v>
      </c>
      <c r="AG109" s="85">
        <v>44987</v>
      </c>
      <c r="AH109" s="82" t="s">
        <v>2771</v>
      </c>
      <c r="AI109" s="77" t="b">
        <v>0</v>
      </c>
      <c r="AJ109" s="77"/>
      <c r="AK109" s="77"/>
      <c r="AL109" s="77"/>
      <c r="AM109" s="77"/>
      <c r="AN109" s="77"/>
      <c r="AO109" s="77"/>
      <c r="AP109" s="77"/>
      <c r="AQ109" s="77" t="s">
        <v>3504</v>
      </c>
      <c r="AR109" s="77"/>
      <c r="AS109" s="77"/>
      <c r="AT109" s="77"/>
      <c r="AU109" s="77"/>
      <c r="AV109" s="80" t="str">
        <f>HYPERLINK("https://pbs.twimg.com/media/FqO7YUuWAAAZh-4.jpg")</f>
        <v>https://pbs.twimg.com/media/FqO7YUuWAAAZh-4.jpg</v>
      </c>
      <c r="AW109" s="82" t="s">
        <v>4166</v>
      </c>
      <c r="AX109" s="82" t="s">
        <v>4166</v>
      </c>
      <c r="AY109" s="77"/>
      <c r="AZ109" s="82" t="s">
        <v>5075</v>
      </c>
      <c r="BA109" s="82" t="s">
        <v>5075</v>
      </c>
      <c r="BB109" s="82" t="s">
        <v>5075</v>
      </c>
      <c r="BC109" s="82" t="s">
        <v>4166</v>
      </c>
      <c r="BD109" s="82" t="s">
        <v>5145</v>
      </c>
      <c r="BE109" s="77"/>
      <c r="BF109" s="77"/>
      <c r="BG109" s="77"/>
      <c r="BH109" s="77"/>
      <c r="BI109" s="77"/>
    </row>
    <row r="110" spans="1:61" x14ac:dyDescent="0.25">
      <c r="A110" s="62" t="s">
        <v>266</v>
      </c>
      <c r="B110" s="62" t="s">
        <v>266</v>
      </c>
      <c r="C110" s="63"/>
      <c r="D110" s="64"/>
      <c r="E110" s="65"/>
      <c r="F110" s="66"/>
      <c r="G110" s="63"/>
      <c r="H110" s="67"/>
      <c r="I110" s="68"/>
      <c r="J110" s="68"/>
      <c r="K110" s="32"/>
      <c r="L110" s="75">
        <v>110</v>
      </c>
      <c r="M110" s="75"/>
      <c r="N110" s="70"/>
      <c r="O110" s="77" t="s">
        <v>179</v>
      </c>
      <c r="P110" s="79">
        <v>44984.682685185187</v>
      </c>
      <c r="Q110" s="77" t="s">
        <v>646</v>
      </c>
      <c r="R110" s="77">
        <v>0</v>
      </c>
      <c r="S110" s="77">
        <v>0</v>
      </c>
      <c r="T110" s="77">
        <v>0</v>
      </c>
      <c r="U110" s="77">
        <v>0</v>
      </c>
      <c r="V110" s="77">
        <v>24</v>
      </c>
      <c r="W110" s="82" t="s">
        <v>1516</v>
      </c>
      <c r="X110" s="77"/>
      <c r="Y110" s="77"/>
      <c r="Z110" s="77"/>
      <c r="AA110" s="77" t="s">
        <v>2076</v>
      </c>
      <c r="AB110" s="77" t="s">
        <v>2632</v>
      </c>
      <c r="AC110" s="82" t="s">
        <v>2639</v>
      </c>
      <c r="AD110" s="77" t="s">
        <v>2670</v>
      </c>
      <c r="AE110" s="80" t="str">
        <f>HYPERLINK("https://twitter.com/williamhuntbr/status/1630242118953480193")</f>
        <v>https://twitter.com/williamhuntbr/status/1630242118953480193</v>
      </c>
      <c r="AF110" s="79">
        <v>44984.682685185187</v>
      </c>
      <c r="AG110" s="85">
        <v>44984</v>
      </c>
      <c r="AH110" s="82" t="s">
        <v>2772</v>
      </c>
      <c r="AI110" s="77" t="b">
        <v>0</v>
      </c>
      <c r="AJ110" s="77"/>
      <c r="AK110" s="77"/>
      <c r="AL110" s="77"/>
      <c r="AM110" s="77"/>
      <c r="AN110" s="77"/>
      <c r="AO110" s="77"/>
      <c r="AP110" s="77"/>
      <c r="AQ110" s="77" t="s">
        <v>3505</v>
      </c>
      <c r="AR110" s="77"/>
      <c r="AS110" s="77"/>
      <c r="AT110" s="77"/>
      <c r="AU110" s="77"/>
      <c r="AV110" s="80" t="str">
        <f>HYPERLINK("https://pbs.twimg.com/media/Fp_IffiX0AMrhxy.jpg")</f>
        <v>https://pbs.twimg.com/media/Fp_IffiX0AMrhxy.jpg</v>
      </c>
      <c r="AW110" s="82" t="s">
        <v>4167</v>
      </c>
      <c r="AX110" s="82" t="s">
        <v>4167</v>
      </c>
      <c r="AY110" s="77"/>
      <c r="AZ110" s="82" t="s">
        <v>5075</v>
      </c>
      <c r="BA110" s="82" t="s">
        <v>5075</v>
      </c>
      <c r="BB110" s="82" t="s">
        <v>5075</v>
      </c>
      <c r="BC110" s="82" t="s">
        <v>4167</v>
      </c>
      <c r="BD110" s="82" t="s">
        <v>5145</v>
      </c>
      <c r="BE110" s="77"/>
      <c r="BF110" s="77"/>
      <c r="BG110" s="77"/>
      <c r="BH110" s="77"/>
      <c r="BI110" s="77"/>
    </row>
    <row r="111" spans="1:61" x14ac:dyDescent="0.25">
      <c r="A111" s="62" t="s">
        <v>266</v>
      </c>
      <c r="B111" s="62" t="s">
        <v>266</v>
      </c>
      <c r="C111" s="63"/>
      <c r="D111" s="64"/>
      <c r="E111" s="65"/>
      <c r="F111" s="66"/>
      <c r="G111" s="63"/>
      <c r="H111" s="67"/>
      <c r="I111" s="68"/>
      <c r="J111" s="68"/>
      <c r="K111" s="32"/>
      <c r="L111" s="75">
        <v>111</v>
      </c>
      <c r="M111" s="75"/>
      <c r="N111" s="70"/>
      <c r="O111" s="77" t="s">
        <v>179</v>
      </c>
      <c r="P111" s="79">
        <v>45184.500023148146</v>
      </c>
      <c r="Q111" s="77" t="s">
        <v>647</v>
      </c>
      <c r="R111" s="77">
        <v>0</v>
      </c>
      <c r="S111" s="77">
        <v>0</v>
      </c>
      <c r="T111" s="77">
        <v>0</v>
      </c>
      <c r="U111" s="77">
        <v>0</v>
      </c>
      <c r="V111" s="77">
        <v>3</v>
      </c>
      <c r="W111" s="82" t="s">
        <v>1517</v>
      </c>
      <c r="X111" s="80" t="str">
        <f>HYPERLINK("http://www.williamhunt.com.br/completo")</f>
        <v>http://www.williamhunt.com.br/completo</v>
      </c>
      <c r="Y111" s="77" t="s">
        <v>1978</v>
      </c>
      <c r="Z111" s="77"/>
      <c r="AA111" s="77" t="s">
        <v>2077</v>
      </c>
      <c r="AB111" s="77" t="s">
        <v>2632</v>
      </c>
      <c r="AC111" s="82" t="s">
        <v>2639</v>
      </c>
      <c r="AD111" s="77" t="s">
        <v>2670</v>
      </c>
      <c r="AE111" s="80" t="str">
        <f>HYPERLINK("https://twitter.com/williamhuntbr/status/1702653497945252152")</f>
        <v>https://twitter.com/williamhuntbr/status/1702653497945252152</v>
      </c>
      <c r="AF111" s="79">
        <v>45184.500023148146</v>
      </c>
      <c r="AG111" s="85">
        <v>45184</v>
      </c>
      <c r="AH111" s="82" t="s">
        <v>2763</v>
      </c>
      <c r="AI111" s="77" t="b">
        <v>0</v>
      </c>
      <c r="AJ111" s="77"/>
      <c r="AK111" s="77"/>
      <c r="AL111" s="77"/>
      <c r="AM111" s="77"/>
      <c r="AN111" s="77"/>
      <c r="AO111" s="77"/>
      <c r="AP111" s="77"/>
      <c r="AQ111" s="77" t="s">
        <v>3506</v>
      </c>
      <c r="AR111" s="77"/>
      <c r="AS111" s="77"/>
      <c r="AT111" s="77"/>
      <c r="AU111" s="77"/>
      <c r="AV111" s="80" t="str">
        <f>HYPERLINK("https://pbs.twimg.com/media/F5xIKkoXAAAsvr6.jpg")</f>
        <v>https://pbs.twimg.com/media/F5xIKkoXAAAsvr6.jpg</v>
      </c>
      <c r="AW111" s="82" t="s">
        <v>4168</v>
      </c>
      <c r="AX111" s="82" t="s">
        <v>4168</v>
      </c>
      <c r="AY111" s="77"/>
      <c r="AZ111" s="82" t="s">
        <v>5075</v>
      </c>
      <c r="BA111" s="82" t="s">
        <v>5075</v>
      </c>
      <c r="BB111" s="82" t="s">
        <v>5075</v>
      </c>
      <c r="BC111" s="82" t="s">
        <v>4168</v>
      </c>
      <c r="BD111" s="82" t="s">
        <v>5145</v>
      </c>
      <c r="BE111" s="77"/>
      <c r="BF111" s="77"/>
      <c r="BG111" s="77"/>
      <c r="BH111" s="77"/>
      <c r="BI111" s="77"/>
    </row>
    <row r="112" spans="1:61" x14ac:dyDescent="0.25">
      <c r="A112" s="62" t="s">
        <v>266</v>
      </c>
      <c r="B112" s="62" t="s">
        <v>266</v>
      </c>
      <c r="C112" s="63"/>
      <c r="D112" s="64"/>
      <c r="E112" s="65"/>
      <c r="F112" s="66"/>
      <c r="G112" s="63"/>
      <c r="H112" s="67"/>
      <c r="I112" s="68"/>
      <c r="J112" s="68"/>
      <c r="K112" s="32"/>
      <c r="L112" s="75">
        <v>112</v>
      </c>
      <c r="M112" s="75"/>
      <c r="N112" s="70"/>
      <c r="O112" s="77" t="s">
        <v>179</v>
      </c>
      <c r="P112" s="79">
        <v>45170.551898148151</v>
      </c>
      <c r="Q112" s="77" t="s">
        <v>648</v>
      </c>
      <c r="R112" s="77">
        <v>0</v>
      </c>
      <c r="S112" s="77">
        <v>0</v>
      </c>
      <c r="T112" s="77">
        <v>0</v>
      </c>
      <c r="U112" s="77">
        <v>0</v>
      </c>
      <c r="V112" s="77">
        <v>37</v>
      </c>
      <c r="W112" s="82" t="s">
        <v>1518</v>
      </c>
      <c r="X112" s="80" t="str">
        <f>HYPERLINK("http://www.williamhunt.com.br/completo")</f>
        <v>http://www.williamhunt.com.br/completo</v>
      </c>
      <c r="Y112" s="77" t="s">
        <v>1978</v>
      </c>
      <c r="Z112" s="77"/>
      <c r="AA112" s="77" t="s">
        <v>2078</v>
      </c>
      <c r="AB112" s="77" t="s">
        <v>2632</v>
      </c>
      <c r="AC112" s="82" t="s">
        <v>2639</v>
      </c>
      <c r="AD112" s="77" t="s">
        <v>2670</v>
      </c>
      <c r="AE112" s="80" t="str">
        <f>HYPERLINK("https://twitter.com/williamhuntbr/status/1697598865598189633")</f>
        <v>https://twitter.com/williamhuntbr/status/1697598865598189633</v>
      </c>
      <c r="AF112" s="79">
        <v>45170.551898148151</v>
      </c>
      <c r="AG112" s="85">
        <v>45170</v>
      </c>
      <c r="AH112" s="82" t="s">
        <v>2773</v>
      </c>
      <c r="AI112" s="77" t="b">
        <v>0</v>
      </c>
      <c r="AJ112" s="77"/>
      <c r="AK112" s="77"/>
      <c r="AL112" s="77"/>
      <c r="AM112" s="77"/>
      <c r="AN112" s="77"/>
      <c r="AO112" s="77"/>
      <c r="AP112" s="77"/>
      <c r="AQ112" s="77" t="s">
        <v>3507</v>
      </c>
      <c r="AR112" s="77"/>
      <c r="AS112" s="77"/>
      <c r="AT112" s="77"/>
      <c r="AU112" s="77"/>
      <c r="AV112" s="80" t="str">
        <f>HYPERLINK("https://pbs.twimg.com/media/F48VFn9WAAIoeiY.jpg")</f>
        <v>https://pbs.twimg.com/media/F48VFn9WAAIoeiY.jpg</v>
      </c>
      <c r="AW112" s="82" t="s">
        <v>4169</v>
      </c>
      <c r="AX112" s="82" t="s">
        <v>4169</v>
      </c>
      <c r="AY112" s="77"/>
      <c r="AZ112" s="82" t="s">
        <v>5075</v>
      </c>
      <c r="BA112" s="82" t="s">
        <v>5075</v>
      </c>
      <c r="BB112" s="82" t="s">
        <v>5075</v>
      </c>
      <c r="BC112" s="82" t="s">
        <v>4169</v>
      </c>
      <c r="BD112" s="82" t="s">
        <v>5145</v>
      </c>
      <c r="BE112" s="77"/>
      <c r="BF112" s="77"/>
      <c r="BG112" s="77"/>
      <c r="BH112" s="77"/>
      <c r="BI112" s="77"/>
    </row>
    <row r="113" spans="1:61" x14ac:dyDescent="0.25">
      <c r="A113" s="62" t="s">
        <v>266</v>
      </c>
      <c r="B113" s="62" t="s">
        <v>266</v>
      </c>
      <c r="C113" s="63"/>
      <c r="D113" s="64"/>
      <c r="E113" s="65"/>
      <c r="F113" s="66"/>
      <c r="G113" s="63"/>
      <c r="H113" s="67"/>
      <c r="I113" s="68"/>
      <c r="J113" s="68"/>
      <c r="K113" s="32"/>
      <c r="L113" s="75">
        <v>113</v>
      </c>
      <c r="M113" s="75"/>
      <c r="N113" s="70"/>
      <c r="O113" s="77" t="s">
        <v>179</v>
      </c>
      <c r="P113" s="79">
        <v>45128.500011574077</v>
      </c>
      <c r="Q113" s="77" t="s">
        <v>649</v>
      </c>
      <c r="R113" s="77">
        <v>0</v>
      </c>
      <c r="S113" s="77">
        <v>0</v>
      </c>
      <c r="T113" s="77">
        <v>0</v>
      </c>
      <c r="U113" s="77">
        <v>0</v>
      </c>
      <c r="V113" s="77">
        <v>17</v>
      </c>
      <c r="W113" s="82" t="s">
        <v>1506</v>
      </c>
      <c r="X113" s="80" t="str">
        <f>HYPERLINK("https://www.williamhunt.com.br/segredos-dos-investimentos-para-iniciantes")</f>
        <v>https://www.williamhunt.com.br/segredos-dos-investimentos-para-iniciantes</v>
      </c>
      <c r="Y113" s="77" t="s">
        <v>1978</v>
      </c>
      <c r="Z113" s="77"/>
      <c r="AA113" s="77" t="s">
        <v>2079</v>
      </c>
      <c r="AB113" s="77" t="s">
        <v>2632</v>
      </c>
      <c r="AC113" s="82" t="s">
        <v>2639</v>
      </c>
      <c r="AD113" s="77" t="s">
        <v>2670</v>
      </c>
      <c r="AE113" s="80" t="str">
        <f>HYPERLINK("https://twitter.com/williamhuntbr/status/1682359774556438532")</f>
        <v>https://twitter.com/williamhuntbr/status/1682359774556438532</v>
      </c>
      <c r="AF113" s="79">
        <v>45128.500011574077</v>
      </c>
      <c r="AG113" s="85">
        <v>45128</v>
      </c>
      <c r="AH113" s="82" t="s">
        <v>2769</v>
      </c>
      <c r="AI113" s="77" t="b">
        <v>0</v>
      </c>
      <c r="AJ113" s="77"/>
      <c r="AK113" s="77"/>
      <c r="AL113" s="77"/>
      <c r="AM113" s="77"/>
      <c r="AN113" s="77"/>
      <c r="AO113" s="77"/>
      <c r="AP113" s="77"/>
      <c r="AQ113" s="77" t="s">
        <v>3508</v>
      </c>
      <c r="AR113" s="77"/>
      <c r="AS113" s="77"/>
      <c r="AT113" s="77"/>
      <c r="AU113" s="77"/>
      <c r="AV113" s="80" t="str">
        <f>HYPERLINK("https://pbs.twimg.com/media/F1BZf-8XgAAGjC7.jpg")</f>
        <v>https://pbs.twimg.com/media/F1BZf-8XgAAGjC7.jpg</v>
      </c>
      <c r="AW113" s="82" t="s">
        <v>4170</v>
      </c>
      <c r="AX113" s="82" t="s">
        <v>4170</v>
      </c>
      <c r="AY113" s="77"/>
      <c r="AZ113" s="82" t="s">
        <v>5075</v>
      </c>
      <c r="BA113" s="82" t="s">
        <v>5075</v>
      </c>
      <c r="BB113" s="82" t="s">
        <v>5075</v>
      </c>
      <c r="BC113" s="82" t="s">
        <v>4170</v>
      </c>
      <c r="BD113" s="82" t="s">
        <v>5145</v>
      </c>
      <c r="BE113" s="77"/>
      <c r="BF113" s="77"/>
      <c r="BG113" s="77"/>
      <c r="BH113" s="77"/>
      <c r="BI113" s="77"/>
    </row>
    <row r="114" spans="1:61" x14ac:dyDescent="0.25">
      <c r="A114" s="62" t="s">
        <v>266</v>
      </c>
      <c r="B114" s="62" t="s">
        <v>266</v>
      </c>
      <c r="C114" s="63"/>
      <c r="D114" s="64"/>
      <c r="E114" s="65"/>
      <c r="F114" s="66"/>
      <c r="G114" s="63"/>
      <c r="H114" s="67"/>
      <c r="I114" s="68"/>
      <c r="J114" s="68"/>
      <c r="K114" s="32"/>
      <c r="L114" s="75">
        <v>114</v>
      </c>
      <c r="M114" s="75"/>
      <c r="N114" s="70"/>
      <c r="O114" s="77" t="s">
        <v>179</v>
      </c>
      <c r="P114" s="79">
        <v>45091.500011574077</v>
      </c>
      <c r="Q114" s="77" t="s">
        <v>650</v>
      </c>
      <c r="R114" s="77">
        <v>0</v>
      </c>
      <c r="S114" s="77">
        <v>0</v>
      </c>
      <c r="T114" s="77">
        <v>0</v>
      </c>
      <c r="U114" s="77">
        <v>0</v>
      </c>
      <c r="V114" s="77">
        <v>9</v>
      </c>
      <c r="W114" s="82" t="s">
        <v>1519</v>
      </c>
      <c r="X114" s="80" t="str">
        <f>HYPERLINK("https://www.williamhunt.com.br/segredos-dos-investimentos-para-iniciantes")</f>
        <v>https://www.williamhunt.com.br/segredos-dos-investimentos-para-iniciantes</v>
      </c>
      <c r="Y114" s="77" t="s">
        <v>1978</v>
      </c>
      <c r="Z114" s="77"/>
      <c r="AA114" s="77" t="s">
        <v>2080</v>
      </c>
      <c r="AB114" s="77" t="s">
        <v>2632</v>
      </c>
      <c r="AC114" s="82" t="s">
        <v>2639</v>
      </c>
      <c r="AD114" s="77" t="s">
        <v>2670</v>
      </c>
      <c r="AE114" s="80" t="str">
        <f>HYPERLINK("https://twitter.com/williamhuntbr/status/1668951422233133057")</f>
        <v>https://twitter.com/williamhuntbr/status/1668951422233133057</v>
      </c>
      <c r="AF114" s="79">
        <v>45091.500011574077</v>
      </c>
      <c r="AG114" s="85">
        <v>45091</v>
      </c>
      <c r="AH114" s="82" t="s">
        <v>2769</v>
      </c>
      <c r="AI114" s="77" t="b">
        <v>0</v>
      </c>
      <c r="AJ114" s="77"/>
      <c r="AK114" s="77"/>
      <c r="AL114" s="77"/>
      <c r="AM114" s="77"/>
      <c r="AN114" s="77"/>
      <c r="AO114" s="77"/>
      <c r="AP114" s="77"/>
      <c r="AQ114" s="77" t="s">
        <v>3509</v>
      </c>
      <c r="AR114" s="77"/>
      <c r="AS114" s="77"/>
      <c r="AT114" s="77"/>
      <c r="AU114" s="77"/>
      <c r="AV114" s="80" t="str">
        <f>HYPERLINK("https://pbs.twimg.com/media/FyG-XYaaMAIBWTj.jpg")</f>
        <v>https://pbs.twimg.com/media/FyG-XYaaMAIBWTj.jpg</v>
      </c>
      <c r="AW114" s="82" t="s">
        <v>4171</v>
      </c>
      <c r="AX114" s="82" t="s">
        <v>4171</v>
      </c>
      <c r="AY114" s="77"/>
      <c r="AZ114" s="82" t="s">
        <v>5075</v>
      </c>
      <c r="BA114" s="82" t="s">
        <v>5075</v>
      </c>
      <c r="BB114" s="82" t="s">
        <v>5075</v>
      </c>
      <c r="BC114" s="82" t="s">
        <v>4171</v>
      </c>
      <c r="BD114" s="82" t="s">
        <v>5145</v>
      </c>
      <c r="BE114" s="77"/>
      <c r="BF114" s="77"/>
      <c r="BG114" s="77"/>
      <c r="BH114" s="77"/>
      <c r="BI114" s="77"/>
    </row>
    <row r="115" spans="1:61" x14ac:dyDescent="0.25">
      <c r="A115" s="62" t="s">
        <v>266</v>
      </c>
      <c r="B115" s="62" t="s">
        <v>266</v>
      </c>
      <c r="C115" s="63"/>
      <c r="D115" s="64"/>
      <c r="E115" s="65"/>
      <c r="F115" s="66"/>
      <c r="G115" s="63"/>
      <c r="H115" s="67"/>
      <c r="I115" s="68"/>
      <c r="J115" s="68"/>
      <c r="K115" s="32"/>
      <c r="L115" s="75">
        <v>115</v>
      </c>
      <c r="M115" s="75"/>
      <c r="N115" s="70"/>
      <c r="O115" s="77" t="s">
        <v>179</v>
      </c>
      <c r="P115" s="79">
        <v>45009.626458333332</v>
      </c>
      <c r="Q115" s="77" t="s">
        <v>651</v>
      </c>
      <c r="R115" s="77">
        <v>0</v>
      </c>
      <c r="S115" s="77">
        <v>0</v>
      </c>
      <c r="T115" s="77">
        <v>0</v>
      </c>
      <c r="U115" s="77">
        <v>0</v>
      </c>
      <c r="V115" s="77">
        <v>46</v>
      </c>
      <c r="W115" s="82" t="s">
        <v>1520</v>
      </c>
      <c r="X115" s="77"/>
      <c r="Y115" s="77"/>
      <c r="Z115" s="77"/>
      <c r="AA115" s="77" t="s">
        <v>2081</v>
      </c>
      <c r="AB115" s="77" t="s">
        <v>2635</v>
      </c>
      <c r="AC115" s="82" t="s">
        <v>2639</v>
      </c>
      <c r="AD115" s="77" t="s">
        <v>2670</v>
      </c>
      <c r="AE115" s="80" t="str">
        <f>HYPERLINK("https://twitter.com/williamhuntbr/status/1639281438716510209")</f>
        <v>https://twitter.com/williamhuntbr/status/1639281438716510209</v>
      </c>
      <c r="AF115" s="79">
        <v>45009.626458333332</v>
      </c>
      <c r="AG115" s="85">
        <v>45009</v>
      </c>
      <c r="AH115" s="82" t="s">
        <v>2774</v>
      </c>
      <c r="AI115" s="77" t="b">
        <v>0</v>
      </c>
      <c r="AJ115" s="77"/>
      <c r="AK115" s="77"/>
      <c r="AL115" s="77"/>
      <c r="AM115" s="77"/>
      <c r="AN115" s="77"/>
      <c r="AO115" s="77"/>
      <c r="AP115" s="77"/>
      <c r="AQ115" s="77" t="s">
        <v>3510</v>
      </c>
      <c r="AR115" s="77"/>
      <c r="AS115" s="77"/>
      <c r="AT115" s="77"/>
      <c r="AU115" s="77"/>
      <c r="AV115" s="80" t="str">
        <f>HYPERLINK("https://pbs.twimg.com/media/Fr_lvLYXsAEKAxJ.jpg")</f>
        <v>https://pbs.twimg.com/media/Fr_lvLYXsAEKAxJ.jpg</v>
      </c>
      <c r="AW115" s="82" t="s">
        <v>4172</v>
      </c>
      <c r="AX115" s="82" t="s">
        <v>4172</v>
      </c>
      <c r="AY115" s="77"/>
      <c r="AZ115" s="82" t="s">
        <v>5075</v>
      </c>
      <c r="BA115" s="82" t="s">
        <v>5075</v>
      </c>
      <c r="BB115" s="82" t="s">
        <v>5075</v>
      </c>
      <c r="BC115" s="82" t="s">
        <v>4172</v>
      </c>
      <c r="BD115" s="82" t="s">
        <v>5145</v>
      </c>
      <c r="BE115" s="77"/>
      <c r="BF115" s="77"/>
      <c r="BG115" s="77"/>
      <c r="BH115" s="77"/>
      <c r="BI115" s="77"/>
    </row>
    <row r="116" spans="1:61" x14ac:dyDescent="0.25">
      <c r="A116" s="62" t="s">
        <v>266</v>
      </c>
      <c r="B116" s="62" t="s">
        <v>266</v>
      </c>
      <c r="C116" s="63"/>
      <c r="D116" s="64"/>
      <c r="E116" s="65"/>
      <c r="F116" s="66"/>
      <c r="G116" s="63"/>
      <c r="H116" s="67"/>
      <c r="I116" s="68"/>
      <c r="J116" s="68"/>
      <c r="K116" s="32"/>
      <c r="L116" s="75">
        <v>116</v>
      </c>
      <c r="M116" s="75"/>
      <c r="N116" s="70"/>
      <c r="O116" s="77" t="s">
        <v>179</v>
      </c>
      <c r="P116" s="79">
        <v>45007.607233796298</v>
      </c>
      <c r="Q116" s="77" t="s">
        <v>652</v>
      </c>
      <c r="R116" s="77">
        <v>0</v>
      </c>
      <c r="S116" s="77">
        <v>0</v>
      </c>
      <c r="T116" s="77">
        <v>0</v>
      </c>
      <c r="U116" s="77">
        <v>0</v>
      </c>
      <c r="V116" s="77">
        <v>18</v>
      </c>
      <c r="W116" s="82" t="s">
        <v>1521</v>
      </c>
      <c r="X116" s="77"/>
      <c r="Y116" s="77"/>
      <c r="Z116" s="77"/>
      <c r="AA116" s="77" t="s">
        <v>2082</v>
      </c>
      <c r="AB116" s="77" t="s">
        <v>2632</v>
      </c>
      <c r="AC116" s="82" t="s">
        <v>2639</v>
      </c>
      <c r="AD116" s="77" t="s">
        <v>2670</v>
      </c>
      <c r="AE116" s="80" t="str">
        <f>HYPERLINK("https://twitter.com/williamhuntbr/status/1638549696506462209")</f>
        <v>https://twitter.com/williamhuntbr/status/1638549696506462209</v>
      </c>
      <c r="AF116" s="79">
        <v>45007.607233796298</v>
      </c>
      <c r="AG116" s="85">
        <v>45007</v>
      </c>
      <c r="AH116" s="82" t="s">
        <v>2775</v>
      </c>
      <c r="AI116" s="77" t="b">
        <v>0</v>
      </c>
      <c r="AJ116" s="77"/>
      <c r="AK116" s="77"/>
      <c r="AL116" s="77"/>
      <c r="AM116" s="77"/>
      <c r="AN116" s="77"/>
      <c r="AO116" s="77"/>
      <c r="AP116" s="77"/>
      <c r="AQ116" s="77" t="s">
        <v>3511</v>
      </c>
      <c r="AR116" s="77"/>
      <c r="AS116" s="77"/>
      <c r="AT116" s="77"/>
      <c r="AU116" s="77"/>
      <c r="AV116" s="80" t="str">
        <f>HYPERLINK("https://pbs.twimg.com/media/Fr1MLWGXwAEApMG.jpg")</f>
        <v>https://pbs.twimg.com/media/Fr1MLWGXwAEApMG.jpg</v>
      </c>
      <c r="AW116" s="82" t="s">
        <v>4173</v>
      </c>
      <c r="AX116" s="82" t="s">
        <v>4173</v>
      </c>
      <c r="AY116" s="77"/>
      <c r="AZ116" s="82" t="s">
        <v>5075</v>
      </c>
      <c r="BA116" s="82" t="s">
        <v>5075</v>
      </c>
      <c r="BB116" s="82" t="s">
        <v>5075</v>
      </c>
      <c r="BC116" s="82" t="s">
        <v>4173</v>
      </c>
      <c r="BD116" s="82" t="s">
        <v>5145</v>
      </c>
      <c r="BE116" s="77"/>
      <c r="BF116" s="77"/>
      <c r="BG116" s="77"/>
      <c r="BH116" s="77"/>
      <c r="BI116" s="77"/>
    </row>
    <row r="117" spans="1:61" x14ac:dyDescent="0.25">
      <c r="A117" s="62" t="s">
        <v>266</v>
      </c>
      <c r="B117" s="62" t="s">
        <v>266</v>
      </c>
      <c r="C117" s="63"/>
      <c r="D117" s="64"/>
      <c r="E117" s="65"/>
      <c r="F117" s="66"/>
      <c r="G117" s="63"/>
      <c r="H117" s="67"/>
      <c r="I117" s="68"/>
      <c r="J117" s="68"/>
      <c r="K117" s="32"/>
      <c r="L117" s="75">
        <v>117</v>
      </c>
      <c r="M117" s="75"/>
      <c r="N117" s="70"/>
      <c r="O117" s="77" t="s">
        <v>179</v>
      </c>
      <c r="P117" s="79">
        <v>45189.5</v>
      </c>
      <c r="Q117" s="77" t="s">
        <v>653</v>
      </c>
      <c r="R117" s="77">
        <v>0</v>
      </c>
      <c r="S117" s="77">
        <v>0</v>
      </c>
      <c r="T117" s="77">
        <v>0</v>
      </c>
      <c r="U117" s="77">
        <v>0</v>
      </c>
      <c r="V117" s="77">
        <v>62</v>
      </c>
      <c r="W117" s="82" t="s">
        <v>1522</v>
      </c>
      <c r="X117" s="80" t="str">
        <f>HYPERLINK("http://www.williamhunt.com.br/completo")</f>
        <v>http://www.williamhunt.com.br/completo</v>
      </c>
      <c r="Y117" s="77" t="s">
        <v>1978</v>
      </c>
      <c r="Z117" s="77"/>
      <c r="AA117" s="77" t="s">
        <v>2083</v>
      </c>
      <c r="AB117" s="77" t="s">
        <v>2632</v>
      </c>
      <c r="AC117" s="82" t="s">
        <v>2639</v>
      </c>
      <c r="AD117" s="77" t="s">
        <v>2670</v>
      </c>
      <c r="AE117" s="80" t="str">
        <f>HYPERLINK("https://twitter.com/williamhuntbr/status/1704465429492854925")</f>
        <v>https://twitter.com/williamhuntbr/status/1704465429492854925</v>
      </c>
      <c r="AF117" s="79">
        <v>45189.5</v>
      </c>
      <c r="AG117" s="85">
        <v>45189</v>
      </c>
      <c r="AH117" s="82" t="s">
        <v>2766</v>
      </c>
      <c r="AI117" s="77" t="b">
        <v>0</v>
      </c>
      <c r="AJ117" s="77"/>
      <c r="AK117" s="77"/>
      <c r="AL117" s="77"/>
      <c r="AM117" s="77"/>
      <c r="AN117" s="77"/>
      <c r="AO117" s="77"/>
      <c r="AP117" s="77"/>
      <c r="AQ117" s="77" t="s">
        <v>3512</v>
      </c>
      <c r="AR117" s="77"/>
      <c r="AS117" s="77"/>
      <c r="AT117" s="77"/>
      <c r="AU117" s="77"/>
      <c r="AV117" s="80" t="str">
        <f>HYPERLINK("https://pbs.twimg.com/media/F50x3LNXIAAKGeC.jpg")</f>
        <v>https://pbs.twimg.com/media/F50x3LNXIAAKGeC.jpg</v>
      </c>
      <c r="AW117" s="82" t="s">
        <v>4174</v>
      </c>
      <c r="AX117" s="82" t="s">
        <v>4174</v>
      </c>
      <c r="AY117" s="77"/>
      <c r="AZ117" s="82" t="s">
        <v>5075</v>
      </c>
      <c r="BA117" s="82" t="s">
        <v>5075</v>
      </c>
      <c r="BB117" s="82" t="s">
        <v>5075</v>
      </c>
      <c r="BC117" s="82" t="s">
        <v>4174</v>
      </c>
      <c r="BD117" s="82" t="s">
        <v>5145</v>
      </c>
      <c r="BE117" s="77"/>
      <c r="BF117" s="77"/>
      <c r="BG117" s="77"/>
      <c r="BH117" s="77"/>
      <c r="BI117" s="77"/>
    </row>
    <row r="118" spans="1:61" x14ac:dyDescent="0.25">
      <c r="A118" s="62" t="s">
        <v>266</v>
      </c>
      <c r="B118" s="62" t="s">
        <v>266</v>
      </c>
      <c r="C118" s="63"/>
      <c r="D118" s="64"/>
      <c r="E118" s="65"/>
      <c r="F118" s="66"/>
      <c r="G118" s="63"/>
      <c r="H118" s="67"/>
      <c r="I118" s="68"/>
      <c r="J118" s="68"/>
      <c r="K118" s="32"/>
      <c r="L118" s="75">
        <v>118</v>
      </c>
      <c r="M118" s="75"/>
      <c r="N118" s="70"/>
      <c r="O118" s="77" t="s">
        <v>179</v>
      </c>
      <c r="P118" s="79">
        <v>45131.500023148146</v>
      </c>
      <c r="Q118" s="77" t="s">
        <v>654</v>
      </c>
      <c r="R118" s="77">
        <v>0</v>
      </c>
      <c r="S118" s="77">
        <v>0</v>
      </c>
      <c r="T118" s="77">
        <v>0</v>
      </c>
      <c r="U118" s="77">
        <v>0</v>
      </c>
      <c r="V118" s="77">
        <v>22</v>
      </c>
      <c r="W118" s="82" t="s">
        <v>1523</v>
      </c>
      <c r="X118" s="80" t="str">
        <f>HYPERLINK("https://www.williamhunt.com.br/segredos-dos-investimentos-para-iniciantes")</f>
        <v>https://www.williamhunt.com.br/segredos-dos-investimentos-para-iniciantes</v>
      </c>
      <c r="Y118" s="77" t="s">
        <v>1978</v>
      </c>
      <c r="Z118" s="77"/>
      <c r="AA118" s="77" t="s">
        <v>2084</v>
      </c>
      <c r="AB118" s="77" t="s">
        <v>2632</v>
      </c>
      <c r="AC118" s="82" t="s">
        <v>2639</v>
      </c>
      <c r="AD118" s="77" t="s">
        <v>2670</v>
      </c>
      <c r="AE118" s="80" t="str">
        <f>HYPERLINK("https://twitter.com/williamhuntbr/status/1683446940753641473")</f>
        <v>https://twitter.com/williamhuntbr/status/1683446940753641473</v>
      </c>
      <c r="AF118" s="79">
        <v>45131.500023148146</v>
      </c>
      <c r="AG118" s="85">
        <v>45131</v>
      </c>
      <c r="AH118" s="82" t="s">
        <v>2763</v>
      </c>
      <c r="AI118" s="77" t="b">
        <v>0</v>
      </c>
      <c r="AJ118" s="77"/>
      <c r="AK118" s="77"/>
      <c r="AL118" s="77"/>
      <c r="AM118" s="77"/>
      <c r="AN118" s="77"/>
      <c r="AO118" s="77"/>
      <c r="AP118" s="77"/>
      <c r="AQ118" s="77" t="s">
        <v>3513</v>
      </c>
      <c r="AR118" s="77"/>
      <c r="AS118" s="77"/>
      <c r="AT118" s="77"/>
      <c r="AU118" s="77"/>
      <c r="AV118" s="80" t="str">
        <f>HYPERLINK("https://pbs.twimg.com/media/F1Bo-gMWcAMjssd.jpg")</f>
        <v>https://pbs.twimg.com/media/F1Bo-gMWcAMjssd.jpg</v>
      </c>
      <c r="AW118" s="82" t="s">
        <v>4175</v>
      </c>
      <c r="AX118" s="82" t="s">
        <v>4175</v>
      </c>
      <c r="AY118" s="77"/>
      <c r="AZ118" s="82" t="s">
        <v>5075</v>
      </c>
      <c r="BA118" s="82" t="s">
        <v>5075</v>
      </c>
      <c r="BB118" s="82" t="s">
        <v>5075</v>
      </c>
      <c r="BC118" s="82" t="s">
        <v>4175</v>
      </c>
      <c r="BD118" s="82" t="s">
        <v>5145</v>
      </c>
      <c r="BE118" s="77"/>
      <c r="BF118" s="77"/>
      <c r="BG118" s="77"/>
      <c r="BH118" s="77"/>
      <c r="BI118" s="77"/>
    </row>
    <row r="119" spans="1:61" x14ac:dyDescent="0.25">
      <c r="A119" s="62" t="s">
        <v>266</v>
      </c>
      <c r="B119" s="62" t="s">
        <v>266</v>
      </c>
      <c r="C119" s="63"/>
      <c r="D119" s="64"/>
      <c r="E119" s="65"/>
      <c r="F119" s="66"/>
      <c r="G119" s="63"/>
      <c r="H119" s="67"/>
      <c r="I119" s="68"/>
      <c r="J119" s="68"/>
      <c r="K119" s="32"/>
      <c r="L119" s="75">
        <v>119</v>
      </c>
      <c r="M119" s="75"/>
      <c r="N119" s="70"/>
      <c r="O119" s="77" t="s">
        <v>179</v>
      </c>
      <c r="P119" s="79">
        <v>45035.604166666664</v>
      </c>
      <c r="Q119" s="77" t="s">
        <v>655</v>
      </c>
      <c r="R119" s="77">
        <v>0</v>
      </c>
      <c r="S119" s="77">
        <v>0</v>
      </c>
      <c r="T119" s="77">
        <v>0</v>
      </c>
      <c r="U119" s="77">
        <v>0</v>
      </c>
      <c r="V119" s="77">
        <v>13</v>
      </c>
      <c r="W119" s="82" t="s">
        <v>1524</v>
      </c>
      <c r="X119" s="80" t="str">
        <f>HYPERLINK("https://www.williamhunt.com.br/segredos-dos-investimentos-para-iniciantes")</f>
        <v>https://www.williamhunt.com.br/segredos-dos-investimentos-para-iniciantes</v>
      </c>
      <c r="Y119" s="77" t="s">
        <v>1978</v>
      </c>
      <c r="Z119" s="77"/>
      <c r="AA119" s="77" t="s">
        <v>2085</v>
      </c>
      <c r="AB119" s="77" t="s">
        <v>2632</v>
      </c>
      <c r="AC119" s="82" t="s">
        <v>2639</v>
      </c>
      <c r="AD119" s="77" t="s">
        <v>2670</v>
      </c>
      <c r="AE119" s="80" t="str">
        <f>HYPERLINK("https://twitter.com/williamhuntbr/status/1648695447106600960")</f>
        <v>https://twitter.com/williamhuntbr/status/1648695447106600960</v>
      </c>
      <c r="AF119" s="79">
        <v>45035.604166666664</v>
      </c>
      <c r="AG119" s="85">
        <v>45035</v>
      </c>
      <c r="AH119" s="82" t="s">
        <v>2776</v>
      </c>
      <c r="AI119" s="77" t="b">
        <v>0</v>
      </c>
      <c r="AJ119" s="77"/>
      <c r="AK119" s="77"/>
      <c r="AL119" s="77"/>
      <c r="AM119" s="77"/>
      <c r="AN119" s="77"/>
      <c r="AO119" s="77"/>
      <c r="AP119" s="77"/>
      <c r="AQ119" s="77" t="s">
        <v>3514</v>
      </c>
      <c r="AR119" s="77"/>
      <c r="AS119" s="77"/>
      <c r="AT119" s="77"/>
      <c r="AU119" s="77"/>
      <c r="AV119" s="80" t="str">
        <f>HYPERLINK("https://pbs.twimg.com/media/FtnxNH7X0AAC4Zv.jpg")</f>
        <v>https://pbs.twimg.com/media/FtnxNH7X0AAC4Zv.jpg</v>
      </c>
      <c r="AW119" s="82" t="s">
        <v>4176</v>
      </c>
      <c r="AX119" s="82" t="s">
        <v>4176</v>
      </c>
      <c r="AY119" s="77"/>
      <c r="AZ119" s="82" t="s">
        <v>5075</v>
      </c>
      <c r="BA119" s="82" t="s">
        <v>5075</v>
      </c>
      <c r="BB119" s="82" t="s">
        <v>5075</v>
      </c>
      <c r="BC119" s="82" t="s">
        <v>4176</v>
      </c>
      <c r="BD119" s="82" t="s">
        <v>5145</v>
      </c>
      <c r="BE119" s="77"/>
      <c r="BF119" s="77"/>
      <c r="BG119" s="77"/>
      <c r="BH119" s="77"/>
      <c r="BI119" s="77"/>
    </row>
    <row r="120" spans="1:61" x14ac:dyDescent="0.25">
      <c r="A120" s="62" t="s">
        <v>266</v>
      </c>
      <c r="B120" s="62" t="s">
        <v>266</v>
      </c>
      <c r="C120" s="63"/>
      <c r="D120" s="64"/>
      <c r="E120" s="65"/>
      <c r="F120" s="66"/>
      <c r="G120" s="63"/>
      <c r="H120" s="67"/>
      <c r="I120" s="68"/>
      <c r="J120" s="68"/>
      <c r="K120" s="32"/>
      <c r="L120" s="75">
        <v>120</v>
      </c>
      <c r="M120" s="75"/>
      <c r="N120" s="70"/>
      <c r="O120" s="77" t="s">
        <v>179</v>
      </c>
      <c r="P120" s="79">
        <v>44979.595462962963</v>
      </c>
      <c r="Q120" s="77" t="s">
        <v>656</v>
      </c>
      <c r="R120" s="77">
        <v>0</v>
      </c>
      <c r="S120" s="77">
        <v>0</v>
      </c>
      <c r="T120" s="77">
        <v>0</v>
      </c>
      <c r="U120" s="77">
        <v>0</v>
      </c>
      <c r="V120" s="77">
        <v>42</v>
      </c>
      <c r="W120" s="82" t="s">
        <v>1525</v>
      </c>
      <c r="X120" s="77"/>
      <c r="Y120" s="77"/>
      <c r="Z120" s="77"/>
      <c r="AA120" s="77" t="s">
        <v>2086</v>
      </c>
      <c r="AB120" s="77" t="s">
        <v>2632</v>
      </c>
      <c r="AC120" s="82" t="s">
        <v>2639</v>
      </c>
      <c r="AD120" s="77" t="s">
        <v>2670</v>
      </c>
      <c r="AE120" s="80" t="str">
        <f>HYPERLINK("https://twitter.com/williamhuntbr/status/1628398571497177089")</f>
        <v>https://twitter.com/williamhuntbr/status/1628398571497177089</v>
      </c>
      <c r="AF120" s="79">
        <v>44979.595462962963</v>
      </c>
      <c r="AG120" s="85">
        <v>44979</v>
      </c>
      <c r="AH120" s="82" t="s">
        <v>2777</v>
      </c>
      <c r="AI120" s="77" t="b">
        <v>0</v>
      </c>
      <c r="AJ120" s="77"/>
      <c r="AK120" s="77"/>
      <c r="AL120" s="77"/>
      <c r="AM120" s="77"/>
      <c r="AN120" s="77"/>
      <c r="AO120" s="77"/>
      <c r="AP120" s="77"/>
      <c r="AQ120" s="77" t="s">
        <v>3515</v>
      </c>
      <c r="AR120" s="77"/>
      <c r="AS120" s="77"/>
      <c r="AT120" s="77"/>
      <c r="AU120" s="77"/>
      <c r="AV120" s="80" t="str">
        <f>HYPERLINK("https://pbs.twimg.com/media/Fpk7zVaXsAEgy74.jpg")</f>
        <v>https://pbs.twimg.com/media/Fpk7zVaXsAEgy74.jpg</v>
      </c>
      <c r="AW120" s="82" t="s">
        <v>4177</v>
      </c>
      <c r="AX120" s="82" t="s">
        <v>4177</v>
      </c>
      <c r="AY120" s="77"/>
      <c r="AZ120" s="82" t="s">
        <v>5075</v>
      </c>
      <c r="BA120" s="82" t="s">
        <v>5075</v>
      </c>
      <c r="BB120" s="82" t="s">
        <v>5075</v>
      </c>
      <c r="BC120" s="82" t="s">
        <v>4177</v>
      </c>
      <c r="BD120" s="82" t="s">
        <v>5145</v>
      </c>
      <c r="BE120" s="77"/>
      <c r="BF120" s="77"/>
      <c r="BG120" s="77"/>
      <c r="BH120" s="77"/>
      <c r="BI120" s="77"/>
    </row>
    <row r="121" spans="1:61" x14ac:dyDescent="0.25">
      <c r="A121" s="62" t="s">
        <v>266</v>
      </c>
      <c r="B121" s="62" t="s">
        <v>266</v>
      </c>
      <c r="C121" s="63"/>
      <c r="D121" s="64"/>
      <c r="E121" s="65"/>
      <c r="F121" s="66"/>
      <c r="G121" s="63"/>
      <c r="H121" s="67"/>
      <c r="I121" s="68"/>
      <c r="J121" s="68"/>
      <c r="K121" s="32"/>
      <c r="L121" s="75">
        <v>121</v>
      </c>
      <c r="M121" s="75"/>
      <c r="N121" s="70"/>
      <c r="O121" s="77" t="s">
        <v>179</v>
      </c>
      <c r="P121" s="79">
        <v>44974.613738425927</v>
      </c>
      <c r="Q121" s="77" t="s">
        <v>657</v>
      </c>
      <c r="R121" s="77">
        <v>0</v>
      </c>
      <c r="S121" s="77">
        <v>0</v>
      </c>
      <c r="T121" s="77">
        <v>0</v>
      </c>
      <c r="U121" s="77">
        <v>0</v>
      </c>
      <c r="V121" s="77">
        <v>46</v>
      </c>
      <c r="W121" s="82" t="s">
        <v>1526</v>
      </c>
      <c r="X121" s="77"/>
      <c r="Y121" s="77"/>
      <c r="Z121" s="77"/>
      <c r="AA121" s="77" t="s">
        <v>2087</v>
      </c>
      <c r="AB121" s="77" t="s">
        <v>2636</v>
      </c>
      <c r="AC121" s="82" t="s">
        <v>2639</v>
      </c>
      <c r="AD121" s="77" t="s">
        <v>2670</v>
      </c>
      <c r="AE121" s="80" t="str">
        <f>HYPERLINK("https://twitter.com/williamhuntbr/status/1626593256321716227")</f>
        <v>https://twitter.com/williamhuntbr/status/1626593256321716227</v>
      </c>
      <c r="AF121" s="79">
        <v>44974.613738425927</v>
      </c>
      <c r="AG121" s="85">
        <v>44974</v>
      </c>
      <c r="AH121" s="82" t="s">
        <v>2778</v>
      </c>
      <c r="AI121" s="77" t="b">
        <v>0</v>
      </c>
      <c r="AJ121" s="77"/>
      <c r="AK121" s="77"/>
      <c r="AL121" s="77"/>
      <c r="AM121" s="77"/>
      <c r="AN121" s="77"/>
      <c r="AO121" s="77"/>
      <c r="AP121" s="77"/>
      <c r="AQ121" s="77" t="s">
        <v>3516</v>
      </c>
      <c r="AR121" s="77"/>
      <c r="AS121" s="77"/>
      <c r="AT121" s="77"/>
      <c r="AU121" s="77"/>
      <c r="AV121" s="80" t="str">
        <f>HYPERLINK("https://pbs.twimg.com/media/FpLR2lXaMAcF8LJ.jpg")</f>
        <v>https://pbs.twimg.com/media/FpLR2lXaMAcF8LJ.jpg</v>
      </c>
      <c r="AW121" s="82" t="s">
        <v>4178</v>
      </c>
      <c r="AX121" s="82" t="s">
        <v>4178</v>
      </c>
      <c r="AY121" s="77"/>
      <c r="AZ121" s="82" t="s">
        <v>5075</v>
      </c>
      <c r="BA121" s="82" t="s">
        <v>5075</v>
      </c>
      <c r="BB121" s="82" t="s">
        <v>5075</v>
      </c>
      <c r="BC121" s="82" t="s">
        <v>4178</v>
      </c>
      <c r="BD121" s="82" t="s">
        <v>5145</v>
      </c>
      <c r="BE121" s="77"/>
      <c r="BF121" s="77"/>
      <c r="BG121" s="77"/>
      <c r="BH121" s="77"/>
      <c r="BI121" s="77"/>
    </row>
    <row r="122" spans="1:61" x14ac:dyDescent="0.25">
      <c r="A122" s="62" t="s">
        <v>266</v>
      </c>
      <c r="B122" s="62" t="s">
        <v>266</v>
      </c>
      <c r="C122" s="63"/>
      <c r="D122" s="64"/>
      <c r="E122" s="65"/>
      <c r="F122" s="66"/>
      <c r="G122" s="63"/>
      <c r="H122" s="67"/>
      <c r="I122" s="68"/>
      <c r="J122" s="68"/>
      <c r="K122" s="32"/>
      <c r="L122" s="75">
        <v>122</v>
      </c>
      <c r="M122" s="75"/>
      <c r="N122" s="70"/>
      <c r="O122" s="77" t="s">
        <v>179</v>
      </c>
      <c r="P122" s="79">
        <v>45191.500011574077</v>
      </c>
      <c r="Q122" s="77" t="s">
        <v>658</v>
      </c>
      <c r="R122" s="77">
        <v>0</v>
      </c>
      <c r="S122" s="77">
        <v>0</v>
      </c>
      <c r="T122" s="77">
        <v>0</v>
      </c>
      <c r="U122" s="77">
        <v>0</v>
      </c>
      <c r="V122" s="77">
        <v>39</v>
      </c>
      <c r="W122" s="82" t="s">
        <v>1527</v>
      </c>
      <c r="X122" s="80" t="str">
        <f>HYPERLINK("http://www.williamhunt.com.br/completo")</f>
        <v>http://www.williamhunt.com.br/completo</v>
      </c>
      <c r="Y122" s="77" t="s">
        <v>1978</v>
      </c>
      <c r="Z122" s="77"/>
      <c r="AA122" s="77" t="s">
        <v>2088</v>
      </c>
      <c r="AB122" s="77" t="s">
        <v>2632</v>
      </c>
      <c r="AC122" s="82" t="s">
        <v>2639</v>
      </c>
      <c r="AD122" s="77" t="s">
        <v>2670</v>
      </c>
      <c r="AE122" s="80" t="str">
        <f>HYPERLINK("https://twitter.com/williamhuntbr/status/1705190208650788919")</f>
        <v>https://twitter.com/williamhuntbr/status/1705190208650788919</v>
      </c>
      <c r="AF122" s="79">
        <v>45191.500011574077</v>
      </c>
      <c r="AG122" s="85">
        <v>45191</v>
      </c>
      <c r="AH122" s="82" t="s">
        <v>2769</v>
      </c>
      <c r="AI122" s="77" t="b">
        <v>0</v>
      </c>
      <c r="AJ122" s="77"/>
      <c r="AK122" s="77"/>
      <c r="AL122" s="77"/>
      <c r="AM122" s="77"/>
      <c r="AN122" s="77"/>
      <c r="AO122" s="77"/>
      <c r="AP122" s="77"/>
      <c r="AQ122" s="77" t="s">
        <v>3517</v>
      </c>
      <c r="AR122" s="77"/>
      <c r="AS122" s="77"/>
      <c r="AT122" s="77"/>
      <c r="AU122" s="77"/>
      <c r="AV122" s="80" t="str">
        <f>HYPERLINK("https://pbs.twimg.com/media/F50571KW4AAC2_m.jpg")</f>
        <v>https://pbs.twimg.com/media/F50571KW4AAC2_m.jpg</v>
      </c>
      <c r="AW122" s="82" t="s">
        <v>4179</v>
      </c>
      <c r="AX122" s="82" t="s">
        <v>4179</v>
      </c>
      <c r="AY122" s="77"/>
      <c r="AZ122" s="82" t="s">
        <v>5075</v>
      </c>
      <c r="BA122" s="82" t="s">
        <v>5075</v>
      </c>
      <c r="BB122" s="82" t="s">
        <v>5075</v>
      </c>
      <c r="BC122" s="82" t="s">
        <v>4179</v>
      </c>
      <c r="BD122" s="82" t="s">
        <v>5145</v>
      </c>
      <c r="BE122" s="77"/>
      <c r="BF122" s="77"/>
      <c r="BG122" s="77"/>
      <c r="BH122" s="77"/>
      <c r="BI122" s="77"/>
    </row>
    <row r="123" spans="1:61" x14ac:dyDescent="0.25">
      <c r="A123" s="62" t="s">
        <v>266</v>
      </c>
      <c r="B123" s="62" t="s">
        <v>266</v>
      </c>
      <c r="C123" s="63"/>
      <c r="D123" s="64"/>
      <c r="E123" s="65"/>
      <c r="F123" s="66"/>
      <c r="G123" s="63"/>
      <c r="H123" s="67"/>
      <c r="I123" s="68"/>
      <c r="J123" s="68"/>
      <c r="K123" s="32"/>
      <c r="L123" s="75">
        <v>123</v>
      </c>
      <c r="M123" s="75"/>
      <c r="N123" s="70"/>
      <c r="O123" s="77" t="s">
        <v>179</v>
      </c>
      <c r="P123" s="79">
        <v>45163.5</v>
      </c>
      <c r="Q123" s="77" t="s">
        <v>659</v>
      </c>
      <c r="R123" s="77">
        <v>0</v>
      </c>
      <c r="S123" s="77">
        <v>0</v>
      </c>
      <c r="T123" s="77">
        <v>0</v>
      </c>
      <c r="U123" s="77">
        <v>0</v>
      </c>
      <c r="V123" s="77">
        <v>85</v>
      </c>
      <c r="W123" s="82" t="s">
        <v>1528</v>
      </c>
      <c r="X123" s="80" t="str">
        <f>HYPERLINK("http://www.williamhunt.com.br/completo")</f>
        <v>http://www.williamhunt.com.br/completo</v>
      </c>
      <c r="Y123" s="77" t="s">
        <v>1978</v>
      </c>
      <c r="Z123" s="77"/>
      <c r="AA123" s="77" t="s">
        <v>2089</v>
      </c>
      <c r="AB123" s="77" t="s">
        <v>2632</v>
      </c>
      <c r="AC123" s="82" t="s">
        <v>2639</v>
      </c>
      <c r="AD123" s="77" t="s">
        <v>2670</v>
      </c>
      <c r="AE123" s="80" t="str">
        <f>HYPERLINK("https://twitter.com/williamhuntbr/status/1695043347004510688")</f>
        <v>https://twitter.com/williamhuntbr/status/1695043347004510688</v>
      </c>
      <c r="AF123" s="79">
        <v>45163.5</v>
      </c>
      <c r="AG123" s="85">
        <v>45163</v>
      </c>
      <c r="AH123" s="82" t="s">
        <v>2766</v>
      </c>
      <c r="AI123" s="77" t="b">
        <v>0</v>
      </c>
      <c r="AJ123" s="77"/>
      <c r="AK123" s="77"/>
      <c r="AL123" s="77"/>
      <c r="AM123" s="77"/>
      <c r="AN123" s="77"/>
      <c r="AO123" s="77"/>
      <c r="AP123" s="77"/>
      <c r="AQ123" s="77" t="s">
        <v>3518</v>
      </c>
      <c r="AR123" s="77"/>
      <c r="AS123" s="77"/>
      <c r="AT123" s="77"/>
      <c r="AU123" s="77"/>
      <c r="AV123" s="80" t="str">
        <f>HYPERLINK("https://pbs.twimg.com/media/F3havjJWMAAz6a7.jpg")</f>
        <v>https://pbs.twimg.com/media/F3havjJWMAAz6a7.jpg</v>
      </c>
      <c r="AW123" s="82" t="s">
        <v>4180</v>
      </c>
      <c r="AX123" s="82" t="s">
        <v>4180</v>
      </c>
      <c r="AY123" s="77"/>
      <c r="AZ123" s="82" t="s">
        <v>5075</v>
      </c>
      <c r="BA123" s="82" t="s">
        <v>5075</v>
      </c>
      <c r="BB123" s="82" t="s">
        <v>5075</v>
      </c>
      <c r="BC123" s="82" t="s">
        <v>4180</v>
      </c>
      <c r="BD123" s="82" t="s">
        <v>5145</v>
      </c>
      <c r="BE123" s="77"/>
      <c r="BF123" s="77"/>
      <c r="BG123" s="77"/>
      <c r="BH123" s="77"/>
      <c r="BI123" s="77"/>
    </row>
    <row r="124" spans="1:61" x14ac:dyDescent="0.25">
      <c r="A124" s="62" t="s">
        <v>266</v>
      </c>
      <c r="B124" s="62" t="s">
        <v>266</v>
      </c>
      <c r="C124" s="63"/>
      <c r="D124" s="64"/>
      <c r="E124" s="65"/>
      <c r="F124" s="66"/>
      <c r="G124" s="63"/>
      <c r="H124" s="67"/>
      <c r="I124" s="68"/>
      <c r="J124" s="68"/>
      <c r="K124" s="32"/>
      <c r="L124" s="75">
        <v>124</v>
      </c>
      <c r="M124" s="75"/>
      <c r="N124" s="70"/>
      <c r="O124" s="77" t="s">
        <v>179</v>
      </c>
      <c r="P124" s="79">
        <v>45133.5</v>
      </c>
      <c r="Q124" s="77" t="s">
        <v>660</v>
      </c>
      <c r="R124" s="77">
        <v>0</v>
      </c>
      <c r="S124" s="77">
        <v>0</v>
      </c>
      <c r="T124" s="77">
        <v>0</v>
      </c>
      <c r="U124" s="77">
        <v>0</v>
      </c>
      <c r="V124" s="77">
        <v>19</v>
      </c>
      <c r="W124" s="82" t="s">
        <v>1529</v>
      </c>
      <c r="X124" s="80" t="str">
        <f>HYPERLINK("https://www.williamhunt.com.br/segredos-dos-investimentos-para-iniciantes")</f>
        <v>https://www.williamhunt.com.br/segredos-dos-investimentos-para-iniciantes</v>
      </c>
      <c r="Y124" s="77" t="s">
        <v>1978</v>
      </c>
      <c r="Z124" s="77"/>
      <c r="AA124" s="77" t="s">
        <v>2090</v>
      </c>
      <c r="AB124" s="77" t="s">
        <v>2632</v>
      </c>
      <c r="AC124" s="82" t="s">
        <v>2639</v>
      </c>
      <c r="AD124" s="77" t="s">
        <v>2670</v>
      </c>
      <c r="AE124" s="80" t="str">
        <f>HYPERLINK("https://twitter.com/williamhuntbr/status/1684171707848826881")</f>
        <v>https://twitter.com/williamhuntbr/status/1684171707848826881</v>
      </c>
      <c r="AF124" s="79">
        <v>45133.5</v>
      </c>
      <c r="AG124" s="85">
        <v>45133</v>
      </c>
      <c r="AH124" s="82" t="s">
        <v>2766</v>
      </c>
      <c r="AI124" s="77" t="b">
        <v>0</v>
      </c>
      <c r="AJ124" s="77"/>
      <c r="AK124" s="77"/>
      <c r="AL124" s="77"/>
      <c r="AM124" s="77"/>
      <c r="AN124" s="77"/>
      <c r="AO124" s="77"/>
      <c r="AP124" s="77"/>
      <c r="AQ124" s="77" t="s">
        <v>3519</v>
      </c>
      <c r="AR124" s="77"/>
      <c r="AS124" s="77"/>
      <c r="AT124" s="77"/>
      <c r="AU124" s="77"/>
      <c r="AV124" s="80" t="str">
        <f>HYPERLINK("https://pbs.twimg.com/media/F1GthTjWYAUZb36.jpg")</f>
        <v>https://pbs.twimg.com/media/F1GthTjWYAUZb36.jpg</v>
      </c>
      <c r="AW124" s="82" t="s">
        <v>4181</v>
      </c>
      <c r="AX124" s="82" t="s">
        <v>4181</v>
      </c>
      <c r="AY124" s="77"/>
      <c r="AZ124" s="82" t="s">
        <v>5075</v>
      </c>
      <c r="BA124" s="82" t="s">
        <v>5075</v>
      </c>
      <c r="BB124" s="82" t="s">
        <v>5075</v>
      </c>
      <c r="BC124" s="82" t="s">
        <v>4181</v>
      </c>
      <c r="BD124" s="82" t="s">
        <v>5145</v>
      </c>
      <c r="BE124" s="77"/>
      <c r="BF124" s="77"/>
      <c r="BG124" s="77"/>
      <c r="BH124" s="77"/>
      <c r="BI124" s="77"/>
    </row>
    <row r="125" spans="1:61" x14ac:dyDescent="0.25">
      <c r="A125" s="62" t="s">
        <v>266</v>
      </c>
      <c r="B125" s="62" t="s">
        <v>266</v>
      </c>
      <c r="C125" s="63"/>
      <c r="D125" s="64"/>
      <c r="E125" s="65"/>
      <c r="F125" s="66"/>
      <c r="G125" s="63"/>
      <c r="H125" s="67"/>
      <c r="I125" s="68"/>
      <c r="J125" s="68"/>
      <c r="K125" s="32"/>
      <c r="L125" s="75">
        <v>125</v>
      </c>
      <c r="M125" s="75"/>
      <c r="N125" s="70"/>
      <c r="O125" s="77" t="s">
        <v>179</v>
      </c>
      <c r="P125" s="79">
        <v>45121.500011574077</v>
      </c>
      <c r="Q125" s="77" t="s">
        <v>661</v>
      </c>
      <c r="R125" s="77">
        <v>0</v>
      </c>
      <c r="S125" s="77">
        <v>0</v>
      </c>
      <c r="T125" s="77">
        <v>0</v>
      </c>
      <c r="U125" s="77">
        <v>0</v>
      </c>
      <c r="V125" s="77">
        <v>17</v>
      </c>
      <c r="W125" s="82" t="s">
        <v>1530</v>
      </c>
      <c r="X125" s="80" t="str">
        <f>HYPERLINK("https://www.williamhunt.com.br/segredos-dos-investimentos-para-iniciantes")</f>
        <v>https://www.williamhunt.com.br/segredos-dos-investimentos-para-iniciantes</v>
      </c>
      <c r="Y125" s="77" t="s">
        <v>1978</v>
      </c>
      <c r="Z125" s="77"/>
      <c r="AA125" s="77" t="s">
        <v>2091</v>
      </c>
      <c r="AB125" s="77" t="s">
        <v>2632</v>
      </c>
      <c r="AC125" s="82" t="s">
        <v>2639</v>
      </c>
      <c r="AD125" s="77" t="s">
        <v>2670</v>
      </c>
      <c r="AE125" s="80" t="str">
        <f>HYPERLINK("https://twitter.com/williamhuntbr/status/1679823058209751041")</f>
        <v>https://twitter.com/williamhuntbr/status/1679823058209751041</v>
      </c>
      <c r="AF125" s="79">
        <v>45121.500011574077</v>
      </c>
      <c r="AG125" s="85">
        <v>45121</v>
      </c>
      <c r="AH125" s="82" t="s">
        <v>2769</v>
      </c>
      <c r="AI125" s="77" t="b">
        <v>0</v>
      </c>
      <c r="AJ125" s="77"/>
      <c r="AK125" s="77"/>
      <c r="AL125" s="77"/>
      <c r="AM125" s="77"/>
      <c r="AN125" s="77"/>
      <c r="AO125" s="77"/>
      <c r="AP125" s="77"/>
      <c r="AQ125" s="77" t="s">
        <v>3520</v>
      </c>
      <c r="AR125" s="77"/>
      <c r="AS125" s="77"/>
      <c r="AT125" s="77"/>
      <c r="AU125" s="77"/>
      <c r="AV125" s="80" t="str">
        <f>HYPERLINK("https://pbs.twimg.com/media/F0dhBSOXoAAauci.jpg")</f>
        <v>https://pbs.twimg.com/media/F0dhBSOXoAAauci.jpg</v>
      </c>
      <c r="AW125" s="82" t="s">
        <v>4182</v>
      </c>
      <c r="AX125" s="82" t="s">
        <v>4182</v>
      </c>
      <c r="AY125" s="77"/>
      <c r="AZ125" s="82" t="s">
        <v>5075</v>
      </c>
      <c r="BA125" s="82" t="s">
        <v>5075</v>
      </c>
      <c r="BB125" s="82" t="s">
        <v>5075</v>
      </c>
      <c r="BC125" s="82" t="s">
        <v>4182</v>
      </c>
      <c r="BD125" s="82" t="s">
        <v>5145</v>
      </c>
      <c r="BE125" s="77"/>
      <c r="BF125" s="77"/>
      <c r="BG125" s="77"/>
      <c r="BH125" s="77"/>
      <c r="BI125" s="77"/>
    </row>
    <row r="126" spans="1:61" x14ac:dyDescent="0.25">
      <c r="A126" s="62" t="s">
        <v>266</v>
      </c>
      <c r="B126" s="62" t="s">
        <v>266</v>
      </c>
      <c r="C126" s="63"/>
      <c r="D126" s="64"/>
      <c r="E126" s="65"/>
      <c r="F126" s="66"/>
      <c r="G126" s="63"/>
      <c r="H126" s="67"/>
      <c r="I126" s="68"/>
      <c r="J126" s="68"/>
      <c r="K126" s="32"/>
      <c r="L126" s="75">
        <v>126</v>
      </c>
      <c r="M126" s="75"/>
      <c r="N126" s="70"/>
      <c r="O126" s="77" t="s">
        <v>179</v>
      </c>
      <c r="P126" s="79">
        <v>45093.500034722223</v>
      </c>
      <c r="Q126" s="77" t="s">
        <v>662</v>
      </c>
      <c r="R126" s="77">
        <v>0</v>
      </c>
      <c r="S126" s="77">
        <v>0</v>
      </c>
      <c r="T126" s="77">
        <v>0</v>
      </c>
      <c r="U126" s="77">
        <v>0</v>
      </c>
      <c r="V126" s="77">
        <v>13</v>
      </c>
      <c r="W126" s="82" t="s">
        <v>1499</v>
      </c>
      <c r="X126" s="80" t="str">
        <f>HYPERLINK("https://www.williamhunt.com.br/segredos-dos-investimentos-para-iniciantes")</f>
        <v>https://www.williamhunt.com.br/segredos-dos-investimentos-para-iniciantes</v>
      </c>
      <c r="Y126" s="77" t="s">
        <v>1978</v>
      </c>
      <c r="Z126" s="77"/>
      <c r="AA126" s="77" t="s">
        <v>2092</v>
      </c>
      <c r="AB126" s="77" t="s">
        <v>2632</v>
      </c>
      <c r="AC126" s="82" t="s">
        <v>2639</v>
      </c>
      <c r="AD126" s="77" t="s">
        <v>2670</v>
      </c>
      <c r="AE126" s="80" t="str">
        <f>HYPERLINK("https://twitter.com/williamhuntbr/status/1669676206197977088")</f>
        <v>https://twitter.com/williamhuntbr/status/1669676206197977088</v>
      </c>
      <c r="AF126" s="79">
        <v>45093.500034722223</v>
      </c>
      <c r="AG126" s="85">
        <v>45093</v>
      </c>
      <c r="AH126" s="82" t="s">
        <v>2764</v>
      </c>
      <c r="AI126" s="77" t="b">
        <v>0</v>
      </c>
      <c r="AJ126" s="77"/>
      <c r="AK126" s="77"/>
      <c r="AL126" s="77"/>
      <c r="AM126" s="77"/>
      <c r="AN126" s="77"/>
      <c r="AO126" s="77"/>
      <c r="AP126" s="77"/>
      <c r="AQ126" s="77" t="s">
        <v>3521</v>
      </c>
      <c r="AR126" s="77"/>
      <c r="AS126" s="77"/>
      <c r="AT126" s="77"/>
      <c r="AU126" s="77"/>
      <c r="AV126" s="80" t="str">
        <f>HYPERLINK("https://pbs.twimg.com/media/FyHvcFUWAAETjuh.jpg")</f>
        <v>https://pbs.twimg.com/media/FyHvcFUWAAETjuh.jpg</v>
      </c>
      <c r="AW126" s="82" t="s">
        <v>4183</v>
      </c>
      <c r="AX126" s="82" t="s">
        <v>4183</v>
      </c>
      <c r="AY126" s="77"/>
      <c r="AZ126" s="82" t="s">
        <v>5075</v>
      </c>
      <c r="BA126" s="82" t="s">
        <v>5075</v>
      </c>
      <c r="BB126" s="82" t="s">
        <v>5075</v>
      </c>
      <c r="BC126" s="82" t="s">
        <v>4183</v>
      </c>
      <c r="BD126" s="82" t="s">
        <v>5145</v>
      </c>
      <c r="BE126" s="77"/>
      <c r="BF126" s="77"/>
      <c r="BG126" s="77"/>
      <c r="BH126" s="77"/>
      <c r="BI126" s="77"/>
    </row>
    <row r="127" spans="1:61" x14ac:dyDescent="0.25">
      <c r="A127" s="62" t="s">
        <v>266</v>
      </c>
      <c r="B127" s="62" t="s">
        <v>266</v>
      </c>
      <c r="C127" s="63"/>
      <c r="D127" s="64"/>
      <c r="E127" s="65"/>
      <c r="F127" s="66"/>
      <c r="G127" s="63"/>
      <c r="H127" s="67"/>
      <c r="I127" s="68"/>
      <c r="J127" s="68"/>
      <c r="K127" s="32"/>
      <c r="L127" s="75">
        <v>127</v>
      </c>
      <c r="M127" s="75"/>
      <c r="N127" s="70"/>
      <c r="O127" s="77" t="s">
        <v>179</v>
      </c>
      <c r="P127" s="79">
        <v>45026.855844907404</v>
      </c>
      <c r="Q127" s="77" t="s">
        <v>663</v>
      </c>
      <c r="R127" s="77">
        <v>0</v>
      </c>
      <c r="S127" s="77">
        <v>0</v>
      </c>
      <c r="T127" s="77">
        <v>0</v>
      </c>
      <c r="U127" s="77">
        <v>0</v>
      </c>
      <c r="V127" s="77">
        <v>11</v>
      </c>
      <c r="W127" s="82" t="s">
        <v>1527</v>
      </c>
      <c r="X127" s="80" t="str">
        <f>HYPERLINK("http://www.williamhunt.com.br/segredos-dos-investimentos-para-iniciantes")</f>
        <v>http://www.williamhunt.com.br/segredos-dos-investimentos-para-iniciantes</v>
      </c>
      <c r="Y127" s="77" t="s">
        <v>1978</v>
      </c>
      <c r="Z127" s="77"/>
      <c r="AA127" s="77" t="s">
        <v>2093</v>
      </c>
      <c r="AB127" s="77" t="s">
        <v>2632</v>
      </c>
      <c r="AC127" s="82" t="s">
        <v>2639</v>
      </c>
      <c r="AD127" s="77" t="s">
        <v>2670</v>
      </c>
      <c r="AE127" s="80" t="str">
        <f>HYPERLINK("https://twitter.com/williamhuntbr/status/1645525161230372864")</f>
        <v>https://twitter.com/williamhuntbr/status/1645525161230372864</v>
      </c>
      <c r="AF127" s="79">
        <v>45026.855844907404</v>
      </c>
      <c r="AG127" s="85">
        <v>45026</v>
      </c>
      <c r="AH127" s="82" t="s">
        <v>2779</v>
      </c>
      <c r="AI127" s="77" t="b">
        <v>0</v>
      </c>
      <c r="AJ127" s="77"/>
      <c r="AK127" s="77"/>
      <c r="AL127" s="77"/>
      <c r="AM127" s="77"/>
      <c r="AN127" s="77"/>
      <c r="AO127" s="77"/>
      <c r="AP127" s="77"/>
      <c r="AQ127" s="77" t="s">
        <v>3522</v>
      </c>
      <c r="AR127" s="77"/>
      <c r="AS127" s="77"/>
      <c r="AT127" s="77"/>
      <c r="AU127" s="77"/>
      <c r="AV127" s="80" t="str">
        <f>HYPERLINK("https://pbs.twimg.com/media/FtYUXO0XgB0_ZFc.jpg")</f>
        <v>https://pbs.twimg.com/media/FtYUXO0XgB0_ZFc.jpg</v>
      </c>
      <c r="AW127" s="82" t="s">
        <v>4184</v>
      </c>
      <c r="AX127" s="82" t="s">
        <v>4184</v>
      </c>
      <c r="AY127" s="77"/>
      <c r="AZ127" s="82" t="s">
        <v>5075</v>
      </c>
      <c r="BA127" s="82" t="s">
        <v>5075</v>
      </c>
      <c r="BB127" s="82" t="s">
        <v>5075</v>
      </c>
      <c r="BC127" s="82" t="s">
        <v>4184</v>
      </c>
      <c r="BD127" s="82" t="s">
        <v>5145</v>
      </c>
      <c r="BE127" s="77"/>
      <c r="BF127" s="77"/>
      <c r="BG127" s="77"/>
      <c r="BH127" s="77"/>
      <c r="BI127" s="77"/>
    </row>
    <row r="128" spans="1:61" x14ac:dyDescent="0.25">
      <c r="A128" s="62" t="s">
        <v>266</v>
      </c>
      <c r="B128" s="62" t="s">
        <v>266</v>
      </c>
      <c r="C128" s="63"/>
      <c r="D128" s="64"/>
      <c r="E128" s="65"/>
      <c r="F128" s="66"/>
      <c r="G128" s="63"/>
      <c r="H128" s="67"/>
      <c r="I128" s="68"/>
      <c r="J128" s="68"/>
      <c r="K128" s="32"/>
      <c r="L128" s="75">
        <v>128</v>
      </c>
      <c r="M128" s="75"/>
      <c r="N128" s="70"/>
      <c r="O128" s="77" t="s">
        <v>179</v>
      </c>
      <c r="P128" s="79">
        <v>45023.509386574071</v>
      </c>
      <c r="Q128" s="77" t="s">
        <v>664</v>
      </c>
      <c r="R128" s="77">
        <v>0</v>
      </c>
      <c r="S128" s="77">
        <v>0</v>
      </c>
      <c r="T128" s="77">
        <v>0</v>
      </c>
      <c r="U128" s="77">
        <v>0</v>
      </c>
      <c r="V128" s="77">
        <v>19</v>
      </c>
      <c r="W128" s="82" t="s">
        <v>1531</v>
      </c>
      <c r="X128" s="80" t="str">
        <f>HYPERLINK("https://www.williamhunt.com.br/segredos-dos-investimentos-para-iniciantes")</f>
        <v>https://www.williamhunt.com.br/segredos-dos-investimentos-para-iniciantes</v>
      </c>
      <c r="Y128" s="77" t="s">
        <v>1978</v>
      </c>
      <c r="Z128" s="77"/>
      <c r="AA128" s="77" t="s">
        <v>2094</v>
      </c>
      <c r="AB128" s="77" t="s">
        <v>2632</v>
      </c>
      <c r="AC128" s="82" t="s">
        <v>2639</v>
      </c>
      <c r="AD128" s="77" t="s">
        <v>2670</v>
      </c>
      <c r="AE128" s="80" t="str">
        <f>HYPERLINK("https://twitter.com/williamhuntbr/status/1644312447388360707")</f>
        <v>https://twitter.com/williamhuntbr/status/1644312447388360707</v>
      </c>
      <c r="AF128" s="79">
        <v>45023.509386574071</v>
      </c>
      <c r="AG128" s="85">
        <v>45023</v>
      </c>
      <c r="AH128" s="82" t="s">
        <v>2780</v>
      </c>
      <c r="AI128" s="77" t="b">
        <v>0</v>
      </c>
      <c r="AJ128" s="77"/>
      <c r="AK128" s="77"/>
      <c r="AL128" s="77"/>
      <c r="AM128" s="77"/>
      <c r="AN128" s="77"/>
      <c r="AO128" s="77"/>
      <c r="AP128" s="77"/>
      <c r="AQ128" s="77" t="s">
        <v>3523</v>
      </c>
      <c r="AR128" s="77"/>
      <c r="AS128" s="77"/>
      <c r="AT128" s="77"/>
      <c r="AU128" s="77"/>
      <c r="AV128" s="80" t="str">
        <f>HYPERLINK("https://pbs.twimg.com/media/FtHFXRLWcAIpILN.jpg")</f>
        <v>https://pbs.twimg.com/media/FtHFXRLWcAIpILN.jpg</v>
      </c>
      <c r="AW128" s="82" t="s">
        <v>4185</v>
      </c>
      <c r="AX128" s="82" t="s">
        <v>4185</v>
      </c>
      <c r="AY128" s="77"/>
      <c r="AZ128" s="82" t="s">
        <v>5075</v>
      </c>
      <c r="BA128" s="82" t="s">
        <v>5075</v>
      </c>
      <c r="BB128" s="82" t="s">
        <v>5075</v>
      </c>
      <c r="BC128" s="82" t="s">
        <v>4185</v>
      </c>
      <c r="BD128" s="82" t="s">
        <v>5145</v>
      </c>
      <c r="BE128" s="77"/>
      <c r="BF128" s="77"/>
      <c r="BG128" s="77"/>
      <c r="BH128" s="77"/>
      <c r="BI128" s="77"/>
    </row>
    <row r="129" spans="1:61" x14ac:dyDescent="0.25">
      <c r="A129" s="62" t="s">
        <v>266</v>
      </c>
      <c r="B129" s="62" t="s">
        <v>266</v>
      </c>
      <c r="C129" s="63"/>
      <c r="D129" s="64"/>
      <c r="E129" s="65"/>
      <c r="F129" s="66"/>
      <c r="G129" s="63"/>
      <c r="H129" s="67"/>
      <c r="I129" s="68"/>
      <c r="J129" s="68"/>
      <c r="K129" s="32"/>
      <c r="L129" s="75">
        <v>129</v>
      </c>
      <c r="M129" s="75"/>
      <c r="N129" s="70"/>
      <c r="O129" s="77" t="s">
        <v>179</v>
      </c>
      <c r="P129" s="79">
        <v>44942.607048611113</v>
      </c>
      <c r="Q129" s="77" t="s">
        <v>665</v>
      </c>
      <c r="R129" s="77">
        <v>0</v>
      </c>
      <c r="S129" s="77">
        <v>0</v>
      </c>
      <c r="T129" s="77">
        <v>0</v>
      </c>
      <c r="U129" s="77">
        <v>0</v>
      </c>
      <c r="V129" s="77">
        <v>18</v>
      </c>
      <c r="W129" s="82" t="s">
        <v>1532</v>
      </c>
      <c r="X129" s="80" t="str">
        <f>HYPERLINK("http://williamhunt.com.br/segredos-dos-investimentos-para-iniciantes")</f>
        <v>http://williamhunt.com.br/segredos-dos-investimentos-para-iniciantes</v>
      </c>
      <c r="Y129" s="77" t="s">
        <v>1978</v>
      </c>
      <c r="Z129" s="77"/>
      <c r="AA129" s="77" t="s">
        <v>2095</v>
      </c>
      <c r="AB129" s="77" t="s">
        <v>2636</v>
      </c>
      <c r="AC129" s="82" t="s">
        <v>2639</v>
      </c>
      <c r="AD129" s="77" t="s">
        <v>2670</v>
      </c>
      <c r="AE129" s="80" t="str">
        <f>HYPERLINK("https://twitter.com/williamhuntbr/status/1614994419387613186")</f>
        <v>https://twitter.com/williamhuntbr/status/1614994419387613186</v>
      </c>
      <c r="AF129" s="79">
        <v>44942.607048611113</v>
      </c>
      <c r="AG129" s="85">
        <v>44942</v>
      </c>
      <c r="AH129" s="82" t="s">
        <v>2781</v>
      </c>
      <c r="AI129" s="77" t="b">
        <v>0</v>
      </c>
      <c r="AJ129" s="77"/>
      <c r="AK129" s="77"/>
      <c r="AL129" s="77"/>
      <c r="AM129" s="77"/>
      <c r="AN129" s="77"/>
      <c r="AO129" s="77"/>
      <c r="AP129" s="77"/>
      <c r="AQ129" s="77" t="s">
        <v>3524</v>
      </c>
      <c r="AR129" s="77"/>
      <c r="AS129" s="77"/>
      <c r="AT129" s="77"/>
      <c r="AU129" s="77"/>
      <c r="AV129" s="80" t="str">
        <f>HYPERLINK("https://pbs.twimg.com/media/Fmmc04BXwAEB9iJ.jpg")</f>
        <v>https://pbs.twimg.com/media/Fmmc04BXwAEB9iJ.jpg</v>
      </c>
      <c r="AW129" s="82" t="s">
        <v>4186</v>
      </c>
      <c r="AX129" s="82" t="s">
        <v>4186</v>
      </c>
      <c r="AY129" s="77"/>
      <c r="AZ129" s="82" t="s">
        <v>5075</v>
      </c>
      <c r="BA129" s="82" t="s">
        <v>5075</v>
      </c>
      <c r="BB129" s="82" t="s">
        <v>5075</v>
      </c>
      <c r="BC129" s="82" t="s">
        <v>4186</v>
      </c>
      <c r="BD129" s="82" t="s">
        <v>5145</v>
      </c>
      <c r="BE129" s="77"/>
      <c r="BF129" s="77"/>
      <c r="BG129" s="77"/>
      <c r="BH129" s="77"/>
      <c r="BI129" s="77"/>
    </row>
    <row r="130" spans="1:61" x14ac:dyDescent="0.25">
      <c r="A130" s="62" t="s">
        <v>266</v>
      </c>
      <c r="B130" s="62" t="s">
        <v>266</v>
      </c>
      <c r="C130" s="63"/>
      <c r="D130" s="64"/>
      <c r="E130" s="65"/>
      <c r="F130" s="66"/>
      <c r="G130" s="63"/>
      <c r="H130" s="67"/>
      <c r="I130" s="68"/>
      <c r="J130" s="68"/>
      <c r="K130" s="32"/>
      <c r="L130" s="75">
        <v>130</v>
      </c>
      <c r="M130" s="75"/>
      <c r="N130" s="70"/>
      <c r="O130" s="77" t="s">
        <v>179</v>
      </c>
      <c r="P130" s="79">
        <v>45194.500011574077</v>
      </c>
      <c r="Q130" s="77" t="s">
        <v>666</v>
      </c>
      <c r="R130" s="77">
        <v>0</v>
      </c>
      <c r="S130" s="77">
        <v>0</v>
      </c>
      <c r="T130" s="77">
        <v>0</v>
      </c>
      <c r="U130" s="77">
        <v>0</v>
      </c>
      <c r="V130" s="77">
        <v>30</v>
      </c>
      <c r="W130" s="82" t="s">
        <v>1533</v>
      </c>
      <c r="X130" s="80" t="str">
        <f>HYPERLINK("http://www.williamhunt.com.br/completo")</f>
        <v>http://www.williamhunt.com.br/completo</v>
      </c>
      <c r="Y130" s="77" t="s">
        <v>1978</v>
      </c>
      <c r="Z130" s="77"/>
      <c r="AA130" s="77" t="s">
        <v>2096</v>
      </c>
      <c r="AB130" s="77" t="s">
        <v>2636</v>
      </c>
      <c r="AC130" s="82" t="s">
        <v>2639</v>
      </c>
      <c r="AD130" s="77" t="s">
        <v>2670</v>
      </c>
      <c r="AE130" s="80" t="str">
        <f>HYPERLINK("https://twitter.com/williamhuntbr/status/1706277371333230952")</f>
        <v>https://twitter.com/williamhuntbr/status/1706277371333230952</v>
      </c>
      <c r="AF130" s="79">
        <v>45194.500011574077</v>
      </c>
      <c r="AG130" s="85">
        <v>45194</v>
      </c>
      <c r="AH130" s="82" t="s">
        <v>2769</v>
      </c>
      <c r="AI130" s="77" t="b">
        <v>0</v>
      </c>
      <c r="AJ130" s="77"/>
      <c r="AK130" s="77"/>
      <c r="AL130" s="77"/>
      <c r="AM130" s="77"/>
      <c r="AN130" s="77"/>
      <c r="AO130" s="77"/>
      <c r="AP130" s="77"/>
      <c r="AQ130" s="77" t="s">
        <v>3525</v>
      </c>
      <c r="AR130" s="77"/>
      <c r="AS130" s="77"/>
      <c r="AT130" s="77"/>
      <c r="AU130" s="77"/>
      <c r="AV130" s="80" t="str">
        <f>HYPERLINK("https://pbs.twimg.com/media/F527pgvWIAAIVXV.jpg")</f>
        <v>https://pbs.twimg.com/media/F527pgvWIAAIVXV.jpg</v>
      </c>
      <c r="AW130" s="82" t="s">
        <v>4187</v>
      </c>
      <c r="AX130" s="82" t="s">
        <v>4187</v>
      </c>
      <c r="AY130" s="77"/>
      <c r="AZ130" s="82" t="s">
        <v>5075</v>
      </c>
      <c r="BA130" s="82" t="s">
        <v>5075</v>
      </c>
      <c r="BB130" s="82" t="s">
        <v>5075</v>
      </c>
      <c r="BC130" s="82" t="s">
        <v>4187</v>
      </c>
      <c r="BD130" s="82" t="s">
        <v>5145</v>
      </c>
      <c r="BE130" s="77"/>
      <c r="BF130" s="77"/>
      <c r="BG130" s="77"/>
      <c r="BH130" s="77"/>
      <c r="BI130" s="77"/>
    </row>
    <row r="131" spans="1:61" x14ac:dyDescent="0.25">
      <c r="A131" s="62" t="s">
        <v>266</v>
      </c>
      <c r="B131" s="62" t="s">
        <v>266</v>
      </c>
      <c r="C131" s="63"/>
      <c r="D131" s="64"/>
      <c r="E131" s="65"/>
      <c r="F131" s="66"/>
      <c r="G131" s="63"/>
      <c r="H131" s="67"/>
      <c r="I131" s="68"/>
      <c r="J131" s="68"/>
      <c r="K131" s="32"/>
      <c r="L131" s="75">
        <v>131</v>
      </c>
      <c r="M131" s="75"/>
      <c r="N131" s="70"/>
      <c r="O131" s="77" t="s">
        <v>179</v>
      </c>
      <c r="P131" s="79">
        <v>45030.604166666664</v>
      </c>
      <c r="Q131" s="77" t="s">
        <v>667</v>
      </c>
      <c r="R131" s="77">
        <v>0</v>
      </c>
      <c r="S131" s="77">
        <v>0</v>
      </c>
      <c r="T131" s="77">
        <v>0</v>
      </c>
      <c r="U131" s="77">
        <v>0</v>
      </c>
      <c r="V131" s="77">
        <v>16</v>
      </c>
      <c r="W131" s="82" t="s">
        <v>1534</v>
      </c>
      <c r="X131" s="80" t="str">
        <f>HYPERLINK("https://www.williamhunt.com.br/segredos-dos-investimentos-para-iniciantes")</f>
        <v>https://www.williamhunt.com.br/segredos-dos-investimentos-para-iniciantes</v>
      </c>
      <c r="Y131" s="77" t="s">
        <v>1978</v>
      </c>
      <c r="Z131" s="77"/>
      <c r="AA131" s="77" t="s">
        <v>2097</v>
      </c>
      <c r="AB131" s="77" t="s">
        <v>2632</v>
      </c>
      <c r="AC131" s="82" t="s">
        <v>2639</v>
      </c>
      <c r="AD131" s="77" t="s">
        <v>2670</v>
      </c>
      <c r="AE131" s="80" t="str">
        <f>HYPERLINK("https://twitter.com/williamhuntbr/status/1646883507690704901")</f>
        <v>https://twitter.com/williamhuntbr/status/1646883507690704901</v>
      </c>
      <c r="AF131" s="79">
        <v>45030.604166666664</v>
      </c>
      <c r="AG131" s="85">
        <v>45030</v>
      </c>
      <c r="AH131" s="82" t="s">
        <v>2776</v>
      </c>
      <c r="AI131" s="77" t="b">
        <v>0</v>
      </c>
      <c r="AJ131" s="77"/>
      <c r="AK131" s="77"/>
      <c r="AL131" s="77"/>
      <c r="AM131" s="77"/>
      <c r="AN131" s="77"/>
      <c r="AO131" s="77"/>
      <c r="AP131" s="77"/>
      <c r="AQ131" s="77" t="s">
        <v>3526</v>
      </c>
      <c r="AR131" s="77"/>
      <c r="AS131" s="77"/>
      <c r="AT131" s="77"/>
      <c r="AU131" s="77"/>
      <c r="AV131" s="80" t="str">
        <f>HYPERLINK("https://pbs.twimg.com/media/FtmhCeQXsAE8-iG.jpg")</f>
        <v>https://pbs.twimg.com/media/FtmhCeQXsAE8-iG.jpg</v>
      </c>
      <c r="AW131" s="82" t="s">
        <v>4188</v>
      </c>
      <c r="AX131" s="82" t="s">
        <v>4188</v>
      </c>
      <c r="AY131" s="77"/>
      <c r="AZ131" s="82" t="s">
        <v>5075</v>
      </c>
      <c r="BA131" s="82" t="s">
        <v>5075</v>
      </c>
      <c r="BB131" s="82" t="s">
        <v>5075</v>
      </c>
      <c r="BC131" s="82" t="s">
        <v>4188</v>
      </c>
      <c r="BD131" s="82" t="s">
        <v>5145</v>
      </c>
      <c r="BE131" s="77"/>
      <c r="BF131" s="77"/>
      <c r="BG131" s="77"/>
      <c r="BH131" s="77"/>
      <c r="BI131" s="77"/>
    </row>
    <row r="132" spans="1:61" x14ac:dyDescent="0.25">
      <c r="A132" s="62" t="s">
        <v>266</v>
      </c>
      <c r="B132" s="62" t="s">
        <v>266</v>
      </c>
      <c r="C132" s="63"/>
      <c r="D132" s="64"/>
      <c r="E132" s="65"/>
      <c r="F132" s="66"/>
      <c r="G132" s="63"/>
      <c r="H132" s="67"/>
      <c r="I132" s="68"/>
      <c r="J132" s="68"/>
      <c r="K132" s="32"/>
      <c r="L132" s="75">
        <v>132</v>
      </c>
      <c r="M132" s="75"/>
      <c r="N132" s="70"/>
      <c r="O132" s="77" t="s">
        <v>179</v>
      </c>
      <c r="P132" s="79">
        <v>44967.653425925928</v>
      </c>
      <c r="Q132" s="77" t="s">
        <v>668</v>
      </c>
      <c r="R132" s="77">
        <v>0</v>
      </c>
      <c r="S132" s="77">
        <v>0</v>
      </c>
      <c r="T132" s="77">
        <v>0</v>
      </c>
      <c r="U132" s="77">
        <v>0</v>
      </c>
      <c r="V132" s="77">
        <v>31</v>
      </c>
      <c r="W132" s="82" t="s">
        <v>1535</v>
      </c>
      <c r="X132" s="77"/>
      <c r="Y132" s="77"/>
      <c r="Z132" s="77"/>
      <c r="AA132" s="77" t="s">
        <v>2098</v>
      </c>
      <c r="AB132" s="77" t="s">
        <v>2635</v>
      </c>
      <c r="AC132" s="82" t="s">
        <v>2639</v>
      </c>
      <c r="AD132" s="77" t="s">
        <v>2670</v>
      </c>
      <c r="AE132" s="80" t="str">
        <f>HYPERLINK("https://twitter.com/williamhuntbr/status/1624070922985406470")</f>
        <v>https://twitter.com/williamhuntbr/status/1624070922985406470</v>
      </c>
      <c r="AF132" s="79">
        <v>44967.653425925928</v>
      </c>
      <c r="AG132" s="85">
        <v>44967</v>
      </c>
      <c r="AH132" s="82" t="s">
        <v>2782</v>
      </c>
      <c r="AI132" s="77" t="b">
        <v>0</v>
      </c>
      <c r="AJ132" s="77"/>
      <c r="AK132" s="77"/>
      <c r="AL132" s="77"/>
      <c r="AM132" s="77"/>
      <c r="AN132" s="77"/>
      <c r="AO132" s="77"/>
      <c r="AP132" s="77"/>
      <c r="AQ132" s="77" t="s">
        <v>3527</v>
      </c>
      <c r="AR132" s="77"/>
      <c r="AS132" s="77"/>
      <c r="AT132" s="77"/>
      <c r="AU132" s="77"/>
      <c r="AV132" s="80" t="str">
        <f>HYPERLINK("https://pbs.twimg.com/media/FonbtPFWcAMZdXq.jpg")</f>
        <v>https://pbs.twimg.com/media/FonbtPFWcAMZdXq.jpg</v>
      </c>
      <c r="AW132" s="82" t="s">
        <v>4189</v>
      </c>
      <c r="AX132" s="82" t="s">
        <v>4189</v>
      </c>
      <c r="AY132" s="77"/>
      <c r="AZ132" s="82" t="s">
        <v>5075</v>
      </c>
      <c r="BA132" s="82" t="s">
        <v>5075</v>
      </c>
      <c r="BB132" s="82" t="s">
        <v>5075</v>
      </c>
      <c r="BC132" s="82" t="s">
        <v>4189</v>
      </c>
      <c r="BD132" s="82" t="s">
        <v>5145</v>
      </c>
      <c r="BE132" s="77"/>
      <c r="BF132" s="77"/>
      <c r="BG132" s="77"/>
      <c r="BH132" s="77"/>
      <c r="BI132" s="77"/>
    </row>
    <row r="133" spans="1:61" x14ac:dyDescent="0.25">
      <c r="A133" s="62" t="s">
        <v>266</v>
      </c>
      <c r="B133" s="62" t="s">
        <v>266</v>
      </c>
      <c r="C133" s="63"/>
      <c r="D133" s="64"/>
      <c r="E133" s="65"/>
      <c r="F133" s="66"/>
      <c r="G133" s="63"/>
      <c r="H133" s="67"/>
      <c r="I133" s="68"/>
      <c r="J133" s="68"/>
      <c r="K133" s="32"/>
      <c r="L133" s="75">
        <v>133</v>
      </c>
      <c r="M133" s="75"/>
      <c r="N133" s="70"/>
      <c r="O133" s="77" t="s">
        <v>179</v>
      </c>
      <c r="P133" s="79">
        <v>45196.500023148146</v>
      </c>
      <c r="Q133" s="77" t="s">
        <v>669</v>
      </c>
      <c r="R133" s="77">
        <v>0</v>
      </c>
      <c r="S133" s="77">
        <v>0</v>
      </c>
      <c r="T133" s="77">
        <v>0</v>
      </c>
      <c r="U133" s="77">
        <v>0</v>
      </c>
      <c r="V133" s="77">
        <v>33</v>
      </c>
      <c r="W133" s="82" t="s">
        <v>1536</v>
      </c>
      <c r="X133" s="80" t="str">
        <f>HYPERLINK("http://www.williamhunt.com.br/completo")</f>
        <v>http://www.williamhunt.com.br/completo</v>
      </c>
      <c r="Y133" s="77" t="s">
        <v>1978</v>
      </c>
      <c r="Z133" s="77"/>
      <c r="AA133" s="77" t="s">
        <v>2099</v>
      </c>
      <c r="AB133" s="77" t="s">
        <v>2632</v>
      </c>
      <c r="AC133" s="82" t="s">
        <v>2639</v>
      </c>
      <c r="AD133" s="77" t="s">
        <v>2670</v>
      </c>
      <c r="AE133" s="80" t="str">
        <f>HYPERLINK("https://twitter.com/williamhuntbr/status/1707002153082986577")</f>
        <v>https://twitter.com/williamhuntbr/status/1707002153082986577</v>
      </c>
      <c r="AF133" s="79">
        <v>45196.500023148146</v>
      </c>
      <c r="AG133" s="85">
        <v>45196</v>
      </c>
      <c r="AH133" s="82" t="s">
        <v>2763</v>
      </c>
      <c r="AI133" s="77" t="b">
        <v>0</v>
      </c>
      <c r="AJ133" s="77"/>
      <c r="AK133" s="77"/>
      <c r="AL133" s="77"/>
      <c r="AM133" s="77"/>
      <c r="AN133" s="77"/>
      <c r="AO133" s="77"/>
      <c r="AP133" s="77"/>
      <c r="AQ133" s="77" t="s">
        <v>3528</v>
      </c>
      <c r="AR133" s="77"/>
      <c r="AS133" s="77"/>
      <c r="AT133" s="77"/>
      <c r="AU133" s="77"/>
      <c r="AV133" s="80" t="str">
        <f>HYPERLINK("https://pbs.twimg.com/media/F6k2jhFWQAADG1X.jpg")</f>
        <v>https://pbs.twimg.com/media/F6k2jhFWQAADG1X.jpg</v>
      </c>
      <c r="AW133" s="82" t="s">
        <v>4190</v>
      </c>
      <c r="AX133" s="82" t="s">
        <v>4190</v>
      </c>
      <c r="AY133" s="77"/>
      <c r="AZ133" s="82" t="s">
        <v>5075</v>
      </c>
      <c r="BA133" s="82" t="s">
        <v>5075</v>
      </c>
      <c r="BB133" s="82" t="s">
        <v>5075</v>
      </c>
      <c r="BC133" s="82" t="s">
        <v>4190</v>
      </c>
      <c r="BD133" s="82" t="s">
        <v>5145</v>
      </c>
      <c r="BE133" s="77"/>
      <c r="BF133" s="77"/>
      <c r="BG133" s="77"/>
      <c r="BH133" s="77"/>
      <c r="BI133" s="77"/>
    </row>
    <row r="134" spans="1:61" x14ac:dyDescent="0.25">
      <c r="A134" s="62" t="s">
        <v>266</v>
      </c>
      <c r="B134" s="62" t="s">
        <v>266</v>
      </c>
      <c r="C134" s="63"/>
      <c r="D134" s="64"/>
      <c r="E134" s="65"/>
      <c r="F134" s="66"/>
      <c r="G134" s="63"/>
      <c r="H134" s="67"/>
      <c r="I134" s="68"/>
      <c r="J134" s="68"/>
      <c r="K134" s="32"/>
      <c r="L134" s="75">
        <v>134</v>
      </c>
      <c r="M134" s="75"/>
      <c r="N134" s="70"/>
      <c r="O134" s="77" t="s">
        <v>179</v>
      </c>
      <c r="P134" s="79">
        <v>45089.500023148146</v>
      </c>
      <c r="Q134" s="77" t="s">
        <v>670</v>
      </c>
      <c r="R134" s="77">
        <v>0</v>
      </c>
      <c r="S134" s="77">
        <v>0</v>
      </c>
      <c r="T134" s="77">
        <v>0</v>
      </c>
      <c r="U134" s="77">
        <v>1</v>
      </c>
      <c r="V134" s="77">
        <v>19</v>
      </c>
      <c r="W134" s="82" t="s">
        <v>1499</v>
      </c>
      <c r="X134" s="80" t="str">
        <f>HYPERLINK("https://www.williamhunt.com.br/segredos-dos-investimentos-para-iniciantes")</f>
        <v>https://www.williamhunt.com.br/segredos-dos-investimentos-para-iniciantes</v>
      </c>
      <c r="Y134" s="77" t="s">
        <v>1978</v>
      </c>
      <c r="Z134" s="77"/>
      <c r="AA134" s="77" t="s">
        <v>2100</v>
      </c>
      <c r="AB134" s="77" t="s">
        <v>2632</v>
      </c>
      <c r="AC134" s="82" t="s">
        <v>2639</v>
      </c>
      <c r="AD134" s="77" t="s">
        <v>2670</v>
      </c>
      <c r="AE134" s="80" t="str">
        <f>HYPERLINK("https://twitter.com/williamhuntbr/status/1668226650255892482")</f>
        <v>https://twitter.com/williamhuntbr/status/1668226650255892482</v>
      </c>
      <c r="AF134" s="79">
        <v>45089.500023148146</v>
      </c>
      <c r="AG134" s="85">
        <v>45089</v>
      </c>
      <c r="AH134" s="82" t="s">
        <v>2763</v>
      </c>
      <c r="AI134" s="77" t="b">
        <v>0</v>
      </c>
      <c r="AJ134" s="77"/>
      <c r="AK134" s="77"/>
      <c r="AL134" s="77"/>
      <c r="AM134" s="77"/>
      <c r="AN134" s="77"/>
      <c r="AO134" s="77"/>
      <c r="AP134" s="77"/>
      <c r="AQ134" s="77" t="s">
        <v>3529</v>
      </c>
      <c r="AR134" s="77"/>
      <c r="AS134" s="77"/>
      <c r="AT134" s="77"/>
      <c r="AU134" s="77"/>
      <c r="AV134" s="80" t="str">
        <f>HYPERLINK("https://pbs.twimg.com/media/FyG47aYaMAAZax7.jpg")</f>
        <v>https://pbs.twimg.com/media/FyG47aYaMAAZax7.jpg</v>
      </c>
      <c r="AW134" s="82" t="s">
        <v>4191</v>
      </c>
      <c r="AX134" s="82" t="s">
        <v>4191</v>
      </c>
      <c r="AY134" s="77"/>
      <c r="AZ134" s="82" t="s">
        <v>5075</v>
      </c>
      <c r="BA134" s="82" t="s">
        <v>5075</v>
      </c>
      <c r="BB134" s="82" t="s">
        <v>5075</v>
      </c>
      <c r="BC134" s="82" t="s">
        <v>4191</v>
      </c>
      <c r="BD134" s="82" t="s">
        <v>5145</v>
      </c>
      <c r="BE134" s="77"/>
      <c r="BF134" s="77"/>
      <c r="BG134" s="77"/>
      <c r="BH134" s="77"/>
      <c r="BI134" s="77"/>
    </row>
    <row r="135" spans="1:61" x14ac:dyDescent="0.25">
      <c r="A135" s="62" t="s">
        <v>266</v>
      </c>
      <c r="B135" s="62" t="s">
        <v>266</v>
      </c>
      <c r="C135" s="63"/>
      <c r="D135" s="64"/>
      <c r="E135" s="65"/>
      <c r="F135" s="66"/>
      <c r="G135" s="63"/>
      <c r="H135" s="67"/>
      <c r="I135" s="68"/>
      <c r="J135" s="68"/>
      <c r="K135" s="32"/>
      <c r="L135" s="75">
        <v>135</v>
      </c>
      <c r="M135" s="75"/>
      <c r="N135" s="70"/>
      <c r="O135" s="77" t="s">
        <v>179</v>
      </c>
      <c r="P135" s="79">
        <v>45068.500023148146</v>
      </c>
      <c r="Q135" s="77" t="s">
        <v>671</v>
      </c>
      <c r="R135" s="77">
        <v>0</v>
      </c>
      <c r="S135" s="77">
        <v>0</v>
      </c>
      <c r="T135" s="77">
        <v>0</v>
      </c>
      <c r="U135" s="77">
        <v>0</v>
      </c>
      <c r="V135" s="77">
        <v>11</v>
      </c>
      <c r="W135" s="82" t="s">
        <v>1537</v>
      </c>
      <c r="X135" s="80" t="str">
        <f>HYPERLINK("https://www.williamhunt.com.br/segredos-dos-investimentos-para-iniciantes")</f>
        <v>https://www.williamhunt.com.br/segredos-dos-investimentos-para-iniciantes</v>
      </c>
      <c r="Y135" s="77" t="s">
        <v>1978</v>
      </c>
      <c r="Z135" s="77"/>
      <c r="AA135" s="77" t="s">
        <v>2101</v>
      </c>
      <c r="AB135" s="77" t="s">
        <v>2632</v>
      </c>
      <c r="AC135" s="82" t="s">
        <v>2639</v>
      </c>
      <c r="AD135" s="77" t="s">
        <v>2670</v>
      </c>
      <c r="AE135" s="80" t="str">
        <f>HYPERLINK("https://twitter.com/williamhuntbr/status/1660616504763613184")</f>
        <v>https://twitter.com/williamhuntbr/status/1660616504763613184</v>
      </c>
      <c r="AF135" s="79">
        <v>45068.500023148146</v>
      </c>
      <c r="AG135" s="85">
        <v>45068</v>
      </c>
      <c r="AH135" s="82" t="s">
        <v>2763</v>
      </c>
      <c r="AI135" s="77" t="b">
        <v>0</v>
      </c>
      <c r="AJ135" s="77"/>
      <c r="AK135" s="77"/>
      <c r="AL135" s="77"/>
      <c r="AM135" s="77"/>
      <c r="AN135" s="77"/>
      <c r="AO135" s="77"/>
      <c r="AP135" s="77"/>
      <c r="AQ135" s="77" t="s">
        <v>3530</v>
      </c>
      <c r="AR135" s="77"/>
      <c r="AS135" s="77"/>
      <c r="AT135" s="77"/>
      <c r="AU135" s="77"/>
      <c r="AV135" s="80" t="str">
        <f>HYPERLINK("https://pbs.twimg.com/media/FwSF3deXoAA3ZES.jpg")</f>
        <v>https://pbs.twimg.com/media/FwSF3deXoAA3ZES.jpg</v>
      </c>
      <c r="AW135" s="82" t="s">
        <v>4192</v>
      </c>
      <c r="AX135" s="82" t="s">
        <v>4192</v>
      </c>
      <c r="AY135" s="77"/>
      <c r="AZ135" s="82" t="s">
        <v>5075</v>
      </c>
      <c r="BA135" s="82" t="s">
        <v>5075</v>
      </c>
      <c r="BB135" s="82" t="s">
        <v>5075</v>
      </c>
      <c r="BC135" s="82" t="s">
        <v>4192</v>
      </c>
      <c r="BD135" s="82" t="s">
        <v>5145</v>
      </c>
      <c r="BE135" s="77"/>
      <c r="BF135" s="77"/>
      <c r="BG135" s="77"/>
      <c r="BH135" s="77"/>
      <c r="BI135" s="77"/>
    </row>
    <row r="136" spans="1:61" x14ac:dyDescent="0.25">
      <c r="A136" s="62" t="s">
        <v>267</v>
      </c>
      <c r="B136" s="62" t="s">
        <v>267</v>
      </c>
      <c r="C136" s="63"/>
      <c r="D136" s="64"/>
      <c r="E136" s="65"/>
      <c r="F136" s="66"/>
      <c r="G136" s="63"/>
      <c r="H136" s="67"/>
      <c r="I136" s="68"/>
      <c r="J136" s="68"/>
      <c r="K136" s="32"/>
      <c r="L136" s="75">
        <v>136</v>
      </c>
      <c r="M136" s="75"/>
      <c r="N136" s="70"/>
      <c r="O136" s="77" t="s">
        <v>179</v>
      </c>
      <c r="P136" s="79">
        <v>45032.782893518517</v>
      </c>
      <c r="Q136" s="77" t="s">
        <v>672</v>
      </c>
      <c r="R136" s="77">
        <v>0</v>
      </c>
      <c r="S136" s="77">
        <v>1</v>
      </c>
      <c r="T136" s="77">
        <v>0</v>
      </c>
      <c r="U136" s="77">
        <v>1</v>
      </c>
      <c r="V136" s="77">
        <v>15</v>
      </c>
      <c r="W136" s="82" t="s">
        <v>1538</v>
      </c>
      <c r="X136" s="77"/>
      <c r="Y136" s="77"/>
      <c r="Z136" s="77"/>
      <c r="AA136" s="77" t="s">
        <v>2102</v>
      </c>
      <c r="AB136" s="77" t="s">
        <v>2633</v>
      </c>
      <c r="AC136" s="82" t="s">
        <v>2640</v>
      </c>
      <c r="AD136" s="77" t="s">
        <v>2670</v>
      </c>
      <c r="AE136" s="80" t="str">
        <f>HYPERLINK("https://twitter.com/tony_financas/status/1647673052832972800")</f>
        <v>https://twitter.com/tony_financas/status/1647673052832972800</v>
      </c>
      <c r="AF136" s="79">
        <v>45032.782893518517</v>
      </c>
      <c r="AG136" s="85">
        <v>45032</v>
      </c>
      <c r="AH136" s="82" t="s">
        <v>2783</v>
      </c>
      <c r="AI136" s="77" t="b">
        <v>0</v>
      </c>
      <c r="AJ136" s="77" t="s">
        <v>3403</v>
      </c>
      <c r="AK136" s="77" t="s">
        <v>3410</v>
      </c>
      <c r="AL136" s="77" t="s">
        <v>3411</v>
      </c>
      <c r="AM136" s="77" t="s">
        <v>3415</v>
      </c>
      <c r="AN136" s="77" t="s">
        <v>3425</v>
      </c>
      <c r="AO136" s="77" t="s">
        <v>3435</v>
      </c>
      <c r="AP136" s="77" t="s">
        <v>3442</v>
      </c>
      <c r="AQ136" s="77" t="s">
        <v>3531</v>
      </c>
      <c r="AR136" s="77">
        <v>44966</v>
      </c>
      <c r="AS136" s="77"/>
      <c r="AT136" s="77"/>
      <c r="AU136" s="77"/>
      <c r="AV136" s="80" t="str">
        <f>HYPERLINK("https://pbs.twimg.com/ext_tw_video_thumb/1647672973900259328/pu/img/D7rxd_eFPXBSXcTg.jpg")</f>
        <v>https://pbs.twimg.com/ext_tw_video_thumb/1647672973900259328/pu/img/D7rxd_eFPXBSXcTg.jpg</v>
      </c>
      <c r="AW136" s="82" t="s">
        <v>4193</v>
      </c>
      <c r="AX136" s="82" t="s">
        <v>4193</v>
      </c>
      <c r="AY136" s="77"/>
      <c r="AZ136" s="82" t="s">
        <v>5075</v>
      </c>
      <c r="BA136" s="82" t="s">
        <v>5075</v>
      </c>
      <c r="BB136" s="82" t="s">
        <v>5075</v>
      </c>
      <c r="BC136" s="82" t="s">
        <v>4193</v>
      </c>
      <c r="BD136" s="77">
        <v>62033604</v>
      </c>
      <c r="BE136" s="77"/>
      <c r="BF136" s="77"/>
      <c r="BG136" s="77"/>
      <c r="BH136" s="77"/>
      <c r="BI136" s="77"/>
    </row>
    <row r="137" spans="1:61" x14ac:dyDescent="0.25">
      <c r="A137" s="62" t="s">
        <v>268</v>
      </c>
      <c r="B137" s="62" t="s">
        <v>268</v>
      </c>
      <c r="C137" s="63"/>
      <c r="D137" s="64"/>
      <c r="E137" s="65"/>
      <c r="F137" s="66"/>
      <c r="G137" s="63"/>
      <c r="H137" s="67"/>
      <c r="I137" s="68"/>
      <c r="J137" s="68"/>
      <c r="K137" s="32"/>
      <c r="L137" s="75">
        <v>137</v>
      </c>
      <c r="M137" s="75"/>
      <c r="N137" s="70"/>
      <c r="O137" s="77" t="s">
        <v>179</v>
      </c>
      <c r="P137" s="79">
        <v>45108.525821759256</v>
      </c>
      <c r="Q137" s="77" t="s">
        <v>673</v>
      </c>
      <c r="R137" s="77">
        <v>2</v>
      </c>
      <c r="S137" s="77">
        <v>3</v>
      </c>
      <c r="T137" s="77">
        <v>0</v>
      </c>
      <c r="U137" s="77">
        <v>0</v>
      </c>
      <c r="V137" s="77">
        <v>36</v>
      </c>
      <c r="W137" s="82" t="s">
        <v>1539</v>
      </c>
      <c r="X137" s="77"/>
      <c r="Y137" s="77"/>
      <c r="Z137" s="77"/>
      <c r="AA137" s="77" t="s">
        <v>2103</v>
      </c>
      <c r="AB137" s="77" t="s">
        <v>2632</v>
      </c>
      <c r="AC137" s="82" t="s">
        <v>2639</v>
      </c>
      <c r="AD137" s="77" t="s">
        <v>2673</v>
      </c>
      <c r="AE137" s="80" t="str">
        <f>HYPERLINK("https://twitter.com/puneetkohli1979/status/1675121371414925312")</f>
        <v>https://twitter.com/puneetkohli1979/status/1675121371414925312</v>
      </c>
      <c r="AF137" s="79">
        <v>45108.525821759256</v>
      </c>
      <c r="AG137" s="85">
        <v>45108</v>
      </c>
      <c r="AH137" s="82" t="s">
        <v>2784</v>
      </c>
      <c r="AI137" s="77" t="b">
        <v>0</v>
      </c>
      <c r="AJ137" s="77"/>
      <c r="AK137" s="77"/>
      <c r="AL137" s="77"/>
      <c r="AM137" s="77"/>
      <c r="AN137" s="77"/>
      <c r="AO137" s="77"/>
      <c r="AP137" s="77"/>
      <c r="AQ137" s="77" t="s">
        <v>3532</v>
      </c>
      <c r="AR137" s="77"/>
      <c r="AS137" s="77"/>
      <c r="AT137" s="77"/>
      <c r="AU137" s="77"/>
      <c r="AV137" s="80" t="str">
        <f>HYPERLINK("https://pbs.twimg.com/media/Fz85_TOaUAEwlp4.jpg")</f>
        <v>https://pbs.twimg.com/media/Fz85_TOaUAEwlp4.jpg</v>
      </c>
      <c r="AW137" s="82" t="s">
        <v>4194</v>
      </c>
      <c r="AX137" s="82" t="s">
        <v>4194</v>
      </c>
      <c r="AY137" s="77"/>
      <c r="AZ137" s="82" t="s">
        <v>5075</v>
      </c>
      <c r="BA137" s="82" t="s">
        <v>5075</v>
      </c>
      <c r="BB137" s="82" t="s">
        <v>5075</v>
      </c>
      <c r="BC137" s="82" t="s">
        <v>4194</v>
      </c>
      <c r="BD137" s="82" t="s">
        <v>5146</v>
      </c>
      <c r="BE137" s="77"/>
      <c r="BF137" s="77"/>
      <c r="BG137" s="77"/>
      <c r="BH137" s="77"/>
      <c r="BI137" s="77"/>
    </row>
    <row r="138" spans="1:61" x14ac:dyDescent="0.25">
      <c r="A138" s="62" t="s">
        <v>269</v>
      </c>
      <c r="B138" s="62" t="s">
        <v>519</v>
      </c>
      <c r="C138" s="63"/>
      <c r="D138" s="64"/>
      <c r="E138" s="65"/>
      <c r="F138" s="66"/>
      <c r="G138" s="63"/>
      <c r="H138" s="67"/>
      <c r="I138" s="68"/>
      <c r="J138" s="68"/>
      <c r="K138" s="32"/>
      <c r="L138" s="75">
        <v>138</v>
      </c>
      <c r="M138" s="75"/>
      <c r="N138" s="70"/>
      <c r="O138" s="77" t="s">
        <v>539</v>
      </c>
      <c r="P138" s="79">
        <v>44936.793657407405</v>
      </c>
      <c r="Q138" s="77" t="s">
        <v>674</v>
      </c>
      <c r="R138" s="77">
        <v>0</v>
      </c>
      <c r="S138" s="77">
        <v>1</v>
      </c>
      <c r="T138" s="77">
        <v>0</v>
      </c>
      <c r="U138" s="77">
        <v>0</v>
      </c>
      <c r="V138" s="77">
        <v>29</v>
      </c>
      <c r="W138" s="82" t="s">
        <v>1540</v>
      </c>
      <c r="X138" s="77"/>
      <c r="Y138" s="77"/>
      <c r="Z138" s="77" t="s">
        <v>519</v>
      </c>
      <c r="AA138" s="77" t="s">
        <v>2104</v>
      </c>
      <c r="AB138" s="77" t="s">
        <v>2632</v>
      </c>
      <c r="AC138" s="82" t="s">
        <v>2638</v>
      </c>
      <c r="AD138" s="77" t="s">
        <v>2670</v>
      </c>
      <c r="AE138" s="80" t="str">
        <f>HYPERLINK("https://twitter.com/ludemicon/status/1612887715397177350")</f>
        <v>https://twitter.com/ludemicon/status/1612887715397177350</v>
      </c>
      <c r="AF138" s="79">
        <v>44936.793657407405</v>
      </c>
      <c r="AG138" s="85">
        <v>44936</v>
      </c>
      <c r="AH138" s="82" t="s">
        <v>2785</v>
      </c>
      <c r="AI138" s="77" t="b">
        <v>0</v>
      </c>
      <c r="AJ138" s="77"/>
      <c r="AK138" s="77"/>
      <c r="AL138" s="77"/>
      <c r="AM138" s="77"/>
      <c r="AN138" s="77"/>
      <c r="AO138" s="77"/>
      <c r="AP138" s="77"/>
      <c r="AQ138" s="77" t="s">
        <v>3533</v>
      </c>
      <c r="AR138" s="77"/>
      <c r="AS138" s="77"/>
      <c r="AT138" s="77"/>
      <c r="AU138" s="77"/>
      <c r="AV138" s="80" t="str">
        <f>HYPERLINK("https://pbs.twimg.com/media/FmIg1EaXEBUpFK6.jpg")</f>
        <v>https://pbs.twimg.com/media/FmIg1EaXEBUpFK6.jpg</v>
      </c>
      <c r="AW138" s="82" t="s">
        <v>4195</v>
      </c>
      <c r="AX138" s="82" t="s">
        <v>4195</v>
      </c>
      <c r="AY138" s="77"/>
      <c r="AZ138" s="82" t="s">
        <v>5075</v>
      </c>
      <c r="BA138" s="82" t="s">
        <v>5075</v>
      </c>
      <c r="BB138" s="82" t="s">
        <v>5075</v>
      </c>
      <c r="BC138" s="82" t="s">
        <v>4195</v>
      </c>
      <c r="BD138" s="82" t="s">
        <v>5147</v>
      </c>
      <c r="BE138" s="77"/>
      <c r="BF138" s="77"/>
      <c r="BG138" s="77"/>
      <c r="BH138" s="77"/>
      <c r="BI138" s="77"/>
    </row>
    <row r="139" spans="1:61" x14ac:dyDescent="0.25">
      <c r="A139" s="62" t="s">
        <v>269</v>
      </c>
      <c r="B139" s="62" t="s">
        <v>519</v>
      </c>
      <c r="C139" s="63"/>
      <c r="D139" s="64"/>
      <c r="E139" s="65"/>
      <c r="F139" s="66"/>
      <c r="G139" s="63"/>
      <c r="H139" s="67"/>
      <c r="I139" s="68"/>
      <c r="J139" s="68"/>
      <c r="K139" s="32"/>
      <c r="L139" s="75">
        <v>139</v>
      </c>
      <c r="M139" s="75"/>
      <c r="N139" s="70"/>
      <c r="O139" s="77" t="s">
        <v>539</v>
      </c>
      <c r="P139" s="79">
        <v>44936.377175925925</v>
      </c>
      <c r="Q139" s="77" t="s">
        <v>675</v>
      </c>
      <c r="R139" s="77">
        <v>0</v>
      </c>
      <c r="S139" s="77">
        <v>1</v>
      </c>
      <c r="T139" s="77">
        <v>0</v>
      </c>
      <c r="U139" s="77">
        <v>0</v>
      </c>
      <c r="V139" s="77">
        <v>34</v>
      </c>
      <c r="W139" s="82" t="s">
        <v>1541</v>
      </c>
      <c r="X139" s="77"/>
      <c r="Y139" s="77"/>
      <c r="Z139" s="77" t="s">
        <v>519</v>
      </c>
      <c r="AA139" s="77" t="s">
        <v>2105</v>
      </c>
      <c r="AB139" s="77" t="s">
        <v>2632</v>
      </c>
      <c r="AC139" s="82" t="s">
        <v>2638</v>
      </c>
      <c r="AD139" s="77" t="s">
        <v>2670</v>
      </c>
      <c r="AE139" s="80" t="str">
        <f>HYPERLINK("https://twitter.com/ludemicon/status/1612736789810118658")</f>
        <v>https://twitter.com/ludemicon/status/1612736789810118658</v>
      </c>
      <c r="AF139" s="79">
        <v>44936.377175925925</v>
      </c>
      <c r="AG139" s="85">
        <v>44936</v>
      </c>
      <c r="AH139" s="82" t="s">
        <v>2786</v>
      </c>
      <c r="AI139" s="77" t="b">
        <v>0</v>
      </c>
      <c r="AJ139" s="77"/>
      <c r="AK139" s="77"/>
      <c r="AL139" s="77"/>
      <c r="AM139" s="77"/>
      <c r="AN139" s="77"/>
      <c r="AO139" s="77"/>
      <c r="AP139" s="77"/>
      <c r="AQ139" s="77" t="s">
        <v>3534</v>
      </c>
      <c r="AR139" s="77"/>
      <c r="AS139" s="77"/>
      <c r="AT139" s="77"/>
      <c r="AU139" s="77"/>
      <c r="AV139" s="80" t="str">
        <f>HYPERLINK("https://pbs.twimg.com/media/FmGXkCJXoAI6Wmh.jpg")</f>
        <v>https://pbs.twimg.com/media/FmGXkCJXoAI6Wmh.jpg</v>
      </c>
      <c r="AW139" s="82" t="s">
        <v>4196</v>
      </c>
      <c r="AX139" s="82" t="s">
        <v>4196</v>
      </c>
      <c r="AY139" s="77"/>
      <c r="AZ139" s="82" t="s">
        <v>5075</v>
      </c>
      <c r="BA139" s="82" t="s">
        <v>5075</v>
      </c>
      <c r="BB139" s="82" t="s">
        <v>5075</v>
      </c>
      <c r="BC139" s="82" t="s">
        <v>4196</v>
      </c>
      <c r="BD139" s="82" t="s">
        <v>5147</v>
      </c>
      <c r="BE139" s="77"/>
      <c r="BF139" s="77"/>
      <c r="BG139" s="77"/>
      <c r="BH139" s="77"/>
      <c r="BI139" s="77"/>
    </row>
    <row r="140" spans="1:61" x14ac:dyDescent="0.25">
      <c r="A140" s="62" t="s">
        <v>269</v>
      </c>
      <c r="B140" s="62" t="s">
        <v>269</v>
      </c>
      <c r="C140" s="63"/>
      <c r="D140" s="64"/>
      <c r="E140" s="65"/>
      <c r="F140" s="66"/>
      <c r="G140" s="63"/>
      <c r="H140" s="67"/>
      <c r="I140" s="68"/>
      <c r="J140" s="68"/>
      <c r="K140" s="32"/>
      <c r="L140" s="75">
        <v>140</v>
      </c>
      <c r="M140" s="75"/>
      <c r="N140" s="70"/>
      <c r="O140" s="77" t="s">
        <v>179</v>
      </c>
      <c r="P140" s="79">
        <v>45128.956331018519</v>
      </c>
      <c r="Q140" s="77" t="s">
        <v>676</v>
      </c>
      <c r="R140" s="77">
        <v>0</v>
      </c>
      <c r="S140" s="77">
        <v>0</v>
      </c>
      <c r="T140" s="77">
        <v>1</v>
      </c>
      <c r="U140" s="77">
        <v>0</v>
      </c>
      <c r="V140" s="77">
        <v>16</v>
      </c>
      <c r="W140" s="82" t="s">
        <v>1542</v>
      </c>
      <c r="X140" s="80" t="str">
        <f>HYPERLINK("https://www.instagram.com/p/Cu-ax63u8FT/?igshid=MTc4MmM1YmI2Ng==")</f>
        <v>https://www.instagram.com/p/Cu-ax63u8FT/?igshid=MTc4MmM1YmI2Ng==</v>
      </c>
      <c r="Y140" s="77" t="s">
        <v>1974</v>
      </c>
      <c r="Z140" s="77"/>
      <c r="AA140" s="77"/>
      <c r="AB140" s="77"/>
      <c r="AC140" s="82" t="s">
        <v>2638</v>
      </c>
      <c r="AD140" s="77" t="s">
        <v>2670</v>
      </c>
      <c r="AE140" s="80" t="str">
        <f>HYPERLINK("https://twitter.com/ludemicon/status/1682525138464522241")</f>
        <v>https://twitter.com/ludemicon/status/1682525138464522241</v>
      </c>
      <c r="AF140" s="79">
        <v>45128.956331018519</v>
      </c>
      <c r="AG140" s="85">
        <v>45128</v>
      </c>
      <c r="AH140" s="82" t="s">
        <v>2787</v>
      </c>
      <c r="AI140" s="77" t="b">
        <v>0</v>
      </c>
      <c r="AJ140" s="77"/>
      <c r="AK140" s="77"/>
      <c r="AL140" s="77"/>
      <c r="AM140" s="77"/>
      <c r="AN140" s="77"/>
      <c r="AO140" s="77"/>
      <c r="AP140" s="77"/>
      <c r="AQ140" s="77"/>
      <c r="AR140" s="77"/>
      <c r="AS140" s="77"/>
      <c r="AT140" s="77"/>
      <c r="AU140" s="77"/>
      <c r="AV140" s="80" t="str">
        <f>HYPERLINK("https://pbs.twimg.com/profile_images/1693320843894435840/_5YiDUQx_normal.jpg")</f>
        <v>https://pbs.twimg.com/profile_images/1693320843894435840/_5YiDUQx_normal.jpg</v>
      </c>
      <c r="AW140" s="82" t="s">
        <v>4197</v>
      </c>
      <c r="AX140" s="82" t="s">
        <v>4197</v>
      </c>
      <c r="AY140" s="77"/>
      <c r="AZ140" s="82" t="s">
        <v>5075</v>
      </c>
      <c r="BA140" s="82" t="s">
        <v>5075</v>
      </c>
      <c r="BB140" s="82" t="s">
        <v>5075</v>
      </c>
      <c r="BC140" s="82" t="s">
        <v>4197</v>
      </c>
      <c r="BD140" s="82" t="s">
        <v>5147</v>
      </c>
      <c r="BE140" s="77"/>
      <c r="BF140" s="77"/>
      <c r="BG140" s="77"/>
      <c r="BH140" s="77"/>
      <c r="BI140" s="77"/>
    </row>
    <row r="141" spans="1:61" x14ac:dyDescent="0.25">
      <c r="A141" s="62" t="s">
        <v>270</v>
      </c>
      <c r="B141" s="62" t="s">
        <v>270</v>
      </c>
      <c r="C141" s="63"/>
      <c r="D141" s="64"/>
      <c r="E141" s="65"/>
      <c r="F141" s="66"/>
      <c r="G141" s="63"/>
      <c r="H141" s="67"/>
      <c r="I141" s="68"/>
      <c r="J141" s="68"/>
      <c r="K141" s="32"/>
      <c r="L141" s="75">
        <v>141</v>
      </c>
      <c r="M141" s="75"/>
      <c r="N141" s="70"/>
      <c r="O141" s="77" t="s">
        <v>179</v>
      </c>
      <c r="P141" s="79">
        <v>45100.709085648145</v>
      </c>
      <c r="Q141" s="77" t="s">
        <v>677</v>
      </c>
      <c r="R141" s="77">
        <v>1</v>
      </c>
      <c r="S141" s="77">
        <v>1</v>
      </c>
      <c r="T141" s="77">
        <v>0</v>
      </c>
      <c r="U141" s="77">
        <v>0</v>
      </c>
      <c r="V141" s="77">
        <v>573</v>
      </c>
      <c r="W141" s="82" t="s">
        <v>1543</v>
      </c>
      <c r="X141" s="77"/>
      <c r="Y141" s="77"/>
      <c r="Z141" s="77"/>
      <c r="AA141" s="77" t="s">
        <v>2106</v>
      </c>
      <c r="AB141" s="77" t="s">
        <v>2633</v>
      </c>
      <c r="AC141" s="82" t="s">
        <v>2642</v>
      </c>
      <c r="AD141" s="77" t="s">
        <v>2670</v>
      </c>
      <c r="AE141" s="80" t="str">
        <f>HYPERLINK("https://twitter.com/pag4nini/status/1672288678591250434")</f>
        <v>https://twitter.com/pag4nini/status/1672288678591250434</v>
      </c>
      <c r="AF141" s="79">
        <v>45100.709085648145</v>
      </c>
      <c r="AG141" s="85">
        <v>45100</v>
      </c>
      <c r="AH141" s="82" t="s">
        <v>2788</v>
      </c>
      <c r="AI141" s="77" t="b">
        <v>1</v>
      </c>
      <c r="AJ141" s="77"/>
      <c r="AK141" s="77"/>
      <c r="AL141" s="77"/>
      <c r="AM141" s="77"/>
      <c r="AN141" s="77"/>
      <c r="AO141" s="77"/>
      <c r="AP141" s="77"/>
      <c r="AQ141" s="77" t="s">
        <v>3535</v>
      </c>
      <c r="AR141" s="77">
        <v>59059</v>
      </c>
      <c r="AS141" s="77"/>
      <c r="AT141" s="77"/>
      <c r="AU141" s="77"/>
      <c r="AV141" s="80" t="str">
        <f>HYPERLINK("https://pbs.twimg.com/ext_tw_video_thumb/1672288617429970944/pu/img/DZEtnZpx5xjX3BxL.jpg")</f>
        <v>https://pbs.twimg.com/ext_tw_video_thumb/1672288617429970944/pu/img/DZEtnZpx5xjX3BxL.jpg</v>
      </c>
      <c r="AW141" s="82" t="s">
        <v>4198</v>
      </c>
      <c r="AX141" s="82" t="s">
        <v>4198</v>
      </c>
      <c r="AY141" s="77"/>
      <c r="AZ141" s="82" t="s">
        <v>5075</v>
      </c>
      <c r="BA141" s="82" t="s">
        <v>5075</v>
      </c>
      <c r="BB141" s="82" t="s">
        <v>5075</v>
      </c>
      <c r="BC141" s="82" t="s">
        <v>4198</v>
      </c>
      <c r="BD141" s="82" t="s">
        <v>5148</v>
      </c>
      <c r="BE141" s="77"/>
      <c r="BF141" s="77"/>
      <c r="BG141" s="77"/>
      <c r="BH141" s="77"/>
      <c r="BI141" s="77"/>
    </row>
    <row r="142" spans="1:61" x14ac:dyDescent="0.25">
      <c r="A142" s="62" t="s">
        <v>271</v>
      </c>
      <c r="B142" s="62" t="s">
        <v>271</v>
      </c>
      <c r="C142" s="63"/>
      <c r="D142" s="64"/>
      <c r="E142" s="65"/>
      <c r="F142" s="66"/>
      <c r="G142" s="63"/>
      <c r="H142" s="67"/>
      <c r="I142" s="68"/>
      <c r="J142" s="68"/>
      <c r="K142" s="32"/>
      <c r="L142" s="75">
        <v>142</v>
      </c>
      <c r="M142" s="75"/>
      <c r="N142" s="70"/>
      <c r="O142" s="77" t="s">
        <v>179</v>
      </c>
      <c r="P142" s="79">
        <v>44929.465324074074</v>
      </c>
      <c r="Q142" s="77" t="s">
        <v>678</v>
      </c>
      <c r="R142" s="77">
        <v>0</v>
      </c>
      <c r="S142" s="77">
        <v>0</v>
      </c>
      <c r="T142" s="77">
        <v>0</v>
      </c>
      <c r="U142" s="77">
        <v>0</v>
      </c>
      <c r="V142" s="77">
        <v>9</v>
      </c>
      <c r="W142" s="82" t="s">
        <v>1544</v>
      </c>
      <c r="X142" s="77"/>
      <c r="Y142" s="77"/>
      <c r="Z142" s="77"/>
      <c r="AA142" s="77" t="s">
        <v>2107</v>
      </c>
      <c r="AB142" s="77" t="s">
        <v>2635</v>
      </c>
      <c r="AC142" s="82" t="s">
        <v>2648</v>
      </c>
      <c r="AD142" s="77" t="s">
        <v>2670</v>
      </c>
      <c r="AE142" s="80" t="str">
        <f>HYPERLINK("https://twitter.com/erik_investir/status/1610232017764884480")</f>
        <v>https://twitter.com/erik_investir/status/1610232017764884480</v>
      </c>
      <c r="AF142" s="79">
        <v>44929.465324074074</v>
      </c>
      <c r="AG142" s="85">
        <v>44929</v>
      </c>
      <c r="AH142" s="82" t="s">
        <v>2789</v>
      </c>
      <c r="AI142" s="77" t="b">
        <v>0</v>
      </c>
      <c r="AJ142" s="77"/>
      <c r="AK142" s="77"/>
      <c r="AL142" s="77"/>
      <c r="AM142" s="77"/>
      <c r="AN142" s="77"/>
      <c r="AO142" s="77"/>
      <c r="AP142" s="77"/>
      <c r="AQ142" s="77" t="s">
        <v>3536</v>
      </c>
      <c r="AR142" s="77"/>
      <c r="AS142" s="77"/>
      <c r="AT142" s="77"/>
      <c r="AU142" s="77"/>
      <c r="AV142" s="80" t="str">
        <f>HYPERLINK("https://pbs.twimg.com/media/Flixe5tXkAEkOZW.jpg")</f>
        <v>https://pbs.twimg.com/media/Flixe5tXkAEkOZW.jpg</v>
      </c>
      <c r="AW142" s="82" t="s">
        <v>4199</v>
      </c>
      <c r="AX142" s="82" t="s">
        <v>4199</v>
      </c>
      <c r="AY142" s="77"/>
      <c r="AZ142" s="82" t="s">
        <v>5075</v>
      </c>
      <c r="BA142" s="82" t="s">
        <v>5075</v>
      </c>
      <c r="BB142" s="82" t="s">
        <v>5075</v>
      </c>
      <c r="BC142" s="82" t="s">
        <v>4199</v>
      </c>
      <c r="BD142" s="77">
        <v>241696673</v>
      </c>
      <c r="BE142" s="77"/>
      <c r="BF142" s="77"/>
      <c r="BG142" s="77"/>
      <c r="BH142" s="77"/>
      <c r="BI142" s="77"/>
    </row>
    <row r="143" spans="1:61" x14ac:dyDescent="0.25">
      <c r="A143" s="62" t="s">
        <v>272</v>
      </c>
      <c r="B143" s="62" t="s">
        <v>272</v>
      </c>
      <c r="C143" s="63"/>
      <c r="D143" s="64"/>
      <c r="E143" s="65"/>
      <c r="F143" s="66"/>
      <c r="G143" s="63"/>
      <c r="H143" s="67"/>
      <c r="I143" s="68"/>
      <c r="J143" s="68"/>
      <c r="K143" s="32"/>
      <c r="L143" s="75">
        <v>143</v>
      </c>
      <c r="M143" s="75"/>
      <c r="N143" s="70"/>
      <c r="O143" s="77" t="s">
        <v>179</v>
      </c>
      <c r="P143" s="79">
        <v>45017.402951388889</v>
      </c>
      <c r="Q143" s="77" t="s">
        <v>679</v>
      </c>
      <c r="R143" s="77">
        <v>0</v>
      </c>
      <c r="S143" s="77">
        <v>0</v>
      </c>
      <c r="T143" s="77">
        <v>0</v>
      </c>
      <c r="U143" s="77">
        <v>0</v>
      </c>
      <c r="V143" s="77">
        <v>12</v>
      </c>
      <c r="W143" s="82" t="s">
        <v>1545</v>
      </c>
      <c r="X143" s="77"/>
      <c r="Y143" s="77"/>
      <c r="Z143" s="77"/>
      <c r="AA143" s="77" t="s">
        <v>2108</v>
      </c>
      <c r="AB143" s="77" t="s">
        <v>2637</v>
      </c>
      <c r="AC143" s="82" t="s">
        <v>2639</v>
      </c>
      <c r="AD143" s="77" t="s">
        <v>2671</v>
      </c>
      <c r="AE143" s="80" t="str">
        <f>HYPERLINK("https://twitter.com/milan_prosper/status/1642099547005394946")</f>
        <v>https://twitter.com/milan_prosper/status/1642099547005394946</v>
      </c>
      <c r="AF143" s="79">
        <v>45017.402951388889</v>
      </c>
      <c r="AG143" s="85">
        <v>45017</v>
      </c>
      <c r="AH143" s="82" t="s">
        <v>2790</v>
      </c>
      <c r="AI143" s="77" t="b">
        <v>0</v>
      </c>
      <c r="AJ143" s="77"/>
      <c r="AK143" s="77"/>
      <c r="AL143" s="77"/>
      <c r="AM143" s="77"/>
      <c r="AN143" s="77"/>
      <c r="AO143" s="77"/>
      <c r="AP143" s="77"/>
      <c r="AQ143" s="77" t="s">
        <v>3537</v>
      </c>
      <c r="AR143" s="77"/>
      <c r="AS143" s="77"/>
      <c r="AT143" s="77"/>
      <c r="AU143" s="77"/>
      <c r="AV143" s="80" t="str">
        <f>HYPERLINK("https://pbs.twimg.com/tweet_video_thumb/FsnomMSXgAAGUWi.jpg")</f>
        <v>https://pbs.twimg.com/tweet_video_thumb/FsnomMSXgAAGUWi.jpg</v>
      </c>
      <c r="AW143" s="82" t="s">
        <v>4200</v>
      </c>
      <c r="AX143" s="82" t="s">
        <v>4200</v>
      </c>
      <c r="AY143" s="77"/>
      <c r="AZ143" s="82" t="s">
        <v>5075</v>
      </c>
      <c r="BA143" s="82" t="s">
        <v>5075</v>
      </c>
      <c r="BB143" s="82" t="s">
        <v>5075</v>
      </c>
      <c r="BC143" s="82" t="s">
        <v>4200</v>
      </c>
      <c r="BD143" s="82" t="s">
        <v>5149</v>
      </c>
      <c r="BE143" s="77"/>
      <c r="BF143" s="77"/>
      <c r="BG143" s="77"/>
      <c r="BH143" s="77"/>
      <c r="BI143" s="77"/>
    </row>
    <row r="144" spans="1:61" x14ac:dyDescent="0.25">
      <c r="A144" s="62" t="s">
        <v>273</v>
      </c>
      <c r="B144" s="62" t="s">
        <v>273</v>
      </c>
      <c r="C144" s="63"/>
      <c r="D144" s="64"/>
      <c r="E144" s="65"/>
      <c r="F144" s="66"/>
      <c r="G144" s="63"/>
      <c r="H144" s="67"/>
      <c r="I144" s="68"/>
      <c r="J144" s="68"/>
      <c r="K144" s="32"/>
      <c r="L144" s="75">
        <v>144</v>
      </c>
      <c r="M144" s="75"/>
      <c r="N144" s="70"/>
      <c r="O144" s="77" t="s">
        <v>179</v>
      </c>
      <c r="P144" s="79">
        <v>45002.00277777778</v>
      </c>
      <c r="Q144" s="77" t="s">
        <v>680</v>
      </c>
      <c r="R144" s="77">
        <v>0</v>
      </c>
      <c r="S144" s="77">
        <v>0</v>
      </c>
      <c r="T144" s="77">
        <v>0</v>
      </c>
      <c r="U144" s="77">
        <v>0</v>
      </c>
      <c r="V144" s="77">
        <v>6</v>
      </c>
      <c r="W144" s="82" t="s">
        <v>1449</v>
      </c>
      <c r="X144" s="77"/>
      <c r="Y144" s="77"/>
      <c r="Z144" s="77"/>
      <c r="AA144" s="77"/>
      <c r="AB144" s="77"/>
      <c r="AC144" s="82" t="s">
        <v>2639</v>
      </c>
      <c r="AD144" s="77" t="s">
        <v>2670</v>
      </c>
      <c r="AE144" s="80" t="str">
        <f>HYPERLINK("https://twitter.com/euluisconsultor/status/1636518710545469440")</f>
        <v>https://twitter.com/euluisconsultor/status/1636518710545469440</v>
      </c>
      <c r="AF144" s="79">
        <v>45002.00277777778</v>
      </c>
      <c r="AG144" s="85">
        <v>45002</v>
      </c>
      <c r="AH144" s="82" t="s">
        <v>2791</v>
      </c>
      <c r="AI144" s="77"/>
      <c r="AJ144" s="77"/>
      <c r="AK144" s="77"/>
      <c r="AL144" s="77"/>
      <c r="AM144" s="77"/>
      <c r="AN144" s="77"/>
      <c r="AO144" s="77"/>
      <c r="AP144" s="77"/>
      <c r="AQ144" s="77"/>
      <c r="AR144" s="77"/>
      <c r="AS144" s="77"/>
      <c r="AT144" s="77"/>
      <c r="AU144" s="77"/>
      <c r="AV144" s="80" t="str">
        <f>HYPERLINK("https://pbs.twimg.com/profile_images/1594035193081364484/kMgIPxhL_normal.jpg")</f>
        <v>https://pbs.twimg.com/profile_images/1594035193081364484/kMgIPxhL_normal.jpg</v>
      </c>
      <c r="AW144" s="82" t="s">
        <v>4201</v>
      </c>
      <c r="AX144" s="82" t="s">
        <v>4201</v>
      </c>
      <c r="AY144" s="77"/>
      <c r="AZ144" s="82" t="s">
        <v>5075</v>
      </c>
      <c r="BA144" s="82" t="s">
        <v>5075</v>
      </c>
      <c r="BB144" s="82" t="s">
        <v>5075</v>
      </c>
      <c r="BC144" s="82" t="s">
        <v>4201</v>
      </c>
      <c r="BD144" s="82" t="s">
        <v>5150</v>
      </c>
      <c r="BE144" s="77"/>
      <c r="BF144" s="77"/>
      <c r="BG144" s="77"/>
      <c r="BH144" s="77"/>
      <c r="BI144" s="77"/>
    </row>
    <row r="145" spans="1:61" x14ac:dyDescent="0.25">
      <c r="A145" s="62" t="s">
        <v>273</v>
      </c>
      <c r="B145" s="62" t="s">
        <v>273</v>
      </c>
      <c r="C145" s="63"/>
      <c r="D145" s="64"/>
      <c r="E145" s="65"/>
      <c r="F145" s="66"/>
      <c r="G145" s="63"/>
      <c r="H145" s="67"/>
      <c r="I145" s="68"/>
      <c r="J145" s="68"/>
      <c r="K145" s="32"/>
      <c r="L145" s="75">
        <v>145</v>
      </c>
      <c r="M145" s="75"/>
      <c r="N145" s="70"/>
      <c r="O145" s="77" t="s">
        <v>539</v>
      </c>
      <c r="P145" s="79">
        <v>45000.875694444447</v>
      </c>
      <c r="Q145" s="77" t="s">
        <v>681</v>
      </c>
      <c r="R145" s="77">
        <v>0</v>
      </c>
      <c r="S145" s="77">
        <v>0</v>
      </c>
      <c r="T145" s="77">
        <v>0</v>
      </c>
      <c r="U145" s="77">
        <v>0</v>
      </c>
      <c r="V145" s="77">
        <v>7</v>
      </c>
      <c r="W145" s="82" t="s">
        <v>1546</v>
      </c>
      <c r="X145" s="77"/>
      <c r="Y145" s="77"/>
      <c r="Z145" s="77" t="s">
        <v>273</v>
      </c>
      <c r="AA145" s="77"/>
      <c r="AB145" s="77"/>
      <c r="AC145" s="82" t="s">
        <v>2639</v>
      </c>
      <c r="AD145" s="77" t="s">
        <v>2670</v>
      </c>
      <c r="AE145" s="80" t="str">
        <f>HYPERLINK("https://twitter.com/euluisconsultor/status/1636110268873965568")</f>
        <v>https://twitter.com/euluisconsultor/status/1636110268873965568</v>
      </c>
      <c r="AF145" s="79">
        <v>45000.875694444447</v>
      </c>
      <c r="AG145" s="85">
        <v>45000</v>
      </c>
      <c r="AH145" s="82" t="s">
        <v>2792</v>
      </c>
      <c r="AI145" s="77"/>
      <c r="AJ145" s="77"/>
      <c r="AK145" s="77"/>
      <c r="AL145" s="77"/>
      <c r="AM145" s="77"/>
      <c r="AN145" s="77"/>
      <c r="AO145" s="77"/>
      <c r="AP145" s="77"/>
      <c r="AQ145" s="77"/>
      <c r="AR145" s="77"/>
      <c r="AS145" s="77"/>
      <c r="AT145" s="77"/>
      <c r="AU145" s="77"/>
      <c r="AV145" s="80" t="str">
        <f>HYPERLINK("https://pbs.twimg.com/profile_images/1594035193081364484/kMgIPxhL_normal.jpg")</f>
        <v>https://pbs.twimg.com/profile_images/1594035193081364484/kMgIPxhL_normal.jpg</v>
      </c>
      <c r="AW145" s="82" t="s">
        <v>4202</v>
      </c>
      <c r="AX145" s="82" t="s">
        <v>4202</v>
      </c>
      <c r="AY145" s="77"/>
      <c r="AZ145" s="82" t="s">
        <v>5075</v>
      </c>
      <c r="BA145" s="82" t="s">
        <v>5075</v>
      </c>
      <c r="BB145" s="82" t="s">
        <v>5075</v>
      </c>
      <c r="BC145" s="82" t="s">
        <v>4202</v>
      </c>
      <c r="BD145" s="82" t="s">
        <v>5150</v>
      </c>
      <c r="BE145" s="77"/>
      <c r="BF145" s="77"/>
      <c r="BG145" s="77"/>
      <c r="BH145" s="77"/>
      <c r="BI145" s="77"/>
    </row>
    <row r="146" spans="1:61" x14ac:dyDescent="0.25">
      <c r="A146" s="62" t="s">
        <v>273</v>
      </c>
      <c r="B146" s="62" t="s">
        <v>273</v>
      </c>
      <c r="C146" s="63"/>
      <c r="D146" s="64"/>
      <c r="E146" s="65"/>
      <c r="F146" s="66"/>
      <c r="G146" s="63"/>
      <c r="H146" s="67"/>
      <c r="I146" s="68"/>
      <c r="J146" s="68"/>
      <c r="K146" s="32"/>
      <c r="L146" s="75">
        <v>146</v>
      </c>
      <c r="M146" s="75"/>
      <c r="N146" s="70"/>
      <c r="O146" s="77" t="s">
        <v>539</v>
      </c>
      <c r="P146" s="79">
        <v>44993.875694444447</v>
      </c>
      <c r="Q146" s="77" t="s">
        <v>682</v>
      </c>
      <c r="R146" s="77">
        <v>0</v>
      </c>
      <c r="S146" s="77">
        <v>0</v>
      </c>
      <c r="T146" s="77">
        <v>0</v>
      </c>
      <c r="U146" s="77">
        <v>0</v>
      </c>
      <c r="V146" s="77">
        <v>4</v>
      </c>
      <c r="W146" s="82" t="s">
        <v>1493</v>
      </c>
      <c r="X146" s="77"/>
      <c r="Y146" s="77"/>
      <c r="Z146" s="77" t="s">
        <v>273</v>
      </c>
      <c r="AA146" s="77"/>
      <c r="AB146" s="77"/>
      <c r="AC146" s="82" t="s">
        <v>2639</v>
      </c>
      <c r="AD146" s="77" t="s">
        <v>2670</v>
      </c>
      <c r="AE146" s="80" t="str">
        <f>HYPERLINK("https://twitter.com/euluisconsultor/status/1633573554041266176")</f>
        <v>https://twitter.com/euluisconsultor/status/1633573554041266176</v>
      </c>
      <c r="AF146" s="79">
        <v>44993.875694444447</v>
      </c>
      <c r="AG146" s="85">
        <v>44993</v>
      </c>
      <c r="AH146" s="82" t="s">
        <v>2792</v>
      </c>
      <c r="AI146" s="77"/>
      <c r="AJ146" s="77"/>
      <c r="AK146" s="77"/>
      <c r="AL146" s="77"/>
      <c r="AM146" s="77"/>
      <c r="AN146" s="77"/>
      <c r="AO146" s="77"/>
      <c r="AP146" s="77"/>
      <c r="AQ146" s="77"/>
      <c r="AR146" s="77"/>
      <c r="AS146" s="77"/>
      <c r="AT146" s="77"/>
      <c r="AU146" s="77"/>
      <c r="AV146" s="80" t="str">
        <f>HYPERLINK("https://pbs.twimg.com/profile_images/1594035193081364484/kMgIPxhL_normal.jpg")</f>
        <v>https://pbs.twimg.com/profile_images/1594035193081364484/kMgIPxhL_normal.jpg</v>
      </c>
      <c r="AW146" s="82" t="s">
        <v>4203</v>
      </c>
      <c r="AX146" s="82" t="s">
        <v>4203</v>
      </c>
      <c r="AY146" s="77"/>
      <c r="AZ146" s="82" t="s">
        <v>5075</v>
      </c>
      <c r="BA146" s="82" t="s">
        <v>5075</v>
      </c>
      <c r="BB146" s="82" t="s">
        <v>5075</v>
      </c>
      <c r="BC146" s="82" t="s">
        <v>4203</v>
      </c>
      <c r="BD146" s="82" t="s">
        <v>5150</v>
      </c>
      <c r="BE146" s="77"/>
      <c r="BF146" s="77"/>
      <c r="BG146" s="77"/>
      <c r="BH146" s="77"/>
      <c r="BI146" s="77"/>
    </row>
    <row r="147" spans="1:61" x14ac:dyDescent="0.25">
      <c r="A147" s="62" t="s">
        <v>273</v>
      </c>
      <c r="B147" s="62" t="s">
        <v>273</v>
      </c>
      <c r="C147" s="63"/>
      <c r="D147" s="64"/>
      <c r="E147" s="65"/>
      <c r="F147" s="66"/>
      <c r="G147" s="63"/>
      <c r="H147" s="67"/>
      <c r="I147" s="68"/>
      <c r="J147" s="68"/>
      <c r="K147" s="32"/>
      <c r="L147" s="75">
        <v>147</v>
      </c>
      <c r="M147" s="75"/>
      <c r="N147" s="70"/>
      <c r="O147" s="77" t="s">
        <v>539</v>
      </c>
      <c r="P147" s="79">
        <v>45014.876388888886</v>
      </c>
      <c r="Q147" s="77" t="s">
        <v>683</v>
      </c>
      <c r="R147" s="77">
        <v>0</v>
      </c>
      <c r="S147" s="77">
        <v>0</v>
      </c>
      <c r="T147" s="77">
        <v>0</v>
      </c>
      <c r="U147" s="77">
        <v>0</v>
      </c>
      <c r="V147" s="77">
        <v>16</v>
      </c>
      <c r="W147" s="82" t="s">
        <v>1547</v>
      </c>
      <c r="X147" s="77"/>
      <c r="Y147" s="77"/>
      <c r="Z147" s="77" t="s">
        <v>273</v>
      </c>
      <c r="AA147" s="77"/>
      <c r="AB147" s="77"/>
      <c r="AC147" s="82" t="s">
        <v>2639</v>
      </c>
      <c r="AD147" s="77" t="s">
        <v>2670</v>
      </c>
      <c r="AE147" s="80" t="str">
        <f>HYPERLINK("https://twitter.com/euluisconsultor/status/1641183950969393152")</f>
        <v>https://twitter.com/euluisconsultor/status/1641183950969393152</v>
      </c>
      <c r="AF147" s="79">
        <v>45014.876388888886</v>
      </c>
      <c r="AG147" s="85">
        <v>45014</v>
      </c>
      <c r="AH147" s="82" t="s">
        <v>2793</v>
      </c>
      <c r="AI147" s="77"/>
      <c r="AJ147" s="77"/>
      <c r="AK147" s="77"/>
      <c r="AL147" s="77"/>
      <c r="AM147" s="77"/>
      <c r="AN147" s="77"/>
      <c r="AO147" s="77"/>
      <c r="AP147" s="77"/>
      <c r="AQ147" s="77"/>
      <c r="AR147" s="77"/>
      <c r="AS147" s="77"/>
      <c r="AT147" s="77"/>
      <c r="AU147" s="77"/>
      <c r="AV147" s="80" t="str">
        <f>HYPERLINK("https://pbs.twimg.com/profile_images/1594035193081364484/kMgIPxhL_normal.jpg")</f>
        <v>https://pbs.twimg.com/profile_images/1594035193081364484/kMgIPxhL_normal.jpg</v>
      </c>
      <c r="AW147" s="82" t="s">
        <v>4204</v>
      </c>
      <c r="AX147" s="82" t="s">
        <v>4204</v>
      </c>
      <c r="AY147" s="77"/>
      <c r="AZ147" s="82" t="s">
        <v>5075</v>
      </c>
      <c r="BA147" s="82" t="s">
        <v>5075</v>
      </c>
      <c r="BB147" s="82" t="s">
        <v>5075</v>
      </c>
      <c r="BC147" s="82" t="s">
        <v>4204</v>
      </c>
      <c r="BD147" s="82" t="s">
        <v>5150</v>
      </c>
      <c r="BE147" s="77"/>
      <c r="BF147" s="77"/>
      <c r="BG147" s="77"/>
      <c r="BH147" s="77"/>
      <c r="BI147" s="77"/>
    </row>
    <row r="148" spans="1:61" x14ac:dyDescent="0.25">
      <c r="A148" s="62" t="s">
        <v>273</v>
      </c>
      <c r="B148" s="62" t="s">
        <v>273</v>
      </c>
      <c r="C148" s="63"/>
      <c r="D148" s="64"/>
      <c r="E148" s="65"/>
      <c r="F148" s="66"/>
      <c r="G148" s="63"/>
      <c r="H148" s="67"/>
      <c r="I148" s="68"/>
      <c r="J148" s="68"/>
      <c r="K148" s="32"/>
      <c r="L148" s="75">
        <v>148</v>
      </c>
      <c r="M148" s="75"/>
      <c r="N148" s="70"/>
      <c r="O148" s="77" t="s">
        <v>539</v>
      </c>
      <c r="P148" s="79">
        <v>45007.876388888886</v>
      </c>
      <c r="Q148" s="77" t="s">
        <v>684</v>
      </c>
      <c r="R148" s="77">
        <v>0</v>
      </c>
      <c r="S148" s="77">
        <v>0</v>
      </c>
      <c r="T148" s="77">
        <v>0</v>
      </c>
      <c r="U148" s="77">
        <v>0</v>
      </c>
      <c r="V148" s="77">
        <v>5</v>
      </c>
      <c r="W148" s="82" t="s">
        <v>1548</v>
      </c>
      <c r="X148" s="77"/>
      <c r="Y148" s="77"/>
      <c r="Z148" s="77" t="s">
        <v>273</v>
      </c>
      <c r="AA148" s="77"/>
      <c r="AB148" s="77"/>
      <c r="AC148" s="82" t="s">
        <v>2639</v>
      </c>
      <c r="AD148" s="77" t="s">
        <v>2670</v>
      </c>
      <c r="AE148" s="80" t="str">
        <f>HYPERLINK("https://twitter.com/euluisconsultor/status/1638647235813556236")</f>
        <v>https://twitter.com/euluisconsultor/status/1638647235813556236</v>
      </c>
      <c r="AF148" s="79">
        <v>45007.876388888886</v>
      </c>
      <c r="AG148" s="85">
        <v>45007</v>
      </c>
      <c r="AH148" s="82" t="s">
        <v>2793</v>
      </c>
      <c r="AI148" s="77"/>
      <c r="AJ148" s="77"/>
      <c r="AK148" s="77"/>
      <c r="AL148" s="77"/>
      <c r="AM148" s="77"/>
      <c r="AN148" s="77"/>
      <c r="AO148" s="77"/>
      <c r="AP148" s="77"/>
      <c r="AQ148" s="77"/>
      <c r="AR148" s="77"/>
      <c r="AS148" s="77"/>
      <c r="AT148" s="77"/>
      <c r="AU148" s="77"/>
      <c r="AV148" s="80" t="str">
        <f>HYPERLINK("https://pbs.twimg.com/profile_images/1594035193081364484/kMgIPxhL_normal.jpg")</f>
        <v>https://pbs.twimg.com/profile_images/1594035193081364484/kMgIPxhL_normal.jpg</v>
      </c>
      <c r="AW148" s="82" t="s">
        <v>4205</v>
      </c>
      <c r="AX148" s="82" t="s">
        <v>4205</v>
      </c>
      <c r="AY148" s="77"/>
      <c r="AZ148" s="82" t="s">
        <v>5075</v>
      </c>
      <c r="BA148" s="82" t="s">
        <v>5075</v>
      </c>
      <c r="BB148" s="82" t="s">
        <v>5075</v>
      </c>
      <c r="BC148" s="82" t="s">
        <v>4205</v>
      </c>
      <c r="BD148" s="82" t="s">
        <v>5150</v>
      </c>
      <c r="BE148" s="77"/>
      <c r="BF148" s="77"/>
      <c r="BG148" s="77"/>
      <c r="BH148" s="77"/>
      <c r="BI148" s="77"/>
    </row>
    <row r="149" spans="1:61" x14ac:dyDescent="0.25">
      <c r="A149" s="62" t="s">
        <v>274</v>
      </c>
      <c r="B149" s="62" t="s">
        <v>274</v>
      </c>
      <c r="C149" s="63"/>
      <c r="D149" s="64"/>
      <c r="E149" s="65"/>
      <c r="F149" s="66"/>
      <c r="G149" s="63"/>
      <c r="H149" s="67"/>
      <c r="I149" s="68"/>
      <c r="J149" s="68"/>
      <c r="K149" s="32"/>
      <c r="L149" s="75">
        <v>149</v>
      </c>
      <c r="M149" s="75"/>
      <c r="N149" s="70"/>
      <c r="O149" s="77" t="s">
        <v>536</v>
      </c>
      <c r="P149" s="79">
        <v>45189.4684837963</v>
      </c>
      <c r="Q149" s="77" t="s">
        <v>685</v>
      </c>
      <c r="R149" s="77">
        <v>0</v>
      </c>
      <c r="S149" s="77">
        <v>0</v>
      </c>
      <c r="T149" s="77">
        <v>1</v>
      </c>
      <c r="U149" s="77">
        <v>0</v>
      </c>
      <c r="V149" s="77">
        <v>9</v>
      </c>
      <c r="W149" s="82" t="s">
        <v>1549</v>
      </c>
      <c r="X149" s="77"/>
      <c r="Y149" s="77"/>
      <c r="Z149" s="77"/>
      <c r="AA149" s="77"/>
      <c r="AB149" s="77"/>
      <c r="AC149" s="82" t="s">
        <v>2639</v>
      </c>
      <c r="AD149" s="77" t="s">
        <v>2670</v>
      </c>
      <c r="AE149" s="80" t="str">
        <f>HYPERLINK("https://twitter.com/fgaugustus/status/1704454010483167311")</f>
        <v>https://twitter.com/fgaugustus/status/1704454010483167311</v>
      </c>
      <c r="AF149" s="79">
        <v>45189.4684837963</v>
      </c>
      <c r="AG149" s="85">
        <v>45189</v>
      </c>
      <c r="AH149" s="82" t="s">
        <v>2794</v>
      </c>
      <c r="AI149" s="77"/>
      <c r="AJ149" s="77"/>
      <c r="AK149" s="77"/>
      <c r="AL149" s="77"/>
      <c r="AM149" s="77"/>
      <c r="AN149" s="77"/>
      <c r="AO149" s="77"/>
      <c r="AP149" s="77"/>
      <c r="AQ149" s="77"/>
      <c r="AR149" s="77"/>
      <c r="AS149" s="77"/>
      <c r="AT149" s="77"/>
      <c r="AU149" s="77"/>
      <c r="AV149" s="80" t="str">
        <f>HYPERLINK("https://pbs.twimg.com/profile_images/1561516721835577352/FYTrPwEo_normal.jpg")</f>
        <v>https://pbs.twimg.com/profile_images/1561516721835577352/FYTrPwEo_normal.jpg</v>
      </c>
      <c r="AW149" s="82" t="s">
        <v>4206</v>
      </c>
      <c r="AX149" s="82" t="s">
        <v>4960</v>
      </c>
      <c r="AY149" s="82" t="s">
        <v>5030</v>
      </c>
      <c r="AZ149" s="82" t="s">
        <v>4207</v>
      </c>
      <c r="BA149" s="82" t="s">
        <v>5075</v>
      </c>
      <c r="BB149" s="82" t="s">
        <v>5075</v>
      </c>
      <c r="BC149" s="82" t="s">
        <v>4207</v>
      </c>
      <c r="BD149" s="77">
        <v>3507344897</v>
      </c>
      <c r="BE149" s="77"/>
      <c r="BF149" s="77"/>
      <c r="BG149" s="77"/>
      <c r="BH149" s="77"/>
      <c r="BI149" s="77"/>
    </row>
    <row r="150" spans="1:61" x14ac:dyDescent="0.25">
      <c r="A150" s="62" t="s">
        <v>274</v>
      </c>
      <c r="B150" s="62" t="s">
        <v>274</v>
      </c>
      <c r="C150" s="63"/>
      <c r="D150" s="64"/>
      <c r="E150" s="65"/>
      <c r="F150" s="66"/>
      <c r="G150" s="63"/>
      <c r="H150" s="67"/>
      <c r="I150" s="68"/>
      <c r="J150" s="68"/>
      <c r="K150" s="32"/>
      <c r="L150" s="75">
        <v>150</v>
      </c>
      <c r="M150" s="75"/>
      <c r="N150" s="70"/>
      <c r="O150" s="77" t="s">
        <v>536</v>
      </c>
      <c r="P150" s="79">
        <v>45189.467986111114</v>
      </c>
      <c r="Q150" s="77" t="s">
        <v>686</v>
      </c>
      <c r="R150" s="77">
        <v>0</v>
      </c>
      <c r="S150" s="77">
        <v>0</v>
      </c>
      <c r="T150" s="77">
        <v>1</v>
      </c>
      <c r="U150" s="77">
        <v>0</v>
      </c>
      <c r="V150" s="77">
        <v>6</v>
      </c>
      <c r="W150" s="82" t="s">
        <v>1550</v>
      </c>
      <c r="X150" s="77"/>
      <c r="Y150" s="77"/>
      <c r="Z150" s="77"/>
      <c r="AA150" s="77"/>
      <c r="AB150" s="77"/>
      <c r="AC150" s="82" t="s">
        <v>2639</v>
      </c>
      <c r="AD150" s="77" t="s">
        <v>2670</v>
      </c>
      <c r="AE150" s="80" t="str">
        <f>HYPERLINK("https://twitter.com/fgaugustus/status/1704453827871793438")</f>
        <v>https://twitter.com/fgaugustus/status/1704453827871793438</v>
      </c>
      <c r="AF150" s="79">
        <v>45189.467986111114</v>
      </c>
      <c r="AG150" s="85">
        <v>45189</v>
      </c>
      <c r="AH150" s="82" t="s">
        <v>2795</v>
      </c>
      <c r="AI150" s="77"/>
      <c r="AJ150" s="77"/>
      <c r="AK150" s="77"/>
      <c r="AL150" s="77"/>
      <c r="AM150" s="77"/>
      <c r="AN150" s="77"/>
      <c r="AO150" s="77"/>
      <c r="AP150" s="77"/>
      <c r="AQ150" s="77"/>
      <c r="AR150" s="77"/>
      <c r="AS150" s="77"/>
      <c r="AT150" s="77"/>
      <c r="AU150" s="77"/>
      <c r="AV150" s="80" t="str">
        <f>HYPERLINK("https://pbs.twimg.com/profile_images/1561516721835577352/FYTrPwEo_normal.jpg")</f>
        <v>https://pbs.twimg.com/profile_images/1561516721835577352/FYTrPwEo_normal.jpg</v>
      </c>
      <c r="AW150" s="82" t="s">
        <v>4207</v>
      </c>
      <c r="AX150" s="82" t="s">
        <v>4960</v>
      </c>
      <c r="AY150" s="82" t="s">
        <v>5030</v>
      </c>
      <c r="AZ150" s="82" t="s">
        <v>5079</v>
      </c>
      <c r="BA150" s="82" t="s">
        <v>5075</v>
      </c>
      <c r="BB150" s="82" t="s">
        <v>5075</v>
      </c>
      <c r="BC150" s="82" t="s">
        <v>5079</v>
      </c>
      <c r="BD150" s="77">
        <v>3507344897</v>
      </c>
      <c r="BE150" s="77"/>
      <c r="BF150" s="77"/>
      <c r="BG150" s="77"/>
      <c r="BH150" s="77"/>
      <c r="BI150" s="77"/>
    </row>
    <row r="151" spans="1:61" x14ac:dyDescent="0.25">
      <c r="A151" s="62" t="s">
        <v>275</v>
      </c>
      <c r="B151" s="62" t="s">
        <v>275</v>
      </c>
      <c r="C151" s="63"/>
      <c r="D151" s="64"/>
      <c r="E151" s="65"/>
      <c r="F151" s="66"/>
      <c r="G151" s="63"/>
      <c r="H151" s="67"/>
      <c r="I151" s="68"/>
      <c r="J151" s="68"/>
      <c r="K151" s="32"/>
      <c r="L151" s="75">
        <v>151</v>
      </c>
      <c r="M151" s="75"/>
      <c r="N151" s="70"/>
      <c r="O151" s="77" t="s">
        <v>536</v>
      </c>
      <c r="P151" s="79">
        <v>45000.993715277778</v>
      </c>
      <c r="Q151" s="77" t="s">
        <v>687</v>
      </c>
      <c r="R151" s="77">
        <v>1</v>
      </c>
      <c r="S151" s="77">
        <v>1</v>
      </c>
      <c r="T151" s="77">
        <v>0</v>
      </c>
      <c r="U151" s="77">
        <v>0</v>
      </c>
      <c r="V151" s="77">
        <v>5</v>
      </c>
      <c r="W151" s="82" t="s">
        <v>1551</v>
      </c>
      <c r="X151" s="77"/>
      <c r="Y151" s="77"/>
      <c r="Z151" s="77" t="s">
        <v>275</v>
      </c>
      <c r="AA151" s="77" t="s">
        <v>2109</v>
      </c>
      <c r="AB151" s="77" t="s">
        <v>2632</v>
      </c>
      <c r="AC151" s="82" t="s">
        <v>2639</v>
      </c>
      <c r="AD151" s="77" t="s">
        <v>2670</v>
      </c>
      <c r="AE151" s="80" t="str">
        <f>HYPERLINK("https://twitter.com/targetexecutiv/status/1636153041240965120")</f>
        <v>https://twitter.com/targetexecutiv/status/1636153041240965120</v>
      </c>
      <c r="AF151" s="79">
        <v>45000.993715277778</v>
      </c>
      <c r="AG151" s="85">
        <v>45000</v>
      </c>
      <c r="AH151" s="82" t="s">
        <v>2796</v>
      </c>
      <c r="AI151" s="77" t="b">
        <v>0</v>
      </c>
      <c r="AJ151" s="77"/>
      <c r="AK151" s="77"/>
      <c r="AL151" s="77"/>
      <c r="AM151" s="77"/>
      <c r="AN151" s="77"/>
      <c r="AO151" s="77"/>
      <c r="AP151" s="77"/>
      <c r="AQ151" s="77" t="s">
        <v>3538</v>
      </c>
      <c r="AR151" s="77"/>
      <c r="AS151" s="77"/>
      <c r="AT151" s="77"/>
      <c r="AU151" s="77"/>
      <c r="AV151" s="80" t="str">
        <f>HYPERLINK("https://pbs.twimg.com/media/FrTIg9NXwAE7ifm.jpg")</f>
        <v>https://pbs.twimg.com/media/FrTIg9NXwAE7ifm.jpg</v>
      </c>
      <c r="AW151" s="82" t="s">
        <v>4208</v>
      </c>
      <c r="AX151" s="82" t="s">
        <v>4210</v>
      </c>
      <c r="AY151" s="82" t="s">
        <v>5031</v>
      </c>
      <c r="AZ151" s="82" t="s">
        <v>4209</v>
      </c>
      <c r="BA151" s="82" t="s">
        <v>5075</v>
      </c>
      <c r="BB151" s="82" t="s">
        <v>5075</v>
      </c>
      <c r="BC151" s="82" t="s">
        <v>4209</v>
      </c>
      <c r="BD151" s="82" t="s">
        <v>5031</v>
      </c>
      <c r="BE151" s="77"/>
      <c r="BF151" s="77"/>
      <c r="BG151" s="77"/>
      <c r="BH151" s="77"/>
      <c r="BI151" s="77"/>
    </row>
    <row r="152" spans="1:61" x14ac:dyDescent="0.25">
      <c r="A152" s="62" t="s">
        <v>275</v>
      </c>
      <c r="B152" s="62" t="s">
        <v>275</v>
      </c>
      <c r="C152" s="63"/>
      <c r="D152" s="64"/>
      <c r="E152" s="65"/>
      <c r="F152" s="66"/>
      <c r="G152" s="63"/>
      <c r="H152" s="67"/>
      <c r="I152" s="68"/>
      <c r="J152" s="68"/>
      <c r="K152" s="32"/>
      <c r="L152" s="75">
        <v>152</v>
      </c>
      <c r="M152" s="75"/>
      <c r="N152" s="70"/>
      <c r="O152" s="77" t="s">
        <v>536</v>
      </c>
      <c r="P152" s="79">
        <v>45000.993437500001</v>
      </c>
      <c r="Q152" s="77" t="s">
        <v>688</v>
      </c>
      <c r="R152" s="77">
        <v>1</v>
      </c>
      <c r="S152" s="77">
        <v>2</v>
      </c>
      <c r="T152" s="77">
        <v>1</v>
      </c>
      <c r="U152" s="77">
        <v>0</v>
      </c>
      <c r="V152" s="77">
        <v>6</v>
      </c>
      <c r="W152" s="82" t="s">
        <v>1551</v>
      </c>
      <c r="X152" s="77"/>
      <c r="Y152" s="77"/>
      <c r="Z152" s="77" t="s">
        <v>275</v>
      </c>
      <c r="AA152" s="77" t="s">
        <v>2110</v>
      </c>
      <c r="AB152" s="77" t="s">
        <v>2635</v>
      </c>
      <c r="AC152" s="82" t="s">
        <v>2639</v>
      </c>
      <c r="AD152" s="77" t="s">
        <v>2670</v>
      </c>
      <c r="AE152" s="80" t="str">
        <f>HYPERLINK("https://twitter.com/targetexecutiv/status/1636152938186850305")</f>
        <v>https://twitter.com/targetexecutiv/status/1636152938186850305</v>
      </c>
      <c r="AF152" s="79">
        <v>45000.993437500001</v>
      </c>
      <c r="AG152" s="85">
        <v>45000</v>
      </c>
      <c r="AH152" s="82" t="s">
        <v>2797</v>
      </c>
      <c r="AI152" s="77" t="b">
        <v>0</v>
      </c>
      <c r="AJ152" s="77"/>
      <c r="AK152" s="77"/>
      <c r="AL152" s="77"/>
      <c r="AM152" s="77"/>
      <c r="AN152" s="77"/>
      <c r="AO152" s="77"/>
      <c r="AP152" s="77"/>
      <c r="AQ152" s="77" t="s">
        <v>3539</v>
      </c>
      <c r="AR152" s="77"/>
      <c r="AS152" s="77"/>
      <c r="AT152" s="77"/>
      <c r="AU152" s="77"/>
      <c r="AV152" s="80" t="str">
        <f>HYPERLINK("https://pbs.twimg.com/media/FrTIbBYWcAA4TmY.jpg")</f>
        <v>https://pbs.twimg.com/media/FrTIbBYWcAA4TmY.jpg</v>
      </c>
      <c r="AW152" s="82" t="s">
        <v>4209</v>
      </c>
      <c r="AX152" s="82" t="s">
        <v>4210</v>
      </c>
      <c r="AY152" s="82" t="s">
        <v>5031</v>
      </c>
      <c r="AZ152" s="82" t="s">
        <v>4210</v>
      </c>
      <c r="BA152" s="82" t="s">
        <v>5075</v>
      </c>
      <c r="BB152" s="82" t="s">
        <v>5075</v>
      </c>
      <c r="BC152" s="82" t="s">
        <v>4210</v>
      </c>
      <c r="BD152" s="82" t="s">
        <v>5031</v>
      </c>
      <c r="BE152" s="77"/>
      <c r="BF152" s="77"/>
      <c r="BG152" s="77"/>
      <c r="BH152" s="77"/>
      <c r="BI152" s="77"/>
    </row>
    <row r="153" spans="1:61" x14ac:dyDescent="0.25">
      <c r="A153" s="62" t="s">
        <v>275</v>
      </c>
      <c r="B153" s="62" t="s">
        <v>275</v>
      </c>
      <c r="C153" s="63"/>
      <c r="D153" s="64"/>
      <c r="E153" s="65"/>
      <c r="F153" s="66"/>
      <c r="G153" s="63"/>
      <c r="H153" s="67"/>
      <c r="I153" s="68"/>
      <c r="J153" s="68"/>
      <c r="K153" s="32"/>
      <c r="L153" s="75">
        <v>153</v>
      </c>
      <c r="M153" s="75"/>
      <c r="N153" s="70"/>
      <c r="O153" s="77" t="s">
        <v>539</v>
      </c>
      <c r="P153" s="79">
        <v>45000.993125000001</v>
      </c>
      <c r="Q153" s="77" t="s">
        <v>689</v>
      </c>
      <c r="R153" s="77">
        <v>1</v>
      </c>
      <c r="S153" s="77">
        <v>2</v>
      </c>
      <c r="T153" s="77">
        <v>1</v>
      </c>
      <c r="U153" s="77">
        <v>0</v>
      </c>
      <c r="V153" s="77">
        <v>12</v>
      </c>
      <c r="W153" s="82" t="s">
        <v>1551</v>
      </c>
      <c r="X153" s="77"/>
      <c r="Y153" s="77"/>
      <c r="Z153" s="77" t="s">
        <v>275</v>
      </c>
      <c r="AA153" s="77" t="s">
        <v>2111</v>
      </c>
      <c r="AB153" s="77" t="s">
        <v>2635</v>
      </c>
      <c r="AC153" s="82" t="s">
        <v>2639</v>
      </c>
      <c r="AD153" s="77" t="s">
        <v>2670</v>
      </c>
      <c r="AE153" s="80" t="str">
        <f>HYPERLINK("https://twitter.com/targetexecutiv/status/1636152825351749638")</f>
        <v>https://twitter.com/targetexecutiv/status/1636152825351749638</v>
      </c>
      <c r="AF153" s="79">
        <v>45000.993125000001</v>
      </c>
      <c r="AG153" s="85">
        <v>45000</v>
      </c>
      <c r="AH153" s="82" t="s">
        <v>2798</v>
      </c>
      <c r="AI153" s="77" t="b">
        <v>0</v>
      </c>
      <c r="AJ153" s="77"/>
      <c r="AK153" s="77"/>
      <c r="AL153" s="77"/>
      <c r="AM153" s="77"/>
      <c r="AN153" s="77"/>
      <c r="AO153" s="77"/>
      <c r="AP153" s="77"/>
      <c r="AQ153" s="77" t="s">
        <v>3540</v>
      </c>
      <c r="AR153" s="77"/>
      <c r="AS153" s="77"/>
      <c r="AT153" s="77"/>
      <c r="AU153" s="77"/>
      <c r="AV153" s="80" t="str">
        <f>HYPERLINK("https://pbs.twimg.com/media/FrTISj2WwAIlzqC.jpg")</f>
        <v>https://pbs.twimg.com/media/FrTISj2WwAIlzqC.jpg</v>
      </c>
      <c r="AW153" s="82" t="s">
        <v>4210</v>
      </c>
      <c r="AX153" s="82" t="s">
        <v>4210</v>
      </c>
      <c r="AY153" s="77"/>
      <c r="AZ153" s="82" t="s">
        <v>5075</v>
      </c>
      <c r="BA153" s="82" t="s">
        <v>5075</v>
      </c>
      <c r="BB153" s="82" t="s">
        <v>5075</v>
      </c>
      <c r="BC153" s="82" t="s">
        <v>4210</v>
      </c>
      <c r="BD153" s="82" t="s">
        <v>5031</v>
      </c>
      <c r="BE153" s="77"/>
      <c r="BF153" s="77"/>
      <c r="BG153" s="77"/>
      <c r="BH153" s="77"/>
      <c r="BI153" s="77"/>
    </row>
    <row r="154" spans="1:61" x14ac:dyDescent="0.25">
      <c r="A154" s="62" t="s">
        <v>275</v>
      </c>
      <c r="B154" s="62" t="s">
        <v>275</v>
      </c>
      <c r="C154" s="63"/>
      <c r="D154" s="64"/>
      <c r="E154" s="65"/>
      <c r="F154" s="66"/>
      <c r="G154" s="63"/>
      <c r="H154" s="67"/>
      <c r="I154" s="68"/>
      <c r="J154" s="68"/>
      <c r="K154" s="32"/>
      <c r="L154" s="75">
        <v>154</v>
      </c>
      <c r="M154" s="75"/>
      <c r="N154" s="70"/>
      <c r="O154" s="77" t="s">
        <v>536</v>
      </c>
      <c r="P154" s="79">
        <v>44999.928171296298</v>
      </c>
      <c r="Q154" s="77" t="s">
        <v>690</v>
      </c>
      <c r="R154" s="77">
        <v>1</v>
      </c>
      <c r="S154" s="77">
        <v>1</v>
      </c>
      <c r="T154" s="77">
        <v>0</v>
      </c>
      <c r="U154" s="77">
        <v>0</v>
      </c>
      <c r="V154" s="77">
        <v>7</v>
      </c>
      <c r="W154" s="82" t="s">
        <v>1552</v>
      </c>
      <c r="X154" s="77"/>
      <c r="Y154" s="77"/>
      <c r="Z154" s="77" t="s">
        <v>275</v>
      </c>
      <c r="AA154" s="77" t="s">
        <v>2112</v>
      </c>
      <c r="AB154" s="77" t="s">
        <v>2635</v>
      </c>
      <c r="AC154" s="82" t="s">
        <v>2639</v>
      </c>
      <c r="AD154" s="77" t="s">
        <v>2670</v>
      </c>
      <c r="AE154" s="80" t="str">
        <f>HYPERLINK("https://twitter.com/targetexecutiv/status/1635766899437961217")</f>
        <v>https://twitter.com/targetexecutiv/status/1635766899437961217</v>
      </c>
      <c r="AF154" s="79">
        <v>44999.928171296298</v>
      </c>
      <c r="AG154" s="85">
        <v>44999</v>
      </c>
      <c r="AH154" s="82" t="s">
        <v>2799</v>
      </c>
      <c r="AI154" s="77" t="b">
        <v>0</v>
      </c>
      <c r="AJ154" s="77"/>
      <c r="AK154" s="77"/>
      <c r="AL154" s="77"/>
      <c r="AM154" s="77"/>
      <c r="AN154" s="77"/>
      <c r="AO154" s="77"/>
      <c r="AP154" s="77"/>
      <c r="AQ154" s="77" t="s">
        <v>3541</v>
      </c>
      <c r="AR154" s="77"/>
      <c r="AS154" s="77"/>
      <c r="AT154" s="77"/>
      <c r="AU154" s="77"/>
      <c r="AV154" s="80" t="str">
        <f>HYPERLINK("https://pbs.twimg.com/media/FrNpUhYXwAQ8ocW.jpg")</f>
        <v>https://pbs.twimg.com/media/FrNpUhYXwAQ8ocW.jpg</v>
      </c>
      <c r="AW154" s="82" t="s">
        <v>4211</v>
      </c>
      <c r="AX154" s="82" t="s">
        <v>4212</v>
      </c>
      <c r="AY154" s="82" t="s">
        <v>5031</v>
      </c>
      <c r="AZ154" s="82" t="s">
        <v>4212</v>
      </c>
      <c r="BA154" s="82" t="s">
        <v>5075</v>
      </c>
      <c r="BB154" s="82" t="s">
        <v>5075</v>
      </c>
      <c r="BC154" s="82" t="s">
        <v>4212</v>
      </c>
      <c r="BD154" s="82" t="s">
        <v>5031</v>
      </c>
      <c r="BE154" s="77"/>
      <c r="BF154" s="77"/>
      <c r="BG154" s="77"/>
      <c r="BH154" s="77"/>
      <c r="BI154" s="77"/>
    </row>
    <row r="155" spans="1:61" x14ac:dyDescent="0.25">
      <c r="A155" s="62" t="s">
        <v>275</v>
      </c>
      <c r="B155" s="62" t="s">
        <v>275</v>
      </c>
      <c r="C155" s="63"/>
      <c r="D155" s="64"/>
      <c r="E155" s="65"/>
      <c r="F155" s="66"/>
      <c r="G155" s="63"/>
      <c r="H155" s="67"/>
      <c r="I155" s="68"/>
      <c r="J155" s="68"/>
      <c r="K155" s="32"/>
      <c r="L155" s="75">
        <v>155</v>
      </c>
      <c r="M155" s="75"/>
      <c r="N155" s="70"/>
      <c r="O155" s="77" t="s">
        <v>539</v>
      </c>
      <c r="P155" s="79">
        <v>44999.927916666667</v>
      </c>
      <c r="Q155" s="77" t="s">
        <v>691</v>
      </c>
      <c r="R155" s="77">
        <v>1</v>
      </c>
      <c r="S155" s="77">
        <v>1</v>
      </c>
      <c r="T155" s="77">
        <v>1</v>
      </c>
      <c r="U155" s="77">
        <v>0</v>
      </c>
      <c r="V155" s="77">
        <v>13</v>
      </c>
      <c r="W155" s="82" t="s">
        <v>1552</v>
      </c>
      <c r="X155" s="77"/>
      <c r="Y155" s="77"/>
      <c r="Z155" s="77" t="s">
        <v>275</v>
      </c>
      <c r="AA155" s="77" t="s">
        <v>2113</v>
      </c>
      <c r="AB155" s="77" t="s">
        <v>2635</v>
      </c>
      <c r="AC155" s="82" t="s">
        <v>2639</v>
      </c>
      <c r="AD155" s="77" t="s">
        <v>2670</v>
      </c>
      <c r="AE155" s="80" t="str">
        <f>HYPERLINK("https://twitter.com/targetexecutiv/status/1635766808576765954")</f>
        <v>https://twitter.com/targetexecutiv/status/1635766808576765954</v>
      </c>
      <c r="AF155" s="79">
        <v>44999.927916666667</v>
      </c>
      <c r="AG155" s="85">
        <v>44999</v>
      </c>
      <c r="AH155" s="82" t="s">
        <v>2800</v>
      </c>
      <c r="AI155" s="77" t="b">
        <v>0</v>
      </c>
      <c r="AJ155" s="77"/>
      <c r="AK155" s="77"/>
      <c r="AL155" s="77"/>
      <c r="AM155" s="77"/>
      <c r="AN155" s="77"/>
      <c r="AO155" s="77"/>
      <c r="AP155" s="77"/>
      <c r="AQ155" s="77" t="s">
        <v>3542</v>
      </c>
      <c r="AR155" s="77"/>
      <c r="AS155" s="77"/>
      <c r="AT155" s="77"/>
      <c r="AU155" s="77"/>
      <c r="AV155" s="80" t="str">
        <f>HYPERLINK("https://pbs.twimg.com/media/FrNpO_VWwAQP0fa.jpg")</f>
        <v>https://pbs.twimg.com/media/FrNpO_VWwAQP0fa.jpg</v>
      </c>
      <c r="AW155" s="82" t="s">
        <v>4212</v>
      </c>
      <c r="AX155" s="82" t="s">
        <v>4212</v>
      </c>
      <c r="AY155" s="77"/>
      <c r="AZ155" s="82" t="s">
        <v>5075</v>
      </c>
      <c r="BA155" s="82" t="s">
        <v>5075</v>
      </c>
      <c r="BB155" s="82" t="s">
        <v>5075</v>
      </c>
      <c r="BC155" s="82" t="s">
        <v>4212</v>
      </c>
      <c r="BD155" s="82" t="s">
        <v>5031</v>
      </c>
      <c r="BE155" s="77"/>
      <c r="BF155" s="77"/>
      <c r="BG155" s="77"/>
      <c r="BH155" s="77"/>
      <c r="BI155" s="77"/>
    </row>
    <row r="156" spans="1:61" x14ac:dyDescent="0.25">
      <c r="A156" s="62" t="s">
        <v>275</v>
      </c>
      <c r="B156" s="62" t="s">
        <v>275</v>
      </c>
      <c r="C156" s="63"/>
      <c r="D156" s="64"/>
      <c r="E156" s="65"/>
      <c r="F156" s="66"/>
      <c r="G156" s="63"/>
      <c r="H156" s="67"/>
      <c r="I156" s="68"/>
      <c r="J156" s="68"/>
      <c r="K156" s="32"/>
      <c r="L156" s="75">
        <v>156</v>
      </c>
      <c r="M156" s="75"/>
      <c r="N156" s="70"/>
      <c r="O156" s="77" t="s">
        <v>539</v>
      </c>
      <c r="P156" s="79">
        <v>44998.957731481481</v>
      </c>
      <c r="Q156" s="77" t="s">
        <v>692</v>
      </c>
      <c r="R156" s="77">
        <v>1</v>
      </c>
      <c r="S156" s="77">
        <v>1</v>
      </c>
      <c r="T156" s="77">
        <v>1</v>
      </c>
      <c r="U156" s="77">
        <v>0</v>
      </c>
      <c r="V156" s="77">
        <v>8</v>
      </c>
      <c r="W156" s="82" t="s">
        <v>1553</v>
      </c>
      <c r="X156" s="77"/>
      <c r="Y156" s="77"/>
      <c r="Z156" s="77" t="s">
        <v>275</v>
      </c>
      <c r="AA156" s="77" t="s">
        <v>2114</v>
      </c>
      <c r="AB156" s="77" t="s">
        <v>2635</v>
      </c>
      <c r="AC156" s="82" t="s">
        <v>2639</v>
      </c>
      <c r="AD156" s="77" t="s">
        <v>2670</v>
      </c>
      <c r="AE156" s="80" t="str">
        <f>HYPERLINK("https://twitter.com/targetexecutiv/status/1635415224542183425")</f>
        <v>https://twitter.com/targetexecutiv/status/1635415224542183425</v>
      </c>
      <c r="AF156" s="79">
        <v>44998.957731481481</v>
      </c>
      <c r="AG156" s="85">
        <v>44998</v>
      </c>
      <c r="AH156" s="82" t="s">
        <v>2801</v>
      </c>
      <c r="AI156" s="77" t="b">
        <v>0</v>
      </c>
      <c r="AJ156" s="77"/>
      <c r="AK156" s="77"/>
      <c r="AL156" s="77"/>
      <c r="AM156" s="77"/>
      <c r="AN156" s="77"/>
      <c r="AO156" s="77"/>
      <c r="AP156" s="77"/>
      <c r="AQ156" s="77" t="s">
        <v>3543</v>
      </c>
      <c r="AR156" s="77"/>
      <c r="AS156" s="77"/>
      <c r="AT156" s="77"/>
      <c r="AU156" s="77"/>
      <c r="AV156" s="80" t="str">
        <f>HYPERLINK("https://pbs.twimg.com/media/FrIpecnXgAcfk2k.jpg")</f>
        <v>https://pbs.twimg.com/media/FrIpecnXgAcfk2k.jpg</v>
      </c>
      <c r="AW156" s="82" t="s">
        <v>4213</v>
      </c>
      <c r="AX156" s="82" t="s">
        <v>4213</v>
      </c>
      <c r="AY156" s="77"/>
      <c r="AZ156" s="82" t="s">
        <v>5075</v>
      </c>
      <c r="BA156" s="82" t="s">
        <v>5075</v>
      </c>
      <c r="BB156" s="82" t="s">
        <v>5075</v>
      </c>
      <c r="BC156" s="82" t="s">
        <v>4213</v>
      </c>
      <c r="BD156" s="82" t="s">
        <v>5031</v>
      </c>
      <c r="BE156" s="77"/>
      <c r="BF156" s="77"/>
      <c r="BG156" s="77"/>
      <c r="BH156" s="77"/>
      <c r="BI156" s="77"/>
    </row>
    <row r="157" spans="1:61" x14ac:dyDescent="0.25">
      <c r="A157" s="62" t="s">
        <v>275</v>
      </c>
      <c r="B157" s="62" t="s">
        <v>275</v>
      </c>
      <c r="C157" s="63"/>
      <c r="D157" s="64"/>
      <c r="E157" s="65"/>
      <c r="F157" s="66"/>
      <c r="G157" s="63"/>
      <c r="H157" s="67"/>
      <c r="I157" s="68"/>
      <c r="J157" s="68"/>
      <c r="K157" s="32"/>
      <c r="L157" s="75">
        <v>157</v>
      </c>
      <c r="M157" s="75"/>
      <c r="N157" s="70"/>
      <c r="O157" s="77" t="s">
        <v>536</v>
      </c>
      <c r="P157" s="79">
        <v>44997.819409722222</v>
      </c>
      <c r="Q157" s="77" t="s">
        <v>693</v>
      </c>
      <c r="R157" s="77">
        <v>1</v>
      </c>
      <c r="S157" s="77">
        <v>2</v>
      </c>
      <c r="T157" s="77">
        <v>0</v>
      </c>
      <c r="U157" s="77">
        <v>0</v>
      </c>
      <c r="V157" s="77">
        <v>6</v>
      </c>
      <c r="W157" s="82" t="s">
        <v>1554</v>
      </c>
      <c r="X157" s="77"/>
      <c r="Y157" s="77"/>
      <c r="Z157" s="77" t="s">
        <v>275</v>
      </c>
      <c r="AA157" s="77" t="s">
        <v>2115</v>
      </c>
      <c r="AB157" s="77" t="s">
        <v>2632</v>
      </c>
      <c r="AC157" s="82" t="s">
        <v>2639</v>
      </c>
      <c r="AD157" s="77" t="s">
        <v>2670</v>
      </c>
      <c r="AE157" s="80" t="str">
        <f>HYPERLINK("https://twitter.com/targetexecutiv/status/1635002709664481280")</f>
        <v>https://twitter.com/targetexecutiv/status/1635002709664481280</v>
      </c>
      <c r="AF157" s="79">
        <v>44997.819409722222</v>
      </c>
      <c r="AG157" s="85">
        <v>44997</v>
      </c>
      <c r="AH157" s="82" t="s">
        <v>2802</v>
      </c>
      <c r="AI157" s="77" t="b">
        <v>0</v>
      </c>
      <c r="AJ157" s="77"/>
      <c r="AK157" s="77"/>
      <c r="AL157" s="77"/>
      <c r="AM157" s="77"/>
      <c r="AN157" s="77"/>
      <c r="AO157" s="77"/>
      <c r="AP157" s="77"/>
      <c r="AQ157" s="77" t="s">
        <v>3544</v>
      </c>
      <c r="AR157" s="77"/>
      <c r="AS157" s="77"/>
      <c r="AT157" s="77"/>
      <c r="AU157" s="77"/>
      <c r="AV157" s="80" t="str">
        <f>HYPERLINK("https://pbs.twimg.com/media/FrCySoPWcAALrRa.jpg")</f>
        <v>https://pbs.twimg.com/media/FrCySoPWcAALrRa.jpg</v>
      </c>
      <c r="AW157" s="82" t="s">
        <v>4214</v>
      </c>
      <c r="AX157" s="82" t="s">
        <v>4216</v>
      </c>
      <c r="AY157" s="82" t="s">
        <v>5031</v>
      </c>
      <c r="AZ157" s="82" t="s">
        <v>4216</v>
      </c>
      <c r="BA157" s="82" t="s">
        <v>5075</v>
      </c>
      <c r="BB157" s="82" t="s">
        <v>5075</v>
      </c>
      <c r="BC157" s="82" t="s">
        <v>4216</v>
      </c>
      <c r="BD157" s="82" t="s">
        <v>5031</v>
      </c>
      <c r="BE157" s="77"/>
      <c r="BF157" s="77"/>
      <c r="BG157" s="77"/>
      <c r="BH157" s="77"/>
      <c r="BI157" s="77"/>
    </row>
    <row r="158" spans="1:61" x14ac:dyDescent="0.25">
      <c r="A158" s="62" t="s">
        <v>275</v>
      </c>
      <c r="B158" s="62" t="s">
        <v>275</v>
      </c>
      <c r="C158" s="63"/>
      <c r="D158" s="64"/>
      <c r="E158" s="65"/>
      <c r="F158" s="66"/>
      <c r="G158" s="63"/>
      <c r="H158" s="67"/>
      <c r="I158" s="68"/>
      <c r="J158" s="68"/>
      <c r="K158" s="32"/>
      <c r="L158" s="75">
        <v>158</v>
      </c>
      <c r="M158" s="75"/>
      <c r="N158" s="70"/>
      <c r="O158" s="77" t="s">
        <v>536</v>
      </c>
      <c r="P158" s="79">
        <v>44997.819039351853</v>
      </c>
      <c r="Q158" s="77" t="s">
        <v>694</v>
      </c>
      <c r="R158" s="77">
        <v>0</v>
      </c>
      <c r="S158" s="77">
        <v>0</v>
      </c>
      <c r="T158" s="77">
        <v>0</v>
      </c>
      <c r="U158" s="77">
        <v>0</v>
      </c>
      <c r="V158" s="77">
        <v>2</v>
      </c>
      <c r="W158" s="82" t="s">
        <v>1554</v>
      </c>
      <c r="X158" s="77"/>
      <c r="Y158" s="77"/>
      <c r="Z158" s="77" t="s">
        <v>275</v>
      </c>
      <c r="AA158" s="77" t="s">
        <v>2116</v>
      </c>
      <c r="AB158" s="77" t="s">
        <v>2635</v>
      </c>
      <c r="AC158" s="82" t="s">
        <v>2639</v>
      </c>
      <c r="AD158" s="77" t="s">
        <v>2670</v>
      </c>
      <c r="AE158" s="80" t="str">
        <f>HYPERLINK("https://twitter.com/targetexecutiv/status/1635002573685153793")</f>
        <v>https://twitter.com/targetexecutiv/status/1635002573685153793</v>
      </c>
      <c r="AF158" s="79">
        <v>44997.819039351853</v>
      </c>
      <c r="AG158" s="85">
        <v>44997</v>
      </c>
      <c r="AH158" s="82" t="s">
        <v>2803</v>
      </c>
      <c r="AI158" s="77" t="b">
        <v>0</v>
      </c>
      <c r="AJ158" s="77"/>
      <c r="AK158" s="77"/>
      <c r="AL158" s="77"/>
      <c r="AM158" s="77"/>
      <c r="AN158" s="77"/>
      <c r="AO158" s="77"/>
      <c r="AP158" s="77"/>
      <c r="AQ158" s="77" t="s">
        <v>3545</v>
      </c>
      <c r="AR158" s="77"/>
      <c r="AS158" s="77"/>
      <c r="AT158" s="77"/>
      <c r="AU158" s="77"/>
      <c r="AV158" s="80" t="str">
        <f>HYPERLINK("https://pbs.twimg.com/media/FrCyK8IXgAM-KXm.jpg")</f>
        <v>https://pbs.twimg.com/media/FrCyK8IXgAM-KXm.jpg</v>
      </c>
      <c r="AW158" s="82" t="s">
        <v>4215</v>
      </c>
      <c r="AX158" s="82" t="s">
        <v>4216</v>
      </c>
      <c r="AY158" s="82" t="s">
        <v>5031</v>
      </c>
      <c r="AZ158" s="82" t="s">
        <v>4216</v>
      </c>
      <c r="BA158" s="82" t="s">
        <v>5075</v>
      </c>
      <c r="BB158" s="82" t="s">
        <v>5075</v>
      </c>
      <c r="BC158" s="82" t="s">
        <v>4216</v>
      </c>
      <c r="BD158" s="82" t="s">
        <v>5031</v>
      </c>
      <c r="BE158" s="77"/>
      <c r="BF158" s="77"/>
      <c r="BG158" s="77"/>
      <c r="BH158" s="77"/>
      <c r="BI158" s="77"/>
    </row>
    <row r="159" spans="1:61" x14ac:dyDescent="0.25">
      <c r="A159" s="62" t="s">
        <v>275</v>
      </c>
      <c r="B159" s="62" t="s">
        <v>275</v>
      </c>
      <c r="C159" s="63"/>
      <c r="D159" s="64"/>
      <c r="E159" s="65"/>
      <c r="F159" s="66"/>
      <c r="G159" s="63"/>
      <c r="H159" s="67"/>
      <c r="I159" s="68"/>
      <c r="J159" s="68"/>
      <c r="K159" s="32"/>
      <c r="L159" s="75">
        <v>159</v>
      </c>
      <c r="M159" s="75"/>
      <c r="N159" s="70"/>
      <c r="O159" s="77" t="s">
        <v>539</v>
      </c>
      <c r="P159" s="79">
        <v>44997.818668981483</v>
      </c>
      <c r="Q159" s="77" t="s">
        <v>695</v>
      </c>
      <c r="R159" s="77">
        <v>0</v>
      </c>
      <c r="S159" s="77">
        <v>0</v>
      </c>
      <c r="T159" s="77">
        <v>2</v>
      </c>
      <c r="U159" s="77">
        <v>0</v>
      </c>
      <c r="V159" s="77">
        <v>12</v>
      </c>
      <c r="W159" s="82" t="s">
        <v>1554</v>
      </c>
      <c r="X159" s="77"/>
      <c r="Y159" s="77"/>
      <c r="Z159" s="77" t="s">
        <v>275</v>
      </c>
      <c r="AA159" s="77" t="s">
        <v>2117</v>
      </c>
      <c r="AB159" s="77" t="s">
        <v>2635</v>
      </c>
      <c r="AC159" s="82" t="s">
        <v>2639</v>
      </c>
      <c r="AD159" s="77" t="s">
        <v>2670</v>
      </c>
      <c r="AE159" s="80" t="str">
        <f>HYPERLINK("https://twitter.com/targetexecutiv/status/1635002441862373376")</f>
        <v>https://twitter.com/targetexecutiv/status/1635002441862373376</v>
      </c>
      <c r="AF159" s="79">
        <v>44997.818668981483</v>
      </c>
      <c r="AG159" s="85">
        <v>44997</v>
      </c>
      <c r="AH159" s="82" t="s">
        <v>2804</v>
      </c>
      <c r="AI159" s="77" t="b">
        <v>0</v>
      </c>
      <c r="AJ159" s="77"/>
      <c r="AK159" s="77"/>
      <c r="AL159" s="77"/>
      <c r="AM159" s="77"/>
      <c r="AN159" s="77"/>
      <c r="AO159" s="77"/>
      <c r="AP159" s="77"/>
      <c r="AQ159" s="77" t="s">
        <v>3546</v>
      </c>
      <c r="AR159" s="77"/>
      <c r="AS159" s="77"/>
      <c r="AT159" s="77"/>
      <c r="AU159" s="77"/>
      <c r="AV159" s="80" t="str">
        <f>HYPERLINK("https://pbs.twimg.com/media/FrCyDIRXwAAnk1s.jpg")</f>
        <v>https://pbs.twimg.com/media/FrCyDIRXwAAnk1s.jpg</v>
      </c>
      <c r="AW159" s="82" t="s">
        <v>4216</v>
      </c>
      <c r="AX159" s="82" t="s">
        <v>4216</v>
      </c>
      <c r="AY159" s="77"/>
      <c r="AZ159" s="82" t="s">
        <v>5075</v>
      </c>
      <c r="BA159" s="82" t="s">
        <v>5075</v>
      </c>
      <c r="BB159" s="82" t="s">
        <v>5075</v>
      </c>
      <c r="BC159" s="82" t="s">
        <v>4216</v>
      </c>
      <c r="BD159" s="82" t="s">
        <v>5031</v>
      </c>
      <c r="BE159" s="77"/>
      <c r="BF159" s="77"/>
      <c r="BG159" s="77"/>
      <c r="BH159" s="77"/>
      <c r="BI159" s="77"/>
    </row>
    <row r="160" spans="1:61" x14ac:dyDescent="0.25">
      <c r="A160" s="62" t="s">
        <v>275</v>
      </c>
      <c r="B160" s="62" t="s">
        <v>275</v>
      </c>
      <c r="C160" s="63"/>
      <c r="D160" s="64"/>
      <c r="E160" s="65"/>
      <c r="F160" s="66"/>
      <c r="G160" s="63"/>
      <c r="H160" s="67"/>
      <c r="I160" s="68"/>
      <c r="J160" s="68"/>
      <c r="K160" s="32"/>
      <c r="L160" s="75">
        <v>160</v>
      </c>
      <c r="M160" s="75"/>
      <c r="N160" s="70"/>
      <c r="O160" s="77" t="s">
        <v>539</v>
      </c>
      <c r="P160" s="79">
        <v>44996.99255787037</v>
      </c>
      <c r="Q160" s="77" t="s">
        <v>696</v>
      </c>
      <c r="R160" s="77">
        <v>1</v>
      </c>
      <c r="S160" s="77">
        <v>2</v>
      </c>
      <c r="T160" s="77">
        <v>0</v>
      </c>
      <c r="U160" s="77">
        <v>0</v>
      </c>
      <c r="V160" s="77">
        <v>35</v>
      </c>
      <c r="W160" s="82" t="s">
        <v>1555</v>
      </c>
      <c r="X160" s="77"/>
      <c r="Y160" s="77"/>
      <c r="Z160" s="77" t="s">
        <v>275</v>
      </c>
      <c r="AA160" s="77" t="s">
        <v>2118</v>
      </c>
      <c r="AB160" s="77" t="s">
        <v>2635</v>
      </c>
      <c r="AC160" s="82" t="s">
        <v>2639</v>
      </c>
      <c r="AD160" s="77" t="s">
        <v>2670</v>
      </c>
      <c r="AE160" s="80" t="str">
        <f>HYPERLINK("https://twitter.com/targetexecutiv/status/1634703067370094593")</f>
        <v>https://twitter.com/targetexecutiv/status/1634703067370094593</v>
      </c>
      <c r="AF160" s="79">
        <v>44996.99255787037</v>
      </c>
      <c r="AG160" s="85">
        <v>44996</v>
      </c>
      <c r="AH160" s="82" t="s">
        <v>2805</v>
      </c>
      <c r="AI160" s="77" t="b">
        <v>0</v>
      </c>
      <c r="AJ160" s="77"/>
      <c r="AK160" s="77"/>
      <c r="AL160" s="77"/>
      <c r="AM160" s="77"/>
      <c r="AN160" s="77"/>
      <c r="AO160" s="77"/>
      <c r="AP160" s="77"/>
      <c r="AQ160" s="77" t="s">
        <v>3547</v>
      </c>
      <c r="AR160" s="77"/>
      <c r="AS160" s="77"/>
      <c r="AT160" s="77"/>
      <c r="AU160" s="77"/>
      <c r="AV160" s="80" t="str">
        <f>HYPERLINK("https://pbs.twimg.com/media/Fq-hxaCWAAE4kl8.jpg")</f>
        <v>https://pbs.twimg.com/media/Fq-hxaCWAAE4kl8.jpg</v>
      </c>
      <c r="AW160" s="82" t="s">
        <v>4217</v>
      </c>
      <c r="AX160" s="82" t="s">
        <v>4217</v>
      </c>
      <c r="AY160" s="77"/>
      <c r="AZ160" s="82" t="s">
        <v>5075</v>
      </c>
      <c r="BA160" s="82" t="s">
        <v>5075</v>
      </c>
      <c r="BB160" s="82" t="s">
        <v>5075</v>
      </c>
      <c r="BC160" s="82" t="s">
        <v>4217</v>
      </c>
      <c r="BD160" s="82" t="s">
        <v>5031</v>
      </c>
      <c r="BE160" s="77"/>
      <c r="BF160" s="77"/>
      <c r="BG160" s="77"/>
      <c r="BH160" s="77"/>
      <c r="BI160" s="77"/>
    </row>
    <row r="161" spans="1:61" x14ac:dyDescent="0.25">
      <c r="A161" s="62" t="s">
        <v>276</v>
      </c>
      <c r="B161" s="62" t="s">
        <v>276</v>
      </c>
      <c r="C161" s="63"/>
      <c r="D161" s="64"/>
      <c r="E161" s="65"/>
      <c r="F161" s="66"/>
      <c r="G161" s="63"/>
      <c r="H161" s="67"/>
      <c r="I161" s="68"/>
      <c r="J161" s="68"/>
      <c r="K161" s="32"/>
      <c r="L161" s="75">
        <v>161</v>
      </c>
      <c r="M161" s="75"/>
      <c r="N161" s="70"/>
      <c r="O161" s="77" t="s">
        <v>179</v>
      </c>
      <c r="P161" s="79">
        <v>45092.430613425924</v>
      </c>
      <c r="Q161" s="77" t="s">
        <v>697</v>
      </c>
      <c r="R161" s="77">
        <v>0</v>
      </c>
      <c r="S161" s="77">
        <v>0</v>
      </c>
      <c r="T161" s="77">
        <v>0</v>
      </c>
      <c r="U161" s="77">
        <v>0</v>
      </c>
      <c r="V161" s="77">
        <v>13</v>
      </c>
      <c r="W161" s="82" t="s">
        <v>1556</v>
      </c>
      <c r="X161" s="77"/>
      <c r="Y161" s="77"/>
      <c r="Z161" s="77"/>
      <c r="AA161" s="77" t="s">
        <v>2119</v>
      </c>
      <c r="AB161" s="77" t="s">
        <v>2632</v>
      </c>
      <c r="AC161" s="82" t="s">
        <v>2638</v>
      </c>
      <c r="AD161" s="77" t="s">
        <v>2670</v>
      </c>
      <c r="AE161" s="80" t="str">
        <f>HYPERLINK("https://twitter.com/dncontador/status/1669288660871659522")</f>
        <v>https://twitter.com/dncontador/status/1669288660871659522</v>
      </c>
      <c r="AF161" s="79">
        <v>45092.430613425924</v>
      </c>
      <c r="AG161" s="85">
        <v>45092</v>
      </c>
      <c r="AH161" s="82" t="s">
        <v>2806</v>
      </c>
      <c r="AI161" s="77" t="b">
        <v>0</v>
      </c>
      <c r="AJ161" s="77"/>
      <c r="AK161" s="77"/>
      <c r="AL161" s="77"/>
      <c r="AM161" s="77"/>
      <c r="AN161" s="77"/>
      <c r="AO161" s="77"/>
      <c r="AP161" s="77"/>
      <c r="AQ161" s="77" t="s">
        <v>3548</v>
      </c>
      <c r="AR161" s="77"/>
      <c r="AS161" s="77"/>
      <c r="AT161" s="77"/>
      <c r="AU161" s="77"/>
      <c r="AV161" s="80" t="str">
        <f>HYPERLINK("https://pbs.twimg.com/media/FyqBI61XsAIV3s9.jpg")</f>
        <v>https://pbs.twimg.com/media/FyqBI61XsAIV3s9.jpg</v>
      </c>
      <c r="AW161" s="82" t="s">
        <v>4218</v>
      </c>
      <c r="AX161" s="82" t="s">
        <v>4218</v>
      </c>
      <c r="AY161" s="77"/>
      <c r="AZ161" s="82" t="s">
        <v>5075</v>
      </c>
      <c r="BA161" s="82" t="s">
        <v>5075</v>
      </c>
      <c r="BB161" s="82" t="s">
        <v>5075</v>
      </c>
      <c r="BC161" s="82" t="s">
        <v>4218</v>
      </c>
      <c r="BD161" s="82" t="s">
        <v>5151</v>
      </c>
      <c r="BE161" s="77"/>
      <c r="BF161" s="77"/>
      <c r="BG161" s="77"/>
      <c r="BH161" s="77"/>
      <c r="BI161" s="77"/>
    </row>
    <row r="162" spans="1:61" x14ac:dyDescent="0.25">
      <c r="A162" s="62" t="s">
        <v>277</v>
      </c>
      <c r="B162" s="62" t="s">
        <v>277</v>
      </c>
      <c r="C162" s="63"/>
      <c r="D162" s="64"/>
      <c r="E162" s="65"/>
      <c r="F162" s="66"/>
      <c r="G162" s="63"/>
      <c r="H162" s="67"/>
      <c r="I162" s="68"/>
      <c r="J162" s="68"/>
      <c r="K162" s="32"/>
      <c r="L162" s="75">
        <v>162</v>
      </c>
      <c r="M162" s="75"/>
      <c r="N162" s="70"/>
      <c r="O162" s="77" t="s">
        <v>179</v>
      </c>
      <c r="P162" s="79">
        <v>45017.51253472222</v>
      </c>
      <c r="Q162" s="77" t="s">
        <v>698</v>
      </c>
      <c r="R162" s="77">
        <v>1</v>
      </c>
      <c r="S162" s="77">
        <v>1</v>
      </c>
      <c r="T162" s="77">
        <v>0</v>
      </c>
      <c r="U162" s="77">
        <v>0</v>
      </c>
      <c r="V162" s="77">
        <v>47</v>
      </c>
      <c r="W162" s="82" t="s">
        <v>1557</v>
      </c>
      <c r="X162" s="80" t="str">
        <f>HYPERLINK("https://optiondigital.webnode.page/")</f>
        <v>https://optiondigital.webnode.page/</v>
      </c>
      <c r="Y162" s="77" t="s">
        <v>1980</v>
      </c>
      <c r="Z162" s="77"/>
      <c r="AA162" s="77"/>
      <c r="AB162" s="77"/>
      <c r="AC162" s="82" t="s">
        <v>2638</v>
      </c>
      <c r="AD162" s="77" t="s">
        <v>2670</v>
      </c>
      <c r="AE162" s="80" t="str">
        <f>HYPERLINK("https://twitter.com/edsonderiv/status/1642139260684840961")</f>
        <v>https://twitter.com/edsonderiv/status/1642139260684840961</v>
      </c>
      <c r="AF162" s="79">
        <v>45017.51253472222</v>
      </c>
      <c r="AG162" s="85">
        <v>45017</v>
      </c>
      <c r="AH162" s="82" t="s">
        <v>2807</v>
      </c>
      <c r="AI162" s="77" t="b">
        <v>0</v>
      </c>
      <c r="AJ162" s="77"/>
      <c r="AK162" s="77"/>
      <c r="AL162" s="77"/>
      <c r="AM162" s="77"/>
      <c r="AN162" s="77"/>
      <c r="AO162" s="77"/>
      <c r="AP162" s="77"/>
      <c r="AQ162" s="77"/>
      <c r="AR162" s="77"/>
      <c r="AS162" s="77"/>
      <c r="AT162" s="77"/>
      <c r="AU162" s="77"/>
      <c r="AV162" s="80" t="str">
        <f>HYPERLINK("https://pbs.twimg.com/profile_images/1641559324974563330/WhHAId3b_normal.png")</f>
        <v>https://pbs.twimg.com/profile_images/1641559324974563330/WhHAId3b_normal.png</v>
      </c>
      <c r="AW162" s="82" t="s">
        <v>4219</v>
      </c>
      <c r="AX162" s="82" t="s">
        <v>4219</v>
      </c>
      <c r="AY162" s="77"/>
      <c r="AZ162" s="82" t="s">
        <v>5075</v>
      </c>
      <c r="BA162" s="82" t="s">
        <v>5075</v>
      </c>
      <c r="BB162" s="82" t="s">
        <v>5075</v>
      </c>
      <c r="BC162" s="82" t="s">
        <v>4219</v>
      </c>
      <c r="BD162" s="82" t="s">
        <v>5152</v>
      </c>
      <c r="BE162" s="77"/>
      <c r="BF162" s="77"/>
      <c r="BG162" s="77"/>
      <c r="BH162" s="77"/>
      <c r="BI162" s="77"/>
    </row>
    <row r="163" spans="1:61" x14ac:dyDescent="0.25">
      <c r="A163" s="62" t="s">
        <v>277</v>
      </c>
      <c r="B163" s="62" t="s">
        <v>277</v>
      </c>
      <c r="C163" s="63"/>
      <c r="D163" s="64"/>
      <c r="E163" s="65"/>
      <c r="F163" s="66"/>
      <c r="G163" s="63"/>
      <c r="H163" s="67"/>
      <c r="I163" s="68"/>
      <c r="J163" s="68"/>
      <c r="K163" s="32"/>
      <c r="L163" s="75">
        <v>163</v>
      </c>
      <c r="M163" s="75"/>
      <c r="N163" s="70"/>
      <c r="O163" s="77" t="s">
        <v>179</v>
      </c>
      <c r="P163" s="79">
        <v>45041.774756944447</v>
      </c>
      <c r="Q163" s="77" t="s">
        <v>699</v>
      </c>
      <c r="R163" s="77">
        <v>0</v>
      </c>
      <c r="S163" s="77">
        <v>0</v>
      </c>
      <c r="T163" s="77">
        <v>0</v>
      </c>
      <c r="U163" s="77">
        <v>0</v>
      </c>
      <c r="V163" s="77">
        <v>61</v>
      </c>
      <c r="W163" s="82" t="s">
        <v>1557</v>
      </c>
      <c r="X163" s="80" t="str">
        <f>HYPERLINK("http://optiondigital.webnode.page")</f>
        <v>http://optiondigital.webnode.page</v>
      </c>
      <c r="Y163" s="77" t="s">
        <v>1980</v>
      </c>
      <c r="Z163" s="77"/>
      <c r="AA163" s="77" t="s">
        <v>2120</v>
      </c>
      <c r="AB163" s="77" t="s">
        <v>2632</v>
      </c>
      <c r="AC163" s="82" t="s">
        <v>2638</v>
      </c>
      <c r="AD163" s="77" t="s">
        <v>2670</v>
      </c>
      <c r="AE163" s="80" t="str">
        <f>HYPERLINK("https://twitter.com/edsonderiv/status/1650931595014971394")</f>
        <v>https://twitter.com/edsonderiv/status/1650931595014971394</v>
      </c>
      <c r="AF163" s="79">
        <v>45041.774756944447</v>
      </c>
      <c r="AG163" s="85">
        <v>45041</v>
      </c>
      <c r="AH163" s="82" t="s">
        <v>2808</v>
      </c>
      <c r="AI163" s="77" t="b">
        <v>0</v>
      </c>
      <c r="AJ163" s="77"/>
      <c r="AK163" s="77"/>
      <c r="AL163" s="77"/>
      <c r="AM163" s="77"/>
      <c r="AN163" s="77"/>
      <c r="AO163" s="77"/>
      <c r="AP163" s="77"/>
      <c r="AQ163" s="77" t="s">
        <v>3549</v>
      </c>
      <c r="AR163" s="77"/>
      <c r="AS163" s="77"/>
      <c r="AT163" s="77"/>
      <c r="AU163" s="77"/>
      <c r="AV163" s="80" t="str">
        <f>HYPERLINK("https://pbs.twimg.com/media/FulJiPoWIBIg-tH.jpg")</f>
        <v>https://pbs.twimg.com/media/FulJiPoWIBIg-tH.jpg</v>
      </c>
      <c r="AW163" s="82" t="s">
        <v>4220</v>
      </c>
      <c r="AX163" s="82" t="s">
        <v>4220</v>
      </c>
      <c r="AY163" s="77"/>
      <c r="AZ163" s="82" t="s">
        <v>5075</v>
      </c>
      <c r="BA163" s="82" t="s">
        <v>5075</v>
      </c>
      <c r="BB163" s="82" t="s">
        <v>5075</v>
      </c>
      <c r="BC163" s="82" t="s">
        <v>4220</v>
      </c>
      <c r="BD163" s="82" t="s">
        <v>5152</v>
      </c>
      <c r="BE163" s="77"/>
      <c r="BF163" s="77"/>
      <c r="BG163" s="77"/>
      <c r="BH163" s="77"/>
      <c r="BI163" s="77"/>
    </row>
    <row r="164" spans="1:61" x14ac:dyDescent="0.25">
      <c r="A164" s="62" t="s">
        <v>278</v>
      </c>
      <c r="B164" s="62" t="s">
        <v>278</v>
      </c>
      <c r="C164" s="63"/>
      <c r="D164" s="64"/>
      <c r="E164" s="65"/>
      <c r="F164" s="66"/>
      <c r="G164" s="63"/>
      <c r="H164" s="67"/>
      <c r="I164" s="68"/>
      <c r="J164" s="68"/>
      <c r="K164" s="32"/>
      <c r="L164" s="75">
        <v>164</v>
      </c>
      <c r="M164" s="75"/>
      <c r="N164" s="70"/>
      <c r="O164" s="77" t="s">
        <v>179</v>
      </c>
      <c r="P164" s="79">
        <v>45165.458356481482</v>
      </c>
      <c r="Q164" s="77" t="s">
        <v>700</v>
      </c>
      <c r="R164" s="77">
        <v>0</v>
      </c>
      <c r="S164" s="77">
        <v>0</v>
      </c>
      <c r="T164" s="77">
        <v>0</v>
      </c>
      <c r="U164" s="77">
        <v>0</v>
      </c>
      <c r="V164" s="77">
        <v>10</v>
      </c>
      <c r="W164" s="82" t="s">
        <v>1558</v>
      </c>
      <c r="X164" s="80" t="str">
        <f>HYPERLINK("http://www.sebraport.com.br")</f>
        <v>http://www.sebraport.com.br</v>
      </c>
      <c r="Y164" s="77" t="s">
        <v>1978</v>
      </c>
      <c r="Z164" s="77"/>
      <c r="AA164" s="77"/>
      <c r="AB164" s="77"/>
      <c r="AC164" s="82" t="s">
        <v>2639</v>
      </c>
      <c r="AD164" s="77" t="s">
        <v>2670</v>
      </c>
      <c r="AE164" s="80" t="str">
        <f>HYPERLINK("https://twitter.com/sebraport/status/1695753029436207120")</f>
        <v>https://twitter.com/sebraport/status/1695753029436207120</v>
      </c>
      <c r="AF164" s="79">
        <v>45165.458356481482</v>
      </c>
      <c r="AG164" s="85">
        <v>45165</v>
      </c>
      <c r="AH164" s="82" t="s">
        <v>2809</v>
      </c>
      <c r="AI164" s="77" t="b">
        <v>0</v>
      </c>
      <c r="AJ164" s="77"/>
      <c r="AK164" s="77"/>
      <c r="AL164" s="77"/>
      <c r="AM164" s="77"/>
      <c r="AN164" s="77"/>
      <c r="AO164" s="77"/>
      <c r="AP164" s="77"/>
      <c r="AQ164" s="77"/>
      <c r="AR164" s="77"/>
      <c r="AS164" s="77"/>
      <c r="AT164" s="77"/>
      <c r="AU164" s="77"/>
      <c r="AV164" s="80" t="str">
        <f>HYPERLINK("https://pbs.twimg.com/profile_images/1611377581210714114/HzhUWz2X_normal.jpg")</f>
        <v>https://pbs.twimg.com/profile_images/1611377581210714114/HzhUWz2X_normal.jpg</v>
      </c>
      <c r="AW164" s="82" t="s">
        <v>4221</v>
      </c>
      <c r="AX164" s="82" t="s">
        <v>4221</v>
      </c>
      <c r="AY164" s="77"/>
      <c r="AZ164" s="82" t="s">
        <v>5075</v>
      </c>
      <c r="BA164" s="82" t="s">
        <v>5075</v>
      </c>
      <c r="BB164" s="82" t="s">
        <v>5075</v>
      </c>
      <c r="BC164" s="82" t="s">
        <v>4221</v>
      </c>
      <c r="BD164" s="82" t="s">
        <v>5153</v>
      </c>
      <c r="BE164" s="77"/>
      <c r="BF164" s="77"/>
      <c r="BG164" s="77"/>
      <c r="BH164" s="77"/>
      <c r="BI164" s="77"/>
    </row>
    <row r="165" spans="1:61" x14ac:dyDescent="0.25">
      <c r="A165" s="62" t="s">
        <v>279</v>
      </c>
      <c r="B165" s="62" t="s">
        <v>279</v>
      </c>
      <c r="C165" s="63"/>
      <c r="D165" s="64"/>
      <c r="E165" s="65"/>
      <c r="F165" s="66"/>
      <c r="G165" s="63"/>
      <c r="H165" s="67"/>
      <c r="I165" s="68"/>
      <c r="J165" s="68"/>
      <c r="K165" s="32"/>
      <c r="L165" s="75">
        <v>165</v>
      </c>
      <c r="M165" s="75"/>
      <c r="N165" s="70"/>
      <c r="O165" s="77" t="s">
        <v>179</v>
      </c>
      <c r="P165" s="79">
        <v>45080.543368055558</v>
      </c>
      <c r="Q165" s="77" t="s">
        <v>701</v>
      </c>
      <c r="R165" s="77">
        <v>0</v>
      </c>
      <c r="S165" s="77">
        <v>0</v>
      </c>
      <c r="T165" s="77">
        <v>0</v>
      </c>
      <c r="U165" s="77">
        <v>0</v>
      </c>
      <c r="V165" s="77">
        <v>6</v>
      </c>
      <c r="W165" s="82" t="s">
        <v>1559</v>
      </c>
      <c r="X165" s="80" t="str">
        <f>HYPERLINK("http://wix.to/VoJVDLm")</f>
        <v>http://wix.to/VoJVDLm</v>
      </c>
      <c r="Y165" s="77" t="s">
        <v>1981</v>
      </c>
      <c r="Z165" s="77"/>
      <c r="AA165" s="77"/>
      <c r="AB165" s="77"/>
      <c r="AC165" s="82" t="s">
        <v>2649</v>
      </c>
      <c r="AD165" s="77" t="s">
        <v>2670</v>
      </c>
      <c r="AE165" s="80" t="str">
        <f>HYPERLINK("https://twitter.com/kakoramos/status/1664980869571035136")</f>
        <v>https://twitter.com/kakoramos/status/1664980869571035136</v>
      </c>
      <c r="AF165" s="79">
        <v>45080.543368055558</v>
      </c>
      <c r="AG165" s="85">
        <v>45080</v>
      </c>
      <c r="AH165" s="82" t="s">
        <v>2810</v>
      </c>
      <c r="AI165" s="77" t="b">
        <v>0</v>
      </c>
      <c r="AJ165" s="77"/>
      <c r="AK165" s="77"/>
      <c r="AL165" s="77"/>
      <c r="AM165" s="77"/>
      <c r="AN165" s="77"/>
      <c r="AO165" s="77"/>
      <c r="AP165" s="77"/>
      <c r="AQ165" s="77"/>
      <c r="AR165" s="77"/>
      <c r="AS165" s="77"/>
      <c r="AT165" s="77"/>
      <c r="AU165" s="77"/>
      <c r="AV165" s="80" t="str">
        <f>HYPERLINK("https://pbs.twimg.com/profile_images/1666814261744766979/Z3Vpdskg_normal.jpg")</f>
        <v>https://pbs.twimg.com/profile_images/1666814261744766979/Z3Vpdskg_normal.jpg</v>
      </c>
      <c r="AW165" s="82" t="s">
        <v>4222</v>
      </c>
      <c r="AX165" s="82" t="s">
        <v>4222</v>
      </c>
      <c r="AY165" s="77"/>
      <c r="AZ165" s="82" t="s">
        <v>5075</v>
      </c>
      <c r="BA165" s="82" t="s">
        <v>5075</v>
      </c>
      <c r="BB165" s="82" t="s">
        <v>5075</v>
      </c>
      <c r="BC165" s="82" t="s">
        <v>4222</v>
      </c>
      <c r="BD165" s="77">
        <v>69634735</v>
      </c>
      <c r="BE165" s="77"/>
      <c r="BF165" s="77"/>
      <c r="BG165" s="77"/>
      <c r="BH165" s="77"/>
      <c r="BI165" s="77"/>
    </row>
    <row r="166" spans="1:61" x14ac:dyDescent="0.25">
      <c r="A166" s="62" t="s">
        <v>279</v>
      </c>
      <c r="B166" s="62" t="s">
        <v>279</v>
      </c>
      <c r="C166" s="63"/>
      <c r="D166" s="64"/>
      <c r="E166" s="65"/>
      <c r="F166" s="66"/>
      <c r="G166" s="63"/>
      <c r="H166" s="67"/>
      <c r="I166" s="68"/>
      <c r="J166" s="68"/>
      <c r="K166" s="32"/>
      <c r="L166" s="75">
        <v>166</v>
      </c>
      <c r="M166" s="75"/>
      <c r="N166" s="70"/>
      <c r="O166" s="77" t="s">
        <v>179</v>
      </c>
      <c r="P166" s="79">
        <v>45113.539837962962</v>
      </c>
      <c r="Q166" s="77" t="s">
        <v>702</v>
      </c>
      <c r="R166" s="77">
        <v>0</v>
      </c>
      <c r="S166" s="77">
        <v>0</v>
      </c>
      <c r="T166" s="77">
        <v>0</v>
      </c>
      <c r="U166" s="77">
        <v>0</v>
      </c>
      <c r="V166" s="77">
        <v>10</v>
      </c>
      <c r="W166" s="82" t="s">
        <v>1560</v>
      </c>
      <c r="X166" s="80" t="str">
        <f>HYPERLINK("http://wix.to/pENsrGm")</f>
        <v>http://wix.to/pENsrGm</v>
      </c>
      <c r="Y166" s="77" t="s">
        <v>1981</v>
      </c>
      <c r="Z166" s="77"/>
      <c r="AA166" s="77"/>
      <c r="AB166" s="77"/>
      <c r="AC166" s="82" t="s">
        <v>2649</v>
      </c>
      <c r="AD166" s="77" t="s">
        <v>2670</v>
      </c>
      <c r="AE166" s="80" t="str">
        <f>HYPERLINK("https://twitter.com/kakoramos/status/1676938388790996993")</f>
        <v>https://twitter.com/kakoramos/status/1676938388790996993</v>
      </c>
      <c r="AF166" s="79">
        <v>45113.539837962962</v>
      </c>
      <c r="AG166" s="85">
        <v>45113</v>
      </c>
      <c r="AH166" s="82" t="s">
        <v>2811</v>
      </c>
      <c r="AI166" s="77" t="b">
        <v>0</v>
      </c>
      <c r="AJ166" s="77"/>
      <c r="AK166" s="77"/>
      <c r="AL166" s="77"/>
      <c r="AM166" s="77"/>
      <c r="AN166" s="77"/>
      <c r="AO166" s="77"/>
      <c r="AP166" s="77"/>
      <c r="AQ166" s="77"/>
      <c r="AR166" s="77"/>
      <c r="AS166" s="77"/>
      <c r="AT166" s="77"/>
      <c r="AU166" s="77"/>
      <c r="AV166" s="80" t="str">
        <f>HYPERLINK("https://pbs.twimg.com/profile_images/1666814261744766979/Z3Vpdskg_normal.jpg")</f>
        <v>https://pbs.twimg.com/profile_images/1666814261744766979/Z3Vpdskg_normal.jpg</v>
      </c>
      <c r="AW166" s="82" t="s">
        <v>4223</v>
      </c>
      <c r="AX166" s="82" t="s">
        <v>4223</v>
      </c>
      <c r="AY166" s="77"/>
      <c r="AZ166" s="82" t="s">
        <v>5075</v>
      </c>
      <c r="BA166" s="82" t="s">
        <v>5075</v>
      </c>
      <c r="BB166" s="82" t="s">
        <v>5075</v>
      </c>
      <c r="BC166" s="82" t="s">
        <v>4223</v>
      </c>
      <c r="BD166" s="77">
        <v>69634735</v>
      </c>
      <c r="BE166" s="77"/>
      <c r="BF166" s="77"/>
      <c r="BG166" s="77"/>
      <c r="BH166" s="77"/>
      <c r="BI166" s="77"/>
    </row>
    <row r="167" spans="1:61" x14ac:dyDescent="0.25">
      <c r="A167" s="62" t="s">
        <v>279</v>
      </c>
      <c r="B167" s="62" t="s">
        <v>279</v>
      </c>
      <c r="C167" s="63"/>
      <c r="D167" s="64"/>
      <c r="E167" s="65"/>
      <c r="F167" s="66"/>
      <c r="G167" s="63"/>
      <c r="H167" s="67"/>
      <c r="I167" s="68"/>
      <c r="J167" s="68"/>
      <c r="K167" s="32"/>
      <c r="L167" s="75">
        <v>167</v>
      </c>
      <c r="M167" s="75"/>
      <c r="N167" s="70"/>
      <c r="O167" s="77" t="s">
        <v>179</v>
      </c>
      <c r="P167" s="79">
        <v>45121.572696759256</v>
      </c>
      <c r="Q167" s="77" t="s">
        <v>703</v>
      </c>
      <c r="R167" s="77">
        <v>0</v>
      </c>
      <c r="S167" s="77">
        <v>0</v>
      </c>
      <c r="T167" s="77">
        <v>0</v>
      </c>
      <c r="U167" s="77">
        <v>0</v>
      </c>
      <c r="V167" s="77">
        <v>9</v>
      </c>
      <c r="W167" s="82" t="s">
        <v>1561</v>
      </c>
      <c r="X167" s="80" t="str">
        <f>HYPERLINK("http://wix.to/PbVyvbC")</f>
        <v>http://wix.to/PbVyvbC</v>
      </c>
      <c r="Y167" s="77" t="s">
        <v>1981</v>
      </c>
      <c r="Z167" s="77"/>
      <c r="AA167" s="77"/>
      <c r="AB167" s="77"/>
      <c r="AC167" s="82" t="s">
        <v>2649</v>
      </c>
      <c r="AD167" s="77" t="s">
        <v>2670</v>
      </c>
      <c r="AE167" s="80" t="str">
        <f>HYPERLINK("https://twitter.com/kakoramos/status/1679849399483273216")</f>
        <v>https://twitter.com/kakoramos/status/1679849399483273216</v>
      </c>
      <c r="AF167" s="79">
        <v>45121.572696759256</v>
      </c>
      <c r="AG167" s="85">
        <v>45121</v>
      </c>
      <c r="AH167" s="82" t="s">
        <v>2812</v>
      </c>
      <c r="AI167" s="77" t="b">
        <v>0</v>
      </c>
      <c r="AJ167" s="77"/>
      <c r="AK167" s="77"/>
      <c r="AL167" s="77"/>
      <c r="AM167" s="77"/>
      <c r="AN167" s="77"/>
      <c r="AO167" s="77"/>
      <c r="AP167" s="77"/>
      <c r="AQ167" s="77"/>
      <c r="AR167" s="77"/>
      <c r="AS167" s="77"/>
      <c r="AT167" s="77"/>
      <c r="AU167" s="77"/>
      <c r="AV167" s="80" t="str">
        <f>HYPERLINK("https://pbs.twimg.com/profile_images/1666814261744766979/Z3Vpdskg_normal.jpg")</f>
        <v>https://pbs.twimg.com/profile_images/1666814261744766979/Z3Vpdskg_normal.jpg</v>
      </c>
      <c r="AW167" s="82" t="s">
        <v>4224</v>
      </c>
      <c r="AX167" s="82" t="s">
        <v>4224</v>
      </c>
      <c r="AY167" s="77"/>
      <c r="AZ167" s="82" t="s">
        <v>5075</v>
      </c>
      <c r="BA167" s="82" t="s">
        <v>5075</v>
      </c>
      <c r="BB167" s="82" t="s">
        <v>5075</v>
      </c>
      <c r="BC167" s="82" t="s">
        <v>4224</v>
      </c>
      <c r="BD167" s="77">
        <v>69634735</v>
      </c>
      <c r="BE167" s="77"/>
      <c r="BF167" s="77"/>
      <c r="BG167" s="77"/>
      <c r="BH167" s="77"/>
      <c r="BI167" s="77"/>
    </row>
    <row r="168" spans="1:61" x14ac:dyDescent="0.25">
      <c r="A168" s="62" t="s">
        <v>279</v>
      </c>
      <c r="B168" s="62" t="s">
        <v>279</v>
      </c>
      <c r="C168" s="63"/>
      <c r="D168" s="64"/>
      <c r="E168" s="65"/>
      <c r="F168" s="66"/>
      <c r="G168" s="63"/>
      <c r="H168" s="67"/>
      <c r="I168" s="68"/>
      <c r="J168" s="68"/>
      <c r="K168" s="32"/>
      <c r="L168" s="75">
        <v>168</v>
      </c>
      <c r="M168" s="75"/>
      <c r="N168" s="70"/>
      <c r="O168" s="77" t="s">
        <v>179</v>
      </c>
      <c r="P168" s="79">
        <v>45083.592106481483</v>
      </c>
      <c r="Q168" s="77" t="s">
        <v>704</v>
      </c>
      <c r="R168" s="77">
        <v>0</v>
      </c>
      <c r="S168" s="77">
        <v>0</v>
      </c>
      <c r="T168" s="77">
        <v>0</v>
      </c>
      <c r="U168" s="77">
        <v>0</v>
      </c>
      <c r="V168" s="77">
        <v>11</v>
      </c>
      <c r="W168" s="82" t="s">
        <v>1562</v>
      </c>
      <c r="X168" s="77"/>
      <c r="Y168" s="77"/>
      <c r="Z168" s="77"/>
      <c r="AA168" s="77" t="s">
        <v>2121</v>
      </c>
      <c r="AB168" s="77" t="s">
        <v>2632</v>
      </c>
      <c r="AC168" s="82" t="s">
        <v>2639</v>
      </c>
      <c r="AD168" s="77" t="s">
        <v>2670</v>
      </c>
      <c r="AE168" s="80" t="str">
        <f>HYPERLINK("https://twitter.com/kakoramos/status/1666085692009775104")</f>
        <v>https://twitter.com/kakoramos/status/1666085692009775104</v>
      </c>
      <c r="AF168" s="79">
        <v>45083.592106481483</v>
      </c>
      <c r="AG168" s="85">
        <v>45083</v>
      </c>
      <c r="AH168" s="82" t="s">
        <v>2813</v>
      </c>
      <c r="AI168" s="77" t="b">
        <v>0</v>
      </c>
      <c r="AJ168" s="77"/>
      <c r="AK168" s="77"/>
      <c r="AL168" s="77"/>
      <c r="AM168" s="77"/>
      <c r="AN168" s="77"/>
      <c r="AO168" s="77"/>
      <c r="AP168" s="77"/>
      <c r="AQ168" s="77" t="s">
        <v>3550</v>
      </c>
      <c r="AR168" s="77"/>
      <c r="AS168" s="77"/>
      <c r="AT168" s="77"/>
      <c r="AU168" s="77"/>
      <c r="AV168" s="80" t="str">
        <f>HYPERLINK("https://pbs.twimg.com/media/Fx8gF-3acAQPSCC.jpg")</f>
        <v>https://pbs.twimg.com/media/Fx8gF-3acAQPSCC.jpg</v>
      </c>
      <c r="AW168" s="82" t="s">
        <v>4225</v>
      </c>
      <c r="AX168" s="82" t="s">
        <v>4225</v>
      </c>
      <c r="AY168" s="77"/>
      <c r="AZ168" s="82" t="s">
        <v>5075</v>
      </c>
      <c r="BA168" s="82" t="s">
        <v>5075</v>
      </c>
      <c r="BB168" s="82" t="s">
        <v>5075</v>
      </c>
      <c r="BC168" s="82" t="s">
        <v>4225</v>
      </c>
      <c r="BD168" s="77">
        <v>69634735</v>
      </c>
      <c r="BE168" s="77"/>
      <c r="BF168" s="77"/>
      <c r="BG168" s="77"/>
      <c r="BH168" s="77"/>
      <c r="BI168" s="77"/>
    </row>
    <row r="169" spans="1:61" x14ac:dyDescent="0.25">
      <c r="A169" s="62" t="s">
        <v>279</v>
      </c>
      <c r="B169" s="62" t="s">
        <v>279</v>
      </c>
      <c r="C169" s="63"/>
      <c r="D169" s="64"/>
      <c r="E169" s="65"/>
      <c r="F169" s="66"/>
      <c r="G169" s="63"/>
      <c r="H169" s="67"/>
      <c r="I169" s="68"/>
      <c r="J169" s="68"/>
      <c r="K169" s="32"/>
      <c r="L169" s="75">
        <v>169</v>
      </c>
      <c r="M169" s="75"/>
      <c r="N169" s="70"/>
      <c r="O169" s="77" t="s">
        <v>179</v>
      </c>
      <c r="P169" s="79">
        <v>45120.557002314818</v>
      </c>
      <c r="Q169" s="77" t="s">
        <v>705</v>
      </c>
      <c r="R169" s="77">
        <v>0</v>
      </c>
      <c r="S169" s="77">
        <v>0</v>
      </c>
      <c r="T169" s="77">
        <v>0</v>
      </c>
      <c r="U169" s="77">
        <v>0</v>
      </c>
      <c r="V169" s="77">
        <v>5</v>
      </c>
      <c r="W169" s="82" t="s">
        <v>1563</v>
      </c>
      <c r="X169" s="80" t="str">
        <f>HYPERLINK("http://wix.to/tvLseNe")</f>
        <v>http://wix.to/tvLseNe</v>
      </c>
      <c r="Y169" s="77" t="s">
        <v>1981</v>
      </c>
      <c r="Z169" s="77"/>
      <c r="AA169" s="77"/>
      <c r="AB169" s="77"/>
      <c r="AC169" s="82" t="s">
        <v>2649</v>
      </c>
      <c r="AD169" s="77" t="s">
        <v>2670</v>
      </c>
      <c r="AE169" s="80" t="str">
        <f>HYPERLINK("https://twitter.com/kakoramos/status/1679481325559115778")</f>
        <v>https://twitter.com/kakoramos/status/1679481325559115778</v>
      </c>
      <c r="AF169" s="79">
        <v>45120.557002314818</v>
      </c>
      <c r="AG169" s="85">
        <v>45120</v>
      </c>
      <c r="AH169" s="82" t="s">
        <v>2814</v>
      </c>
      <c r="AI169" s="77" t="b">
        <v>0</v>
      </c>
      <c r="AJ169" s="77"/>
      <c r="AK169" s="77"/>
      <c r="AL169" s="77"/>
      <c r="AM169" s="77"/>
      <c r="AN169" s="77"/>
      <c r="AO169" s="77"/>
      <c r="AP169" s="77"/>
      <c r="AQ169" s="77"/>
      <c r="AR169" s="77"/>
      <c r="AS169" s="77"/>
      <c r="AT169" s="77"/>
      <c r="AU169" s="77"/>
      <c r="AV169" s="80" t="str">
        <f>HYPERLINK("https://pbs.twimg.com/profile_images/1666814261744766979/Z3Vpdskg_normal.jpg")</f>
        <v>https://pbs.twimg.com/profile_images/1666814261744766979/Z3Vpdskg_normal.jpg</v>
      </c>
      <c r="AW169" s="82" t="s">
        <v>4226</v>
      </c>
      <c r="AX169" s="82" t="s">
        <v>4226</v>
      </c>
      <c r="AY169" s="77"/>
      <c r="AZ169" s="82" t="s">
        <v>5075</v>
      </c>
      <c r="BA169" s="82" t="s">
        <v>5075</v>
      </c>
      <c r="BB169" s="82" t="s">
        <v>5075</v>
      </c>
      <c r="BC169" s="82" t="s">
        <v>4226</v>
      </c>
      <c r="BD169" s="77">
        <v>69634735</v>
      </c>
      <c r="BE169" s="77"/>
      <c r="BF169" s="77"/>
      <c r="BG169" s="77"/>
      <c r="BH169" s="77"/>
      <c r="BI169" s="77"/>
    </row>
    <row r="170" spans="1:61" x14ac:dyDescent="0.25">
      <c r="A170" s="62" t="s">
        <v>280</v>
      </c>
      <c r="B170" s="62" t="s">
        <v>280</v>
      </c>
      <c r="C170" s="63"/>
      <c r="D170" s="64"/>
      <c r="E170" s="65"/>
      <c r="F170" s="66"/>
      <c r="G170" s="63"/>
      <c r="H170" s="67"/>
      <c r="I170" s="68"/>
      <c r="J170" s="68"/>
      <c r="K170" s="32"/>
      <c r="L170" s="75">
        <v>170</v>
      </c>
      <c r="M170" s="75"/>
      <c r="N170" s="70"/>
      <c r="O170" s="77" t="s">
        <v>179</v>
      </c>
      <c r="P170" s="79">
        <v>45017.939722222225</v>
      </c>
      <c r="Q170" s="77" t="s">
        <v>706</v>
      </c>
      <c r="R170" s="77">
        <v>0</v>
      </c>
      <c r="S170" s="77">
        <v>0</v>
      </c>
      <c r="T170" s="77">
        <v>0</v>
      </c>
      <c r="U170" s="77">
        <v>0</v>
      </c>
      <c r="V170" s="77">
        <v>58</v>
      </c>
      <c r="W170" s="82" t="s">
        <v>1564</v>
      </c>
      <c r="X170" s="77"/>
      <c r="Y170" s="77"/>
      <c r="Z170" s="77"/>
      <c r="AA170" s="77" t="s">
        <v>2122</v>
      </c>
      <c r="AB170" s="77" t="s">
        <v>2632</v>
      </c>
      <c r="AC170" s="82" t="s">
        <v>2638</v>
      </c>
      <c r="AD170" s="77" t="s">
        <v>2671</v>
      </c>
      <c r="AE170" s="80" t="str">
        <f>HYPERLINK("https://twitter.com/investoom/status/1642294064664985600")</f>
        <v>https://twitter.com/investoom/status/1642294064664985600</v>
      </c>
      <c r="AF170" s="79">
        <v>45017.939722222225</v>
      </c>
      <c r="AG170" s="85">
        <v>45017</v>
      </c>
      <c r="AH170" s="82" t="s">
        <v>2815</v>
      </c>
      <c r="AI170" s="77" t="b">
        <v>0</v>
      </c>
      <c r="AJ170" s="77"/>
      <c r="AK170" s="77"/>
      <c r="AL170" s="77"/>
      <c r="AM170" s="77"/>
      <c r="AN170" s="77"/>
      <c r="AO170" s="77"/>
      <c r="AP170" s="77"/>
      <c r="AQ170" s="77" t="s">
        <v>3551</v>
      </c>
      <c r="AR170" s="77"/>
      <c r="AS170" s="77"/>
      <c r="AT170" s="77"/>
      <c r="AU170" s="77"/>
      <c r="AV170" s="80" t="str">
        <f>HYPERLINK("https://pbs.twimg.com/media/FsqZv6pWcAE-J1s.jpg")</f>
        <v>https://pbs.twimg.com/media/FsqZv6pWcAE-J1s.jpg</v>
      </c>
      <c r="AW170" s="82" t="s">
        <v>4227</v>
      </c>
      <c r="AX170" s="82" t="s">
        <v>4227</v>
      </c>
      <c r="AY170" s="77"/>
      <c r="AZ170" s="82" t="s">
        <v>5075</v>
      </c>
      <c r="BA170" s="82" t="s">
        <v>5075</v>
      </c>
      <c r="BB170" s="82" t="s">
        <v>5075</v>
      </c>
      <c r="BC170" s="82" t="s">
        <v>4227</v>
      </c>
      <c r="BD170" s="82" t="s">
        <v>5154</v>
      </c>
      <c r="BE170" s="77"/>
      <c r="BF170" s="77"/>
      <c r="BG170" s="77"/>
      <c r="BH170" s="77"/>
      <c r="BI170" s="77"/>
    </row>
    <row r="171" spans="1:61" x14ac:dyDescent="0.25">
      <c r="A171" s="62" t="s">
        <v>281</v>
      </c>
      <c r="B171" s="62" t="s">
        <v>281</v>
      </c>
      <c r="C171" s="63"/>
      <c r="D171" s="64"/>
      <c r="E171" s="65"/>
      <c r="F171" s="66"/>
      <c r="G171" s="63"/>
      <c r="H171" s="67"/>
      <c r="I171" s="68"/>
      <c r="J171" s="68"/>
      <c r="K171" s="32"/>
      <c r="L171" s="75">
        <v>171</v>
      </c>
      <c r="M171" s="75"/>
      <c r="N171" s="70"/>
      <c r="O171" s="77" t="s">
        <v>179</v>
      </c>
      <c r="P171" s="79">
        <v>45092.02484953704</v>
      </c>
      <c r="Q171" s="77" t="s">
        <v>707</v>
      </c>
      <c r="R171" s="77">
        <v>0</v>
      </c>
      <c r="S171" s="77">
        <v>0</v>
      </c>
      <c r="T171" s="77">
        <v>1</v>
      </c>
      <c r="U171" s="77">
        <v>0</v>
      </c>
      <c r="V171" s="77">
        <v>10</v>
      </c>
      <c r="W171" s="82" t="s">
        <v>1493</v>
      </c>
      <c r="X171" s="77"/>
      <c r="Y171" s="77"/>
      <c r="Z171" s="77"/>
      <c r="AA171" s="77"/>
      <c r="AB171" s="77"/>
      <c r="AC171" s="82" t="s">
        <v>2639</v>
      </c>
      <c r="AD171" s="77" t="s">
        <v>2670</v>
      </c>
      <c r="AE171" s="80" t="str">
        <f>HYPERLINK("https://twitter.com/andrewerneck_/status/1669141619881246720")</f>
        <v>https://twitter.com/andrewerneck_/status/1669141619881246720</v>
      </c>
      <c r="AF171" s="79">
        <v>45092.02484953704</v>
      </c>
      <c r="AG171" s="85">
        <v>45092</v>
      </c>
      <c r="AH171" s="82" t="s">
        <v>2816</v>
      </c>
      <c r="AI171" s="77"/>
      <c r="AJ171" s="77"/>
      <c r="AK171" s="77"/>
      <c r="AL171" s="77"/>
      <c r="AM171" s="77"/>
      <c r="AN171" s="77"/>
      <c r="AO171" s="77"/>
      <c r="AP171" s="77"/>
      <c r="AQ171" s="77"/>
      <c r="AR171" s="77"/>
      <c r="AS171" s="77"/>
      <c r="AT171" s="77"/>
      <c r="AU171" s="77"/>
      <c r="AV171" s="80" t="str">
        <f>HYPERLINK("https://pbs.twimg.com/profile_images/1633264209675931648/8TquTmoQ_normal.jpg")</f>
        <v>https://pbs.twimg.com/profile_images/1633264209675931648/8TquTmoQ_normal.jpg</v>
      </c>
      <c r="AW171" s="82" t="s">
        <v>4228</v>
      </c>
      <c r="AX171" s="82" t="s">
        <v>4228</v>
      </c>
      <c r="AY171" s="77"/>
      <c r="AZ171" s="82" t="s">
        <v>5075</v>
      </c>
      <c r="BA171" s="82" t="s">
        <v>5075</v>
      </c>
      <c r="BB171" s="82" t="s">
        <v>5075</v>
      </c>
      <c r="BC171" s="82" t="s">
        <v>4228</v>
      </c>
      <c r="BD171" s="82" t="s">
        <v>5155</v>
      </c>
      <c r="BE171" s="77"/>
      <c r="BF171" s="77"/>
      <c r="BG171" s="77"/>
      <c r="BH171" s="77"/>
      <c r="BI171" s="77"/>
    </row>
    <row r="172" spans="1:61" x14ac:dyDescent="0.25">
      <c r="A172" s="62" t="s">
        <v>282</v>
      </c>
      <c r="B172" s="62" t="s">
        <v>282</v>
      </c>
      <c r="C172" s="63"/>
      <c r="D172" s="64"/>
      <c r="E172" s="65"/>
      <c r="F172" s="66"/>
      <c r="G172" s="63"/>
      <c r="H172" s="67"/>
      <c r="I172" s="68"/>
      <c r="J172" s="68"/>
      <c r="K172" s="32"/>
      <c r="L172" s="75">
        <v>172</v>
      </c>
      <c r="M172" s="75"/>
      <c r="N172" s="70"/>
      <c r="O172" s="77" t="s">
        <v>179</v>
      </c>
      <c r="P172" s="79">
        <v>45171.086956018517</v>
      </c>
      <c r="Q172" s="77" t="s">
        <v>708</v>
      </c>
      <c r="R172" s="77">
        <v>6</v>
      </c>
      <c r="S172" s="77">
        <v>179</v>
      </c>
      <c r="T172" s="77">
        <v>16</v>
      </c>
      <c r="U172" s="77">
        <v>1</v>
      </c>
      <c r="V172" s="77">
        <v>12645</v>
      </c>
      <c r="W172" s="82" t="s">
        <v>1435</v>
      </c>
      <c r="X172" s="77"/>
      <c r="Y172" s="77"/>
      <c r="Z172" s="77"/>
      <c r="AA172" s="77" t="s">
        <v>2123</v>
      </c>
      <c r="AB172" s="77" t="s">
        <v>2632</v>
      </c>
      <c r="AC172" s="82" t="s">
        <v>2640</v>
      </c>
      <c r="AD172" s="77" t="s">
        <v>2670</v>
      </c>
      <c r="AE172" s="80" t="str">
        <f>HYPERLINK("https://twitter.com/nonoinvestidor/status/1697792767819157626")</f>
        <v>https://twitter.com/nonoinvestidor/status/1697792767819157626</v>
      </c>
      <c r="AF172" s="79">
        <v>45171.086956018517</v>
      </c>
      <c r="AG172" s="85">
        <v>45171</v>
      </c>
      <c r="AH172" s="82" t="s">
        <v>2817</v>
      </c>
      <c r="AI172" s="77" t="b">
        <v>0</v>
      </c>
      <c r="AJ172" s="77"/>
      <c r="AK172" s="77"/>
      <c r="AL172" s="77"/>
      <c r="AM172" s="77"/>
      <c r="AN172" s="77"/>
      <c r="AO172" s="77"/>
      <c r="AP172" s="77"/>
      <c r="AQ172" s="77" t="s">
        <v>3552</v>
      </c>
      <c r="AR172" s="77"/>
      <c r="AS172" s="77"/>
      <c r="AT172" s="77"/>
      <c r="AU172" s="77"/>
      <c r="AV172" s="80" t="str">
        <f>HYPERLINK("https://pbs.twimg.com/media/F4_FcEuWUAA3MaJ.jpg")</f>
        <v>https://pbs.twimg.com/media/F4_FcEuWUAA3MaJ.jpg</v>
      </c>
      <c r="AW172" s="82" t="s">
        <v>4229</v>
      </c>
      <c r="AX172" s="82" t="s">
        <v>4229</v>
      </c>
      <c r="AY172" s="77"/>
      <c r="AZ172" s="82" t="s">
        <v>5075</v>
      </c>
      <c r="BA172" s="82" t="s">
        <v>5075</v>
      </c>
      <c r="BB172" s="82" t="s">
        <v>5075</v>
      </c>
      <c r="BC172" s="82" t="s">
        <v>4229</v>
      </c>
      <c r="BD172" s="77">
        <v>625192155</v>
      </c>
      <c r="BE172" s="77"/>
      <c r="BF172" s="77"/>
      <c r="BG172" s="77"/>
      <c r="BH172" s="77"/>
      <c r="BI172" s="77"/>
    </row>
    <row r="173" spans="1:61" x14ac:dyDescent="0.25">
      <c r="A173" s="62" t="s">
        <v>283</v>
      </c>
      <c r="B173" s="62" t="s">
        <v>283</v>
      </c>
      <c r="C173" s="63"/>
      <c r="D173" s="64"/>
      <c r="E173" s="65"/>
      <c r="F173" s="66"/>
      <c r="G173" s="63"/>
      <c r="H173" s="67"/>
      <c r="I173" s="68"/>
      <c r="J173" s="68"/>
      <c r="K173" s="32"/>
      <c r="L173" s="75">
        <v>173</v>
      </c>
      <c r="M173" s="75"/>
      <c r="N173" s="70"/>
      <c r="O173" s="77" t="s">
        <v>536</v>
      </c>
      <c r="P173" s="79">
        <v>45119.542951388888</v>
      </c>
      <c r="Q173" s="77" t="s">
        <v>709</v>
      </c>
      <c r="R173" s="77">
        <v>0</v>
      </c>
      <c r="S173" s="77">
        <v>0</v>
      </c>
      <c r="T173" s="77">
        <v>0</v>
      </c>
      <c r="U173" s="77">
        <v>0</v>
      </c>
      <c r="V173" s="77">
        <v>147</v>
      </c>
      <c r="W173" s="82" t="s">
        <v>1565</v>
      </c>
      <c r="X173" s="77"/>
      <c r="Y173" s="77"/>
      <c r="Z173" s="77"/>
      <c r="AA173" s="77"/>
      <c r="AB173" s="77"/>
      <c r="AC173" s="82" t="s">
        <v>2639</v>
      </c>
      <c r="AD173" s="77" t="s">
        <v>2670</v>
      </c>
      <c r="AE173" s="80" t="str">
        <f>HYPERLINK("https://twitter.com/pravaler/status/1679113845502095363")</f>
        <v>https://twitter.com/pravaler/status/1679113845502095363</v>
      </c>
      <c r="AF173" s="79">
        <v>45119.542951388888</v>
      </c>
      <c r="AG173" s="85">
        <v>45119</v>
      </c>
      <c r="AH173" s="82" t="s">
        <v>2818</v>
      </c>
      <c r="AI173" s="77"/>
      <c r="AJ173" s="77"/>
      <c r="AK173" s="77"/>
      <c r="AL173" s="77"/>
      <c r="AM173" s="77"/>
      <c r="AN173" s="77"/>
      <c r="AO173" s="77"/>
      <c r="AP173" s="77"/>
      <c r="AQ173" s="77"/>
      <c r="AR173" s="77"/>
      <c r="AS173" s="77"/>
      <c r="AT173" s="77"/>
      <c r="AU173" s="77"/>
      <c r="AV173" s="80" t="str">
        <f>HYPERLINK("https://pbs.twimg.com/profile_images/1633896603005141000/0_NlXxC__normal.jpg")</f>
        <v>https://pbs.twimg.com/profile_images/1633896603005141000/0_NlXxC__normal.jpg</v>
      </c>
      <c r="AW173" s="82" t="s">
        <v>4230</v>
      </c>
      <c r="AX173" s="82" t="s">
        <v>4961</v>
      </c>
      <c r="AY173" s="82" t="s">
        <v>5032</v>
      </c>
      <c r="AZ173" s="82" t="s">
        <v>5080</v>
      </c>
      <c r="BA173" s="82" t="s">
        <v>5075</v>
      </c>
      <c r="BB173" s="82" t="s">
        <v>5075</v>
      </c>
      <c r="BC173" s="82" t="s">
        <v>5080</v>
      </c>
      <c r="BD173" s="77">
        <v>18898473</v>
      </c>
      <c r="BE173" s="77"/>
      <c r="BF173" s="77"/>
      <c r="BG173" s="77"/>
      <c r="BH173" s="77"/>
      <c r="BI173" s="77"/>
    </row>
    <row r="174" spans="1:61" x14ac:dyDescent="0.25">
      <c r="A174" s="62" t="s">
        <v>284</v>
      </c>
      <c r="B174" s="62" t="s">
        <v>284</v>
      </c>
      <c r="C174" s="63"/>
      <c r="D174" s="64"/>
      <c r="E174" s="65"/>
      <c r="F174" s="66"/>
      <c r="G174" s="63"/>
      <c r="H174" s="67"/>
      <c r="I174" s="68"/>
      <c r="J174" s="68"/>
      <c r="K174" s="32"/>
      <c r="L174" s="75">
        <v>174</v>
      </c>
      <c r="M174" s="75"/>
      <c r="N174" s="70"/>
      <c r="O174" s="77" t="s">
        <v>179</v>
      </c>
      <c r="P174" s="79">
        <v>45090.761111111111</v>
      </c>
      <c r="Q174" s="77" t="s">
        <v>710</v>
      </c>
      <c r="R174" s="77">
        <v>0</v>
      </c>
      <c r="S174" s="77">
        <v>0</v>
      </c>
      <c r="T174" s="77">
        <v>0</v>
      </c>
      <c r="U174" s="77">
        <v>0</v>
      </c>
      <c r="V174" s="77">
        <v>52</v>
      </c>
      <c r="W174" s="82" t="s">
        <v>1566</v>
      </c>
      <c r="X174" s="80" t="str">
        <f>HYPERLINK("https://www.revistaapolice.com.br/2023/06/tres-tipos-de-seguro-de-vida-para-diversificar-e-se-preparar-para-o-futuro/")</f>
        <v>https://www.revistaapolice.com.br/2023/06/tres-tipos-de-seguro-de-vida-para-diversificar-e-se-preparar-para-o-futuro/</v>
      </c>
      <c r="Y174" s="77" t="s">
        <v>1978</v>
      </c>
      <c r="Z174" s="77"/>
      <c r="AA174" s="77"/>
      <c r="AB174" s="77"/>
      <c r="AC174" s="82" t="s">
        <v>2639</v>
      </c>
      <c r="AD174" s="77" t="s">
        <v>2670</v>
      </c>
      <c r="AE174" s="80" t="str">
        <f>HYPERLINK("https://twitter.com/revistaapolice/status/1668683653465948160")</f>
        <v>https://twitter.com/revistaapolice/status/1668683653465948160</v>
      </c>
      <c r="AF174" s="79">
        <v>45090.761111111111</v>
      </c>
      <c r="AG174" s="85">
        <v>45090</v>
      </c>
      <c r="AH174" s="82" t="s">
        <v>2819</v>
      </c>
      <c r="AI174" s="77" t="b">
        <v>0</v>
      </c>
      <c r="AJ174" s="77"/>
      <c r="AK174" s="77"/>
      <c r="AL174" s="77"/>
      <c r="AM174" s="77"/>
      <c r="AN174" s="77"/>
      <c r="AO174" s="77"/>
      <c r="AP174" s="77"/>
      <c r="AQ174" s="77"/>
      <c r="AR174" s="77"/>
      <c r="AS174" s="77"/>
      <c r="AT174" s="77"/>
      <c r="AU174" s="77"/>
      <c r="AV174" s="80" t="str">
        <f>HYPERLINK("https://pbs.twimg.com/profile_images/1675930994241576966/MNUlIwKN_normal.jpg")</f>
        <v>https://pbs.twimg.com/profile_images/1675930994241576966/MNUlIwKN_normal.jpg</v>
      </c>
      <c r="AW174" s="82" t="s">
        <v>4231</v>
      </c>
      <c r="AX174" s="82" t="s">
        <v>4231</v>
      </c>
      <c r="AY174" s="77"/>
      <c r="AZ174" s="82" t="s">
        <v>5075</v>
      </c>
      <c r="BA174" s="82" t="s">
        <v>5075</v>
      </c>
      <c r="BB174" s="82" t="s">
        <v>5075</v>
      </c>
      <c r="BC174" s="82" t="s">
        <v>4231</v>
      </c>
      <c r="BD174" s="77">
        <v>49681434</v>
      </c>
      <c r="BE174" s="77"/>
      <c r="BF174" s="77"/>
      <c r="BG174" s="77"/>
      <c r="BH174" s="77"/>
      <c r="BI174" s="77"/>
    </row>
    <row r="175" spans="1:61" x14ac:dyDescent="0.25">
      <c r="A175" s="62" t="s">
        <v>284</v>
      </c>
      <c r="B175" s="62" t="s">
        <v>284</v>
      </c>
      <c r="C175" s="63"/>
      <c r="D175" s="64"/>
      <c r="E175" s="65"/>
      <c r="F175" s="66"/>
      <c r="G175" s="63"/>
      <c r="H175" s="67"/>
      <c r="I175" s="68"/>
      <c r="J175" s="68"/>
      <c r="K175" s="32"/>
      <c r="L175" s="75">
        <v>175</v>
      </c>
      <c r="M175" s="75"/>
      <c r="N175" s="70"/>
      <c r="O175" s="77" t="s">
        <v>179</v>
      </c>
      <c r="P175" s="79">
        <v>45189.549305555556</v>
      </c>
      <c r="Q175" s="77" t="s">
        <v>711</v>
      </c>
      <c r="R175" s="77">
        <v>0</v>
      </c>
      <c r="S175" s="77">
        <v>0</v>
      </c>
      <c r="T175" s="77">
        <v>0</v>
      </c>
      <c r="U175" s="77">
        <v>0</v>
      </c>
      <c r="V175" s="77">
        <v>30</v>
      </c>
      <c r="W175" s="82" t="s">
        <v>1566</v>
      </c>
      <c r="X175" s="80" t="str">
        <f>HYPERLINK("https://revistaapolice.com.br/2023/09/com-aumento-do-itcmd-seguro-de-vida-e-alternativa-para-planejar-heranca/")</f>
        <v>https://revistaapolice.com.br/2023/09/com-aumento-do-itcmd-seguro-de-vida-e-alternativa-para-planejar-heranca/</v>
      </c>
      <c r="Y175" s="77" t="s">
        <v>1978</v>
      </c>
      <c r="Z175" s="77"/>
      <c r="AA175" s="77"/>
      <c r="AB175" s="77"/>
      <c r="AC175" s="82" t="s">
        <v>2639</v>
      </c>
      <c r="AD175" s="77" t="s">
        <v>2670</v>
      </c>
      <c r="AE175" s="80" t="str">
        <f>HYPERLINK("https://twitter.com/revistaapolice/status/1704483296166785202")</f>
        <v>https://twitter.com/revistaapolice/status/1704483296166785202</v>
      </c>
      <c r="AF175" s="79">
        <v>45189.549305555556</v>
      </c>
      <c r="AG175" s="85">
        <v>45189</v>
      </c>
      <c r="AH175" s="82" t="s">
        <v>2820</v>
      </c>
      <c r="AI175" s="77" t="b">
        <v>0</v>
      </c>
      <c r="AJ175" s="77"/>
      <c r="AK175" s="77"/>
      <c r="AL175" s="77"/>
      <c r="AM175" s="77"/>
      <c r="AN175" s="77"/>
      <c r="AO175" s="77"/>
      <c r="AP175" s="77"/>
      <c r="AQ175" s="77"/>
      <c r="AR175" s="77"/>
      <c r="AS175" s="77"/>
      <c r="AT175" s="77"/>
      <c r="AU175" s="77"/>
      <c r="AV175" s="80" t="str">
        <f>HYPERLINK("https://pbs.twimg.com/profile_images/1675930994241576966/MNUlIwKN_normal.jpg")</f>
        <v>https://pbs.twimg.com/profile_images/1675930994241576966/MNUlIwKN_normal.jpg</v>
      </c>
      <c r="AW175" s="82" t="s">
        <v>4232</v>
      </c>
      <c r="AX175" s="82" t="s">
        <v>4232</v>
      </c>
      <c r="AY175" s="77"/>
      <c r="AZ175" s="82" t="s">
        <v>5075</v>
      </c>
      <c r="BA175" s="82" t="s">
        <v>5075</v>
      </c>
      <c r="BB175" s="82" t="s">
        <v>5075</v>
      </c>
      <c r="BC175" s="82" t="s">
        <v>4232</v>
      </c>
      <c r="BD175" s="77">
        <v>49681434</v>
      </c>
      <c r="BE175" s="77"/>
      <c r="BF175" s="77"/>
      <c r="BG175" s="77"/>
      <c r="BH175" s="77"/>
      <c r="BI175" s="77"/>
    </row>
    <row r="176" spans="1:61" x14ac:dyDescent="0.25">
      <c r="A176" s="62" t="s">
        <v>284</v>
      </c>
      <c r="B176" s="62" t="s">
        <v>284</v>
      </c>
      <c r="C176" s="63"/>
      <c r="D176" s="64"/>
      <c r="E176" s="65"/>
      <c r="F176" s="66"/>
      <c r="G176" s="63"/>
      <c r="H176" s="67"/>
      <c r="I176" s="68"/>
      <c r="J176" s="68"/>
      <c r="K176" s="32"/>
      <c r="L176" s="75">
        <v>176</v>
      </c>
      <c r="M176" s="75"/>
      <c r="N176" s="70"/>
      <c r="O176" s="77" t="s">
        <v>179</v>
      </c>
      <c r="P176" s="79">
        <v>45163.634525462963</v>
      </c>
      <c r="Q176" s="77" t="s">
        <v>712</v>
      </c>
      <c r="R176" s="77">
        <v>0</v>
      </c>
      <c r="S176" s="77">
        <v>0</v>
      </c>
      <c r="T176" s="77">
        <v>0</v>
      </c>
      <c r="U176" s="77">
        <v>0</v>
      </c>
      <c r="V176" s="77">
        <v>36</v>
      </c>
      <c r="W176" s="82" t="s">
        <v>1567</v>
      </c>
      <c r="X176" s="80" t="str">
        <f>HYPERLINK("https://revistaapolice.com.br/2023/08/bradesco-vida-e-previdencia-promove-encontro-sobre-planejamento-financeiro/")</f>
        <v>https://revistaapolice.com.br/2023/08/bradesco-vida-e-previdencia-promove-encontro-sobre-planejamento-financeiro/</v>
      </c>
      <c r="Y176" s="77" t="s">
        <v>1978</v>
      </c>
      <c r="Z176" s="77"/>
      <c r="AA176" s="77"/>
      <c r="AB176" s="77"/>
      <c r="AC176" s="82" t="s">
        <v>2639</v>
      </c>
      <c r="AD176" s="77" t="s">
        <v>2670</v>
      </c>
      <c r="AE176" s="80" t="str">
        <f>HYPERLINK("https://twitter.com/revistaapolice/status/1695092094862340291")</f>
        <v>https://twitter.com/revistaapolice/status/1695092094862340291</v>
      </c>
      <c r="AF176" s="79">
        <v>45163.634525462963</v>
      </c>
      <c r="AG176" s="85">
        <v>45163</v>
      </c>
      <c r="AH176" s="82" t="s">
        <v>2821</v>
      </c>
      <c r="AI176" s="77" t="b">
        <v>0</v>
      </c>
      <c r="AJ176" s="77"/>
      <c r="AK176" s="77"/>
      <c r="AL176" s="77"/>
      <c r="AM176" s="77"/>
      <c r="AN176" s="77"/>
      <c r="AO176" s="77"/>
      <c r="AP176" s="77"/>
      <c r="AQ176" s="77"/>
      <c r="AR176" s="77"/>
      <c r="AS176" s="77"/>
      <c r="AT176" s="77"/>
      <c r="AU176" s="77"/>
      <c r="AV176" s="80" t="str">
        <f>HYPERLINK("https://pbs.twimg.com/profile_images/1675930994241576966/MNUlIwKN_normal.jpg")</f>
        <v>https://pbs.twimg.com/profile_images/1675930994241576966/MNUlIwKN_normal.jpg</v>
      </c>
      <c r="AW176" s="82" t="s">
        <v>4233</v>
      </c>
      <c r="AX176" s="82" t="s">
        <v>4233</v>
      </c>
      <c r="AY176" s="77"/>
      <c r="AZ176" s="82" t="s">
        <v>5075</v>
      </c>
      <c r="BA176" s="82" t="s">
        <v>5075</v>
      </c>
      <c r="BB176" s="82" t="s">
        <v>5075</v>
      </c>
      <c r="BC176" s="82" t="s">
        <v>4233</v>
      </c>
      <c r="BD176" s="77">
        <v>49681434</v>
      </c>
      <c r="BE176" s="77"/>
      <c r="BF176" s="77"/>
      <c r="BG176" s="77"/>
      <c r="BH176" s="77"/>
      <c r="BI176" s="77"/>
    </row>
    <row r="177" spans="1:61" x14ac:dyDescent="0.25">
      <c r="A177" s="62" t="s">
        <v>285</v>
      </c>
      <c r="B177" s="62" t="s">
        <v>285</v>
      </c>
      <c r="C177" s="63"/>
      <c r="D177" s="64"/>
      <c r="E177" s="65"/>
      <c r="F177" s="66"/>
      <c r="G177" s="63"/>
      <c r="H177" s="67"/>
      <c r="I177" s="68"/>
      <c r="J177" s="68"/>
      <c r="K177" s="32"/>
      <c r="L177" s="75">
        <v>177</v>
      </c>
      <c r="M177" s="75"/>
      <c r="N177" s="70"/>
      <c r="O177" s="77" t="s">
        <v>179</v>
      </c>
      <c r="P177" s="79">
        <v>45189.849895833337</v>
      </c>
      <c r="Q177" s="77" t="s">
        <v>713</v>
      </c>
      <c r="R177" s="77">
        <v>0</v>
      </c>
      <c r="S177" s="77">
        <v>0</v>
      </c>
      <c r="T177" s="77">
        <v>0</v>
      </c>
      <c r="U177" s="77">
        <v>0</v>
      </c>
      <c r="V177" s="77">
        <v>83</v>
      </c>
      <c r="W177" s="82" t="s">
        <v>1568</v>
      </c>
      <c r="X177" s="77"/>
      <c r="Y177" s="77"/>
      <c r="Z177" s="77"/>
      <c r="AA177" s="77"/>
      <c r="AB177" s="77"/>
      <c r="AC177" s="82" t="s">
        <v>2639</v>
      </c>
      <c r="AD177" s="77" t="s">
        <v>2670</v>
      </c>
      <c r="AE177" s="80" t="str">
        <f>HYPERLINK("https://twitter.com/investcarta/status/1704592225521324466")</f>
        <v>https://twitter.com/investcarta/status/1704592225521324466</v>
      </c>
      <c r="AF177" s="79">
        <v>45189.849895833337</v>
      </c>
      <c r="AG177" s="85">
        <v>45189</v>
      </c>
      <c r="AH177" s="82" t="s">
        <v>2822</v>
      </c>
      <c r="AI177" s="77"/>
      <c r="AJ177" s="77"/>
      <c r="AK177" s="77"/>
      <c r="AL177" s="77"/>
      <c r="AM177" s="77"/>
      <c r="AN177" s="77"/>
      <c r="AO177" s="77"/>
      <c r="AP177" s="77"/>
      <c r="AQ177" s="77"/>
      <c r="AR177" s="77"/>
      <c r="AS177" s="77"/>
      <c r="AT177" s="77"/>
      <c r="AU177" s="77"/>
      <c r="AV177" s="80" t="str">
        <f>HYPERLINK("https://pbs.twimg.com/profile_images/1704588549712973824/baItJPXM_normal.jpg")</f>
        <v>https://pbs.twimg.com/profile_images/1704588549712973824/baItJPXM_normal.jpg</v>
      </c>
      <c r="AW177" s="82" t="s">
        <v>4234</v>
      </c>
      <c r="AX177" s="82" t="s">
        <v>4234</v>
      </c>
      <c r="AY177" s="77"/>
      <c r="AZ177" s="82" t="s">
        <v>5075</v>
      </c>
      <c r="BA177" s="82" t="s">
        <v>5075</v>
      </c>
      <c r="BB177" s="82" t="s">
        <v>5075</v>
      </c>
      <c r="BC177" s="82" t="s">
        <v>4234</v>
      </c>
      <c r="BD177" s="82" t="s">
        <v>5156</v>
      </c>
      <c r="BE177" s="77"/>
      <c r="BF177" s="77"/>
      <c r="BG177" s="77"/>
      <c r="BH177" s="77"/>
      <c r="BI177" s="77"/>
    </row>
    <row r="178" spans="1:61" x14ac:dyDescent="0.25">
      <c r="A178" s="62" t="s">
        <v>286</v>
      </c>
      <c r="B178" s="62" t="s">
        <v>286</v>
      </c>
      <c r="C178" s="63"/>
      <c r="D178" s="64"/>
      <c r="E178" s="65"/>
      <c r="F178" s="66"/>
      <c r="G178" s="63"/>
      <c r="H178" s="67"/>
      <c r="I178" s="68"/>
      <c r="J178" s="68"/>
      <c r="K178" s="32"/>
      <c r="L178" s="75">
        <v>178</v>
      </c>
      <c r="M178" s="75"/>
      <c r="N178" s="70"/>
      <c r="O178" s="77" t="s">
        <v>539</v>
      </c>
      <c r="P178" s="79">
        <v>45000.715891203705</v>
      </c>
      <c r="Q178" s="77" t="s">
        <v>714</v>
      </c>
      <c r="R178" s="77">
        <v>0</v>
      </c>
      <c r="S178" s="77">
        <v>0</v>
      </c>
      <c r="T178" s="77">
        <v>1</v>
      </c>
      <c r="U178" s="77">
        <v>0</v>
      </c>
      <c r="V178" s="77">
        <v>16</v>
      </c>
      <c r="W178" s="82" t="s">
        <v>1569</v>
      </c>
      <c r="X178" s="77"/>
      <c r="Y178" s="77"/>
      <c r="Z178" s="77" t="s">
        <v>286</v>
      </c>
      <c r="AA178" s="77" t="s">
        <v>2124</v>
      </c>
      <c r="AB178" s="77" t="s">
        <v>2635</v>
      </c>
      <c r="AC178" s="82" t="s">
        <v>2639</v>
      </c>
      <c r="AD178" s="77" t="s">
        <v>2670</v>
      </c>
      <c r="AE178" s="80" t="str">
        <f>HYPERLINK("https://twitter.com/minteredu/status/1636052358886047744")</f>
        <v>https://twitter.com/minteredu/status/1636052358886047744</v>
      </c>
      <c r="AF178" s="79">
        <v>45000.715891203705</v>
      </c>
      <c r="AG178" s="85">
        <v>45000</v>
      </c>
      <c r="AH178" s="82" t="s">
        <v>2823</v>
      </c>
      <c r="AI178" s="77" t="b">
        <v>0</v>
      </c>
      <c r="AJ178" s="77"/>
      <c r="AK178" s="77"/>
      <c r="AL178" s="77"/>
      <c r="AM178" s="77"/>
      <c r="AN178" s="77"/>
      <c r="AO178" s="77"/>
      <c r="AP178" s="77"/>
      <c r="AQ178" s="77" t="s">
        <v>3553</v>
      </c>
      <c r="AR178" s="77"/>
      <c r="AS178" s="77"/>
      <c r="AT178" s="77"/>
      <c r="AU178" s="77"/>
      <c r="AV178" s="80" t="str">
        <f>HYPERLINK("https://pbs.twimg.com/media/FrRs8hRXoAEnIrS.jpg")</f>
        <v>https://pbs.twimg.com/media/FrRs8hRXoAEnIrS.jpg</v>
      </c>
      <c r="AW178" s="82" t="s">
        <v>4235</v>
      </c>
      <c r="AX178" s="82" t="s">
        <v>4235</v>
      </c>
      <c r="AY178" s="77"/>
      <c r="AZ178" s="82" t="s">
        <v>5075</v>
      </c>
      <c r="BA178" s="82" t="s">
        <v>5075</v>
      </c>
      <c r="BB178" s="82" t="s">
        <v>5075</v>
      </c>
      <c r="BC178" s="82" t="s">
        <v>4235</v>
      </c>
      <c r="BD178" s="82" t="s">
        <v>5033</v>
      </c>
      <c r="BE178" s="77"/>
      <c r="BF178" s="77"/>
      <c r="BG178" s="77"/>
      <c r="BH178" s="77"/>
      <c r="BI178" s="77"/>
    </row>
    <row r="179" spans="1:61" x14ac:dyDescent="0.25">
      <c r="A179" s="62" t="s">
        <v>286</v>
      </c>
      <c r="B179" s="62" t="s">
        <v>286</v>
      </c>
      <c r="C179" s="63"/>
      <c r="D179" s="64"/>
      <c r="E179" s="65"/>
      <c r="F179" s="66"/>
      <c r="G179" s="63"/>
      <c r="H179" s="67"/>
      <c r="I179" s="68"/>
      <c r="J179" s="68"/>
      <c r="K179" s="32"/>
      <c r="L179" s="75">
        <v>179</v>
      </c>
      <c r="M179" s="75"/>
      <c r="N179" s="70"/>
      <c r="O179" s="77" t="s">
        <v>536</v>
      </c>
      <c r="P179" s="79">
        <v>45024.655995370369</v>
      </c>
      <c r="Q179" s="77" t="s">
        <v>715</v>
      </c>
      <c r="R179" s="77">
        <v>0</v>
      </c>
      <c r="S179" s="77">
        <v>1</v>
      </c>
      <c r="T179" s="77">
        <v>0</v>
      </c>
      <c r="U179" s="77">
        <v>0</v>
      </c>
      <c r="V179" s="77">
        <v>8</v>
      </c>
      <c r="W179" s="82" t="s">
        <v>1570</v>
      </c>
      <c r="X179" s="77"/>
      <c r="Y179" s="77"/>
      <c r="Z179" s="77" t="s">
        <v>286</v>
      </c>
      <c r="AA179" s="77" t="s">
        <v>2125</v>
      </c>
      <c r="AB179" s="77" t="s">
        <v>2632</v>
      </c>
      <c r="AC179" s="82" t="s">
        <v>2639</v>
      </c>
      <c r="AD179" s="77" t="s">
        <v>2670</v>
      </c>
      <c r="AE179" s="80" t="str">
        <f>HYPERLINK("https://twitter.com/minteredu/status/1644727961201913856")</f>
        <v>https://twitter.com/minteredu/status/1644727961201913856</v>
      </c>
      <c r="AF179" s="79">
        <v>45024.655995370369</v>
      </c>
      <c r="AG179" s="85">
        <v>45024</v>
      </c>
      <c r="AH179" s="82" t="s">
        <v>2824</v>
      </c>
      <c r="AI179" s="77" t="b">
        <v>0</v>
      </c>
      <c r="AJ179" s="77"/>
      <c r="AK179" s="77"/>
      <c r="AL179" s="77"/>
      <c r="AM179" s="77"/>
      <c r="AN179" s="77"/>
      <c r="AO179" s="77"/>
      <c r="AP179" s="77"/>
      <c r="AQ179" s="77" t="s">
        <v>3554</v>
      </c>
      <c r="AR179" s="77"/>
      <c r="AS179" s="77"/>
      <c r="AT179" s="77"/>
      <c r="AU179" s="77"/>
      <c r="AV179" s="80" t="str">
        <f>HYPERLINK("https://pbs.twimg.com/media/FtM_WpxX0AYiFOl.jpg")</f>
        <v>https://pbs.twimg.com/media/FtM_WpxX0AYiFOl.jpg</v>
      </c>
      <c r="AW179" s="82" t="s">
        <v>4236</v>
      </c>
      <c r="AX179" s="82" t="s">
        <v>4962</v>
      </c>
      <c r="AY179" s="82" t="s">
        <v>5033</v>
      </c>
      <c r="AZ179" s="82" t="s">
        <v>5081</v>
      </c>
      <c r="BA179" s="82" t="s">
        <v>5075</v>
      </c>
      <c r="BB179" s="82" t="s">
        <v>5075</v>
      </c>
      <c r="BC179" s="82" t="s">
        <v>5081</v>
      </c>
      <c r="BD179" s="82" t="s">
        <v>5033</v>
      </c>
      <c r="BE179" s="77"/>
      <c r="BF179" s="77"/>
      <c r="BG179" s="77"/>
      <c r="BH179" s="77"/>
      <c r="BI179" s="77"/>
    </row>
    <row r="180" spans="1:61" x14ac:dyDescent="0.25">
      <c r="A180" s="62" t="s">
        <v>286</v>
      </c>
      <c r="B180" s="62" t="s">
        <v>286</v>
      </c>
      <c r="C180" s="63"/>
      <c r="D180" s="64"/>
      <c r="E180" s="65"/>
      <c r="F180" s="66"/>
      <c r="G180" s="63"/>
      <c r="H180" s="67"/>
      <c r="I180" s="68"/>
      <c r="J180" s="68"/>
      <c r="K180" s="32"/>
      <c r="L180" s="75">
        <v>180</v>
      </c>
      <c r="M180" s="75"/>
      <c r="N180" s="70"/>
      <c r="O180" s="77" t="s">
        <v>536</v>
      </c>
      <c r="P180" s="79">
        <v>45016.620775462965</v>
      </c>
      <c r="Q180" s="77" t="s">
        <v>716</v>
      </c>
      <c r="R180" s="77">
        <v>1</v>
      </c>
      <c r="S180" s="77">
        <v>1</v>
      </c>
      <c r="T180" s="77">
        <v>0</v>
      </c>
      <c r="U180" s="77">
        <v>0</v>
      </c>
      <c r="V180" s="77">
        <v>6</v>
      </c>
      <c r="W180" s="82" t="s">
        <v>1571</v>
      </c>
      <c r="X180" s="77"/>
      <c r="Y180" s="77"/>
      <c r="Z180" s="77" t="s">
        <v>286</v>
      </c>
      <c r="AA180" s="77" t="s">
        <v>2126</v>
      </c>
      <c r="AB180" s="77" t="s">
        <v>2632</v>
      </c>
      <c r="AC180" s="82" t="s">
        <v>2639</v>
      </c>
      <c r="AD180" s="77" t="s">
        <v>2670</v>
      </c>
      <c r="AE180" s="80" t="str">
        <f>HYPERLINK("https://twitter.com/minteredu/status/1641816097534902274")</f>
        <v>https://twitter.com/minteredu/status/1641816097534902274</v>
      </c>
      <c r="AF180" s="79">
        <v>45016.620775462965</v>
      </c>
      <c r="AG180" s="85">
        <v>45016</v>
      </c>
      <c r="AH180" s="82" t="s">
        <v>2825</v>
      </c>
      <c r="AI180" s="77" t="b">
        <v>0</v>
      </c>
      <c r="AJ180" s="77"/>
      <c r="AK180" s="77"/>
      <c r="AL180" s="77"/>
      <c r="AM180" s="77"/>
      <c r="AN180" s="77"/>
      <c r="AO180" s="77"/>
      <c r="AP180" s="77"/>
      <c r="AQ180" s="77" t="s">
        <v>3555</v>
      </c>
      <c r="AR180" s="77"/>
      <c r="AS180" s="77"/>
      <c r="AT180" s="77"/>
      <c r="AU180" s="77"/>
      <c r="AV180" s="80" t="str">
        <f>HYPERLINK("https://pbs.twimg.com/media/FsjnCJ_WcAECcoy.jpg")</f>
        <v>https://pbs.twimg.com/media/FsjnCJ_WcAECcoy.jpg</v>
      </c>
      <c r="AW180" s="82" t="s">
        <v>4237</v>
      </c>
      <c r="AX180" s="82" t="s">
        <v>4963</v>
      </c>
      <c r="AY180" s="82" t="s">
        <v>5033</v>
      </c>
      <c r="AZ180" s="82" t="s">
        <v>5082</v>
      </c>
      <c r="BA180" s="82" t="s">
        <v>5075</v>
      </c>
      <c r="BB180" s="82" t="s">
        <v>5075</v>
      </c>
      <c r="BC180" s="82" t="s">
        <v>5082</v>
      </c>
      <c r="BD180" s="82" t="s">
        <v>5033</v>
      </c>
      <c r="BE180" s="77"/>
      <c r="BF180" s="77"/>
      <c r="BG180" s="77"/>
      <c r="BH180" s="77"/>
      <c r="BI180" s="77"/>
    </row>
    <row r="181" spans="1:61" x14ac:dyDescent="0.25">
      <c r="A181" s="62" t="s">
        <v>286</v>
      </c>
      <c r="B181" s="62" t="s">
        <v>286</v>
      </c>
      <c r="C181" s="63"/>
      <c r="D181" s="64"/>
      <c r="E181" s="65"/>
      <c r="F181" s="66"/>
      <c r="G181" s="63"/>
      <c r="H181" s="67"/>
      <c r="I181" s="68"/>
      <c r="J181" s="68"/>
      <c r="K181" s="32"/>
      <c r="L181" s="75">
        <v>181</v>
      </c>
      <c r="M181" s="75"/>
      <c r="N181" s="70"/>
      <c r="O181" s="77" t="s">
        <v>539</v>
      </c>
      <c r="P181" s="79">
        <v>45014.657141203701</v>
      </c>
      <c r="Q181" s="77" t="s">
        <v>717</v>
      </c>
      <c r="R181" s="77">
        <v>1</v>
      </c>
      <c r="S181" s="77">
        <v>1</v>
      </c>
      <c r="T181" s="77">
        <v>0</v>
      </c>
      <c r="U181" s="77">
        <v>0</v>
      </c>
      <c r="V181" s="77">
        <v>11</v>
      </c>
      <c r="W181" s="82" t="s">
        <v>1572</v>
      </c>
      <c r="X181" s="77"/>
      <c r="Y181" s="77"/>
      <c r="Z181" s="77" t="s">
        <v>286</v>
      </c>
      <c r="AA181" s="77" t="s">
        <v>2127</v>
      </c>
      <c r="AB181" s="77" t="s">
        <v>2632</v>
      </c>
      <c r="AC181" s="82" t="s">
        <v>2639</v>
      </c>
      <c r="AD181" s="77" t="s">
        <v>2670</v>
      </c>
      <c r="AE181" s="80" t="str">
        <f>HYPERLINK("https://twitter.com/minteredu/status/1641104499824635904")</f>
        <v>https://twitter.com/minteredu/status/1641104499824635904</v>
      </c>
      <c r="AF181" s="79">
        <v>45014.657141203701</v>
      </c>
      <c r="AG181" s="85">
        <v>45014</v>
      </c>
      <c r="AH181" s="82" t="s">
        <v>2826</v>
      </c>
      <c r="AI181" s="77" t="b">
        <v>0</v>
      </c>
      <c r="AJ181" s="77"/>
      <c r="AK181" s="77"/>
      <c r="AL181" s="77"/>
      <c r="AM181" s="77"/>
      <c r="AN181" s="77"/>
      <c r="AO181" s="77"/>
      <c r="AP181" s="77"/>
      <c r="AQ181" s="77" t="s">
        <v>3556</v>
      </c>
      <c r="AR181" s="77"/>
      <c r="AS181" s="77"/>
      <c r="AT181" s="77"/>
      <c r="AU181" s="77"/>
      <c r="AV181" s="80" t="str">
        <f>HYPERLINK("https://pbs.twimg.com/media/FsZf1z1WAAM3W4s.jpg")</f>
        <v>https://pbs.twimg.com/media/FsZf1z1WAAM3W4s.jpg</v>
      </c>
      <c r="AW181" s="82" t="s">
        <v>4238</v>
      </c>
      <c r="AX181" s="82" t="s">
        <v>4238</v>
      </c>
      <c r="AY181" s="77"/>
      <c r="AZ181" s="82" t="s">
        <v>5075</v>
      </c>
      <c r="BA181" s="82" t="s">
        <v>5075</v>
      </c>
      <c r="BB181" s="82" t="s">
        <v>5075</v>
      </c>
      <c r="BC181" s="82" t="s">
        <v>4238</v>
      </c>
      <c r="BD181" s="82" t="s">
        <v>5033</v>
      </c>
      <c r="BE181" s="77"/>
      <c r="BF181" s="77"/>
      <c r="BG181" s="77"/>
      <c r="BH181" s="77"/>
      <c r="BI181" s="77"/>
    </row>
    <row r="182" spans="1:61" x14ac:dyDescent="0.25">
      <c r="A182" s="62" t="s">
        <v>286</v>
      </c>
      <c r="B182" s="62" t="s">
        <v>286</v>
      </c>
      <c r="C182" s="63"/>
      <c r="D182" s="64"/>
      <c r="E182" s="65"/>
      <c r="F182" s="66"/>
      <c r="G182" s="63"/>
      <c r="H182" s="67"/>
      <c r="I182" s="68"/>
      <c r="J182" s="68"/>
      <c r="K182" s="32"/>
      <c r="L182" s="75">
        <v>182</v>
      </c>
      <c r="M182" s="75"/>
      <c r="N182" s="70"/>
      <c r="O182" s="77" t="s">
        <v>539</v>
      </c>
      <c r="P182" s="79">
        <v>44996.71056712963</v>
      </c>
      <c r="Q182" s="77" t="s">
        <v>718</v>
      </c>
      <c r="R182" s="77">
        <v>1</v>
      </c>
      <c r="S182" s="77">
        <v>1</v>
      </c>
      <c r="T182" s="77">
        <v>1</v>
      </c>
      <c r="U182" s="77">
        <v>0</v>
      </c>
      <c r="V182" s="77">
        <v>40</v>
      </c>
      <c r="W182" s="82" t="s">
        <v>1573</v>
      </c>
      <c r="X182" s="77"/>
      <c r="Y182" s="77"/>
      <c r="Z182" s="77" t="s">
        <v>286</v>
      </c>
      <c r="AA182" s="77" t="s">
        <v>2128</v>
      </c>
      <c r="AB182" s="77" t="s">
        <v>2635</v>
      </c>
      <c r="AC182" s="82" t="s">
        <v>2639</v>
      </c>
      <c r="AD182" s="77" t="s">
        <v>2670</v>
      </c>
      <c r="AE182" s="80" t="str">
        <f>HYPERLINK("https://twitter.com/minteredu/status/1634600879130066945")</f>
        <v>https://twitter.com/minteredu/status/1634600879130066945</v>
      </c>
      <c r="AF182" s="79">
        <v>44996.71056712963</v>
      </c>
      <c r="AG182" s="85">
        <v>44996</v>
      </c>
      <c r="AH182" s="82" t="s">
        <v>2827</v>
      </c>
      <c r="AI182" s="77" t="b">
        <v>0</v>
      </c>
      <c r="AJ182" s="77"/>
      <c r="AK182" s="77"/>
      <c r="AL182" s="77"/>
      <c r="AM182" s="77"/>
      <c r="AN182" s="77"/>
      <c r="AO182" s="77"/>
      <c r="AP182" s="77"/>
      <c r="AQ182" s="77" t="s">
        <v>3557</v>
      </c>
      <c r="AR182" s="77"/>
      <c r="AS182" s="77"/>
      <c r="AT182" s="77"/>
      <c r="AU182" s="77"/>
      <c r="AV182" s="80" t="str">
        <f>HYPERLINK("https://pbs.twimg.com/media/Fq9EtEGWAAkdjKW.jpg")</f>
        <v>https://pbs.twimg.com/media/Fq9EtEGWAAkdjKW.jpg</v>
      </c>
      <c r="AW182" s="82" t="s">
        <v>4239</v>
      </c>
      <c r="AX182" s="82" t="s">
        <v>4239</v>
      </c>
      <c r="AY182" s="77"/>
      <c r="AZ182" s="82" t="s">
        <v>5075</v>
      </c>
      <c r="BA182" s="82" t="s">
        <v>5075</v>
      </c>
      <c r="BB182" s="82" t="s">
        <v>5075</v>
      </c>
      <c r="BC182" s="82" t="s">
        <v>4239</v>
      </c>
      <c r="BD182" s="82" t="s">
        <v>5033</v>
      </c>
      <c r="BE182" s="77"/>
      <c r="BF182" s="77"/>
      <c r="BG182" s="77"/>
      <c r="BH182" s="77"/>
      <c r="BI182" s="77"/>
    </row>
    <row r="183" spans="1:61" x14ac:dyDescent="0.25">
      <c r="A183" s="62" t="s">
        <v>286</v>
      </c>
      <c r="B183" s="62" t="s">
        <v>286</v>
      </c>
      <c r="C183" s="63"/>
      <c r="D183" s="64"/>
      <c r="E183" s="65"/>
      <c r="F183" s="66"/>
      <c r="G183" s="63"/>
      <c r="H183" s="67"/>
      <c r="I183" s="68"/>
      <c r="J183" s="68"/>
      <c r="K183" s="32"/>
      <c r="L183" s="75">
        <v>183</v>
      </c>
      <c r="M183" s="75"/>
      <c r="N183" s="70"/>
      <c r="O183" s="77" t="s">
        <v>539</v>
      </c>
      <c r="P183" s="79">
        <v>44995.712210648147</v>
      </c>
      <c r="Q183" s="77" t="s">
        <v>719</v>
      </c>
      <c r="R183" s="77">
        <v>1</v>
      </c>
      <c r="S183" s="77">
        <v>1</v>
      </c>
      <c r="T183" s="77">
        <v>0</v>
      </c>
      <c r="U183" s="77">
        <v>0</v>
      </c>
      <c r="V183" s="77">
        <v>19</v>
      </c>
      <c r="W183" s="82" t="s">
        <v>1574</v>
      </c>
      <c r="X183" s="77"/>
      <c r="Y183" s="77"/>
      <c r="Z183" s="77" t="s">
        <v>286</v>
      </c>
      <c r="AA183" s="77" t="s">
        <v>2129</v>
      </c>
      <c r="AB183" s="77" t="s">
        <v>2635</v>
      </c>
      <c r="AC183" s="82" t="s">
        <v>2639</v>
      </c>
      <c r="AD183" s="77" t="s">
        <v>2670</v>
      </c>
      <c r="AE183" s="80" t="str">
        <f>HYPERLINK("https://twitter.com/minteredu/status/1634239084670402582")</f>
        <v>https://twitter.com/minteredu/status/1634239084670402582</v>
      </c>
      <c r="AF183" s="79">
        <v>44995.712210648147</v>
      </c>
      <c r="AG183" s="85">
        <v>44995</v>
      </c>
      <c r="AH183" s="82" t="s">
        <v>2828</v>
      </c>
      <c r="AI183" s="77" t="b">
        <v>0</v>
      </c>
      <c r="AJ183" s="77"/>
      <c r="AK183" s="77"/>
      <c r="AL183" s="77"/>
      <c r="AM183" s="77"/>
      <c r="AN183" s="77"/>
      <c r="AO183" s="77"/>
      <c r="AP183" s="77"/>
      <c r="AQ183" s="77" t="s">
        <v>3558</v>
      </c>
      <c r="AR183" s="77"/>
      <c r="AS183" s="77"/>
      <c r="AT183" s="77"/>
      <c r="AU183" s="77"/>
      <c r="AV183" s="80" t="str">
        <f>HYPERLINK("https://pbs.twimg.com/media/Fq37xiSWwBUUD1d.jpg")</f>
        <v>https://pbs.twimg.com/media/Fq37xiSWwBUUD1d.jpg</v>
      </c>
      <c r="AW183" s="82" t="s">
        <v>4240</v>
      </c>
      <c r="AX183" s="82" t="s">
        <v>4240</v>
      </c>
      <c r="AY183" s="77"/>
      <c r="AZ183" s="82" t="s">
        <v>5075</v>
      </c>
      <c r="BA183" s="82" t="s">
        <v>5075</v>
      </c>
      <c r="BB183" s="82" t="s">
        <v>5075</v>
      </c>
      <c r="BC183" s="82" t="s">
        <v>4240</v>
      </c>
      <c r="BD183" s="82" t="s">
        <v>5033</v>
      </c>
      <c r="BE183" s="77"/>
      <c r="BF183" s="77"/>
      <c r="BG183" s="77"/>
      <c r="BH183" s="77"/>
      <c r="BI183" s="77"/>
    </row>
    <row r="184" spans="1:61" x14ac:dyDescent="0.25">
      <c r="A184" s="62" t="s">
        <v>287</v>
      </c>
      <c r="B184" s="62" t="s">
        <v>520</v>
      </c>
      <c r="C184" s="63"/>
      <c r="D184" s="64"/>
      <c r="E184" s="65"/>
      <c r="F184" s="66"/>
      <c r="G184" s="63"/>
      <c r="H184" s="67"/>
      <c r="I184" s="68"/>
      <c r="J184" s="68"/>
      <c r="K184" s="32"/>
      <c r="L184" s="75">
        <v>184</v>
      </c>
      <c r="M184" s="75"/>
      <c r="N184" s="70"/>
      <c r="O184" s="77" t="s">
        <v>536</v>
      </c>
      <c r="P184" s="79">
        <v>45167.516782407409</v>
      </c>
      <c r="Q184" s="77" t="s">
        <v>720</v>
      </c>
      <c r="R184" s="77">
        <v>0</v>
      </c>
      <c r="S184" s="77">
        <v>3</v>
      </c>
      <c r="T184" s="77">
        <v>1</v>
      </c>
      <c r="U184" s="77">
        <v>0</v>
      </c>
      <c r="V184" s="77">
        <v>31</v>
      </c>
      <c r="W184" s="82" t="s">
        <v>1435</v>
      </c>
      <c r="X184" s="77"/>
      <c r="Y184" s="77"/>
      <c r="Z184" s="77" t="s">
        <v>520</v>
      </c>
      <c r="AA184" s="77"/>
      <c r="AB184" s="77"/>
      <c r="AC184" s="82" t="s">
        <v>2640</v>
      </c>
      <c r="AD184" s="77" t="s">
        <v>2670</v>
      </c>
      <c r="AE184" s="80" t="str">
        <f>HYPERLINK("https://twitter.com/parlamento/status/1696498976839569411")</f>
        <v>https://twitter.com/parlamento/status/1696498976839569411</v>
      </c>
      <c r="AF184" s="79">
        <v>45167.516782407409</v>
      </c>
      <c r="AG184" s="85">
        <v>45167</v>
      </c>
      <c r="AH184" s="82" t="s">
        <v>2829</v>
      </c>
      <c r="AI184" s="77"/>
      <c r="AJ184" s="77"/>
      <c r="AK184" s="77"/>
      <c r="AL184" s="77"/>
      <c r="AM184" s="77"/>
      <c r="AN184" s="77"/>
      <c r="AO184" s="77"/>
      <c r="AP184" s="77"/>
      <c r="AQ184" s="77"/>
      <c r="AR184" s="77"/>
      <c r="AS184" s="77"/>
      <c r="AT184" s="77"/>
      <c r="AU184" s="77"/>
      <c r="AV184" s="80" t="str">
        <f>HYPERLINK("https://pbs.twimg.com/profile_images/1509569305616203788/SmKqjHVS_normal.jpg")</f>
        <v>https://pbs.twimg.com/profile_images/1509569305616203788/SmKqjHVS_normal.jpg</v>
      </c>
      <c r="AW184" s="82" t="s">
        <v>4241</v>
      </c>
      <c r="AX184" s="82" t="s">
        <v>4964</v>
      </c>
      <c r="AY184" s="82" t="s">
        <v>5034</v>
      </c>
      <c r="AZ184" s="82" t="s">
        <v>4964</v>
      </c>
      <c r="BA184" s="82" t="s">
        <v>5075</v>
      </c>
      <c r="BB184" s="82" t="s">
        <v>5075</v>
      </c>
      <c r="BC184" s="82" t="s">
        <v>4964</v>
      </c>
      <c r="BD184" s="77">
        <v>37260520</v>
      </c>
      <c r="BE184" s="77"/>
      <c r="BF184" s="77"/>
      <c r="BG184" s="77"/>
      <c r="BH184" s="77"/>
      <c r="BI184" s="77"/>
    </row>
    <row r="185" spans="1:61" x14ac:dyDescent="0.25">
      <c r="A185" s="62" t="s">
        <v>287</v>
      </c>
      <c r="B185" s="62" t="s">
        <v>420</v>
      </c>
      <c r="C185" s="63"/>
      <c r="D185" s="64"/>
      <c r="E185" s="65"/>
      <c r="F185" s="66"/>
      <c r="G185" s="63"/>
      <c r="H185" s="67"/>
      <c r="I185" s="68"/>
      <c r="J185" s="68"/>
      <c r="K185" s="32"/>
      <c r="L185" s="75">
        <v>185</v>
      </c>
      <c r="M185" s="75"/>
      <c r="N185" s="70"/>
      <c r="O185" s="77" t="s">
        <v>538</v>
      </c>
      <c r="P185" s="79">
        <v>45009.547581018516</v>
      </c>
      <c r="Q185" s="77" t="s">
        <v>721</v>
      </c>
      <c r="R185" s="77">
        <v>0</v>
      </c>
      <c r="S185" s="77">
        <v>0</v>
      </c>
      <c r="T185" s="77">
        <v>0</v>
      </c>
      <c r="U185" s="77">
        <v>0</v>
      </c>
      <c r="V185" s="77">
        <v>35</v>
      </c>
      <c r="W185" s="82" t="s">
        <v>1575</v>
      </c>
      <c r="X185" s="77"/>
      <c r="Y185" s="77"/>
      <c r="Z185" s="77"/>
      <c r="AA185" s="77"/>
      <c r="AB185" s="77"/>
      <c r="AC185" s="82" t="s">
        <v>2640</v>
      </c>
      <c r="AD185" s="77" t="s">
        <v>2670</v>
      </c>
      <c r="AE185" s="80" t="str">
        <f>HYPERLINK("https://twitter.com/parlamento/status/1639252855516274688")</f>
        <v>https://twitter.com/parlamento/status/1639252855516274688</v>
      </c>
      <c r="AF185" s="79">
        <v>45009.547581018516</v>
      </c>
      <c r="AG185" s="85">
        <v>45009</v>
      </c>
      <c r="AH185" s="82" t="s">
        <v>2830</v>
      </c>
      <c r="AI185" s="77"/>
      <c r="AJ185" s="77"/>
      <c r="AK185" s="77"/>
      <c r="AL185" s="77"/>
      <c r="AM185" s="77"/>
      <c r="AN185" s="77"/>
      <c r="AO185" s="77"/>
      <c r="AP185" s="77"/>
      <c r="AQ185" s="77"/>
      <c r="AR185" s="77"/>
      <c r="AS185" s="77"/>
      <c r="AT185" s="77"/>
      <c r="AU185" s="77"/>
      <c r="AV185" s="80" t="str">
        <f>HYPERLINK("https://pbs.twimg.com/profile_images/1509569305616203788/SmKqjHVS_normal.jpg")</f>
        <v>https://pbs.twimg.com/profile_images/1509569305616203788/SmKqjHVS_normal.jpg</v>
      </c>
      <c r="AW185" s="82" t="s">
        <v>4242</v>
      </c>
      <c r="AX185" s="82" t="s">
        <v>4242</v>
      </c>
      <c r="AY185" s="77"/>
      <c r="AZ185" s="82" t="s">
        <v>5075</v>
      </c>
      <c r="BA185" s="82" t="s">
        <v>4585</v>
      </c>
      <c r="BB185" s="82" t="s">
        <v>5075</v>
      </c>
      <c r="BC185" s="82" t="s">
        <v>4585</v>
      </c>
      <c r="BD185" s="77">
        <v>37260520</v>
      </c>
      <c r="BE185" s="77"/>
      <c r="BF185" s="77"/>
      <c r="BG185" s="77"/>
      <c r="BH185" s="77"/>
      <c r="BI185" s="77"/>
    </row>
    <row r="186" spans="1:61" x14ac:dyDescent="0.25">
      <c r="A186" s="62" t="s">
        <v>288</v>
      </c>
      <c r="B186" s="62" t="s">
        <v>288</v>
      </c>
      <c r="C186" s="63"/>
      <c r="D186" s="64"/>
      <c r="E186" s="65"/>
      <c r="F186" s="66"/>
      <c r="G186" s="63"/>
      <c r="H186" s="67"/>
      <c r="I186" s="68"/>
      <c r="J186" s="68"/>
      <c r="K186" s="32"/>
      <c r="L186" s="75">
        <v>186</v>
      </c>
      <c r="M186" s="75"/>
      <c r="N186" s="70"/>
      <c r="O186" s="77" t="s">
        <v>179</v>
      </c>
      <c r="P186" s="79">
        <v>45155.846909722219</v>
      </c>
      <c r="Q186" s="77" t="s">
        <v>722</v>
      </c>
      <c r="R186" s="77">
        <v>0</v>
      </c>
      <c r="S186" s="77">
        <v>0</v>
      </c>
      <c r="T186" s="77">
        <v>0</v>
      </c>
      <c r="U186" s="77">
        <v>0</v>
      </c>
      <c r="V186" s="77">
        <v>4</v>
      </c>
      <c r="W186" s="82" t="s">
        <v>1576</v>
      </c>
      <c r="X186" s="77"/>
      <c r="Y186" s="77"/>
      <c r="Z186" s="77"/>
      <c r="AA186" s="77" t="s">
        <v>2130</v>
      </c>
      <c r="AB186" s="77" t="s">
        <v>2632</v>
      </c>
      <c r="AC186" s="82" t="s">
        <v>2638</v>
      </c>
      <c r="AD186" s="77" t="s">
        <v>2670</v>
      </c>
      <c r="AE186" s="80" t="str">
        <f>HYPERLINK("https://twitter.com/cobratecassis/status/1692269958137258287")</f>
        <v>https://twitter.com/cobratecassis/status/1692269958137258287</v>
      </c>
      <c r="AF186" s="79">
        <v>45155.846909722219</v>
      </c>
      <c r="AG186" s="85">
        <v>45155</v>
      </c>
      <c r="AH186" s="82" t="s">
        <v>2831</v>
      </c>
      <c r="AI186" s="77" t="b">
        <v>0</v>
      </c>
      <c r="AJ186" s="77" t="s">
        <v>3404</v>
      </c>
      <c r="AK186" s="77" t="s">
        <v>3410</v>
      </c>
      <c r="AL186" s="77" t="s">
        <v>3411</v>
      </c>
      <c r="AM186" s="77" t="s">
        <v>3416</v>
      </c>
      <c r="AN186" s="77" t="s">
        <v>3426</v>
      </c>
      <c r="AO186" s="77" t="s">
        <v>3436</v>
      </c>
      <c r="AP186" s="77" t="s">
        <v>3442</v>
      </c>
      <c r="AQ186" s="77" t="s">
        <v>3559</v>
      </c>
      <c r="AR186" s="77"/>
      <c r="AS186" s="77"/>
      <c r="AT186" s="77"/>
      <c r="AU186" s="77"/>
      <c r="AV186" s="80" t="str">
        <f>HYPERLINK("https://pbs.twimg.com/media/F3wmjxEXcAA_8Y2.jpg")</f>
        <v>https://pbs.twimg.com/media/F3wmjxEXcAA_8Y2.jpg</v>
      </c>
      <c r="AW186" s="82" t="s">
        <v>4243</v>
      </c>
      <c r="AX186" s="82" t="s">
        <v>4243</v>
      </c>
      <c r="AY186" s="77"/>
      <c r="AZ186" s="82" t="s">
        <v>5075</v>
      </c>
      <c r="BA186" s="82" t="s">
        <v>5075</v>
      </c>
      <c r="BB186" s="82" t="s">
        <v>5075</v>
      </c>
      <c r="BC186" s="82" t="s">
        <v>4243</v>
      </c>
      <c r="BD186" s="82" t="s">
        <v>5157</v>
      </c>
      <c r="BE186" s="77"/>
      <c r="BF186" s="77"/>
      <c r="BG186" s="77"/>
      <c r="BH186" s="77"/>
      <c r="BI186" s="77"/>
    </row>
    <row r="187" spans="1:61" x14ac:dyDescent="0.25">
      <c r="A187" s="62" t="s">
        <v>289</v>
      </c>
      <c r="B187" s="62" t="s">
        <v>289</v>
      </c>
      <c r="C187" s="63"/>
      <c r="D187" s="64"/>
      <c r="E187" s="65"/>
      <c r="F187" s="66"/>
      <c r="G187" s="63"/>
      <c r="H187" s="67"/>
      <c r="I187" s="68"/>
      <c r="J187" s="68"/>
      <c r="K187" s="32"/>
      <c r="L187" s="75">
        <v>187</v>
      </c>
      <c r="M187" s="75"/>
      <c r="N187" s="70"/>
      <c r="O187" s="77" t="s">
        <v>179</v>
      </c>
      <c r="P187" s="79">
        <v>45051.667141203703</v>
      </c>
      <c r="Q187" s="77" t="s">
        <v>723</v>
      </c>
      <c r="R187" s="77">
        <v>0</v>
      </c>
      <c r="S187" s="77">
        <v>0</v>
      </c>
      <c r="T187" s="77">
        <v>0</v>
      </c>
      <c r="U187" s="77">
        <v>0</v>
      </c>
      <c r="V187" s="77">
        <v>8</v>
      </c>
      <c r="W187" s="82" t="s">
        <v>1577</v>
      </c>
      <c r="X187" s="77"/>
      <c r="Y187" s="77"/>
      <c r="Z187" s="77"/>
      <c r="AA187" s="77" t="s">
        <v>2131</v>
      </c>
      <c r="AB187" s="77" t="s">
        <v>2632</v>
      </c>
      <c r="AC187" s="82" t="s">
        <v>2642</v>
      </c>
      <c r="AD187" s="77" t="s">
        <v>2670</v>
      </c>
      <c r="AE187" s="80" t="str">
        <f>HYPERLINK("https://twitter.com/atlantickapital/status/1654516475351257091")</f>
        <v>https://twitter.com/atlantickapital/status/1654516475351257091</v>
      </c>
      <c r="AF187" s="79">
        <v>45051.667141203703</v>
      </c>
      <c r="AG187" s="85">
        <v>45051</v>
      </c>
      <c r="AH187" s="82" t="s">
        <v>2832</v>
      </c>
      <c r="AI187" s="77" t="b">
        <v>0</v>
      </c>
      <c r="AJ187" s="77"/>
      <c r="AK187" s="77"/>
      <c r="AL187" s="77"/>
      <c r="AM187" s="77"/>
      <c r="AN187" s="77"/>
      <c r="AO187" s="77"/>
      <c r="AP187" s="77"/>
      <c r="AQ187" s="77" t="s">
        <v>3560</v>
      </c>
      <c r="AR187" s="77"/>
      <c r="AS187" s="77"/>
      <c r="AT187" s="77"/>
      <c r="AU187" s="77"/>
      <c r="AV187" s="80" t="str">
        <f>HYPERLINK("https://pbs.twimg.com/media/FvYF92YWYAI-Bw8.jpg")</f>
        <v>https://pbs.twimg.com/media/FvYF92YWYAI-Bw8.jpg</v>
      </c>
      <c r="AW187" s="82" t="s">
        <v>4244</v>
      </c>
      <c r="AX187" s="82" t="s">
        <v>4244</v>
      </c>
      <c r="AY187" s="77"/>
      <c r="AZ187" s="82" t="s">
        <v>5075</v>
      </c>
      <c r="BA187" s="82" t="s">
        <v>5075</v>
      </c>
      <c r="BB187" s="82" t="s">
        <v>5075</v>
      </c>
      <c r="BC187" s="82" t="s">
        <v>4244</v>
      </c>
      <c r="BD187" s="82" t="s">
        <v>5158</v>
      </c>
      <c r="BE187" s="77"/>
      <c r="BF187" s="77"/>
      <c r="BG187" s="77"/>
      <c r="BH187" s="77"/>
      <c r="BI187" s="77"/>
    </row>
    <row r="188" spans="1:61" x14ac:dyDescent="0.25">
      <c r="A188" s="62" t="s">
        <v>290</v>
      </c>
      <c r="B188" s="62" t="s">
        <v>290</v>
      </c>
      <c r="C188" s="63"/>
      <c r="D188" s="64"/>
      <c r="E188" s="65"/>
      <c r="F188" s="66"/>
      <c r="G188" s="63"/>
      <c r="H188" s="67"/>
      <c r="I188" s="68"/>
      <c r="J188" s="68"/>
      <c r="K188" s="32"/>
      <c r="L188" s="75">
        <v>188</v>
      </c>
      <c r="M188" s="75"/>
      <c r="N188" s="70"/>
      <c r="O188" s="77" t="s">
        <v>179</v>
      </c>
      <c r="P188" s="79">
        <v>44943.588553240741</v>
      </c>
      <c r="Q188" s="77" t="s">
        <v>724</v>
      </c>
      <c r="R188" s="77">
        <v>0</v>
      </c>
      <c r="S188" s="77">
        <v>0</v>
      </c>
      <c r="T188" s="77">
        <v>0</v>
      </c>
      <c r="U188" s="77">
        <v>0</v>
      </c>
      <c r="V188" s="77">
        <v>2</v>
      </c>
      <c r="W188" s="82" t="s">
        <v>1578</v>
      </c>
      <c r="X188" s="80" t="str">
        <f>HYPERLINK("https://www.instagram.com/reel/CnhNc0ct4Um/?igshid=MDJmNzVkMjY=")</f>
        <v>https://www.instagram.com/reel/CnhNc0ct4Um/?igshid=MDJmNzVkMjY=</v>
      </c>
      <c r="Y188" s="77" t="s">
        <v>1974</v>
      </c>
      <c r="Z188" s="77"/>
      <c r="AA188" s="77"/>
      <c r="AB188" s="77"/>
      <c r="AC188" s="82" t="s">
        <v>2638</v>
      </c>
      <c r="AD188" s="77" t="s">
        <v>2670</v>
      </c>
      <c r="AE188" s="80" t="str">
        <f>HYPERLINK("https://twitter.com/irineubere/status/1615350104310808580")</f>
        <v>https://twitter.com/irineubere/status/1615350104310808580</v>
      </c>
      <c r="AF188" s="79">
        <v>44943.588553240741</v>
      </c>
      <c r="AG188" s="85">
        <v>44943</v>
      </c>
      <c r="AH188" s="82" t="s">
        <v>2833</v>
      </c>
      <c r="AI188" s="77" t="b">
        <v>0</v>
      </c>
      <c r="AJ188" s="77"/>
      <c r="AK188" s="77"/>
      <c r="AL188" s="77"/>
      <c r="AM188" s="77"/>
      <c r="AN188" s="77"/>
      <c r="AO188" s="77"/>
      <c r="AP188" s="77"/>
      <c r="AQ188" s="77"/>
      <c r="AR188" s="77"/>
      <c r="AS188" s="77"/>
      <c r="AT188" s="77"/>
      <c r="AU188" s="77"/>
      <c r="AV188" s="80" t="str">
        <f>HYPERLINK("https://pbs.twimg.com/profile_images/1609890382300471297/1HGHH84K_normal.png")</f>
        <v>https://pbs.twimg.com/profile_images/1609890382300471297/1HGHH84K_normal.png</v>
      </c>
      <c r="AW188" s="82" t="s">
        <v>4245</v>
      </c>
      <c r="AX188" s="82" t="s">
        <v>4245</v>
      </c>
      <c r="AY188" s="77"/>
      <c r="AZ188" s="82" t="s">
        <v>5075</v>
      </c>
      <c r="BA188" s="82" t="s">
        <v>5075</v>
      </c>
      <c r="BB188" s="82" t="s">
        <v>5075</v>
      </c>
      <c r="BC188" s="82" t="s">
        <v>4245</v>
      </c>
      <c r="BD188" s="77">
        <v>536380588</v>
      </c>
      <c r="BE188" s="77"/>
      <c r="BF188" s="77"/>
      <c r="BG188" s="77"/>
      <c r="BH188" s="77"/>
      <c r="BI188" s="77"/>
    </row>
    <row r="189" spans="1:61" x14ac:dyDescent="0.25">
      <c r="A189" s="62" t="s">
        <v>290</v>
      </c>
      <c r="B189" s="62" t="s">
        <v>290</v>
      </c>
      <c r="C189" s="63"/>
      <c r="D189" s="64"/>
      <c r="E189" s="65"/>
      <c r="F189" s="66"/>
      <c r="G189" s="63"/>
      <c r="H189" s="67"/>
      <c r="I189" s="68"/>
      <c r="J189" s="68"/>
      <c r="K189" s="32"/>
      <c r="L189" s="75">
        <v>189</v>
      </c>
      <c r="M189" s="75"/>
      <c r="N189" s="70"/>
      <c r="O189" s="77" t="s">
        <v>179</v>
      </c>
      <c r="P189" s="79">
        <v>44938.647685185184</v>
      </c>
      <c r="Q189" s="77" t="s">
        <v>725</v>
      </c>
      <c r="R189" s="77">
        <v>0</v>
      </c>
      <c r="S189" s="77">
        <v>0</v>
      </c>
      <c r="T189" s="77">
        <v>0</v>
      </c>
      <c r="U189" s="77">
        <v>0</v>
      </c>
      <c r="V189" s="77">
        <v>3</v>
      </c>
      <c r="W189" s="82" t="s">
        <v>1579</v>
      </c>
      <c r="X189" s="80" t="str">
        <f>HYPERLINK("https://www.instagram.com/reel/CnUUnSEPm57/?igshid=MDJmNzVkMjY=")</f>
        <v>https://www.instagram.com/reel/CnUUnSEPm57/?igshid=MDJmNzVkMjY=</v>
      </c>
      <c r="Y189" s="77" t="s">
        <v>1974</v>
      </c>
      <c r="Z189" s="77"/>
      <c r="AA189" s="77"/>
      <c r="AB189" s="77"/>
      <c r="AC189" s="82" t="s">
        <v>2638</v>
      </c>
      <c r="AD189" s="77" t="s">
        <v>2670</v>
      </c>
      <c r="AE189" s="80" t="str">
        <f>HYPERLINK("https://twitter.com/irineubere/status/1613559595032625156")</f>
        <v>https://twitter.com/irineubere/status/1613559595032625156</v>
      </c>
      <c r="AF189" s="79">
        <v>44938.647685185184</v>
      </c>
      <c r="AG189" s="85">
        <v>44938</v>
      </c>
      <c r="AH189" s="82" t="s">
        <v>2834</v>
      </c>
      <c r="AI189" s="77" t="b">
        <v>0</v>
      </c>
      <c r="AJ189" s="77"/>
      <c r="AK189" s="77"/>
      <c r="AL189" s="77"/>
      <c r="AM189" s="77"/>
      <c r="AN189" s="77"/>
      <c r="AO189" s="77"/>
      <c r="AP189" s="77"/>
      <c r="AQ189" s="77"/>
      <c r="AR189" s="77"/>
      <c r="AS189" s="77"/>
      <c r="AT189" s="77"/>
      <c r="AU189" s="77"/>
      <c r="AV189" s="80" t="str">
        <f>HYPERLINK("https://pbs.twimg.com/profile_images/1609890382300471297/1HGHH84K_normal.png")</f>
        <v>https://pbs.twimg.com/profile_images/1609890382300471297/1HGHH84K_normal.png</v>
      </c>
      <c r="AW189" s="82" t="s">
        <v>4246</v>
      </c>
      <c r="AX189" s="82" t="s">
        <v>4246</v>
      </c>
      <c r="AY189" s="77"/>
      <c r="AZ189" s="82" t="s">
        <v>5075</v>
      </c>
      <c r="BA189" s="82" t="s">
        <v>5075</v>
      </c>
      <c r="BB189" s="82" t="s">
        <v>5075</v>
      </c>
      <c r="BC189" s="82" t="s">
        <v>4246</v>
      </c>
      <c r="BD189" s="77">
        <v>536380588</v>
      </c>
      <c r="BE189" s="77"/>
      <c r="BF189" s="77"/>
      <c r="BG189" s="77"/>
      <c r="BH189" s="77"/>
      <c r="BI189" s="77"/>
    </row>
    <row r="190" spans="1:61" x14ac:dyDescent="0.25">
      <c r="A190" s="62" t="s">
        <v>290</v>
      </c>
      <c r="B190" s="62" t="s">
        <v>290</v>
      </c>
      <c r="C190" s="63"/>
      <c r="D190" s="64"/>
      <c r="E190" s="65"/>
      <c r="F190" s="66"/>
      <c r="G190" s="63"/>
      <c r="H190" s="67"/>
      <c r="I190" s="68"/>
      <c r="J190" s="68"/>
      <c r="K190" s="32"/>
      <c r="L190" s="75">
        <v>190</v>
      </c>
      <c r="M190" s="75"/>
      <c r="N190" s="70"/>
      <c r="O190" s="77" t="s">
        <v>179</v>
      </c>
      <c r="P190" s="79">
        <v>44936.653483796297</v>
      </c>
      <c r="Q190" s="77" t="s">
        <v>726</v>
      </c>
      <c r="R190" s="77">
        <v>0</v>
      </c>
      <c r="S190" s="77">
        <v>0</v>
      </c>
      <c r="T190" s="77">
        <v>0</v>
      </c>
      <c r="U190" s="77">
        <v>0</v>
      </c>
      <c r="V190" s="77">
        <v>3</v>
      </c>
      <c r="W190" s="82" t="s">
        <v>1580</v>
      </c>
      <c r="X190" s="80" t="str">
        <f>HYPERLINK("https://www.instagram.com/reel/CnPKx8cOGP1/?igshid=MDJmNzVkMjY=")</f>
        <v>https://www.instagram.com/reel/CnPKx8cOGP1/?igshid=MDJmNzVkMjY=</v>
      </c>
      <c r="Y190" s="77" t="s">
        <v>1974</v>
      </c>
      <c r="Z190" s="77"/>
      <c r="AA190" s="77"/>
      <c r="AB190" s="77"/>
      <c r="AC190" s="82" t="s">
        <v>2638</v>
      </c>
      <c r="AD190" s="77" t="s">
        <v>2670</v>
      </c>
      <c r="AE190" s="80" t="str">
        <f>HYPERLINK("https://twitter.com/irineubere/status/1612836919565582337")</f>
        <v>https://twitter.com/irineubere/status/1612836919565582337</v>
      </c>
      <c r="AF190" s="79">
        <v>44936.653483796297</v>
      </c>
      <c r="AG190" s="85">
        <v>44936</v>
      </c>
      <c r="AH190" s="82" t="s">
        <v>2835</v>
      </c>
      <c r="AI190" s="77" t="b">
        <v>0</v>
      </c>
      <c r="AJ190" s="77"/>
      <c r="AK190" s="77"/>
      <c r="AL190" s="77"/>
      <c r="AM190" s="77"/>
      <c r="AN190" s="77"/>
      <c r="AO190" s="77"/>
      <c r="AP190" s="77"/>
      <c r="AQ190" s="77"/>
      <c r="AR190" s="77"/>
      <c r="AS190" s="77"/>
      <c r="AT190" s="77"/>
      <c r="AU190" s="77"/>
      <c r="AV190" s="80" t="str">
        <f>HYPERLINK("https://pbs.twimg.com/profile_images/1609890382300471297/1HGHH84K_normal.png")</f>
        <v>https://pbs.twimg.com/profile_images/1609890382300471297/1HGHH84K_normal.png</v>
      </c>
      <c r="AW190" s="82" t="s">
        <v>4247</v>
      </c>
      <c r="AX190" s="82" t="s">
        <v>4247</v>
      </c>
      <c r="AY190" s="77"/>
      <c r="AZ190" s="82" t="s">
        <v>5075</v>
      </c>
      <c r="BA190" s="82" t="s">
        <v>5075</v>
      </c>
      <c r="BB190" s="82" t="s">
        <v>5075</v>
      </c>
      <c r="BC190" s="82" t="s">
        <v>4247</v>
      </c>
      <c r="BD190" s="77">
        <v>536380588</v>
      </c>
      <c r="BE190" s="77"/>
      <c r="BF190" s="77"/>
      <c r="BG190" s="77"/>
      <c r="BH190" s="77"/>
      <c r="BI190" s="77"/>
    </row>
    <row r="191" spans="1:61" x14ac:dyDescent="0.25">
      <c r="A191" s="62" t="s">
        <v>290</v>
      </c>
      <c r="B191" s="62" t="s">
        <v>290</v>
      </c>
      <c r="C191" s="63"/>
      <c r="D191" s="64"/>
      <c r="E191" s="65"/>
      <c r="F191" s="66"/>
      <c r="G191" s="63"/>
      <c r="H191" s="67"/>
      <c r="I191" s="68"/>
      <c r="J191" s="68"/>
      <c r="K191" s="32"/>
      <c r="L191" s="75">
        <v>191</v>
      </c>
      <c r="M191" s="75"/>
      <c r="N191" s="70"/>
      <c r="O191" s="77" t="s">
        <v>179</v>
      </c>
      <c r="P191" s="79">
        <v>44999.65353009259</v>
      </c>
      <c r="Q191" s="77" t="s">
        <v>727</v>
      </c>
      <c r="R191" s="77">
        <v>0</v>
      </c>
      <c r="S191" s="77">
        <v>0</v>
      </c>
      <c r="T191" s="77">
        <v>0</v>
      </c>
      <c r="U191" s="77">
        <v>0</v>
      </c>
      <c r="V191" s="77">
        <v>3</v>
      </c>
      <c r="W191" s="82" t="s">
        <v>1581</v>
      </c>
      <c r="X191" s="80" t="str">
        <f>HYPERLINK("https://www.instagram.com/reel/CpxZ3O_vt0D/?igshid=MDJmNzVkMjY=")</f>
        <v>https://www.instagram.com/reel/CpxZ3O_vt0D/?igshid=MDJmNzVkMjY=</v>
      </c>
      <c r="Y191" s="77" t="s">
        <v>1974</v>
      </c>
      <c r="Z191" s="77"/>
      <c r="AA191" s="77"/>
      <c r="AB191" s="77"/>
      <c r="AC191" s="82" t="s">
        <v>2638</v>
      </c>
      <c r="AD191" s="77" t="s">
        <v>2670</v>
      </c>
      <c r="AE191" s="80" t="str">
        <f>HYPERLINK("https://twitter.com/irineubere/status/1635667371145715712")</f>
        <v>https://twitter.com/irineubere/status/1635667371145715712</v>
      </c>
      <c r="AF191" s="79">
        <v>44999.65353009259</v>
      </c>
      <c r="AG191" s="85">
        <v>44999</v>
      </c>
      <c r="AH191" s="82" t="s">
        <v>2836</v>
      </c>
      <c r="AI191" s="77" t="b">
        <v>0</v>
      </c>
      <c r="AJ191" s="77"/>
      <c r="AK191" s="77"/>
      <c r="AL191" s="77"/>
      <c r="AM191" s="77"/>
      <c r="AN191" s="77"/>
      <c r="AO191" s="77"/>
      <c r="AP191" s="77"/>
      <c r="AQ191" s="77"/>
      <c r="AR191" s="77"/>
      <c r="AS191" s="77"/>
      <c r="AT191" s="77"/>
      <c r="AU191" s="77"/>
      <c r="AV191" s="80" t="str">
        <f>HYPERLINK("https://pbs.twimg.com/profile_images/1609890382300471297/1HGHH84K_normal.png")</f>
        <v>https://pbs.twimg.com/profile_images/1609890382300471297/1HGHH84K_normal.png</v>
      </c>
      <c r="AW191" s="82" t="s">
        <v>4248</v>
      </c>
      <c r="AX191" s="82" t="s">
        <v>4248</v>
      </c>
      <c r="AY191" s="77"/>
      <c r="AZ191" s="82" t="s">
        <v>5075</v>
      </c>
      <c r="BA191" s="82" t="s">
        <v>5075</v>
      </c>
      <c r="BB191" s="82" t="s">
        <v>5075</v>
      </c>
      <c r="BC191" s="82" t="s">
        <v>4248</v>
      </c>
      <c r="BD191" s="77">
        <v>536380588</v>
      </c>
      <c r="BE191" s="77"/>
      <c r="BF191" s="77"/>
      <c r="BG191" s="77"/>
      <c r="BH191" s="77"/>
      <c r="BI191" s="77"/>
    </row>
    <row r="192" spans="1:61" x14ac:dyDescent="0.25">
      <c r="A192" s="62" t="s">
        <v>290</v>
      </c>
      <c r="B192" s="62" t="s">
        <v>290</v>
      </c>
      <c r="C192" s="63"/>
      <c r="D192" s="64"/>
      <c r="E192" s="65"/>
      <c r="F192" s="66"/>
      <c r="G192" s="63"/>
      <c r="H192" s="67"/>
      <c r="I192" s="68"/>
      <c r="J192" s="68"/>
      <c r="K192" s="32"/>
      <c r="L192" s="75">
        <v>192</v>
      </c>
      <c r="M192" s="75"/>
      <c r="N192" s="70"/>
      <c r="O192" s="77" t="s">
        <v>179</v>
      </c>
      <c r="P192" s="79">
        <v>45064.643043981479</v>
      </c>
      <c r="Q192" s="77" t="s">
        <v>728</v>
      </c>
      <c r="R192" s="77">
        <v>0</v>
      </c>
      <c r="S192" s="77">
        <v>0</v>
      </c>
      <c r="T192" s="77">
        <v>0</v>
      </c>
      <c r="U192" s="77">
        <v>0</v>
      </c>
      <c r="V192" s="77">
        <v>3</v>
      </c>
      <c r="W192" s="82" t="s">
        <v>1582</v>
      </c>
      <c r="X192" s="80" t="str">
        <f>HYPERLINK("https://www.instagram.com/reel/CsYvfqevYFY/?igshid=MTc4MmM1YmI2Ng==")</f>
        <v>https://www.instagram.com/reel/CsYvfqevYFY/?igshid=MTc4MmM1YmI2Ng==</v>
      </c>
      <c r="Y192" s="77" t="s">
        <v>1974</v>
      </c>
      <c r="Z192" s="77"/>
      <c r="AA192" s="77"/>
      <c r="AB192" s="77"/>
      <c r="AC192" s="82" t="s">
        <v>2638</v>
      </c>
      <c r="AD192" s="77" t="s">
        <v>2670</v>
      </c>
      <c r="AE192" s="80" t="str">
        <f>HYPERLINK("https://twitter.com/irineubere/status/1659218781686710273")</f>
        <v>https://twitter.com/irineubere/status/1659218781686710273</v>
      </c>
      <c r="AF192" s="79">
        <v>45064.643043981479</v>
      </c>
      <c r="AG192" s="85">
        <v>45064</v>
      </c>
      <c r="AH192" s="82" t="s">
        <v>2837</v>
      </c>
      <c r="AI192" s="77" t="b">
        <v>0</v>
      </c>
      <c r="AJ192" s="77"/>
      <c r="AK192" s="77"/>
      <c r="AL192" s="77"/>
      <c r="AM192" s="77"/>
      <c r="AN192" s="77"/>
      <c r="AO192" s="77"/>
      <c r="AP192" s="77"/>
      <c r="AQ192" s="77"/>
      <c r="AR192" s="77"/>
      <c r="AS192" s="77"/>
      <c r="AT192" s="77"/>
      <c r="AU192" s="77"/>
      <c r="AV192" s="80" t="str">
        <f>HYPERLINK("https://pbs.twimg.com/profile_images/1609890382300471297/1HGHH84K_normal.png")</f>
        <v>https://pbs.twimg.com/profile_images/1609890382300471297/1HGHH84K_normal.png</v>
      </c>
      <c r="AW192" s="82" t="s">
        <v>4249</v>
      </c>
      <c r="AX192" s="82" t="s">
        <v>4249</v>
      </c>
      <c r="AY192" s="77"/>
      <c r="AZ192" s="82" t="s">
        <v>5075</v>
      </c>
      <c r="BA192" s="82" t="s">
        <v>5075</v>
      </c>
      <c r="BB192" s="82" t="s">
        <v>5075</v>
      </c>
      <c r="BC192" s="82" t="s">
        <v>4249</v>
      </c>
      <c r="BD192" s="77">
        <v>536380588</v>
      </c>
      <c r="BE192" s="77"/>
      <c r="BF192" s="77"/>
      <c r="BG192" s="77"/>
      <c r="BH192" s="77"/>
      <c r="BI192" s="77"/>
    </row>
    <row r="193" spans="1:61" x14ac:dyDescent="0.25">
      <c r="A193" s="62" t="s">
        <v>290</v>
      </c>
      <c r="B193" s="62" t="s">
        <v>290</v>
      </c>
      <c r="C193" s="63"/>
      <c r="D193" s="64"/>
      <c r="E193" s="65"/>
      <c r="F193" s="66"/>
      <c r="G193" s="63"/>
      <c r="H193" s="67"/>
      <c r="I193" s="68"/>
      <c r="J193" s="68"/>
      <c r="K193" s="32"/>
      <c r="L193" s="75">
        <v>193</v>
      </c>
      <c r="M193" s="75"/>
      <c r="N193" s="70"/>
      <c r="O193" s="77" t="s">
        <v>179</v>
      </c>
      <c r="P193" s="79">
        <v>45041.583993055552</v>
      </c>
      <c r="Q193" s="77" t="s">
        <v>729</v>
      </c>
      <c r="R193" s="77">
        <v>0</v>
      </c>
      <c r="S193" s="77">
        <v>0</v>
      </c>
      <c r="T193" s="77">
        <v>0</v>
      </c>
      <c r="U193" s="77">
        <v>0</v>
      </c>
      <c r="V193" s="77">
        <v>3</v>
      </c>
      <c r="W193" s="82" t="s">
        <v>1583</v>
      </c>
      <c r="X193" s="80" t="str">
        <f>HYPERLINK("https://www.instagram.com/reel/Crdh-hUg1A-/?igshid=MDJmNzVkMjY=")</f>
        <v>https://www.instagram.com/reel/Crdh-hUg1A-/?igshid=MDJmNzVkMjY=</v>
      </c>
      <c r="Y193" s="77" t="s">
        <v>1974</v>
      </c>
      <c r="Z193" s="77"/>
      <c r="AA193" s="77"/>
      <c r="AB193" s="77"/>
      <c r="AC193" s="82" t="s">
        <v>2638</v>
      </c>
      <c r="AD193" s="77" t="s">
        <v>2670</v>
      </c>
      <c r="AE193" s="80" t="str">
        <f>HYPERLINK("https://twitter.com/irineubere/status/1650862463213260803")</f>
        <v>https://twitter.com/irineubere/status/1650862463213260803</v>
      </c>
      <c r="AF193" s="79">
        <v>45041.583993055552</v>
      </c>
      <c r="AG193" s="85">
        <v>45041</v>
      </c>
      <c r="AH193" s="82" t="s">
        <v>2838</v>
      </c>
      <c r="AI193" s="77" t="b">
        <v>0</v>
      </c>
      <c r="AJ193" s="77"/>
      <c r="AK193" s="77"/>
      <c r="AL193" s="77"/>
      <c r="AM193" s="77"/>
      <c r="AN193" s="77"/>
      <c r="AO193" s="77"/>
      <c r="AP193" s="77"/>
      <c r="AQ193" s="77"/>
      <c r="AR193" s="77"/>
      <c r="AS193" s="77"/>
      <c r="AT193" s="77"/>
      <c r="AU193" s="77"/>
      <c r="AV193" s="80" t="str">
        <f>HYPERLINK("https://pbs.twimg.com/profile_images/1609890382300471297/1HGHH84K_normal.png")</f>
        <v>https://pbs.twimg.com/profile_images/1609890382300471297/1HGHH84K_normal.png</v>
      </c>
      <c r="AW193" s="82" t="s">
        <v>4250</v>
      </c>
      <c r="AX193" s="82" t="s">
        <v>4250</v>
      </c>
      <c r="AY193" s="77"/>
      <c r="AZ193" s="82" t="s">
        <v>5075</v>
      </c>
      <c r="BA193" s="82" t="s">
        <v>5075</v>
      </c>
      <c r="BB193" s="82" t="s">
        <v>5075</v>
      </c>
      <c r="BC193" s="82" t="s">
        <v>4250</v>
      </c>
      <c r="BD193" s="77">
        <v>536380588</v>
      </c>
      <c r="BE193" s="77"/>
      <c r="BF193" s="77"/>
      <c r="BG193" s="77"/>
      <c r="BH193" s="77"/>
      <c r="BI193" s="77"/>
    </row>
    <row r="194" spans="1:61" x14ac:dyDescent="0.25">
      <c r="A194" s="62" t="s">
        <v>290</v>
      </c>
      <c r="B194" s="62" t="s">
        <v>290</v>
      </c>
      <c r="C194" s="63"/>
      <c r="D194" s="64"/>
      <c r="E194" s="65"/>
      <c r="F194" s="66"/>
      <c r="G194" s="63"/>
      <c r="H194" s="67"/>
      <c r="I194" s="68"/>
      <c r="J194" s="68"/>
      <c r="K194" s="32"/>
      <c r="L194" s="75">
        <v>194</v>
      </c>
      <c r="M194" s="75"/>
      <c r="N194" s="70"/>
      <c r="O194" s="77" t="s">
        <v>179</v>
      </c>
      <c r="P194" s="79">
        <v>45062.634837962964</v>
      </c>
      <c r="Q194" s="77" t="s">
        <v>730</v>
      </c>
      <c r="R194" s="77">
        <v>0</v>
      </c>
      <c r="S194" s="77">
        <v>0</v>
      </c>
      <c r="T194" s="77">
        <v>0</v>
      </c>
      <c r="U194" s="77">
        <v>0</v>
      </c>
      <c r="V194" s="77">
        <v>10</v>
      </c>
      <c r="W194" s="82" t="s">
        <v>1584</v>
      </c>
      <c r="X194" s="80" t="str">
        <f>HYPERLINK("https://www.instagram.com/reel/CsTmloqs9As/?igshid=MTc4MmM1YmI2Ng==")</f>
        <v>https://www.instagram.com/reel/CsTmloqs9As/?igshid=MTc4MmM1YmI2Ng==</v>
      </c>
      <c r="Y194" s="77" t="s">
        <v>1974</v>
      </c>
      <c r="Z194" s="77"/>
      <c r="AA194" s="77"/>
      <c r="AB194" s="77"/>
      <c r="AC194" s="82" t="s">
        <v>2638</v>
      </c>
      <c r="AD194" s="77" t="s">
        <v>2670</v>
      </c>
      <c r="AE194" s="80" t="str">
        <f>HYPERLINK("https://twitter.com/irineubere/status/1658491034215628801")</f>
        <v>https://twitter.com/irineubere/status/1658491034215628801</v>
      </c>
      <c r="AF194" s="79">
        <v>45062.634837962964</v>
      </c>
      <c r="AG194" s="85">
        <v>45062</v>
      </c>
      <c r="AH194" s="82" t="s">
        <v>2839</v>
      </c>
      <c r="AI194" s="77" t="b">
        <v>0</v>
      </c>
      <c r="AJ194" s="77"/>
      <c r="AK194" s="77"/>
      <c r="AL194" s="77"/>
      <c r="AM194" s="77"/>
      <c r="AN194" s="77"/>
      <c r="AO194" s="77"/>
      <c r="AP194" s="77"/>
      <c r="AQ194" s="77"/>
      <c r="AR194" s="77"/>
      <c r="AS194" s="77"/>
      <c r="AT194" s="77"/>
      <c r="AU194" s="77"/>
      <c r="AV194" s="80" t="str">
        <f>HYPERLINK("https://pbs.twimg.com/profile_images/1609890382300471297/1HGHH84K_normal.png")</f>
        <v>https://pbs.twimg.com/profile_images/1609890382300471297/1HGHH84K_normal.png</v>
      </c>
      <c r="AW194" s="82" t="s">
        <v>4251</v>
      </c>
      <c r="AX194" s="82" t="s">
        <v>4251</v>
      </c>
      <c r="AY194" s="77"/>
      <c r="AZ194" s="82" t="s">
        <v>5075</v>
      </c>
      <c r="BA194" s="82" t="s">
        <v>5075</v>
      </c>
      <c r="BB194" s="82" t="s">
        <v>5075</v>
      </c>
      <c r="BC194" s="82" t="s">
        <v>4251</v>
      </c>
      <c r="BD194" s="77">
        <v>536380588</v>
      </c>
      <c r="BE194" s="77"/>
      <c r="BF194" s="77"/>
      <c r="BG194" s="77"/>
      <c r="BH194" s="77"/>
      <c r="BI194" s="77"/>
    </row>
    <row r="195" spans="1:61" x14ac:dyDescent="0.25">
      <c r="A195" s="62" t="s">
        <v>291</v>
      </c>
      <c r="B195" s="62" t="s">
        <v>291</v>
      </c>
      <c r="C195" s="63"/>
      <c r="D195" s="64"/>
      <c r="E195" s="65"/>
      <c r="F195" s="66"/>
      <c r="G195" s="63"/>
      <c r="H195" s="67"/>
      <c r="I195" s="68"/>
      <c r="J195" s="68"/>
      <c r="K195" s="32"/>
      <c r="L195" s="75">
        <v>195</v>
      </c>
      <c r="M195" s="75"/>
      <c r="N195" s="70"/>
      <c r="O195" s="77" t="s">
        <v>179</v>
      </c>
      <c r="P195" s="79">
        <v>45051.542534722219</v>
      </c>
      <c r="Q195" s="77" t="s">
        <v>731</v>
      </c>
      <c r="R195" s="77">
        <v>0</v>
      </c>
      <c r="S195" s="77">
        <v>0</v>
      </c>
      <c r="T195" s="77">
        <v>0</v>
      </c>
      <c r="U195" s="77">
        <v>0</v>
      </c>
      <c r="V195" s="77">
        <v>6</v>
      </c>
      <c r="W195" s="82" t="s">
        <v>1585</v>
      </c>
      <c r="X195" s="80" t="str">
        <f>HYPERLINK("http://www.lifecredit.com.br")</f>
        <v>http://www.lifecredit.com.br</v>
      </c>
      <c r="Y195" s="77" t="s">
        <v>1978</v>
      </c>
      <c r="Z195" s="77"/>
      <c r="AA195" s="77" t="s">
        <v>2132</v>
      </c>
      <c r="AB195" s="77" t="s">
        <v>2632</v>
      </c>
      <c r="AC195" s="82" t="s">
        <v>2650</v>
      </c>
      <c r="AD195" s="77" t="s">
        <v>2670</v>
      </c>
      <c r="AE195" s="80" t="str">
        <f>HYPERLINK("https://twitter.com/lifecreditbr/status/1654471317167415301")</f>
        <v>https://twitter.com/lifecreditbr/status/1654471317167415301</v>
      </c>
      <c r="AF195" s="79">
        <v>45051.542534722219</v>
      </c>
      <c r="AG195" s="85">
        <v>45051</v>
      </c>
      <c r="AH195" s="82" t="s">
        <v>2840</v>
      </c>
      <c r="AI195" s="77" t="b">
        <v>0</v>
      </c>
      <c r="AJ195" s="77"/>
      <c r="AK195" s="77"/>
      <c r="AL195" s="77"/>
      <c r="AM195" s="77"/>
      <c r="AN195" s="77"/>
      <c r="AO195" s="77"/>
      <c r="AP195" s="77"/>
      <c r="AQ195" s="77" t="s">
        <v>3561</v>
      </c>
      <c r="AR195" s="77"/>
      <c r="AS195" s="77"/>
      <c r="AT195" s="77"/>
      <c r="AU195" s="77"/>
      <c r="AV195" s="80" t="str">
        <f>HYPERLINK("https://pbs.twimg.com/media/FvXc45eX0AMhOn0.jpg")</f>
        <v>https://pbs.twimg.com/media/FvXc45eX0AMhOn0.jpg</v>
      </c>
      <c r="AW195" s="82" t="s">
        <v>4252</v>
      </c>
      <c r="AX195" s="82" t="s">
        <v>4252</v>
      </c>
      <c r="AY195" s="77"/>
      <c r="AZ195" s="82" t="s">
        <v>5075</v>
      </c>
      <c r="BA195" s="82" t="s">
        <v>5075</v>
      </c>
      <c r="BB195" s="82" t="s">
        <v>5075</v>
      </c>
      <c r="BC195" s="82" t="s">
        <v>4252</v>
      </c>
      <c r="BD195" s="82" t="s">
        <v>5159</v>
      </c>
      <c r="BE195" s="77"/>
      <c r="BF195" s="77"/>
      <c r="BG195" s="77"/>
      <c r="BH195" s="77"/>
      <c r="BI195" s="77"/>
    </row>
    <row r="196" spans="1:61" x14ac:dyDescent="0.25">
      <c r="A196" s="62" t="s">
        <v>292</v>
      </c>
      <c r="B196" s="62" t="s">
        <v>292</v>
      </c>
      <c r="C196" s="63"/>
      <c r="D196" s="64"/>
      <c r="E196" s="65"/>
      <c r="F196" s="66"/>
      <c r="G196" s="63"/>
      <c r="H196" s="67"/>
      <c r="I196" s="68"/>
      <c r="J196" s="68"/>
      <c r="K196" s="32"/>
      <c r="L196" s="75">
        <v>196</v>
      </c>
      <c r="M196" s="75"/>
      <c r="N196" s="70"/>
      <c r="O196" s="77" t="s">
        <v>179</v>
      </c>
      <c r="P196" s="79">
        <v>45173.961828703701</v>
      </c>
      <c r="Q196" s="77" t="s">
        <v>732</v>
      </c>
      <c r="R196" s="77">
        <v>0</v>
      </c>
      <c r="S196" s="77">
        <v>0</v>
      </c>
      <c r="T196" s="77">
        <v>0</v>
      </c>
      <c r="U196" s="77">
        <v>0</v>
      </c>
      <c r="V196" s="77">
        <v>89</v>
      </c>
      <c r="W196" s="82" t="s">
        <v>1586</v>
      </c>
      <c r="X196" s="80" t="str">
        <f>HYPERLINK("https://youtube.com/@TVMadeHits?si=pit3Sc78ST98sF0f")</f>
        <v>https://youtube.com/@TVMadeHits?si=pit3Sc78ST98sF0f</v>
      </c>
      <c r="Y196" s="77" t="s">
        <v>1982</v>
      </c>
      <c r="Z196" s="77"/>
      <c r="AA196" s="77" t="s">
        <v>2133</v>
      </c>
      <c r="AB196" s="77" t="s">
        <v>2635</v>
      </c>
      <c r="AC196" s="82" t="s">
        <v>2638</v>
      </c>
      <c r="AD196" s="77" t="s">
        <v>2670</v>
      </c>
      <c r="AE196" s="80" t="str">
        <f>HYPERLINK("https://twitter.com/made_hits/status/1698834585683890570")</f>
        <v>https://twitter.com/made_hits/status/1698834585683890570</v>
      </c>
      <c r="AF196" s="79">
        <v>45173.961828703701</v>
      </c>
      <c r="AG196" s="85">
        <v>45173</v>
      </c>
      <c r="AH196" s="82" t="s">
        <v>2841</v>
      </c>
      <c r="AI196" s="77" t="b">
        <v>0</v>
      </c>
      <c r="AJ196" s="77" t="s">
        <v>3403</v>
      </c>
      <c r="AK196" s="77" t="s">
        <v>3410</v>
      </c>
      <c r="AL196" s="77" t="s">
        <v>3411</v>
      </c>
      <c r="AM196" s="77" t="s">
        <v>3415</v>
      </c>
      <c r="AN196" s="77" t="s">
        <v>3425</v>
      </c>
      <c r="AO196" s="77" t="s">
        <v>3435</v>
      </c>
      <c r="AP196" s="77" t="s">
        <v>3442</v>
      </c>
      <c r="AQ196" s="77" t="s">
        <v>3562</v>
      </c>
      <c r="AR196" s="77"/>
      <c r="AS196" s="77"/>
      <c r="AT196" s="77"/>
      <c r="AU196" s="77"/>
      <c r="AV196" s="80" t="str">
        <f>HYPERLINK("https://pbs.twimg.com/media/F5N5CtpWMAAJhOu.jpg")</f>
        <v>https://pbs.twimg.com/media/F5N5CtpWMAAJhOu.jpg</v>
      </c>
      <c r="AW196" s="82" t="s">
        <v>4253</v>
      </c>
      <c r="AX196" s="82" t="s">
        <v>4253</v>
      </c>
      <c r="AY196" s="77"/>
      <c r="AZ196" s="82" t="s">
        <v>5075</v>
      </c>
      <c r="BA196" s="82" t="s">
        <v>5075</v>
      </c>
      <c r="BB196" s="82" t="s">
        <v>5075</v>
      </c>
      <c r="BC196" s="82" t="s">
        <v>4253</v>
      </c>
      <c r="BD196" s="82" t="s">
        <v>5160</v>
      </c>
      <c r="BE196" s="77"/>
      <c r="BF196" s="77"/>
      <c r="BG196" s="77"/>
      <c r="BH196" s="77"/>
      <c r="BI196" s="77"/>
    </row>
    <row r="197" spans="1:61" x14ac:dyDescent="0.25">
      <c r="A197" s="62" t="s">
        <v>292</v>
      </c>
      <c r="B197" s="62" t="s">
        <v>292</v>
      </c>
      <c r="C197" s="63"/>
      <c r="D197" s="64"/>
      <c r="E197" s="65"/>
      <c r="F197" s="66"/>
      <c r="G197" s="63"/>
      <c r="H197" s="67"/>
      <c r="I197" s="68"/>
      <c r="J197" s="68"/>
      <c r="K197" s="32"/>
      <c r="L197" s="75">
        <v>197</v>
      </c>
      <c r="M197" s="75"/>
      <c r="N197" s="70"/>
      <c r="O197" s="77" t="s">
        <v>179</v>
      </c>
      <c r="P197" s="79">
        <v>45184.499548611115</v>
      </c>
      <c r="Q197" s="77" t="s">
        <v>733</v>
      </c>
      <c r="R197" s="77">
        <v>0</v>
      </c>
      <c r="S197" s="77">
        <v>2</v>
      </c>
      <c r="T197" s="77">
        <v>0</v>
      </c>
      <c r="U197" s="77">
        <v>0</v>
      </c>
      <c r="V197" s="77">
        <v>178</v>
      </c>
      <c r="W197" s="82" t="s">
        <v>1587</v>
      </c>
      <c r="X197" s="77"/>
      <c r="Y197" s="77"/>
      <c r="Z197" s="77"/>
      <c r="AA197" s="77" t="s">
        <v>2134</v>
      </c>
      <c r="AB197" s="77" t="s">
        <v>2633</v>
      </c>
      <c r="AC197" s="82" t="s">
        <v>2638</v>
      </c>
      <c r="AD197" s="77" t="s">
        <v>2670</v>
      </c>
      <c r="AE197" s="80" t="str">
        <f>HYPERLINK("https://twitter.com/made_hits/status/1702653328096735717")</f>
        <v>https://twitter.com/made_hits/status/1702653328096735717</v>
      </c>
      <c r="AF197" s="79">
        <v>45184.499548611115</v>
      </c>
      <c r="AG197" s="85">
        <v>45184</v>
      </c>
      <c r="AH197" s="82" t="s">
        <v>2842</v>
      </c>
      <c r="AI197" s="77" t="b">
        <v>0</v>
      </c>
      <c r="AJ197" s="77"/>
      <c r="AK197" s="77"/>
      <c r="AL197" s="77"/>
      <c r="AM197" s="77"/>
      <c r="AN197" s="77"/>
      <c r="AO197" s="77"/>
      <c r="AP197" s="77"/>
      <c r="AQ197" s="77" t="s">
        <v>3563</v>
      </c>
      <c r="AR197" s="77">
        <v>44933</v>
      </c>
      <c r="AS197" s="77"/>
      <c r="AT197" s="77"/>
      <c r="AU197" s="77"/>
      <c r="AV197" s="80" t="str">
        <f>HYPERLINK("https://pbs.twimg.com/ext_tw_video_thumb/1702653239001325569/pu/img/KdTvqIEp3DwXhOX6.jpg")</f>
        <v>https://pbs.twimg.com/ext_tw_video_thumb/1702653239001325569/pu/img/KdTvqIEp3DwXhOX6.jpg</v>
      </c>
      <c r="AW197" s="82" t="s">
        <v>4254</v>
      </c>
      <c r="AX197" s="82" t="s">
        <v>4254</v>
      </c>
      <c r="AY197" s="77"/>
      <c r="AZ197" s="82" t="s">
        <v>5075</v>
      </c>
      <c r="BA197" s="82" t="s">
        <v>5075</v>
      </c>
      <c r="BB197" s="82" t="s">
        <v>5075</v>
      </c>
      <c r="BC197" s="82" t="s">
        <v>4254</v>
      </c>
      <c r="BD197" s="82" t="s">
        <v>5160</v>
      </c>
      <c r="BE197" s="77"/>
      <c r="BF197" s="77"/>
      <c r="BG197" s="77"/>
      <c r="BH197" s="77"/>
      <c r="BI197" s="77"/>
    </row>
    <row r="198" spans="1:61" x14ac:dyDescent="0.25">
      <c r="A198" s="62" t="s">
        <v>292</v>
      </c>
      <c r="B198" s="62" t="s">
        <v>292</v>
      </c>
      <c r="C198" s="63"/>
      <c r="D198" s="64"/>
      <c r="E198" s="65"/>
      <c r="F198" s="66"/>
      <c r="G198" s="63"/>
      <c r="H198" s="67"/>
      <c r="I198" s="68"/>
      <c r="J198" s="68"/>
      <c r="K198" s="32"/>
      <c r="L198" s="75">
        <v>198</v>
      </c>
      <c r="M198" s="75"/>
      <c r="N198" s="70"/>
      <c r="O198" s="77" t="s">
        <v>179</v>
      </c>
      <c r="P198" s="79">
        <v>45187.502430555556</v>
      </c>
      <c r="Q198" s="77" t="s">
        <v>734</v>
      </c>
      <c r="R198" s="77">
        <v>0</v>
      </c>
      <c r="S198" s="77">
        <v>0</v>
      </c>
      <c r="T198" s="77">
        <v>0</v>
      </c>
      <c r="U198" s="77">
        <v>0</v>
      </c>
      <c r="V198" s="77">
        <v>17</v>
      </c>
      <c r="W198" s="82" t="s">
        <v>1588</v>
      </c>
      <c r="X198" s="77"/>
      <c r="Y198" s="77"/>
      <c r="Z198" s="77"/>
      <c r="AA198" s="77" t="s">
        <v>2135</v>
      </c>
      <c r="AB198" s="77" t="s">
        <v>2633</v>
      </c>
      <c r="AC198" s="82" t="s">
        <v>2638</v>
      </c>
      <c r="AD198" s="77" t="s">
        <v>2674</v>
      </c>
      <c r="AE198" s="80" t="str">
        <f>HYPERLINK("https://twitter.com/made_hits/status/1703741536167436510")</f>
        <v>https://twitter.com/made_hits/status/1703741536167436510</v>
      </c>
      <c r="AF198" s="79">
        <v>45187.502430555556</v>
      </c>
      <c r="AG198" s="85">
        <v>45187</v>
      </c>
      <c r="AH198" s="82" t="s">
        <v>2843</v>
      </c>
      <c r="AI198" s="77" t="b">
        <v>0</v>
      </c>
      <c r="AJ198" s="77"/>
      <c r="AK198" s="77"/>
      <c r="AL198" s="77"/>
      <c r="AM198" s="77"/>
      <c r="AN198" s="77"/>
      <c r="AO198" s="77"/>
      <c r="AP198" s="77"/>
      <c r="AQ198" s="77" t="s">
        <v>3564</v>
      </c>
      <c r="AR198" s="77">
        <v>36400</v>
      </c>
      <c r="AS198" s="77"/>
      <c r="AT198" s="77"/>
      <c r="AU198" s="77"/>
      <c r="AV198" s="80" t="str">
        <f>HYPERLINK("https://pbs.twimg.com/ext_tw_video_thumb/1703741475702378496/pu/img/VKiAT-mAajE0uA79.jpg")</f>
        <v>https://pbs.twimg.com/ext_tw_video_thumb/1703741475702378496/pu/img/VKiAT-mAajE0uA79.jpg</v>
      </c>
      <c r="AW198" s="82" t="s">
        <v>4255</v>
      </c>
      <c r="AX198" s="82" t="s">
        <v>4255</v>
      </c>
      <c r="AY198" s="77"/>
      <c r="AZ198" s="82" t="s">
        <v>5075</v>
      </c>
      <c r="BA198" s="82" t="s">
        <v>5075</v>
      </c>
      <c r="BB198" s="82" t="s">
        <v>5075</v>
      </c>
      <c r="BC198" s="82" t="s">
        <v>4255</v>
      </c>
      <c r="BD198" s="82" t="s">
        <v>5160</v>
      </c>
      <c r="BE198" s="77"/>
      <c r="BF198" s="77"/>
      <c r="BG198" s="77"/>
      <c r="BH198" s="77"/>
      <c r="BI198" s="77"/>
    </row>
    <row r="199" spans="1:61" x14ac:dyDescent="0.25">
      <c r="A199" s="62" t="s">
        <v>292</v>
      </c>
      <c r="B199" s="62" t="s">
        <v>292</v>
      </c>
      <c r="C199" s="63"/>
      <c r="D199" s="64"/>
      <c r="E199" s="65"/>
      <c r="F199" s="66"/>
      <c r="G199" s="63"/>
      <c r="H199" s="67"/>
      <c r="I199" s="68"/>
      <c r="J199" s="68"/>
      <c r="K199" s="32"/>
      <c r="L199" s="75">
        <v>199</v>
      </c>
      <c r="M199" s="75"/>
      <c r="N199" s="70"/>
      <c r="O199" s="77" t="s">
        <v>179</v>
      </c>
      <c r="P199" s="79">
        <v>45182.957083333335</v>
      </c>
      <c r="Q199" s="77" t="s">
        <v>735</v>
      </c>
      <c r="R199" s="77">
        <v>0</v>
      </c>
      <c r="S199" s="77">
        <v>1</v>
      </c>
      <c r="T199" s="77">
        <v>0</v>
      </c>
      <c r="U199" s="77">
        <v>0</v>
      </c>
      <c r="V199" s="77">
        <v>285</v>
      </c>
      <c r="W199" s="82" t="s">
        <v>1589</v>
      </c>
      <c r="X199" s="77"/>
      <c r="Y199" s="77"/>
      <c r="Z199" s="77"/>
      <c r="AA199" s="77" t="s">
        <v>2136</v>
      </c>
      <c r="AB199" s="77" t="s">
        <v>2633</v>
      </c>
      <c r="AC199" s="82" t="s">
        <v>2638</v>
      </c>
      <c r="AD199" s="77" t="s">
        <v>2670</v>
      </c>
      <c r="AE199" s="80" t="str">
        <f>HYPERLINK("https://twitter.com/made_hits/status/1702094356293812556")</f>
        <v>https://twitter.com/made_hits/status/1702094356293812556</v>
      </c>
      <c r="AF199" s="79">
        <v>45182.957083333335</v>
      </c>
      <c r="AG199" s="85">
        <v>45182</v>
      </c>
      <c r="AH199" s="82" t="s">
        <v>2844</v>
      </c>
      <c r="AI199" s="77" t="b">
        <v>0</v>
      </c>
      <c r="AJ199" s="77"/>
      <c r="AK199" s="77"/>
      <c r="AL199" s="77"/>
      <c r="AM199" s="77"/>
      <c r="AN199" s="77"/>
      <c r="AO199" s="77"/>
      <c r="AP199" s="77"/>
      <c r="AQ199" s="77" t="s">
        <v>3565</v>
      </c>
      <c r="AR199" s="77">
        <v>44958</v>
      </c>
      <c r="AS199" s="77"/>
      <c r="AT199" s="77"/>
      <c r="AU199" s="77"/>
      <c r="AV199" s="80" t="str">
        <f>HYPERLINK("https://pbs.twimg.com/ext_tw_video_thumb/1702094306733957120/pu/img/LlIwMQpWVmyMgd2S.jpg")</f>
        <v>https://pbs.twimg.com/ext_tw_video_thumb/1702094306733957120/pu/img/LlIwMQpWVmyMgd2S.jpg</v>
      </c>
      <c r="AW199" s="82" t="s">
        <v>4256</v>
      </c>
      <c r="AX199" s="82" t="s">
        <v>4256</v>
      </c>
      <c r="AY199" s="77"/>
      <c r="AZ199" s="82" t="s">
        <v>5075</v>
      </c>
      <c r="BA199" s="82" t="s">
        <v>5075</v>
      </c>
      <c r="BB199" s="82" t="s">
        <v>5075</v>
      </c>
      <c r="BC199" s="82" t="s">
        <v>4256</v>
      </c>
      <c r="BD199" s="82" t="s">
        <v>5160</v>
      </c>
      <c r="BE199" s="77"/>
      <c r="BF199" s="77"/>
      <c r="BG199" s="77"/>
      <c r="BH199" s="77"/>
      <c r="BI199" s="77"/>
    </row>
    <row r="200" spans="1:61" x14ac:dyDescent="0.25">
      <c r="A200" s="62" t="s">
        <v>292</v>
      </c>
      <c r="B200" s="62" t="s">
        <v>292</v>
      </c>
      <c r="C200" s="63"/>
      <c r="D200" s="64"/>
      <c r="E200" s="65"/>
      <c r="F200" s="66"/>
      <c r="G200" s="63"/>
      <c r="H200" s="67"/>
      <c r="I200" s="68"/>
      <c r="J200" s="68"/>
      <c r="K200" s="32"/>
      <c r="L200" s="75">
        <v>200</v>
      </c>
      <c r="M200" s="75"/>
      <c r="N200" s="70"/>
      <c r="O200" s="77" t="s">
        <v>179</v>
      </c>
      <c r="P200" s="79">
        <v>45176.633726851855</v>
      </c>
      <c r="Q200" s="77" t="s">
        <v>736</v>
      </c>
      <c r="R200" s="77">
        <v>0</v>
      </c>
      <c r="S200" s="77">
        <v>0</v>
      </c>
      <c r="T200" s="77">
        <v>0</v>
      </c>
      <c r="U200" s="77">
        <v>0</v>
      </c>
      <c r="V200" s="77">
        <v>13</v>
      </c>
      <c r="W200" s="82" t="s">
        <v>1590</v>
      </c>
      <c r="X200" s="77"/>
      <c r="Y200" s="77"/>
      <c r="Z200" s="77"/>
      <c r="AA200" s="77" t="s">
        <v>2137</v>
      </c>
      <c r="AB200" s="77" t="s">
        <v>2633</v>
      </c>
      <c r="AC200" s="82" t="s">
        <v>2638</v>
      </c>
      <c r="AD200" s="77" t="s">
        <v>2670</v>
      </c>
      <c r="AE200" s="80" t="str">
        <f>HYPERLINK("https://twitter.com/made_hits/status/1699802846827352281")</f>
        <v>https://twitter.com/made_hits/status/1699802846827352281</v>
      </c>
      <c r="AF200" s="79">
        <v>45176.633726851855</v>
      </c>
      <c r="AG200" s="85">
        <v>45176</v>
      </c>
      <c r="AH200" s="82" t="s">
        <v>2845</v>
      </c>
      <c r="AI200" s="77" t="b">
        <v>0</v>
      </c>
      <c r="AJ200" s="77"/>
      <c r="AK200" s="77"/>
      <c r="AL200" s="77"/>
      <c r="AM200" s="77"/>
      <c r="AN200" s="77"/>
      <c r="AO200" s="77"/>
      <c r="AP200" s="77"/>
      <c r="AQ200" s="77" t="s">
        <v>3566</v>
      </c>
      <c r="AR200" s="77">
        <v>42000</v>
      </c>
      <c r="AS200" s="77"/>
      <c r="AT200" s="77"/>
      <c r="AU200" s="77"/>
      <c r="AV200" s="80" t="str">
        <f>HYPERLINK("https://pbs.twimg.com/ext_tw_video_thumb/1699802772479045632/pu/img/bVrIFcWvI5jEMZxg.jpg")</f>
        <v>https://pbs.twimg.com/ext_tw_video_thumb/1699802772479045632/pu/img/bVrIFcWvI5jEMZxg.jpg</v>
      </c>
      <c r="AW200" s="82" t="s">
        <v>4257</v>
      </c>
      <c r="AX200" s="82" t="s">
        <v>4257</v>
      </c>
      <c r="AY200" s="77"/>
      <c r="AZ200" s="82" t="s">
        <v>5075</v>
      </c>
      <c r="BA200" s="82" t="s">
        <v>5075</v>
      </c>
      <c r="BB200" s="82" t="s">
        <v>5075</v>
      </c>
      <c r="BC200" s="82" t="s">
        <v>4257</v>
      </c>
      <c r="BD200" s="82" t="s">
        <v>5160</v>
      </c>
      <c r="BE200" s="77"/>
      <c r="BF200" s="77"/>
      <c r="BG200" s="77"/>
      <c r="BH200" s="77"/>
      <c r="BI200" s="77"/>
    </row>
    <row r="201" spans="1:61" x14ac:dyDescent="0.25">
      <c r="A201" s="62" t="s">
        <v>293</v>
      </c>
      <c r="B201" s="62" t="s">
        <v>293</v>
      </c>
      <c r="C201" s="63"/>
      <c r="D201" s="64"/>
      <c r="E201" s="65"/>
      <c r="F201" s="66"/>
      <c r="G201" s="63"/>
      <c r="H201" s="67"/>
      <c r="I201" s="68"/>
      <c r="J201" s="68"/>
      <c r="K201" s="32"/>
      <c r="L201" s="75">
        <v>201</v>
      </c>
      <c r="M201" s="75"/>
      <c r="N201" s="70"/>
      <c r="O201" s="77" t="s">
        <v>536</v>
      </c>
      <c r="P201" s="79">
        <v>45188.758912037039</v>
      </c>
      <c r="Q201" s="77" t="s">
        <v>737</v>
      </c>
      <c r="R201" s="77">
        <v>0</v>
      </c>
      <c r="S201" s="77">
        <v>0</v>
      </c>
      <c r="T201" s="77">
        <v>1</v>
      </c>
      <c r="U201" s="77">
        <v>0</v>
      </c>
      <c r="V201" s="77">
        <v>7</v>
      </c>
      <c r="W201" s="82" t="s">
        <v>1591</v>
      </c>
      <c r="X201" s="77"/>
      <c r="Y201" s="77"/>
      <c r="Z201" s="77"/>
      <c r="AA201" s="77"/>
      <c r="AB201" s="77"/>
      <c r="AC201" s="82" t="s">
        <v>2639</v>
      </c>
      <c r="AD201" s="77" t="s">
        <v>2670</v>
      </c>
      <c r="AE201" s="80" t="str">
        <f>HYPERLINK("https://twitter.com/livrosemresumo/status/1704196866982719733")</f>
        <v>https://twitter.com/livrosemresumo/status/1704196866982719733</v>
      </c>
      <c r="AF201" s="79">
        <v>45188.758912037039</v>
      </c>
      <c r="AG201" s="85">
        <v>45188</v>
      </c>
      <c r="AH201" s="82" t="s">
        <v>2846</v>
      </c>
      <c r="AI201" s="77"/>
      <c r="AJ201" s="77"/>
      <c r="AK201" s="77"/>
      <c r="AL201" s="77"/>
      <c r="AM201" s="77"/>
      <c r="AN201" s="77"/>
      <c r="AO201" s="77"/>
      <c r="AP201" s="77"/>
      <c r="AQ201" s="77"/>
      <c r="AR201" s="77"/>
      <c r="AS201" s="77"/>
      <c r="AT201" s="77"/>
      <c r="AU201" s="77"/>
      <c r="AV201" s="80" t="str">
        <f>HYPERLINK("https://pbs.twimg.com/profile_images/1691937102152265728/YIiJB_wu_normal.jpg")</f>
        <v>https://pbs.twimg.com/profile_images/1691937102152265728/YIiJB_wu_normal.jpg</v>
      </c>
      <c r="AW201" s="82" t="s">
        <v>4258</v>
      </c>
      <c r="AX201" s="82" t="s">
        <v>4965</v>
      </c>
      <c r="AY201" s="82" t="s">
        <v>5035</v>
      </c>
      <c r="AZ201" s="82" t="s">
        <v>5083</v>
      </c>
      <c r="BA201" s="82" t="s">
        <v>5075</v>
      </c>
      <c r="BB201" s="82" t="s">
        <v>5075</v>
      </c>
      <c r="BC201" s="82" t="s">
        <v>5083</v>
      </c>
      <c r="BD201" s="82" t="s">
        <v>5035</v>
      </c>
      <c r="BE201" s="77"/>
      <c r="BF201" s="77"/>
      <c r="BG201" s="77"/>
      <c r="BH201" s="77"/>
      <c r="BI201" s="77"/>
    </row>
    <row r="202" spans="1:61" x14ac:dyDescent="0.25">
      <c r="A202" s="62" t="s">
        <v>294</v>
      </c>
      <c r="B202" s="62" t="s">
        <v>294</v>
      </c>
      <c r="C202" s="63"/>
      <c r="D202" s="64"/>
      <c r="E202" s="65"/>
      <c r="F202" s="66"/>
      <c r="G202" s="63"/>
      <c r="H202" s="67"/>
      <c r="I202" s="68"/>
      <c r="J202" s="68"/>
      <c r="K202" s="32"/>
      <c r="L202" s="75">
        <v>202</v>
      </c>
      <c r="M202" s="75"/>
      <c r="N202" s="70"/>
      <c r="O202" s="77" t="s">
        <v>179</v>
      </c>
      <c r="P202" s="79">
        <v>44930.06658564815</v>
      </c>
      <c r="Q202" s="77" t="s">
        <v>738</v>
      </c>
      <c r="R202" s="77">
        <v>0</v>
      </c>
      <c r="S202" s="77">
        <v>0</v>
      </c>
      <c r="T202" s="77">
        <v>0</v>
      </c>
      <c r="U202" s="77">
        <v>0</v>
      </c>
      <c r="V202" s="77">
        <v>15</v>
      </c>
      <c r="W202" s="82" t="s">
        <v>1592</v>
      </c>
      <c r="X202" s="80" t="str">
        <f>HYPERLINK("https://www.instagram.com/p/Cm-Zr8GOA2I/?igshid=YTgzYjQ4ZTY=")</f>
        <v>https://www.instagram.com/p/Cm-Zr8GOA2I/?igshid=YTgzYjQ4ZTY=</v>
      </c>
      <c r="Y202" s="77" t="s">
        <v>1974</v>
      </c>
      <c r="Z202" s="77"/>
      <c r="AA202" s="77"/>
      <c r="AB202" s="77"/>
      <c r="AC202" s="82" t="s">
        <v>2644</v>
      </c>
      <c r="AD202" s="77" t="s">
        <v>2670</v>
      </c>
      <c r="AE202" s="80" t="str">
        <f>HYPERLINK("https://twitter.com/alanvalney/status/1610449906686373889")</f>
        <v>https://twitter.com/alanvalney/status/1610449906686373889</v>
      </c>
      <c r="AF202" s="79">
        <v>44930.06658564815</v>
      </c>
      <c r="AG202" s="85">
        <v>44930</v>
      </c>
      <c r="AH202" s="82" t="s">
        <v>2847</v>
      </c>
      <c r="AI202" s="77" t="b">
        <v>0</v>
      </c>
      <c r="AJ202" s="77"/>
      <c r="AK202" s="77"/>
      <c r="AL202" s="77"/>
      <c r="AM202" s="77"/>
      <c r="AN202" s="77"/>
      <c r="AO202" s="77"/>
      <c r="AP202" s="77"/>
      <c r="AQ202" s="77"/>
      <c r="AR202" s="77"/>
      <c r="AS202" s="77"/>
      <c r="AT202" s="77"/>
      <c r="AU202" s="77"/>
      <c r="AV202" s="80" t="str">
        <f>HYPERLINK("https://pbs.twimg.com/profile_images/1373009655790776321/9zfGe27k_normal.jpg")</f>
        <v>https://pbs.twimg.com/profile_images/1373009655790776321/9zfGe27k_normal.jpg</v>
      </c>
      <c r="AW202" s="82" t="s">
        <v>4259</v>
      </c>
      <c r="AX202" s="82" t="s">
        <v>4259</v>
      </c>
      <c r="AY202" s="77"/>
      <c r="AZ202" s="82" t="s">
        <v>5075</v>
      </c>
      <c r="BA202" s="82" t="s">
        <v>5075</v>
      </c>
      <c r="BB202" s="82" t="s">
        <v>5075</v>
      </c>
      <c r="BC202" s="82" t="s">
        <v>4259</v>
      </c>
      <c r="BD202" s="82" t="s">
        <v>5161</v>
      </c>
      <c r="BE202" s="77"/>
      <c r="BF202" s="77"/>
      <c r="BG202" s="77"/>
      <c r="BH202" s="77"/>
      <c r="BI202" s="77"/>
    </row>
    <row r="203" spans="1:61" x14ac:dyDescent="0.25">
      <c r="A203" s="62" t="s">
        <v>294</v>
      </c>
      <c r="B203" s="62" t="s">
        <v>294</v>
      </c>
      <c r="C203" s="63"/>
      <c r="D203" s="64"/>
      <c r="E203" s="65"/>
      <c r="F203" s="66"/>
      <c r="G203" s="63"/>
      <c r="H203" s="67"/>
      <c r="I203" s="68"/>
      <c r="J203" s="68"/>
      <c r="K203" s="32"/>
      <c r="L203" s="75">
        <v>203</v>
      </c>
      <c r="M203" s="75"/>
      <c r="N203" s="70"/>
      <c r="O203" s="77" t="s">
        <v>179</v>
      </c>
      <c r="P203" s="79">
        <v>44930.054571759261</v>
      </c>
      <c r="Q203" s="77" t="s">
        <v>739</v>
      </c>
      <c r="R203" s="77">
        <v>0</v>
      </c>
      <c r="S203" s="77">
        <v>0</v>
      </c>
      <c r="T203" s="77">
        <v>0</v>
      </c>
      <c r="U203" s="77">
        <v>0</v>
      </c>
      <c r="V203" s="77">
        <v>9</v>
      </c>
      <c r="W203" s="82" t="s">
        <v>1592</v>
      </c>
      <c r="X203" s="80" t="str">
        <f>HYPERLINK("https://www.instagram.com/p/Cm-XtQNORDu/?igshid=YTgzYjQ4ZTY=")</f>
        <v>https://www.instagram.com/p/Cm-XtQNORDu/?igshid=YTgzYjQ4ZTY=</v>
      </c>
      <c r="Y203" s="77" t="s">
        <v>1974</v>
      </c>
      <c r="Z203" s="77"/>
      <c r="AA203" s="77"/>
      <c r="AB203" s="77"/>
      <c r="AC203" s="82" t="s">
        <v>2644</v>
      </c>
      <c r="AD203" s="77" t="s">
        <v>2670</v>
      </c>
      <c r="AE203" s="80" t="str">
        <f>HYPERLINK("https://twitter.com/alanvalney/status/1610445555133546497")</f>
        <v>https://twitter.com/alanvalney/status/1610445555133546497</v>
      </c>
      <c r="AF203" s="79">
        <v>44930.054571759261</v>
      </c>
      <c r="AG203" s="85">
        <v>44930</v>
      </c>
      <c r="AH203" s="82" t="s">
        <v>2848</v>
      </c>
      <c r="AI203" s="77" t="b">
        <v>0</v>
      </c>
      <c r="AJ203" s="77"/>
      <c r="AK203" s="77"/>
      <c r="AL203" s="77"/>
      <c r="AM203" s="77"/>
      <c r="AN203" s="77"/>
      <c r="AO203" s="77"/>
      <c r="AP203" s="77"/>
      <c r="AQ203" s="77"/>
      <c r="AR203" s="77"/>
      <c r="AS203" s="77"/>
      <c r="AT203" s="77"/>
      <c r="AU203" s="77"/>
      <c r="AV203" s="80" t="str">
        <f>HYPERLINK("https://pbs.twimg.com/profile_images/1373009655790776321/9zfGe27k_normal.jpg")</f>
        <v>https://pbs.twimg.com/profile_images/1373009655790776321/9zfGe27k_normal.jpg</v>
      </c>
      <c r="AW203" s="82" t="s">
        <v>4260</v>
      </c>
      <c r="AX203" s="82" t="s">
        <v>4260</v>
      </c>
      <c r="AY203" s="77"/>
      <c r="AZ203" s="82" t="s">
        <v>5075</v>
      </c>
      <c r="BA203" s="82" t="s">
        <v>5075</v>
      </c>
      <c r="BB203" s="82" t="s">
        <v>5075</v>
      </c>
      <c r="BC203" s="82" t="s">
        <v>4260</v>
      </c>
      <c r="BD203" s="82" t="s">
        <v>5161</v>
      </c>
      <c r="BE203" s="77"/>
      <c r="BF203" s="77"/>
      <c r="BG203" s="77"/>
      <c r="BH203" s="77"/>
      <c r="BI203" s="77"/>
    </row>
    <row r="204" spans="1:61" x14ac:dyDescent="0.25">
      <c r="A204" s="62" t="s">
        <v>295</v>
      </c>
      <c r="B204" s="62" t="s">
        <v>295</v>
      </c>
      <c r="C204" s="63"/>
      <c r="D204" s="64"/>
      <c r="E204" s="65"/>
      <c r="F204" s="66"/>
      <c r="G204" s="63"/>
      <c r="H204" s="67"/>
      <c r="I204" s="68"/>
      <c r="J204" s="68"/>
      <c r="K204" s="32"/>
      <c r="L204" s="75">
        <v>204</v>
      </c>
      <c r="M204" s="75"/>
      <c r="N204" s="70"/>
      <c r="O204" s="77" t="s">
        <v>179</v>
      </c>
      <c r="P204" s="79">
        <v>44985.58048611111</v>
      </c>
      <c r="Q204" s="77" t="s">
        <v>740</v>
      </c>
      <c r="R204" s="77">
        <v>0</v>
      </c>
      <c r="S204" s="77">
        <v>0</v>
      </c>
      <c r="T204" s="77">
        <v>0</v>
      </c>
      <c r="U204" s="77">
        <v>0</v>
      </c>
      <c r="V204" s="77">
        <v>130</v>
      </c>
      <c r="W204" s="82" t="s">
        <v>1593</v>
      </c>
      <c r="X204" s="77"/>
      <c r="Y204" s="77"/>
      <c r="Z204" s="77"/>
      <c r="AA204" s="77"/>
      <c r="AB204" s="77"/>
      <c r="AC204" s="82" t="s">
        <v>2638</v>
      </c>
      <c r="AD204" s="77" t="s">
        <v>2670</v>
      </c>
      <c r="AE204" s="80" t="str">
        <f>HYPERLINK("https://twitter.com/felipecandianii/status/1630567471320117250")</f>
        <v>https://twitter.com/felipecandianii/status/1630567471320117250</v>
      </c>
      <c r="AF204" s="79">
        <v>44985.58048611111</v>
      </c>
      <c r="AG204" s="85">
        <v>44985</v>
      </c>
      <c r="AH204" s="82" t="s">
        <v>2849</v>
      </c>
      <c r="AI204" s="77"/>
      <c r="AJ204" s="77"/>
      <c r="AK204" s="77"/>
      <c r="AL204" s="77"/>
      <c r="AM204" s="77"/>
      <c r="AN204" s="77"/>
      <c r="AO204" s="77"/>
      <c r="AP204" s="77"/>
      <c r="AQ204" s="77"/>
      <c r="AR204" s="77"/>
      <c r="AS204" s="77"/>
      <c r="AT204" s="77"/>
      <c r="AU204" s="77"/>
      <c r="AV204" s="80" t="str">
        <f>HYPERLINK("https://pbs.twimg.com/profile_images/1704206805142769664/ZiqdxLmn_normal.jpg")</f>
        <v>https://pbs.twimg.com/profile_images/1704206805142769664/ZiqdxLmn_normal.jpg</v>
      </c>
      <c r="AW204" s="82" t="s">
        <v>4261</v>
      </c>
      <c r="AX204" s="82" t="s">
        <v>4261</v>
      </c>
      <c r="AY204" s="77"/>
      <c r="AZ204" s="82" t="s">
        <v>5075</v>
      </c>
      <c r="BA204" s="82" t="s">
        <v>5075</v>
      </c>
      <c r="BB204" s="82" t="s">
        <v>5075</v>
      </c>
      <c r="BC204" s="82" t="s">
        <v>4261</v>
      </c>
      <c r="BD204" s="77">
        <v>73875357</v>
      </c>
      <c r="BE204" s="77"/>
      <c r="BF204" s="77"/>
      <c r="BG204" s="77"/>
      <c r="BH204" s="77"/>
      <c r="BI204" s="77"/>
    </row>
    <row r="205" spans="1:61" x14ac:dyDescent="0.25">
      <c r="A205" s="62" t="s">
        <v>296</v>
      </c>
      <c r="B205" s="62" t="s">
        <v>521</v>
      </c>
      <c r="C205" s="63"/>
      <c r="D205" s="64"/>
      <c r="E205" s="65"/>
      <c r="F205" s="66"/>
      <c r="G205" s="63"/>
      <c r="H205" s="67"/>
      <c r="I205" s="68"/>
      <c r="J205" s="68"/>
      <c r="K205" s="32"/>
      <c r="L205" s="75">
        <v>205</v>
      </c>
      <c r="M205" s="75"/>
      <c r="N205" s="70"/>
      <c r="O205" s="77" t="s">
        <v>539</v>
      </c>
      <c r="P205" s="79">
        <v>45084.649884259263</v>
      </c>
      <c r="Q205" s="77" t="s">
        <v>741</v>
      </c>
      <c r="R205" s="77">
        <v>0</v>
      </c>
      <c r="S205" s="77">
        <v>0</v>
      </c>
      <c r="T205" s="77">
        <v>0</v>
      </c>
      <c r="U205" s="77">
        <v>0</v>
      </c>
      <c r="V205" s="77">
        <v>130</v>
      </c>
      <c r="W205" s="82" t="s">
        <v>1594</v>
      </c>
      <c r="X205" s="77"/>
      <c r="Y205" s="77"/>
      <c r="Z205" s="77" t="s">
        <v>2008</v>
      </c>
      <c r="AA205" s="77" t="s">
        <v>2138</v>
      </c>
      <c r="AB205" s="77" t="s">
        <v>2633</v>
      </c>
      <c r="AC205" s="82" t="s">
        <v>2640</v>
      </c>
      <c r="AD205" s="77" t="s">
        <v>2672</v>
      </c>
      <c r="AE205" s="80" t="str">
        <f>HYPERLINK("https://twitter.com/francisinvicto/status/1666469019891662848")</f>
        <v>https://twitter.com/francisinvicto/status/1666469019891662848</v>
      </c>
      <c r="AF205" s="79">
        <v>45084.649884259263</v>
      </c>
      <c r="AG205" s="85">
        <v>45084</v>
      </c>
      <c r="AH205" s="82" t="s">
        <v>2850</v>
      </c>
      <c r="AI205" s="77" t="b">
        <v>0</v>
      </c>
      <c r="AJ205" s="77"/>
      <c r="AK205" s="77"/>
      <c r="AL205" s="77"/>
      <c r="AM205" s="77"/>
      <c r="AN205" s="77"/>
      <c r="AO205" s="77"/>
      <c r="AP205" s="77"/>
      <c r="AQ205" s="77" t="s">
        <v>3567</v>
      </c>
      <c r="AR205" s="77">
        <v>19970</v>
      </c>
      <c r="AS205" s="77"/>
      <c r="AT205" s="77"/>
      <c r="AU205" s="77"/>
      <c r="AV205" s="80" t="str">
        <f>HYPERLINK("https://pbs.twimg.com/ext_tw_video_thumb/1666468989218828288/pu/img/4EYnLVmsQChh0HW4.jpg")</f>
        <v>https://pbs.twimg.com/ext_tw_video_thumb/1666468989218828288/pu/img/4EYnLVmsQChh0HW4.jpg</v>
      </c>
      <c r="AW205" s="82" t="s">
        <v>4262</v>
      </c>
      <c r="AX205" s="82" t="s">
        <v>4262</v>
      </c>
      <c r="AY205" s="77"/>
      <c r="AZ205" s="82" t="s">
        <v>5075</v>
      </c>
      <c r="BA205" s="82" t="s">
        <v>5075</v>
      </c>
      <c r="BB205" s="82" t="s">
        <v>5075</v>
      </c>
      <c r="BC205" s="82" t="s">
        <v>4262</v>
      </c>
      <c r="BD205" s="82" t="s">
        <v>5162</v>
      </c>
      <c r="BE205" s="77"/>
      <c r="BF205" s="77"/>
      <c r="BG205" s="77"/>
      <c r="BH205" s="77"/>
      <c r="BI205" s="77"/>
    </row>
    <row r="206" spans="1:61" x14ac:dyDescent="0.25">
      <c r="A206" s="62" t="s">
        <v>296</v>
      </c>
      <c r="B206" s="62" t="s">
        <v>522</v>
      </c>
      <c r="C206" s="63"/>
      <c r="D206" s="64"/>
      <c r="E206" s="65"/>
      <c r="F206" s="66"/>
      <c r="G206" s="63"/>
      <c r="H206" s="67"/>
      <c r="I206" s="68"/>
      <c r="J206" s="68"/>
      <c r="K206" s="32"/>
      <c r="L206" s="75">
        <v>206</v>
      </c>
      <c r="M206" s="75"/>
      <c r="N206" s="70"/>
      <c r="O206" s="77" t="s">
        <v>539</v>
      </c>
      <c r="P206" s="79">
        <v>45084.649884259263</v>
      </c>
      <c r="Q206" s="77" t="s">
        <v>741</v>
      </c>
      <c r="R206" s="77">
        <v>0</v>
      </c>
      <c r="S206" s="77">
        <v>0</v>
      </c>
      <c r="T206" s="77">
        <v>0</v>
      </c>
      <c r="U206" s="77">
        <v>0</v>
      </c>
      <c r="V206" s="77">
        <v>130</v>
      </c>
      <c r="W206" s="82" t="s">
        <v>1594</v>
      </c>
      <c r="X206" s="77"/>
      <c r="Y206" s="77"/>
      <c r="Z206" s="77" t="s">
        <v>2008</v>
      </c>
      <c r="AA206" s="77" t="s">
        <v>2138</v>
      </c>
      <c r="AB206" s="77" t="s">
        <v>2633</v>
      </c>
      <c r="AC206" s="82" t="s">
        <v>2640</v>
      </c>
      <c r="AD206" s="77" t="s">
        <v>2672</v>
      </c>
      <c r="AE206" s="80" t="str">
        <f>HYPERLINK("https://twitter.com/francisinvicto/status/1666469019891662848")</f>
        <v>https://twitter.com/francisinvicto/status/1666469019891662848</v>
      </c>
      <c r="AF206" s="79">
        <v>45084.649884259263</v>
      </c>
      <c r="AG206" s="85">
        <v>45084</v>
      </c>
      <c r="AH206" s="82" t="s">
        <v>2850</v>
      </c>
      <c r="AI206" s="77" t="b">
        <v>0</v>
      </c>
      <c r="AJ206" s="77"/>
      <c r="AK206" s="77"/>
      <c r="AL206" s="77"/>
      <c r="AM206" s="77"/>
      <c r="AN206" s="77"/>
      <c r="AO206" s="77"/>
      <c r="AP206" s="77"/>
      <c r="AQ206" s="77" t="s">
        <v>3567</v>
      </c>
      <c r="AR206" s="77">
        <v>19970</v>
      </c>
      <c r="AS206" s="77"/>
      <c r="AT206" s="77"/>
      <c r="AU206" s="77"/>
      <c r="AV206" s="80" t="str">
        <f>HYPERLINK("https://pbs.twimg.com/ext_tw_video_thumb/1666468989218828288/pu/img/4EYnLVmsQChh0HW4.jpg")</f>
        <v>https://pbs.twimg.com/ext_tw_video_thumb/1666468989218828288/pu/img/4EYnLVmsQChh0HW4.jpg</v>
      </c>
      <c r="AW206" s="82" t="s">
        <v>4262</v>
      </c>
      <c r="AX206" s="82" t="s">
        <v>4262</v>
      </c>
      <c r="AY206" s="77"/>
      <c r="AZ206" s="82" t="s">
        <v>5075</v>
      </c>
      <c r="BA206" s="82" t="s">
        <v>5075</v>
      </c>
      <c r="BB206" s="82" t="s">
        <v>5075</v>
      </c>
      <c r="BC206" s="82" t="s">
        <v>4262</v>
      </c>
      <c r="BD206" s="82" t="s">
        <v>5162</v>
      </c>
      <c r="BE206" s="77"/>
      <c r="BF206" s="77"/>
      <c r="BG206" s="77"/>
      <c r="BH206" s="77"/>
      <c r="BI206" s="77"/>
    </row>
    <row r="207" spans="1:61" x14ac:dyDescent="0.25">
      <c r="A207" s="62" t="s">
        <v>296</v>
      </c>
      <c r="B207" s="62" t="s">
        <v>523</v>
      </c>
      <c r="C207" s="63"/>
      <c r="D207" s="64"/>
      <c r="E207" s="65"/>
      <c r="F207" s="66"/>
      <c r="G207" s="63"/>
      <c r="H207" s="67"/>
      <c r="I207" s="68"/>
      <c r="J207" s="68"/>
      <c r="K207" s="32"/>
      <c r="L207" s="75">
        <v>207</v>
      </c>
      <c r="M207" s="75"/>
      <c r="N207" s="70"/>
      <c r="O207" s="77" t="s">
        <v>539</v>
      </c>
      <c r="P207" s="79">
        <v>45084.649884259263</v>
      </c>
      <c r="Q207" s="77" t="s">
        <v>741</v>
      </c>
      <c r="R207" s="77">
        <v>0</v>
      </c>
      <c r="S207" s="77">
        <v>0</v>
      </c>
      <c r="T207" s="77">
        <v>0</v>
      </c>
      <c r="U207" s="77">
        <v>0</v>
      </c>
      <c r="V207" s="77">
        <v>130</v>
      </c>
      <c r="W207" s="82" t="s">
        <v>1594</v>
      </c>
      <c r="X207" s="77"/>
      <c r="Y207" s="77"/>
      <c r="Z207" s="77" t="s">
        <v>2008</v>
      </c>
      <c r="AA207" s="77" t="s">
        <v>2138</v>
      </c>
      <c r="AB207" s="77" t="s">
        <v>2633</v>
      </c>
      <c r="AC207" s="82" t="s">
        <v>2640</v>
      </c>
      <c r="AD207" s="77" t="s">
        <v>2672</v>
      </c>
      <c r="AE207" s="80" t="str">
        <f>HYPERLINK("https://twitter.com/francisinvicto/status/1666469019891662848")</f>
        <v>https://twitter.com/francisinvicto/status/1666469019891662848</v>
      </c>
      <c r="AF207" s="79">
        <v>45084.649884259263</v>
      </c>
      <c r="AG207" s="85">
        <v>45084</v>
      </c>
      <c r="AH207" s="82" t="s">
        <v>2850</v>
      </c>
      <c r="AI207" s="77" t="b">
        <v>0</v>
      </c>
      <c r="AJ207" s="77"/>
      <c r="AK207" s="77"/>
      <c r="AL207" s="77"/>
      <c r="AM207" s="77"/>
      <c r="AN207" s="77"/>
      <c r="AO207" s="77"/>
      <c r="AP207" s="77"/>
      <c r="AQ207" s="77" t="s">
        <v>3567</v>
      </c>
      <c r="AR207" s="77">
        <v>19970</v>
      </c>
      <c r="AS207" s="77"/>
      <c r="AT207" s="77"/>
      <c r="AU207" s="77"/>
      <c r="AV207" s="80" t="str">
        <f>HYPERLINK("https://pbs.twimg.com/ext_tw_video_thumb/1666468989218828288/pu/img/4EYnLVmsQChh0HW4.jpg")</f>
        <v>https://pbs.twimg.com/ext_tw_video_thumb/1666468989218828288/pu/img/4EYnLVmsQChh0HW4.jpg</v>
      </c>
      <c r="AW207" s="82" t="s">
        <v>4262</v>
      </c>
      <c r="AX207" s="82" t="s">
        <v>4262</v>
      </c>
      <c r="AY207" s="77"/>
      <c r="AZ207" s="82" t="s">
        <v>5075</v>
      </c>
      <c r="BA207" s="82" t="s">
        <v>5075</v>
      </c>
      <c r="BB207" s="82" t="s">
        <v>5075</v>
      </c>
      <c r="BC207" s="82" t="s">
        <v>4262</v>
      </c>
      <c r="BD207" s="82" t="s">
        <v>5162</v>
      </c>
      <c r="BE207" s="77"/>
      <c r="BF207" s="77"/>
      <c r="BG207" s="77"/>
      <c r="BH207" s="77"/>
      <c r="BI207" s="77"/>
    </row>
    <row r="208" spans="1:61" x14ac:dyDescent="0.25">
      <c r="A208" s="62" t="s">
        <v>296</v>
      </c>
      <c r="B208" s="62" t="s">
        <v>296</v>
      </c>
      <c r="C208" s="63"/>
      <c r="D208" s="64"/>
      <c r="E208" s="65"/>
      <c r="F208" s="66"/>
      <c r="G208" s="63"/>
      <c r="H208" s="67"/>
      <c r="I208" s="68"/>
      <c r="J208" s="68"/>
      <c r="K208" s="32"/>
      <c r="L208" s="75">
        <v>208</v>
      </c>
      <c r="M208" s="75"/>
      <c r="N208" s="70"/>
      <c r="O208" s="77" t="s">
        <v>179</v>
      </c>
      <c r="P208" s="79">
        <v>45078.778495370374</v>
      </c>
      <c r="Q208" s="77" t="s">
        <v>742</v>
      </c>
      <c r="R208" s="77">
        <v>0</v>
      </c>
      <c r="S208" s="77">
        <v>0</v>
      </c>
      <c r="T208" s="77">
        <v>0</v>
      </c>
      <c r="U208" s="77">
        <v>0</v>
      </c>
      <c r="V208" s="77">
        <v>19</v>
      </c>
      <c r="W208" s="82" t="s">
        <v>1594</v>
      </c>
      <c r="X208" s="77"/>
      <c r="Y208" s="77"/>
      <c r="Z208" s="77"/>
      <c r="AA208" s="77" t="s">
        <v>2139</v>
      </c>
      <c r="AB208" s="77" t="s">
        <v>2633</v>
      </c>
      <c r="AC208" s="82" t="s">
        <v>2640</v>
      </c>
      <c r="AD208" s="77" t="s">
        <v>2672</v>
      </c>
      <c r="AE208" s="80" t="str">
        <f>HYPERLINK("https://twitter.com/francisinvicto/status/1664341298873094145")</f>
        <v>https://twitter.com/francisinvicto/status/1664341298873094145</v>
      </c>
      <c r="AF208" s="79">
        <v>45078.778495370374</v>
      </c>
      <c r="AG208" s="85">
        <v>45078</v>
      </c>
      <c r="AH208" s="82" t="s">
        <v>2851</v>
      </c>
      <c r="AI208" s="77" t="b">
        <v>0</v>
      </c>
      <c r="AJ208" s="77"/>
      <c r="AK208" s="77"/>
      <c r="AL208" s="77"/>
      <c r="AM208" s="77"/>
      <c r="AN208" s="77"/>
      <c r="AO208" s="77"/>
      <c r="AP208" s="77"/>
      <c r="AQ208" s="77" t="s">
        <v>3568</v>
      </c>
      <c r="AR208" s="77">
        <v>15033</v>
      </c>
      <c r="AS208" s="77"/>
      <c r="AT208" s="77"/>
      <c r="AU208" s="77"/>
      <c r="AV208" s="80" t="str">
        <f>HYPERLINK("https://pbs.twimg.com/ext_tw_video_thumb/1664341273342361600/pu/img/-aNSP3rVASadM_zw.jpg")</f>
        <v>https://pbs.twimg.com/ext_tw_video_thumb/1664341273342361600/pu/img/-aNSP3rVASadM_zw.jpg</v>
      </c>
      <c r="AW208" s="82" t="s">
        <v>4263</v>
      </c>
      <c r="AX208" s="82" t="s">
        <v>4263</v>
      </c>
      <c r="AY208" s="77"/>
      <c r="AZ208" s="82" t="s">
        <v>5075</v>
      </c>
      <c r="BA208" s="82" t="s">
        <v>5075</v>
      </c>
      <c r="BB208" s="82" t="s">
        <v>5075</v>
      </c>
      <c r="BC208" s="82" t="s">
        <v>4263</v>
      </c>
      <c r="BD208" s="82" t="s">
        <v>5162</v>
      </c>
      <c r="BE208" s="77"/>
      <c r="BF208" s="77"/>
      <c r="BG208" s="77"/>
      <c r="BH208" s="77"/>
      <c r="BI208" s="77"/>
    </row>
    <row r="209" spans="1:61" x14ac:dyDescent="0.25">
      <c r="A209" s="62" t="s">
        <v>296</v>
      </c>
      <c r="B209" s="62" t="s">
        <v>296</v>
      </c>
      <c r="C209" s="63"/>
      <c r="D209" s="64"/>
      <c r="E209" s="65"/>
      <c r="F209" s="66"/>
      <c r="G209" s="63"/>
      <c r="H209" s="67"/>
      <c r="I209" s="68"/>
      <c r="J209" s="68"/>
      <c r="K209" s="32"/>
      <c r="L209" s="75">
        <v>209</v>
      </c>
      <c r="M209" s="75"/>
      <c r="N209" s="70"/>
      <c r="O209" s="77" t="s">
        <v>179</v>
      </c>
      <c r="P209" s="79">
        <v>45084.666030092594</v>
      </c>
      <c r="Q209" s="77" t="s">
        <v>743</v>
      </c>
      <c r="R209" s="77">
        <v>0</v>
      </c>
      <c r="S209" s="77">
        <v>1</v>
      </c>
      <c r="T209" s="77">
        <v>0</v>
      </c>
      <c r="U209" s="77">
        <v>0</v>
      </c>
      <c r="V209" s="77">
        <v>310</v>
      </c>
      <c r="W209" s="82" t="s">
        <v>1594</v>
      </c>
      <c r="X209" s="77"/>
      <c r="Y209" s="77"/>
      <c r="Z209" s="77"/>
      <c r="AA209" s="77" t="s">
        <v>2140</v>
      </c>
      <c r="AB209" s="77" t="s">
        <v>2633</v>
      </c>
      <c r="AC209" s="82" t="s">
        <v>2640</v>
      </c>
      <c r="AD209" s="77" t="s">
        <v>2672</v>
      </c>
      <c r="AE209" s="80" t="str">
        <f>HYPERLINK("https://twitter.com/francisinvicto/status/1666474870861963266")</f>
        <v>https://twitter.com/francisinvicto/status/1666474870861963266</v>
      </c>
      <c r="AF209" s="79">
        <v>45084.666030092594</v>
      </c>
      <c r="AG209" s="85">
        <v>45084</v>
      </c>
      <c r="AH209" s="82" t="s">
        <v>2852</v>
      </c>
      <c r="AI209" s="77" t="b">
        <v>0</v>
      </c>
      <c r="AJ209" s="77"/>
      <c r="AK209" s="77"/>
      <c r="AL209" s="77"/>
      <c r="AM209" s="77"/>
      <c r="AN209" s="77"/>
      <c r="AO209" s="77"/>
      <c r="AP209" s="77"/>
      <c r="AQ209" s="77" t="s">
        <v>3569</v>
      </c>
      <c r="AR209" s="77">
        <v>44965</v>
      </c>
      <c r="AS209" s="77"/>
      <c r="AT209" s="77"/>
      <c r="AU209" s="77"/>
      <c r="AV209" s="80" t="str">
        <f>HYPERLINK("https://pbs.twimg.com/ext_tw_video_thumb/1666474818454126592/pu/img/vzBrbd1nevmfwxO9.jpg")</f>
        <v>https://pbs.twimg.com/ext_tw_video_thumb/1666474818454126592/pu/img/vzBrbd1nevmfwxO9.jpg</v>
      </c>
      <c r="AW209" s="82" t="s">
        <v>4264</v>
      </c>
      <c r="AX209" s="82" t="s">
        <v>4264</v>
      </c>
      <c r="AY209" s="77"/>
      <c r="AZ209" s="82" t="s">
        <v>5075</v>
      </c>
      <c r="BA209" s="82" t="s">
        <v>5075</v>
      </c>
      <c r="BB209" s="82" t="s">
        <v>5075</v>
      </c>
      <c r="BC209" s="82" t="s">
        <v>4264</v>
      </c>
      <c r="BD209" s="82" t="s">
        <v>5162</v>
      </c>
      <c r="BE209" s="77"/>
      <c r="BF209" s="77"/>
      <c r="BG209" s="77"/>
      <c r="BH209" s="77"/>
      <c r="BI209" s="77"/>
    </row>
    <row r="210" spans="1:61" x14ac:dyDescent="0.25">
      <c r="A210" s="62" t="s">
        <v>297</v>
      </c>
      <c r="B210" s="62" t="s">
        <v>297</v>
      </c>
      <c r="C210" s="63"/>
      <c r="D210" s="64"/>
      <c r="E210" s="65"/>
      <c r="F210" s="66"/>
      <c r="G210" s="63"/>
      <c r="H210" s="67"/>
      <c r="I210" s="68"/>
      <c r="J210" s="68"/>
      <c r="K210" s="32"/>
      <c r="L210" s="75">
        <v>210</v>
      </c>
      <c r="M210" s="75"/>
      <c r="N210" s="70"/>
      <c r="O210" s="77" t="s">
        <v>179</v>
      </c>
      <c r="P210" s="79">
        <v>44947.696458333332</v>
      </c>
      <c r="Q210" s="77" t="s">
        <v>744</v>
      </c>
      <c r="R210" s="77">
        <v>0</v>
      </c>
      <c r="S210" s="77">
        <v>1</v>
      </c>
      <c r="T210" s="77">
        <v>0</v>
      </c>
      <c r="U210" s="77">
        <v>0</v>
      </c>
      <c r="V210" s="77">
        <v>25</v>
      </c>
      <c r="W210" s="82" t="s">
        <v>1595</v>
      </c>
      <c r="X210" s="77"/>
      <c r="Y210" s="77"/>
      <c r="Z210" s="77"/>
      <c r="AA210" s="77"/>
      <c r="AB210" s="77"/>
      <c r="AC210" s="82" t="s">
        <v>2640</v>
      </c>
      <c r="AD210" s="77" t="s">
        <v>2670</v>
      </c>
      <c r="AE210" s="80" t="str">
        <f>HYPERLINK("https://twitter.com/fbiosha/status/1616838760460849155")</f>
        <v>https://twitter.com/fbiosha/status/1616838760460849155</v>
      </c>
      <c r="AF210" s="79">
        <v>44947.696458333332</v>
      </c>
      <c r="AG210" s="85">
        <v>44947</v>
      </c>
      <c r="AH210" s="82" t="s">
        <v>2853</v>
      </c>
      <c r="AI210" s="77"/>
      <c r="AJ210" s="77"/>
      <c r="AK210" s="77"/>
      <c r="AL210" s="77"/>
      <c r="AM210" s="77"/>
      <c r="AN210" s="77"/>
      <c r="AO210" s="77"/>
      <c r="AP210" s="77"/>
      <c r="AQ210" s="77"/>
      <c r="AR210" s="77"/>
      <c r="AS210" s="77"/>
      <c r="AT210" s="77"/>
      <c r="AU210" s="77"/>
      <c r="AV210" s="80" t="str">
        <f>HYPERLINK("https://pbs.twimg.com/profile_images/1603789840184709127/s_dyGcWT_normal.jpg")</f>
        <v>https://pbs.twimg.com/profile_images/1603789840184709127/s_dyGcWT_normal.jpg</v>
      </c>
      <c r="AW210" s="82" t="s">
        <v>4265</v>
      </c>
      <c r="AX210" s="82" t="s">
        <v>4265</v>
      </c>
      <c r="AY210" s="77"/>
      <c r="AZ210" s="82" t="s">
        <v>5075</v>
      </c>
      <c r="BA210" s="82" t="s">
        <v>5075</v>
      </c>
      <c r="BB210" s="82" t="s">
        <v>5075</v>
      </c>
      <c r="BC210" s="82" t="s">
        <v>4265</v>
      </c>
      <c r="BD210" s="82" t="s">
        <v>5163</v>
      </c>
      <c r="BE210" s="77"/>
      <c r="BF210" s="77"/>
      <c r="BG210" s="77"/>
      <c r="BH210" s="77"/>
      <c r="BI210" s="77"/>
    </row>
    <row r="211" spans="1:61" x14ac:dyDescent="0.25">
      <c r="A211" s="62" t="s">
        <v>298</v>
      </c>
      <c r="B211" s="62" t="s">
        <v>298</v>
      </c>
      <c r="C211" s="63"/>
      <c r="D211" s="64"/>
      <c r="E211" s="65"/>
      <c r="F211" s="66"/>
      <c r="G211" s="63"/>
      <c r="H211" s="67"/>
      <c r="I211" s="68"/>
      <c r="J211" s="68"/>
      <c r="K211" s="32"/>
      <c r="L211" s="75">
        <v>211</v>
      </c>
      <c r="M211" s="75"/>
      <c r="N211" s="70"/>
      <c r="O211" s="77" t="s">
        <v>536</v>
      </c>
      <c r="P211" s="79">
        <v>44930.589872685188</v>
      </c>
      <c r="Q211" s="77" t="s">
        <v>745</v>
      </c>
      <c r="R211" s="77">
        <v>0</v>
      </c>
      <c r="S211" s="77">
        <v>1</v>
      </c>
      <c r="T211" s="77">
        <v>2</v>
      </c>
      <c r="U211" s="77">
        <v>0</v>
      </c>
      <c r="V211" s="77">
        <v>142</v>
      </c>
      <c r="W211" s="82" t="s">
        <v>1596</v>
      </c>
      <c r="X211" s="77"/>
      <c r="Y211" s="77"/>
      <c r="Z211" s="77"/>
      <c r="AA211" s="77"/>
      <c r="AB211" s="77"/>
      <c r="AC211" s="82" t="s">
        <v>2640</v>
      </c>
      <c r="AD211" s="77" t="s">
        <v>2670</v>
      </c>
      <c r="AE211" s="80" t="str">
        <f>HYPERLINK("https://twitter.com/luizefinancas/status/1610639539726417921")</f>
        <v>https://twitter.com/luizefinancas/status/1610639539726417921</v>
      </c>
      <c r="AF211" s="79">
        <v>44930.589872685188</v>
      </c>
      <c r="AG211" s="85">
        <v>44930</v>
      </c>
      <c r="AH211" s="82" t="s">
        <v>2854</v>
      </c>
      <c r="AI211" s="77"/>
      <c r="AJ211" s="77"/>
      <c r="AK211" s="77"/>
      <c r="AL211" s="77"/>
      <c r="AM211" s="77"/>
      <c r="AN211" s="77"/>
      <c r="AO211" s="77"/>
      <c r="AP211" s="77"/>
      <c r="AQ211" s="77"/>
      <c r="AR211" s="77"/>
      <c r="AS211" s="77"/>
      <c r="AT211" s="77"/>
      <c r="AU211" s="77"/>
      <c r="AV211" s="80" t="str">
        <f>HYPERLINK("https://pbs.twimg.com/profile_images/1632843373810704389/wzjwnJsh_normal.jpg")</f>
        <v>https://pbs.twimg.com/profile_images/1632843373810704389/wzjwnJsh_normal.jpg</v>
      </c>
      <c r="AW211" s="82" t="s">
        <v>4266</v>
      </c>
      <c r="AX211" s="82" t="s">
        <v>4966</v>
      </c>
      <c r="AY211" s="82" t="s">
        <v>5036</v>
      </c>
      <c r="AZ211" s="82" t="s">
        <v>4966</v>
      </c>
      <c r="BA211" s="82" t="s">
        <v>5075</v>
      </c>
      <c r="BB211" s="82" t="s">
        <v>5075</v>
      </c>
      <c r="BC211" s="82" t="s">
        <v>4966</v>
      </c>
      <c r="BD211" s="82" t="s">
        <v>5036</v>
      </c>
      <c r="BE211" s="77"/>
      <c r="BF211" s="77"/>
      <c r="BG211" s="77"/>
      <c r="BH211" s="77"/>
      <c r="BI211" s="77"/>
    </row>
    <row r="212" spans="1:61" x14ac:dyDescent="0.25">
      <c r="A212" s="62" t="s">
        <v>298</v>
      </c>
      <c r="B212" s="62" t="s">
        <v>298</v>
      </c>
      <c r="C212" s="63"/>
      <c r="D212" s="64"/>
      <c r="E212" s="65"/>
      <c r="F212" s="66"/>
      <c r="G212" s="63"/>
      <c r="H212" s="67"/>
      <c r="I212" s="68"/>
      <c r="J212" s="68"/>
      <c r="K212" s="32"/>
      <c r="L212" s="75">
        <v>212</v>
      </c>
      <c r="M212" s="75"/>
      <c r="N212" s="70"/>
      <c r="O212" s="77" t="s">
        <v>536</v>
      </c>
      <c r="P212" s="79">
        <v>44986.636331018519</v>
      </c>
      <c r="Q212" s="77" t="s">
        <v>746</v>
      </c>
      <c r="R212" s="77">
        <v>0</v>
      </c>
      <c r="S212" s="77">
        <v>0</v>
      </c>
      <c r="T212" s="77">
        <v>0</v>
      </c>
      <c r="U212" s="77">
        <v>0</v>
      </c>
      <c r="V212" s="77">
        <v>21</v>
      </c>
      <c r="W212" s="82" t="s">
        <v>1597</v>
      </c>
      <c r="X212" s="77"/>
      <c r="Y212" s="77"/>
      <c r="Z212" s="77"/>
      <c r="AA212" s="77"/>
      <c r="AB212" s="77"/>
      <c r="AC212" s="82" t="s">
        <v>2639</v>
      </c>
      <c r="AD212" s="77" t="s">
        <v>2675</v>
      </c>
      <c r="AE212" s="80" t="str">
        <f>HYPERLINK("https://twitter.com/luizefinancas/status/1630950096346005505")</f>
        <v>https://twitter.com/luizefinancas/status/1630950096346005505</v>
      </c>
      <c r="AF212" s="79">
        <v>44986.636331018519</v>
      </c>
      <c r="AG212" s="85">
        <v>44986</v>
      </c>
      <c r="AH212" s="82" t="s">
        <v>2855</v>
      </c>
      <c r="AI212" s="77"/>
      <c r="AJ212" s="77"/>
      <c r="AK212" s="77"/>
      <c r="AL212" s="77"/>
      <c r="AM212" s="77"/>
      <c r="AN212" s="77"/>
      <c r="AO212" s="77"/>
      <c r="AP212" s="77"/>
      <c r="AQ212" s="77"/>
      <c r="AR212" s="77"/>
      <c r="AS212" s="77"/>
      <c r="AT212" s="77"/>
      <c r="AU212" s="77"/>
      <c r="AV212" s="80" t="str">
        <f>HYPERLINK("https://pbs.twimg.com/profile_images/1632843373810704389/wzjwnJsh_normal.jpg")</f>
        <v>https://pbs.twimg.com/profile_images/1632843373810704389/wzjwnJsh_normal.jpg</v>
      </c>
      <c r="AW212" s="82" t="s">
        <v>4267</v>
      </c>
      <c r="AX212" s="82" t="s">
        <v>4967</v>
      </c>
      <c r="AY212" s="82" t="s">
        <v>5036</v>
      </c>
      <c r="AZ212" s="82" t="s">
        <v>5084</v>
      </c>
      <c r="BA212" s="82" t="s">
        <v>5075</v>
      </c>
      <c r="BB212" s="82" t="s">
        <v>5075</v>
      </c>
      <c r="BC212" s="82" t="s">
        <v>5084</v>
      </c>
      <c r="BD212" s="82" t="s">
        <v>5036</v>
      </c>
      <c r="BE212" s="77"/>
      <c r="BF212" s="77"/>
      <c r="BG212" s="77"/>
      <c r="BH212" s="77"/>
      <c r="BI212" s="77"/>
    </row>
    <row r="213" spans="1:61" x14ac:dyDescent="0.25">
      <c r="A213" s="62" t="s">
        <v>299</v>
      </c>
      <c r="B213" s="62" t="s">
        <v>299</v>
      </c>
      <c r="C213" s="63"/>
      <c r="D213" s="64"/>
      <c r="E213" s="65"/>
      <c r="F213" s="66"/>
      <c r="G213" s="63"/>
      <c r="H213" s="67"/>
      <c r="I213" s="68"/>
      <c r="J213" s="68"/>
      <c r="K213" s="32"/>
      <c r="L213" s="75">
        <v>213</v>
      </c>
      <c r="M213" s="75"/>
      <c r="N213" s="70"/>
      <c r="O213" s="77" t="s">
        <v>179</v>
      </c>
      <c r="P213" s="79">
        <v>45076.048275462963</v>
      </c>
      <c r="Q213" s="77" t="s">
        <v>747</v>
      </c>
      <c r="R213" s="77">
        <v>0</v>
      </c>
      <c r="S213" s="77">
        <v>0</v>
      </c>
      <c r="T213" s="77">
        <v>1</v>
      </c>
      <c r="U213" s="77">
        <v>0</v>
      </c>
      <c r="V213" s="77">
        <v>107</v>
      </c>
      <c r="W213" s="82" t="s">
        <v>1598</v>
      </c>
      <c r="X213" s="77"/>
      <c r="Y213" s="77"/>
      <c r="Z213" s="77"/>
      <c r="AA213" s="77"/>
      <c r="AB213" s="77"/>
      <c r="AC213" s="82" t="s">
        <v>2639</v>
      </c>
      <c r="AD213" s="77" t="s">
        <v>2670</v>
      </c>
      <c r="AE213" s="80" t="str">
        <f>HYPERLINK("https://twitter.com/focanoimposto/status/1663351900052287488")</f>
        <v>https://twitter.com/focanoimposto/status/1663351900052287488</v>
      </c>
      <c r="AF213" s="79">
        <v>45076.048275462963</v>
      </c>
      <c r="AG213" s="85">
        <v>45076</v>
      </c>
      <c r="AH213" s="82" t="s">
        <v>2856</v>
      </c>
      <c r="AI213" s="77"/>
      <c r="AJ213" s="77"/>
      <c r="AK213" s="77"/>
      <c r="AL213" s="77"/>
      <c r="AM213" s="77"/>
      <c r="AN213" s="77"/>
      <c r="AO213" s="77"/>
      <c r="AP213" s="77"/>
      <c r="AQ213" s="77"/>
      <c r="AR213" s="77"/>
      <c r="AS213" s="77"/>
      <c r="AT213" s="77"/>
      <c r="AU213" s="77"/>
      <c r="AV213" s="80" t="str">
        <f>HYPERLINK("https://pbs.twimg.com/profile_images/1656004536211841032/HRnhFWb4_normal.jpg")</f>
        <v>https://pbs.twimg.com/profile_images/1656004536211841032/HRnhFWb4_normal.jpg</v>
      </c>
      <c r="AW213" s="82" t="s">
        <v>4268</v>
      </c>
      <c r="AX213" s="82" t="s">
        <v>4268</v>
      </c>
      <c r="AY213" s="77"/>
      <c r="AZ213" s="82" t="s">
        <v>5075</v>
      </c>
      <c r="BA213" s="82" t="s">
        <v>5075</v>
      </c>
      <c r="BB213" s="82" t="s">
        <v>5075</v>
      </c>
      <c r="BC213" s="82" t="s">
        <v>4268</v>
      </c>
      <c r="BD213" s="82" t="s">
        <v>5164</v>
      </c>
      <c r="BE213" s="77"/>
      <c r="BF213" s="77"/>
      <c r="BG213" s="77"/>
      <c r="BH213" s="77"/>
      <c r="BI213" s="77"/>
    </row>
    <row r="214" spans="1:61" x14ac:dyDescent="0.25">
      <c r="A214" s="62" t="s">
        <v>300</v>
      </c>
      <c r="B214" s="62" t="s">
        <v>300</v>
      </c>
      <c r="C214" s="63"/>
      <c r="D214" s="64"/>
      <c r="E214" s="65"/>
      <c r="F214" s="66"/>
      <c r="G214" s="63"/>
      <c r="H214" s="67"/>
      <c r="I214" s="68"/>
      <c r="J214" s="68"/>
      <c r="K214" s="32"/>
      <c r="L214" s="75">
        <v>214</v>
      </c>
      <c r="M214" s="75"/>
      <c r="N214" s="70"/>
      <c r="O214" s="77" t="s">
        <v>179</v>
      </c>
      <c r="P214" s="79">
        <v>44970.375185185185</v>
      </c>
      <c r="Q214" s="77" t="s">
        <v>748</v>
      </c>
      <c r="R214" s="77">
        <v>0</v>
      </c>
      <c r="S214" s="77">
        <v>0</v>
      </c>
      <c r="T214" s="77">
        <v>0</v>
      </c>
      <c r="U214" s="77">
        <v>0</v>
      </c>
      <c r="V214" s="77">
        <v>7</v>
      </c>
      <c r="W214" s="82" t="s">
        <v>1599</v>
      </c>
      <c r="X214" s="80" t="str">
        <f>HYPERLINK("http://www.vidatodacorretora.com.br")</f>
        <v>http://www.vidatodacorretora.com.br</v>
      </c>
      <c r="Y214" s="77" t="s">
        <v>1978</v>
      </c>
      <c r="Z214" s="77"/>
      <c r="AA214" s="77" t="s">
        <v>2141</v>
      </c>
      <c r="AB214" s="77" t="s">
        <v>2632</v>
      </c>
      <c r="AC214" s="82" t="s">
        <v>2642</v>
      </c>
      <c r="AD214" s="77" t="s">
        <v>2670</v>
      </c>
      <c r="AE214" s="80" t="str">
        <f>HYPERLINK("https://twitter.com/vidatodaseguros/status/1625057257120473091")</f>
        <v>https://twitter.com/vidatodaseguros/status/1625057257120473091</v>
      </c>
      <c r="AF214" s="79">
        <v>44970.375185185185</v>
      </c>
      <c r="AG214" s="85">
        <v>44970</v>
      </c>
      <c r="AH214" s="82" t="s">
        <v>2857</v>
      </c>
      <c r="AI214" s="77" t="b">
        <v>0</v>
      </c>
      <c r="AJ214" s="77"/>
      <c r="AK214" s="77"/>
      <c r="AL214" s="77"/>
      <c r="AM214" s="77"/>
      <c r="AN214" s="77"/>
      <c r="AO214" s="77"/>
      <c r="AP214" s="77"/>
      <c r="AQ214" s="77" t="s">
        <v>3570</v>
      </c>
      <c r="AR214" s="77"/>
      <c r="AS214" s="77"/>
      <c r="AT214" s="77"/>
      <c r="AU214" s="77"/>
      <c r="AV214" s="80" t="str">
        <f>HYPERLINK("https://pbs.twimg.com/media/Fo1c9omWAAAdIjK.jpg")</f>
        <v>https://pbs.twimg.com/media/Fo1c9omWAAAdIjK.jpg</v>
      </c>
      <c r="AW214" s="82" t="s">
        <v>4269</v>
      </c>
      <c r="AX214" s="82" t="s">
        <v>4269</v>
      </c>
      <c r="AY214" s="77"/>
      <c r="AZ214" s="82" t="s">
        <v>5075</v>
      </c>
      <c r="BA214" s="82" t="s">
        <v>5075</v>
      </c>
      <c r="BB214" s="82" t="s">
        <v>5075</v>
      </c>
      <c r="BC214" s="82" t="s">
        <v>4269</v>
      </c>
      <c r="BD214" s="77">
        <v>2239858518</v>
      </c>
      <c r="BE214" s="77"/>
      <c r="BF214" s="77"/>
      <c r="BG214" s="77"/>
      <c r="BH214" s="77"/>
      <c r="BI214" s="77"/>
    </row>
    <row r="215" spans="1:61" x14ac:dyDescent="0.25">
      <c r="A215" s="62" t="s">
        <v>300</v>
      </c>
      <c r="B215" s="62" t="s">
        <v>300</v>
      </c>
      <c r="C215" s="63"/>
      <c r="D215" s="64"/>
      <c r="E215" s="65"/>
      <c r="F215" s="66"/>
      <c r="G215" s="63"/>
      <c r="H215" s="67"/>
      <c r="I215" s="68"/>
      <c r="J215" s="68"/>
      <c r="K215" s="32"/>
      <c r="L215" s="75">
        <v>215</v>
      </c>
      <c r="M215" s="75"/>
      <c r="N215" s="70"/>
      <c r="O215" s="77" t="s">
        <v>179</v>
      </c>
      <c r="P215" s="79">
        <v>44969.375162037039</v>
      </c>
      <c r="Q215" s="77" t="s">
        <v>749</v>
      </c>
      <c r="R215" s="77">
        <v>0</v>
      </c>
      <c r="S215" s="77">
        <v>0</v>
      </c>
      <c r="T215" s="77">
        <v>0</v>
      </c>
      <c r="U215" s="77">
        <v>0</v>
      </c>
      <c r="V215" s="77">
        <v>13</v>
      </c>
      <c r="W215" s="82" t="s">
        <v>1599</v>
      </c>
      <c r="X215" s="80" t="str">
        <f>HYPERLINK("http://www.vidatodacorretora.com.br")</f>
        <v>http://www.vidatodacorretora.com.br</v>
      </c>
      <c r="Y215" s="77" t="s">
        <v>1978</v>
      </c>
      <c r="Z215" s="77"/>
      <c r="AA215" s="77" t="s">
        <v>2142</v>
      </c>
      <c r="AB215" s="77" t="s">
        <v>2632</v>
      </c>
      <c r="AC215" s="82" t="s">
        <v>2642</v>
      </c>
      <c r="AD215" s="77" t="s">
        <v>2670</v>
      </c>
      <c r="AE215" s="80" t="str">
        <f>HYPERLINK("https://twitter.com/vidatodaseguros/status/1624694859574525952")</f>
        <v>https://twitter.com/vidatodaseguros/status/1624694859574525952</v>
      </c>
      <c r="AF215" s="79">
        <v>44969.375162037039</v>
      </c>
      <c r="AG215" s="85">
        <v>44969</v>
      </c>
      <c r="AH215" s="82" t="s">
        <v>2858</v>
      </c>
      <c r="AI215" s="77" t="b">
        <v>0</v>
      </c>
      <c r="AJ215" s="77"/>
      <c r="AK215" s="77"/>
      <c r="AL215" s="77"/>
      <c r="AM215" s="77"/>
      <c r="AN215" s="77"/>
      <c r="AO215" s="77"/>
      <c r="AP215" s="77"/>
      <c r="AQ215" s="77" t="s">
        <v>3571</v>
      </c>
      <c r="AR215" s="77"/>
      <c r="AS215" s="77"/>
      <c r="AT215" s="77"/>
      <c r="AU215" s="77"/>
      <c r="AV215" s="80" t="str">
        <f>HYPERLINK("https://pbs.twimg.com/media/FowTXY8XsAE4FIG.jpg")</f>
        <v>https://pbs.twimg.com/media/FowTXY8XsAE4FIG.jpg</v>
      </c>
      <c r="AW215" s="82" t="s">
        <v>4270</v>
      </c>
      <c r="AX215" s="82" t="s">
        <v>4270</v>
      </c>
      <c r="AY215" s="77"/>
      <c r="AZ215" s="82" t="s">
        <v>5075</v>
      </c>
      <c r="BA215" s="82" t="s">
        <v>5075</v>
      </c>
      <c r="BB215" s="82" t="s">
        <v>5075</v>
      </c>
      <c r="BC215" s="82" t="s">
        <v>4270</v>
      </c>
      <c r="BD215" s="77">
        <v>2239858518</v>
      </c>
      <c r="BE215" s="77"/>
      <c r="BF215" s="77"/>
      <c r="BG215" s="77"/>
      <c r="BH215" s="77"/>
      <c r="BI215" s="77"/>
    </row>
    <row r="216" spans="1:61" x14ac:dyDescent="0.25">
      <c r="A216" s="62" t="s">
        <v>300</v>
      </c>
      <c r="B216" s="62" t="s">
        <v>300</v>
      </c>
      <c r="C216" s="63"/>
      <c r="D216" s="64"/>
      <c r="E216" s="65"/>
      <c r="F216" s="66"/>
      <c r="G216" s="63"/>
      <c r="H216" s="67"/>
      <c r="I216" s="68"/>
      <c r="J216" s="68"/>
      <c r="K216" s="32"/>
      <c r="L216" s="75">
        <v>216</v>
      </c>
      <c r="M216" s="75"/>
      <c r="N216" s="70"/>
      <c r="O216" s="77" t="s">
        <v>179</v>
      </c>
      <c r="P216" s="79">
        <v>45064.375381944446</v>
      </c>
      <c r="Q216" s="77" t="s">
        <v>750</v>
      </c>
      <c r="R216" s="77">
        <v>0</v>
      </c>
      <c r="S216" s="77">
        <v>0</v>
      </c>
      <c r="T216" s="77">
        <v>0</v>
      </c>
      <c r="U216" s="77">
        <v>0</v>
      </c>
      <c r="V216" s="77">
        <v>6</v>
      </c>
      <c r="W216" s="82" t="s">
        <v>1599</v>
      </c>
      <c r="X216" s="80" t="str">
        <f>HYPERLINK("http://www.vidatodacorretora.com.br")</f>
        <v>http://www.vidatodacorretora.com.br</v>
      </c>
      <c r="Y216" s="77" t="s">
        <v>1978</v>
      </c>
      <c r="Z216" s="77"/>
      <c r="AA216" s="77" t="s">
        <v>2143</v>
      </c>
      <c r="AB216" s="77" t="s">
        <v>2632</v>
      </c>
      <c r="AC216" s="82" t="s">
        <v>2642</v>
      </c>
      <c r="AD216" s="77" t="s">
        <v>2670</v>
      </c>
      <c r="AE216" s="80" t="str">
        <f>HYPERLINK("https://twitter.com/vidatodaseguros/status/1659121787580436481")</f>
        <v>https://twitter.com/vidatodaseguros/status/1659121787580436481</v>
      </c>
      <c r="AF216" s="79">
        <v>45064.375381944446</v>
      </c>
      <c r="AG216" s="85">
        <v>45064</v>
      </c>
      <c r="AH216" s="82" t="s">
        <v>2859</v>
      </c>
      <c r="AI216" s="77" t="b">
        <v>0</v>
      </c>
      <c r="AJ216" s="77"/>
      <c r="AK216" s="77"/>
      <c r="AL216" s="77"/>
      <c r="AM216" s="77"/>
      <c r="AN216" s="77"/>
      <c r="AO216" s="77"/>
      <c r="AP216" s="77"/>
      <c r="AQ216" s="77" t="s">
        <v>3572</v>
      </c>
      <c r="AR216" s="77"/>
      <c r="AS216" s="77"/>
      <c r="AT216" s="77"/>
      <c r="AU216" s="77"/>
      <c r="AV216" s="80" t="str">
        <f>HYPERLINK("https://pbs.twimg.com/media/FwZieVwWIAAgPTB.jpg")</f>
        <v>https://pbs.twimg.com/media/FwZieVwWIAAgPTB.jpg</v>
      </c>
      <c r="AW216" s="82" t="s">
        <v>4271</v>
      </c>
      <c r="AX216" s="82" t="s">
        <v>4271</v>
      </c>
      <c r="AY216" s="77"/>
      <c r="AZ216" s="82" t="s">
        <v>5075</v>
      </c>
      <c r="BA216" s="82" t="s">
        <v>5075</v>
      </c>
      <c r="BB216" s="82" t="s">
        <v>5075</v>
      </c>
      <c r="BC216" s="82" t="s">
        <v>4271</v>
      </c>
      <c r="BD216" s="77">
        <v>2239858518</v>
      </c>
      <c r="BE216" s="77"/>
      <c r="BF216" s="77"/>
      <c r="BG216" s="77"/>
      <c r="BH216" s="77"/>
      <c r="BI216" s="77"/>
    </row>
    <row r="217" spans="1:61" x14ac:dyDescent="0.25">
      <c r="A217" s="62" t="s">
        <v>300</v>
      </c>
      <c r="B217" s="62" t="s">
        <v>300</v>
      </c>
      <c r="C217" s="63"/>
      <c r="D217" s="64"/>
      <c r="E217" s="65"/>
      <c r="F217" s="66"/>
      <c r="G217" s="63"/>
      <c r="H217" s="67"/>
      <c r="I217" s="68"/>
      <c r="J217" s="68"/>
      <c r="K217" s="32"/>
      <c r="L217" s="75">
        <v>217</v>
      </c>
      <c r="M217" s="75"/>
      <c r="N217" s="70"/>
      <c r="O217" s="77" t="s">
        <v>179</v>
      </c>
      <c r="P217" s="79">
        <v>45085.375416666669</v>
      </c>
      <c r="Q217" s="77" t="s">
        <v>751</v>
      </c>
      <c r="R217" s="77">
        <v>0</v>
      </c>
      <c r="S217" s="77">
        <v>0</v>
      </c>
      <c r="T217" s="77">
        <v>0</v>
      </c>
      <c r="U217" s="77">
        <v>0</v>
      </c>
      <c r="V217" s="77">
        <v>2</v>
      </c>
      <c r="W217" s="82" t="s">
        <v>1600</v>
      </c>
      <c r="X217" s="80" t="str">
        <f>HYPERLINK("http://www.vidatodacorretora.com.br")</f>
        <v>http://www.vidatodacorretora.com.br</v>
      </c>
      <c r="Y217" s="77" t="s">
        <v>1978</v>
      </c>
      <c r="Z217" s="77"/>
      <c r="AA217" s="77" t="s">
        <v>2144</v>
      </c>
      <c r="AB217" s="77" t="s">
        <v>2632</v>
      </c>
      <c r="AC217" s="82" t="s">
        <v>2642</v>
      </c>
      <c r="AD217" s="77" t="s">
        <v>2670</v>
      </c>
      <c r="AE217" s="80" t="str">
        <f>HYPERLINK("https://twitter.com/vidatodaseguros/status/1666731942576893954")</f>
        <v>https://twitter.com/vidatodaseguros/status/1666731942576893954</v>
      </c>
      <c r="AF217" s="79">
        <v>45085.375416666669</v>
      </c>
      <c r="AG217" s="85">
        <v>45085</v>
      </c>
      <c r="AH217" s="82" t="s">
        <v>2860</v>
      </c>
      <c r="AI217" s="77" t="b">
        <v>0</v>
      </c>
      <c r="AJ217" s="77"/>
      <c r="AK217" s="77"/>
      <c r="AL217" s="77"/>
      <c r="AM217" s="77"/>
      <c r="AN217" s="77"/>
      <c r="AO217" s="77"/>
      <c r="AP217" s="77"/>
      <c r="AQ217" s="77" t="s">
        <v>3573</v>
      </c>
      <c r="AR217" s="77"/>
      <c r="AS217" s="77"/>
      <c r="AT217" s="77"/>
      <c r="AU217" s="77"/>
      <c r="AV217" s="80" t="str">
        <f>HYPERLINK("https://pbs.twimg.com/media/FyFr3olWwAErEHi.jpg")</f>
        <v>https://pbs.twimg.com/media/FyFr3olWwAErEHi.jpg</v>
      </c>
      <c r="AW217" s="82" t="s">
        <v>4272</v>
      </c>
      <c r="AX217" s="82" t="s">
        <v>4272</v>
      </c>
      <c r="AY217" s="77"/>
      <c r="AZ217" s="82" t="s">
        <v>5075</v>
      </c>
      <c r="BA217" s="82" t="s">
        <v>5075</v>
      </c>
      <c r="BB217" s="82" t="s">
        <v>5075</v>
      </c>
      <c r="BC217" s="82" t="s">
        <v>4272</v>
      </c>
      <c r="BD217" s="77">
        <v>2239858518</v>
      </c>
      <c r="BE217" s="77"/>
      <c r="BF217" s="77"/>
      <c r="BG217" s="77"/>
      <c r="BH217" s="77"/>
      <c r="BI217" s="77"/>
    </row>
    <row r="218" spans="1:61" x14ac:dyDescent="0.25">
      <c r="A218" s="62" t="s">
        <v>300</v>
      </c>
      <c r="B218" s="62" t="s">
        <v>300</v>
      </c>
      <c r="C218" s="63"/>
      <c r="D218" s="64"/>
      <c r="E218" s="65"/>
      <c r="F218" s="66"/>
      <c r="G218" s="63"/>
      <c r="H218" s="67"/>
      <c r="I218" s="68"/>
      <c r="J218" s="68"/>
      <c r="K218" s="32"/>
      <c r="L218" s="75">
        <v>218</v>
      </c>
      <c r="M218" s="75"/>
      <c r="N218" s="70"/>
      <c r="O218" s="77" t="s">
        <v>179</v>
      </c>
      <c r="P218" s="79">
        <v>45109.375405092593</v>
      </c>
      <c r="Q218" s="77" t="s">
        <v>752</v>
      </c>
      <c r="R218" s="77">
        <v>0</v>
      </c>
      <c r="S218" s="77">
        <v>0</v>
      </c>
      <c r="T218" s="77">
        <v>0</v>
      </c>
      <c r="U218" s="77">
        <v>0</v>
      </c>
      <c r="V218" s="77">
        <v>5</v>
      </c>
      <c r="W218" s="82" t="s">
        <v>1599</v>
      </c>
      <c r="X218" s="80" t="str">
        <f>HYPERLINK("http://www.vidatodacorretora.com.br")</f>
        <v>http://www.vidatodacorretora.com.br</v>
      </c>
      <c r="Y218" s="77" t="s">
        <v>1978</v>
      </c>
      <c r="Z218" s="77"/>
      <c r="AA218" s="77" t="s">
        <v>2145</v>
      </c>
      <c r="AB218" s="77" t="s">
        <v>2632</v>
      </c>
      <c r="AC218" s="82" t="s">
        <v>2642</v>
      </c>
      <c r="AD218" s="77" t="s">
        <v>2670</v>
      </c>
      <c r="AE218" s="80" t="str">
        <f>HYPERLINK("https://twitter.com/vidatodaseguros/status/1675429249359003650")</f>
        <v>https://twitter.com/vidatodaseguros/status/1675429249359003650</v>
      </c>
      <c r="AF218" s="79">
        <v>45109.375405092593</v>
      </c>
      <c r="AG218" s="85">
        <v>45109</v>
      </c>
      <c r="AH218" s="82" t="s">
        <v>2861</v>
      </c>
      <c r="AI218" s="77" t="b">
        <v>0</v>
      </c>
      <c r="AJ218" s="77"/>
      <c r="AK218" s="77"/>
      <c r="AL218" s="77"/>
      <c r="AM218" s="77"/>
      <c r="AN218" s="77"/>
      <c r="AO218" s="77"/>
      <c r="AP218" s="77"/>
      <c r="AQ218" s="77" t="s">
        <v>3574</v>
      </c>
      <c r="AR218" s="77"/>
      <c r="AS218" s="77"/>
      <c r="AT218" s="77"/>
      <c r="AU218" s="77"/>
      <c r="AV218" s="80" t="str">
        <f>HYPERLINK("https://pbs.twimg.com/media/F0BSBglXwAA1l_E.jpg")</f>
        <v>https://pbs.twimg.com/media/F0BSBglXwAA1l_E.jpg</v>
      </c>
      <c r="AW218" s="82" t="s">
        <v>4273</v>
      </c>
      <c r="AX218" s="82" t="s">
        <v>4273</v>
      </c>
      <c r="AY218" s="77"/>
      <c r="AZ218" s="82" t="s">
        <v>5075</v>
      </c>
      <c r="BA218" s="82" t="s">
        <v>5075</v>
      </c>
      <c r="BB218" s="82" t="s">
        <v>5075</v>
      </c>
      <c r="BC218" s="82" t="s">
        <v>4273</v>
      </c>
      <c r="BD218" s="77">
        <v>2239858518</v>
      </c>
      <c r="BE218" s="77"/>
      <c r="BF218" s="77"/>
      <c r="BG218" s="77"/>
      <c r="BH218" s="77"/>
      <c r="BI218" s="77"/>
    </row>
    <row r="219" spans="1:61" x14ac:dyDescent="0.25">
      <c r="A219" s="62" t="s">
        <v>300</v>
      </c>
      <c r="B219" s="62" t="s">
        <v>300</v>
      </c>
      <c r="C219" s="63"/>
      <c r="D219" s="64"/>
      <c r="E219" s="65"/>
      <c r="F219" s="66"/>
      <c r="G219" s="63"/>
      <c r="H219" s="67"/>
      <c r="I219" s="68"/>
      <c r="J219" s="68"/>
      <c r="K219" s="32"/>
      <c r="L219" s="75">
        <v>219</v>
      </c>
      <c r="M219" s="75"/>
      <c r="N219" s="70"/>
      <c r="O219" s="77" t="s">
        <v>179</v>
      </c>
      <c r="P219" s="79">
        <v>44974.375208333331</v>
      </c>
      <c r="Q219" s="77" t="s">
        <v>753</v>
      </c>
      <c r="R219" s="77">
        <v>0</v>
      </c>
      <c r="S219" s="77">
        <v>0</v>
      </c>
      <c r="T219" s="77">
        <v>0</v>
      </c>
      <c r="U219" s="77">
        <v>0</v>
      </c>
      <c r="V219" s="77">
        <v>2</v>
      </c>
      <c r="W219" s="82" t="s">
        <v>1600</v>
      </c>
      <c r="X219" s="80" t="str">
        <f>HYPERLINK("http://www.vidatodacorretora.com.br")</f>
        <v>http://www.vidatodacorretora.com.br</v>
      </c>
      <c r="Y219" s="77" t="s">
        <v>1978</v>
      </c>
      <c r="Z219" s="77"/>
      <c r="AA219" s="77" t="s">
        <v>2146</v>
      </c>
      <c r="AB219" s="77" t="s">
        <v>2632</v>
      </c>
      <c r="AC219" s="82" t="s">
        <v>2642</v>
      </c>
      <c r="AD219" s="77" t="s">
        <v>2670</v>
      </c>
      <c r="AE219" s="80" t="str">
        <f>HYPERLINK("https://twitter.com/vidatodaseguros/status/1626506816615055361")</f>
        <v>https://twitter.com/vidatodaseguros/status/1626506816615055361</v>
      </c>
      <c r="AF219" s="79">
        <v>44974.375208333331</v>
      </c>
      <c r="AG219" s="85">
        <v>44974</v>
      </c>
      <c r="AH219" s="82" t="s">
        <v>2862</v>
      </c>
      <c r="AI219" s="77" t="b">
        <v>0</v>
      </c>
      <c r="AJ219" s="77"/>
      <c r="AK219" s="77"/>
      <c r="AL219" s="77"/>
      <c r="AM219" s="77"/>
      <c r="AN219" s="77"/>
      <c r="AO219" s="77"/>
      <c r="AP219" s="77"/>
      <c r="AQ219" s="77" t="s">
        <v>3575</v>
      </c>
      <c r="AR219" s="77"/>
      <c r="AS219" s="77"/>
      <c r="AT219" s="77"/>
      <c r="AU219" s="77"/>
      <c r="AV219" s="80" t="str">
        <f>HYPERLINK("https://pbs.twimg.com/media/FpKDVG4XEAAq4WJ.jpg")</f>
        <v>https://pbs.twimg.com/media/FpKDVG4XEAAq4WJ.jpg</v>
      </c>
      <c r="AW219" s="82" t="s">
        <v>4274</v>
      </c>
      <c r="AX219" s="82" t="s">
        <v>4274</v>
      </c>
      <c r="AY219" s="77"/>
      <c r="AZ219" s="82" t="s">
        <v>5075</v>
      </c>
      <c r="BA219" s="82" t="s">
        <v>5075</v>
      </c>
      <c r="BB219" s="82" t="s">
        <v>5075</v>
      </c>
      <c r="BC219" s="82" t="s">
        <v>4274</v>
      </c>
      <c r="BD219" s="77">
        <v>2239858518</v>
      </c>
      <c r="BE219" s="77"/>
      <c r="BF219" s="77"/>
      <c r="BG219" s="77"/>
      <c r="BH219" s="77"/>
      <c r="BI219" s="77"/>
    </row>
    <row r="220" spans="1:61" x14ac:dyDescent="0.25">
      <c r="A220" s="62" t="s">
        <v>301</v>
      </c>
      <c r="B220" s="62" t="s">
        <v>301</v>
      </c>
      <c r="C220" s="63"/>
      <c r="D220" s="64"/>
      <c r="E220" s="65"/>
      <c r="F220" s="66"/>
      <c r="G220" s="63"/>
      <c r="H220" s="67"/>
      <c r="I220" s="68"/>
      <c r="J220" s="68"/>
      <c r="K220" s="32"/>
      <c r="L220" s="75">
        <v>220</v>
      </c>
      <c r="M220" s="75"/>
      <c r="N220" s="70"/>
      <c r="O220" s="77" t="s">
        <v>179</v>
      </c>
      <c r="P220" s="79">
        <v>45006.027824074074</v>
      </c>
      <c r="Q220" s="77" t="s">
        <v>754</v>
      </c>
      <c r="R220" s="77">
        <v>0</v>
      </c>
      <c r="S220" s="77">
        <v>0</v>
      </c>
      <c r="T220" s="77">
        <v>0</v>
      </c>
      <c r="U220" s="77">
        <v>0</v>
      </c>
      <c r="V220" s="77">
        <v>62</v>
      </c>
      <c r="W220" s="82" t="s">
        <v>1601</v>
      </c>
      <c r="X220" s="77"/>
      <c r="Y220" s="77"/>
      <c r="Z220" s="77"/>
      <c r="AA220" s="77"/>
      <c r="AB220" s="77"/>
      <c r="AC220" s="82" t="s">
        <v>2639</v>
      </c>
      <c r="AD220" s="77" t="s">
        <v>2670</v>
      </c>
      <c r="AE220" s="80" t="str">
        <f>HYPERLINK("https://twitter.com/dalai_money/status/1637977338175528960")</f>
        <v>https://twitter.com/dalai_money/status/1637977338175528960</v>
      </c>
      <c r="AF220" s="79">
        <v>45006.027824074074</v>
      </c>
      <c r="AG220" s="85">
        <v>45006</v>
      </c>
      <c r="AH220" s="82" t="s">
        <v>2863</v>
      </c>
      <c r="AI220" s="77"/>
      <c r="AJ220" s="77"/>
      <c r="AK220" s="77"/>
      <c r="AL220" s="77"/>
      <c r="AM220" s="77"/>
      <c r="AN220" s="77"/>
      <c r="AO220" s="77"/>
      <c r="AP220" s="77"/>
      <c r="AQ220" s="77"/>
      <c r="AR220" s="77"/>
      <c r="AS220" s="77"/>
      <c r="AT220" s="77"/>
      <c r="AU220" s="77"/>
      <c r="AV220" s="80" t="str">
        <f>HYPERLINK("https://pbs.twimg.com/profile_images/1481698610869944334/to1as_J2_normal.jpg")</f>
        <v>https://pbs.twimg.com/profile_images/1481698610869944334/to1as_J2_normal.jpg</v>
      </c>
      <c r="AW220" s="82" t="s">
        <v>4275</v>
      </c>
      <c r="AX220" s="82" t="s">
        <v>4275</v>
      </c>
      <c r="AY220" s="77"/>
      <c r="AZ220" s="82" t="s">
        <v>5075</v>
      </c>
      <c r="BA220" s="82" t="s">
        <v>5075</v>
      </c>
      <c r="BB220" s="82" t="s">
        <v>5075</v>
      </c>
      <c r="BC220" s="82" t="s">
        <v>4275</v>
      </c>
      <c r="BD220" s="77">
        <v>3385144997</v>
      </c>
      <c r="BE220" s="77"/>
      <c r="BF220" s="77"/>
      <c r="BG220" s="77"/>
      <c r="BH220" s="77"/>
      <c r="BI220" s="77"/>
    </row>
    <row r="221" spans="1:61" x14ac:dyDescent="0.25">
      <c r="A221" s="62" t="s">
        <v>302</v>
      </c>
      <c r="B221" s="62" t="s">
        <v>302</v>
      </c>
      <c r="C221" s="63"/>
      <c r="D221" s="64"/>
      <c r="E221" s="65"/>
      <c r="F221" s="66"/>
      <c r="G221" s="63"/>
      <c r="H221" s="67"/>
      <c r="I221" s="68"/>
      <c r="J221" s="68"/>
      <c r="K221" s="32"/>
      <c r="L221" s="75">
        <v>221</v>
      </c>
      <c r="M221" s="75"/>
      <c r="N221" s="70"/>
      <c r="O221" s="77" t="s">
        <v>179</v>
      </c>
      <c r="P221" s="79">
        <v>44973.75</v>
      </c>
      <c r="Q221" s="77" t="s">
        <v>755</v>
      </c>
      <c r="R221" s="77">
        <v>0</v>
      </c>
      <c r="S221" s="77">
        <v>0</v>
      </c>
      <c r="T221" s="77">
        <v>0</v>
      </c>
      <c r="U221" s="77">
        <v>0</v>
      </c>
      <c r="V221" s="77">
        <v>11</v>
      </c>
      <c r="W221" s="82" t="s">
        <v>1602</v>
      </c>
      <c r="X221" s="80" t="str">
        <f>HYPERLINK("https://bit.ly/gestao-fin-consultorio")</f>
        <v>https://bit.ly/gestao-fin-consultorio</v>
      </c>
      <c r="Y221" s="77" t="s">
        <v>1975</v>
      </c>
      <c r="Z221" s="77"/>
      <c r="AA221" s="77" t="s">
        <v>2147</v>
      </c>
      <c r="AB221" s="77" t="s">
        <v>2633</v>
      </c>
      <c r="AC221" s="82" t="s">
        <v>2651</v>
      </c>
      <c r="AD221" s="77" t="s">
        <v>2670</v>
      </c>
      <c r="AE221" s="80" t="str">
        <f>HYPERLINK("https://twitter.com/hidoctor/status/1626280249624502273")</f>
        <v>https://twitter.com/hidoctor/status/1626280249624502273</v>
      </c>
      <c r="AF221" s="79">
        <v>44973.75</v>
      </c>
      <c r="AG221" s="85">
        <v>44973</v>
      </c>
      <c r="AH221" s="82" t="s">
        <v>2864</v>
      </c>
      <c r="AI221" s="77" t="b">
        <v>0</v>
      </c>
      <c r="AJ221" s="77"/>
      <c r="AK221" s="77"/>
      <c r="AL221" s="77"/>
      <c r="AM221" s="77"/>
      <c r="AN221" s="77"/>
      <c r="AO221" s="77"/>
      <c r="AP221" s="77"/>
      <c r="AQ221" s="77" t="s">
        <v>3576</v>
      </c>
      <c r="AR221" s="77">
        <v>40000</v>
      </c>
      <c r="AS221" s="77"/>
      <c r="AT221" s="77"/>
      <c r="AU221" s="77"/>
      <c r="AV221" s="80" t="str">
        <f>HYPERLINK("https://pbs.twimg.com/ext_tw_video_thumb/1621259846979883011/pu/img/baEybwz7OH6qAQ4C.jpg")</f>
        <v>https://pbs.twimg.com/ext_tw_video_thumb/1621259846979883011/pu/img/baEybwz7OH6qAQ4C.jpg</v>
      </c>
      <c r="AW221" s="82" t="s">
        <v>4276</v>
      </c>
      <c r="AX221" s="82" t="s">
        <v>4276</v>
      </c>
      <c r="AY221" s="77"/>
      <c r="AZ221" s="82" t="s">
        <v>5075</v>
      </c>
      <c r="BA221" s="82" t="s">
        <v>5075</v>
      </c>
      <c r="BB221" s="82" t="s">
        <v>5075</v>
      </c>
      <c r="BC221" s="82" t="s">
        <v>4276</v>
      </c>
      <c r="BD221" s="77">
        <v>479716607</v>
      </c>
      <c r="BE221" s="77"/>
      <c r="BF221" s="77"/>
      <c r="BG221" s="77"/>
      <c r="BH221" s="77"/>
      <c r="BI221" s="77"/>
    </row>
    <row r="222" spans="1:61" x14ac:dyDescent="0.25">
      <c r="A222" s="62" t="s">
        <v>303</v>
      </c>
      <c r="B222" s="62" t="s">
        <v>303</v>
      </c>
      <c r="C222" s="63"/>
      <c r="D222" s="64"/>
      <c r="E222" s="65"/>
      <c r="F222" s="66"/>
      <c r="G222" s="63"/>
      <c r="H222" s="67"/>
      <c r="I222" s="68"/>
      <c r="J222" s="68"/>
      <c r="K222" s="32"/>
      <c r="L222" s="75">
        <v>222</v>
      </c>
      <c r="M222" s="75"/>
      <c r="N222" s="70"/>
      <c r="O222" s="77" t="s">
        <v>179</v>
      </c>
      <c r="P222" s="79">
        <v>45013.562754629631</v>
      </c>
      <c r="Q222" s="77" t="s">
        <v>756</v>
      </c>
      <c r="R222" s="77">
        <v>0</v>
      </c>
      <c r="S222" s="77">
        <v>0</v>
      </c>
      <c r="T222" s="77">
        <v>0</v>
      </c>
      <c r="U222" s="77">
        <v>0</v>
      </c>
      <c r="V222" s="77">
        <v>22</v>
      </c>
      <c r="W222" s="82" t="s">
        <v>1603</v>
      </c>
      <c r="X222" s="77"/>
      <c r="Y222" s="77"/>
      <c r="Z222" s="77"/>
      <c r="AA222" s="77" t="s">
        <v>2148</v>
      </c>
      <c r="AB222" s="77" t="s">
        <v>2632</v>
      </c>
      <c r="AC222" s="82" t="s">
        <v>2642</v>
      </c>
      <c r="AD222" s="77" t="s">
        <v>2673</v>
      </c>
      <c r="AE222" s="80" t="str">
        <f>HYPERLINK("https://twitter.com/cintiamenegazzo/status/1640707905581113344")</f>
        <v>https://twitter.com/cintiamenegazzo/status/1640707905581113344</v>
      </c>
      <c r="AF222" s="79">
        <v>45013.562754629631</v>
      </c>
      <c r="AG222" s="85">
        <v>45013</v>
      </c>
      <c r="AH222" s="82" t="s">
        <v>2865</v>
      </c>
      <c r="AI222" s="77" t="b">
        <v>0</v>
      </c>
      <c r="AJ222" s="77"/>
      <c r="AK222" s="77"/>
      <c r="AL222" s="77"/>
      <c r="AM222" s="77"/>
      <c r="AN222" s="77"/>
      <c r="AO222" s="77"/>
      <c r="AP222" s="77"/>
      <c r="AQ222" s="77" t="s">
        <v>3577</v>
      </c>
      <c r="AR222" s="77"/>
      <c r="AS222" s="77"/>
      <c r="AT222" s="77"/>
      <c r="AU222" s="77"/>
      <c r="AV222" s="80" t="str">
        <f>HYPERLINK("https://pbs.twimg.com/media/FsT3JUmX0AE9nxO.jpg")</f>
        <v>https://pbs.twimg.com/media/FsT3JUmX0AE9nxO.jpg</v>
      </c>
      <c r="AW222" s="82" t="s">
        <v>4277</v>
      </c>
      <c r="AX222" s="82" t="s">
        <v>4277</v>
      </c>
      <c r="AY222" s="77"/>
      <c r="AZ222" s="82" t="s">
        <v>5075</v>
      </c>
      <c r="BA222" s="82" t="s">
        <v>5075</v>
      </c>
      <c r="BB222" s="82" t="s">
        <v>5075</v>
      </c>
      <c r="BC222" s="82" t="s">
        <v>4277</v>
      </c>
      <c r="BD222" s="77">
        <v>135946507</v>
      </c>
      <c r="BE222" s="77"/>
      <c r="BF222" s="77"/>
      <c r="BG222" s="77"/>
      <c r="BH222" s="77"/>
      <c r="BI222" s="77"/>
    </row>
    <row r="223" spans="1:61" x14ac:dyDescent="0.25">
      <c r="A223" s="62" t="s">
        <v>304</v>
      </c>
      <c r="B223" s="62" t="s">
        <v>304</v>
      </c>
      <c r="C223" s="63"/>
      <c r="D223" s="64"/>
      <c r="E223" s="65"/>
      <c r="F223" s="66"/>
      <c r="G223" s="63"/>
      <c r="H223" s="67"/>
      <c r="I223" s="68"/>
      <c r="J223" s="68"/>
      <c r="K223" s="32"/>
      <c r="L223" s="75">
        <v>223</v>
      </c>
      <c r="M223" s="75"/>
      <c r="N223" s="70"/>
      <c r="O223" s="77" t="s">
        <v>179</v>
      </c>
      <c r="P223" s="79">
        <v>45079.568518518521</v>
      </c>
      <c r="Q223" s="77" t="s">
        <v>757</v>
      </c>
      <c r="R223" s="77">
        <v>1</v>
      </c>
      <c r="S223" s="77">
        <v>1</v>
      </c>
      <c r="T223" s="77">
        <v>0</v>
      </c>
      <c r="U223" s="77">
        <v>0</v>
      </c>
      <c r="V223" s="77">
        <v>52</v>
      </c>
      <c r="W223" s="82" t="s">
        <v>1604</v>
      </c>
      <c r="X223" s="77"/>
      <c r="Y223" s="77"/>
      <c r="Z223" s="77"/>
      <c r="AA223" s="77" t="s">
        <v>2149</v>
      </c>
      <c r="AB223" s="77" t="s">
        <v>2632</v>
      </c>
      <c r="AC223" s="82" t="s">
        <v>2639</v>
      </c>
      <c r="AD223" s="77" t="s">
        <v>2670</v>
      </c>
      <c r="AE223" s="80" t="str">
        <f>HYPERLINK("https://twitter.com/snapfi_br/status/1664627593860075520")</f>
        <v>https://twitter.com/snapfi_br/status/1664627593860075520</v>
      </c>
      <c r="AF223" s="79">
        <v>45079.568518518521</v>
      </c>
      <c r="AG223" s="85">
        <v>45079</v>
      </c>
      <c r="AH223" s="82" t="s">
        <v>2866</v>
      </c>
      <c r="AI223" s="77" t="b">
        <v>0</v>
      </c>
      <c r="AJ223" s="77"/>
      <c r="AK223" s="77"/>
      <c r="AL223" s="77"/>
      <c r="AM223" s="77"/>
      <c r="AN223" s="77"/>
      <c r="AO223" s="77"/>
      <c r="AP223" s="77"/>
      <c r="AQ223" s="77" t="s">
        <v>3578</v>
      </c>
      <c r="AR223" s="77"/>
      <c r="AS223" s="77"/>
      <c r="AT223" s="77"/>
      <c r="AU223" s="77"/>
      <c r="AV223" s="80" t="str">
        <f>HYPERLINK("https://pbs.twimg.com/media/Fxnx7DIXsAE8mxz.jpg")</f>
        <v>https://pbs.twimg.com/media/Fxnx7DIXsAE8mxz.jpg</v>
      </c>
      <c r="AW223" s="82" t="s">
        <v>4278</v>
      </c>
      <c r="AX223" s="82" t="s">
        <v>4278</v>
      </c>
      <c r="AY223" s="77"/>
      <c r="AZ223" s="82" t="s">
        <v>5075</v>
      </c>
      <c r="BA223" s="82" t="s">
        <v>5075</v>
      </c>
      <c r="BB223" s="82" t="s">
        <v>5075</v>
      </c>
      <c r="BC223" s="82" t="s">
        <v>4278</v>
      </c>
      <c r="BD223" s="82" t="s">
        <v>5165</v>
      </c>
      <c r="BE223" s="77"/>
      <c r="BF223" s="77"/>
      <c r="BG223" s="77"/>
      <c r="BH223" s="77"/>
      <c r="BI223" s="77"/>
    </row>
    <row r="224" spans="1:61" x14ac:dyDescent="0.25">
      <c r="A224" s="62" t="s">
        <v>305</v>
      </c>
      <c r="B224" s="62" t="s">
        <v>305</v>
      </c>
      <c r="C224" s="63"/>
      <c r="D224" s="64"/>
      <c r="E224" s="65"/>
      <c r="F224" s="66"/>
      <c r="G224" s="63"/>
      <c r="H224" s="67"/>
      <c r="I224" s="68"/>
      <c r="J224" s="68"/>
      <c r="K224" s="32"/>
      <c r="L224" s="75">
        <v>224</v>
      </c>
      <c r="M224" s="75"/>
      <c r="N224" s="70"/>
      <c r="O224" s="77" t="s">
        <v>179</v>
      </c>
      <c r="P224" s="79">
        <v>45118.030891203707</v>
      </c>
      <c r="Q224" s="77" t="s">
        <v>758</v>
      </c>
      <c r="R224" s="77">
        <v>0</v>
      </c>
      <c r="S224" s="77">
        <v>2</v>
      </c>
      <c r="T224" s="77">
        <v>2</v>
      </c>
      <c r="U224" s="77">
        <v>0</v>
      </c>
      <c r="V224" s="77">
        <v>66</v>
      </c>
      <c r="W224" s="82" t="s">
        <v>1605</v>
      </c>
      <c r="X224" s="77"/>
      <c r="Y224" s="77"/>
      <c r="Z224" s="77"/>
      <c r="AA224" s="77" t="s">
        <v>2150</v>
      </c>
      <c r="AB224" s="77" t="s">
        <v>2632</v>
      </c>
      <c r="AC224" s="82" t="s">
        <v>2638</v>
      </c>
      <c r="AD224" s="77" t="s">
        <v>2673</v>
      </c>
      <c r="AE224" s="80" t="str">
        <f>HYPERLINK("https://twitter.com/henleinvest/status/1678565890181218304")</f>
        <v>https://twitter.com/henleinvest/status/1678565890181218304</v>
      </c>
      <c r="AF224" s="79">
        <v>45118.030891203707</v>
      </c>
      <c r="AG224" s="85">
        <v>45118</v>
      </c>
      <c r="AH224" s="82" t="s">
        <v>2867</v>
      </c>
      <c r="AI224" s="77" t="b">
        <v>0</v>
      </c>
      <c r="AJ224" s="77"/>
      <c r="AK224" s="77"/>
      <c r="AL224" s="77"/>
      <c r="AM224" s="77"/>
      <c r="AN224" s="77"/>
      <c r="AO224" s="77"/>
      <c r="AP224" s="77"/>
      <c r="AQ224" s="77" t="s">
        <v>3579</v>
      </c>
      <c r="AR224" s="77"/>
      <c r="AS224" s="77"/>
      <c r="AT224" s="77"/>
      <c r="AU224" s="77"/>
      <c r="AV224" s="80" t="str">
        <f>HYPERLINK("https://pbs.twimg.com/media/F0t2x-IWYAArkil.jpg")</f>
        <v>https://pbs.twimg.com/media/F0t2x-IWYAArkil.jpg</v>
      </c>
      <c r="AW224" s="82" t="s">
        <v>4279</v>
      </c>
      <c r="AX224" s="82" t="s">
        <v>4279</v>
      </c>
      <c r="AY224" s="77"/>
      <c r="AZ224" s="82" t="s">
        <v>5075</v>
      </c>
      <c r="BA224" s="82" t="s">
        <v>5075</v>
      </c>
      <c r="BB224" s="82" t="s">
        <v>5075</v>
      </c>
      <c r="BC224" s="82" t="s">
        <v>4279</v>
      </c>
      <c r="BD224" s="82" t="s">
        <v>5166</v>
      </c>
      <c r="BE224" s="77"/>
      <c r="BF224" s="77"/>
      <c r="BG224" s="77"/>
      <c r="BH224" s="77"/>
      <c r="BI224" s="77"/>
    </row>
    <row r="225" spans="1:61" x14ac:dyDescent="0.25">
      <c r="A225" s="62" t="s">
        <v>306</v>
      </c>
      <c r="B225" s="62" t="s">
        <v>306</v>
      </c>
      <c r="C225" s="63"/>
      <c r="D225" s="64"/>
      <c r="E225" s="65"/>
      <c r="F225" s="66"/>
      <c r="G225" s="63"/>
      <c r="H225" s="67"/>
      <c r="I225" s="68"/>
      <c r="J225" s="68"/>
      <c r="K225" s="32"/>
      <c r="L225" s="75">
        <v>225</v>
      </c>
      <c r="M225" s="75"/>
      <c r="N225" s="70"/>
      <c r="O225" s="77" t="s">
        <v>179</v>
      </c>
      <c r="P225" s="79">
        <v>45144.777106481481</v>
      </c>
      <c r="Q225" s="77" t="s">
        <v>759</v>
      </c>
      <c r="R225" s="77">
        <v>0</v>
      </c>
      <c r="S225" s="77">
        <v>0</v>
      </c>
      <c r="T225" s="77">
        <v>0</v>
      </c>
      <c r="U225" s="77">
        <v>0</v>
      </c>
      <c r="V225" s="77">
        <v>3</v>
      </c>
      <c r="W225" s="82" t="s">
        <v>1606</v>
      </c>
      <c r="X225" s="77"/>
      <c r="Y225" s="77"/>
      <c r="Z225" s="77"/>
      <c r="AA225" s="77"/>
      <c r="AB225" s="77"/>
      <c r="AC225" s="82" t="s">
        <v>2638</v>
      </c>
      <c r="AD225" s="77" t="s">
        <v>2670</v>
      </c>
      <c r="AE225" s="80" t="str">
        <f>HYPERLINK("https://twitter.com/investidigital/status/1688258397597011971")</f>
        <v>https://twitter.com/investidigital/status/1688258397597011971</v>
      </c>
      <c r="AF225" s="79">
        <v>45144.777106481481</v>
      </c>
      <c r="AG225" s="85">
        <v>45144</v>
      </c>
      <c r="AH225" s="82" t="s">
        <v>2868</v>
      </c>
      <c r="AI225" s="77"/>
      <c r="AJ225" s="77"/>
      <c r="AK225" s="77"/>
      <c r="AL225" s="77"/>
      <c r="AM225" s="77"/>
      <c r="AN225" s="77"/>
      <c r="AO225" s="77"/>
      <c r="AP225" s="77"/>
      <c r="AQ225" s="77"/>
      <c r="AR225" s="77"/>
      <c r="AS225" s="77"/>
      <c r="AT225" s="77"/>
      <c r="AU225" s="77"/>
      <c r="AV225" s="80" t="str">
        <f>HYPERLINK("https://pbs.twimg.com/profile_images/1688257623194247168/a-zuwpVV_normal.jpg")</f>
        <v>https://pbs.twimg.com/profile_images/1688257623194247168/a-zuwpVV_normal.jpg</v>
      </c>
      <c r="AW225" s="82" t="s">
        <v>4280</v>
      </c>
      <c r="AX225" s="82" t="s">
        <v>4280</v>
      </c>
      <c r="AY225" s="77"/>
      <c r="AZ225" s="82" t="s">
        <v>5075</v>
      </c>
      <c r="BA225" s="82" t="s">
        <v>5075</v>
      </c>
      <c r="BB225" s="82" t="s">
        <v>5075</v>
      </c>
      <c r="BC225" s="82" t="s">
        <v>4280</v>
      </c>
      <c r="BD225" s="82" t="s">
        <v>5167</v>
      </c>
      <c r="BE225" s="77"/>
      <c r="BF225" s="77"/>
      <c r="BG225" s="77"/>
      <c r="BH225" s="77"/>
      <c r="BI225" s="77"/>
    </row>
    <row r="226" spans="1:61" x14ac:dyDescent="0.25">
      <c r="A226" s="62" t="s">
        <v>307</v>
      </c>
      <c r="B226" s="62" t="s">
        <v>307</v>
      </c>
      <c r="C226" s="63"/>
      <c r="D226" s="64"/>
      <c r="E226" s="65"/>
      <c r="F226" s="66"/>
      <c r="G226" s="63"/>
      <c r="H226" s="67"/>
      <c r="I226" s="68"/>
      <c r="J226" s="68"/>
      <c r="K226" s="32"/>
      <c r="L226" s="75">
        <v>226</v>
      </c>
      <c r="M226" s="75"/>
      <c r="N226" s="70"/>
      <c r="O226" s="77" t="s">
        <v>179</v>
      </c>
      <c r="P226" s="79">
        <v>45098.688101851854</v>
      </c>
      <c r="Q226" s="77" t="s">
        <v>760</v>
      </c>
      <c r="R226" s="77">
        <v>0</v>
      </c>
      <c r="S226" s="77">
        <v>0</v>
      </c>
      <c r="T226" s="77">
        <v>0</v>
      </c>
      <c r="U226" s="77">
        <v>0</v>
      </c>
      <c r="V226" s="77">
        <v>17</v>
      </c>
      <c r="W226" s="82" t="s">
        <v>1607</v>
      </c>
      <c r="X226" s="77"/>
      <c r="Y226" s="77"/>
      <c r="Z226" s="77"/>
      <c r="AA226" s="77" t="s">
        <v>2151</v>
      </c>
      <c r="AB226" s="77" t="s">
        <v>2632</v>
      </c>
      <c r="AC226" s="82" t="s">
        <v>2639</v>
      </c>
      <c r="AD226" s="77" t="s">
        <v>2670</v>
      </c>
      <c r="AE226" s="80" t="str">
        <f>HYPERLINK("https://twitter.com/moprify/status/1671556299098554375")</f>
        <v>https://twitter.com/moprify/status/1671556299098554375</v>
      </c>
      <c r="AF226" s="79">
        <v>45098.688101851854</v>
      </c>
      <c r="AG226" s="85">
        <v>45098</v>
      </c>
      <c r="AH226" s="82" t="s">
        <v>2869</v>
      </c>
      <c r="AI226" s="77" t="b">
        <v>0</v>
      </c>
      <c r="AJ226" s="77"/>
      <c r="AK226" s="77"/>
      <c r="AL226" s="77"/>
      <c r="AM226" s="77"/>
      <c r="AN226" s="77"/>
      <c r="AO226" s="77"/>
      <c r="AP226" s="77"/>
      <c r="AQ226" s="77" t="s">
        <v>3580</v>
      </c>
      <c r="AR226" s="77"/>
      <c r="AS226" s="77"/>
      <c r="AT226" s="77"/>
      <c r="AU226" s="77"/>
      <c r="AV226" s="80" t="str">
        <f>HYPERLINK("https://pbs.twimg.com/media/FzKPXI6WcAILLxm.jpg")</f>
        <v>https://pbs.twimg.com/media/FzKPXI6WcAILLxm.jpg</v>
      </c>
      <c r="AW226" s="82" t="s">
        <v>4281</v>
      </c>
      <c r="AX226" s="82" t="s">
        <v>4281</v>
      </c>
      <c r="AY226" s="77"/>
      <c r="AZ226" s="82" t="s">
        <v>5075</v>
      </c>
      <c r="BA226" s="82" t="s">
        <v>5075</v>
      </c>
      <c r="BB226" s="82" t="s">
        <v>5075</v>
      </c>
      <c r="BC226" s="82" t="s">
        <v>4281</v>
      </c>
      <c r="BD226" s="82" t="s">
        <v>5168</v>
      </c>
      <c r="BE226" s="77"/>
      <c r="BF226" s="77"/>
      <c r="BG226" s="77"/>
      <c r="BH226" s="77"/>
      <c r="BI226" s="77"/>
    </row>
    <row r="227" spans="1:61" x14ac:dyDescent="0.25">
      <c r="A227" s="62" t="s">
        <v>308</v>
      </c>
      <c r="B227" s="62" t="s">
        <v>308</v>
      </c>
      <c r="C227" s="63"/>
      <c r="D227" s="64"/>
      <c r="E227" s="65"/>
      <c r="F227" s="66"/>
      <c r="G227" s="63"/>
      <c r="H227" s="67"/>
      <c r="I227" s="68"/>
      <c r="J227" s="68"/>
      <c r="K227" s="32"/>
      <c r="L227" s="75">
        <v>227</v>
      </c>
      <c r="M227" s="75"/>
      <c r="N227" s="70"/>
      <c r="O227" s="77" t="s">
        <v>179</v>
      </c>
      <c r="P227" s="79">
        <v>44995.449224537035</v>
      </c>
      <c r="Q227" s="77" t="s">
        <v>761</v>
      </c>
      <c r="R227" s="77">
        <v>0</v>
      </c>
      <c r="S227" s="77">
        <v>0</v>
      </c>
      <c r="T227" s="77">
        <v>0</v>
      </c>
      <c r="U227" s="77">
        <v>0</v>
      </c>
      <c r="V227" s="77">
        <v>9</v>
      </c>
      <c r="W227" s="82" t="s">
        <v>1608</v>
      </c>
      <c r="X227" s="80" t="str">
        <f>HYPERLINK("http://www.brainev.com/?a=azizbasry")</f>
        <v>http://www.brainev.com/?a=azizbasry</v>
      </c>
      <c r="Y227" s="77" t="s">
        <v>1983</v>
      </c>
      <c r="Z227" s="77"/>
      <c r="AA227" s="77"/>
      <c r="AB227" s="77"/>
      <c r="AC227" s="82" t="s">
        <v>2639</v>
      </c>
      <c r="AD227" s="77" t="s">
        <v>2671</v>
      </c>
      <c r="AE227" s="80" t="str">
        <f>HYPERLINK("https://twitter.com/azizbasry/status/1634143783024578561")</f>
        <v>https://twitter.com/azizbasry/status/1634143783024578561</v>
      </c>
      <c r="AF227" s="79">
        <v>44995.449224537035</v>
      </c>
      <c r="AG227" s="85">
        <v>44995</v>
      </c>
      <c r="AH227" s="82" t="s">
        <v>2870</v>
      </c>
      <c r="AI227" s="77" t="b">
        <v>0</v>
      </c>
      <c r="AJ227" s="77"/>
      <c r="AK227" s="77"/>
      <c r="AL227" s="77"/>
      <c r="AM227" s="77"/>
      <c r="AN227" s="77"/>
      <c r="AO227" s="77"/>
      <c r="AP227" s="77"/>
      <c r="AQ227" s="77"/>
      <c r="AR227" s="77"/>
      <c r="AS227" s="77"/>
      <c r="AT227" s="77"/>
      <c r="AU227" s="77"/>
      <c r="AV227" s="80" t="str">
        <f>HYPERLINK("https://pbs.twimg.com/profile_images/1620109434906152980/LdPkoH0z_normal.jpg")</f>
        <v>https://pbs.twimg.com/profile_images/1620109434906152980/LdPkoH0z_normal.jpg</v>
      </c>
      <c r="AW227" s="82" t="s">
        <v>4282</v>
      </c>
      <c r="AX227" s="82" t="s">
        <v>4282</v>
      </c>
      <c r="AY227" s="77"/>
      <c r="AZ227" s="82" t="s">
        <v>5075</v>
      </c>
      <c r="BA227" s="82" t="s">
        <v>5075</v>
      </c>
      <c r="BB227" s="82" t="s">
        <v>5075</v>
      </c>
      <c r="BC227" s="82" t="s">
        <v>4282</v>
      </c>
      <c r="BD227" s="77">
        <v>424440280</v>
      </c>
      <c r="BE227" s="77"/>
      <c r="BF227" s="77"/>
      <c r="BG227" s="77"/>
      <c r="BH227" s="77"/>
      <c r="BI227" s="77"/>
    </row>
    <row r="228" spans="1:61" x14ac:dyDescent="0.25">
      <c r="A228" s="62" t="s">
        <v>309</v>
      </c>
      <c r="B228" s="62" t="s">
        <v>524</v>
      </c>
      <c r="C228" s="63"/>
      <c r="D228" s="64"/>
      <c r="E228" s="65"/>
      <c r="F228" s="66"/>
      <c r="G228" s="63"/>
      <c r="H228" s="67"/>
      <c r="I228" s="68"/>
      <c r="J228" s="68"/>
      <c r="K228" s="32"/>
      <c r="L228" s="75">
        <v>228</v>
      </c>
      <c r="M228" s="75"/>
      <c r="N228" s="70"/>
      <c r="O228" s="77" t="s">
        <v>536</v>
      </c>
      <c r="P228" s="79">
        <v>45088.978159722225</v>
      </c>
      <c r="Q228" s="77" t="s">
        <v>762</v>
      </c>
      <c r="R228" s="77">
        <v>0</v>
      </c>
      <c r="S228" s="77">
        <v>0</v>
      </c>
      <c r="T228" s="77">
        <v>0</v>
      </c>
      <c r="U228" s="77">
        <v>0</v>
      </c>
      <c r="V228" s="77">
        <v>9</v>
      </c>
      <c r="W228" s="82" t="s">
        <v>1435</v>
      </c>
      <c r="X228" s="77"/>
      <c r="Y228" s="77"/>
      <c r="Z228" s="77" t="s">
        <v>524</v>
      </c>
      <c r="AA228" s="77"/>
      <c r="AB228" s="77"/>
      <c r="AC228" s="82" t="s">
        <v>2640</v>
      </c>
      <c r="AD228" s="77" t="s">
        <v>2673</v>
      </c>
      <c r="AE228" s="80" t="str">
        <f>HYPERLINK("https://twitter.com/jorg1nho_/status/1668037533865852929")</f>
        <v>https://twitter.com/jorg1nho_/status/1668037533865852929</v>
      </c>
      <c r="AF228" s="79">
        <v>45088.978159722225</v>
      </c>
      <c r="AG228" s="85">
        <v>45088</v>
      </c>
      <c r="AH228" s="82" t="s">
        <v>2871</v>
      </c>
      <c r="AI228" s="77"/>
      <c r="AJ228" s="77"/>
      <c r="AK228" s="77"/>
      <c r="AL228" s="77"/>
      <c r="AM228" s="77"/>
      <c r="AN228" s="77"/>
      <c r="AO228" s="77"/>
      <c r="AP228" s="77"/>
      <c r="AQ228" s="77"/>
      <c r="AR228" s="77"/>
      <c r="AS228" s="77"/>
      <c r="AT228" s="77"/>
      <c r="AU228" s="77"/>
      <c r="AV228" s="80" t="str">
        <f>HYPERLINK("https://pbs.twimg.com/profile_images/1237513137550536704/LlzsxU1Z_normal.jpg")</f>
        <v>https://pbs.twimg.com/profile_images/1237513137550536704/LlzsxU1Z_normal.jpg</v>
      </c>
      <c r="AW228" s="82" t="s">
        <v>4283</v>
      </c>
      <c r="AX228" s="82" t="s">
        <v>4968</v>
      </c>
      <c r="AY228" s="82" t="s">
        <v>5037</v>
      </c>
      <c r="AZ228" s="82" t="s">
        <v>4968</v>
      </c>
      <c r="BA228" s="82" t="s">
        <v>5075</v>
      </c>
      <c r="BB228" s="82" t="s">
        <v>5075</v>
      </c>
      <c r="BC228" s="82" t="s">
        <v>4968</v>
      </c>
      <c r="BD228" s="77">
        <v>3411124432</v>
      </c>
      <c r="BE228" s="77"/>
      <c r="BF228" s="77"/>
      <c r="BG228" s="77"/>
      <c r="BH228" s="77"/>
      <c r="BI228" s="77"/>
    </row>
    <row r="229" spans="1:61" x14ac:dyDescent="0.25">
      <c r="A229" s="62" t="s">
        <v>310</v>
      </c>
      <c r="B229" s="62" t="s">
        <v>310</v>
      </c>
      <c r="C229" s="63"/>
      <c r="D229" s="64"/>
      <c r="E229" s="65"/>
      <c r="F229" s="66"/>
      <c r="G229" s="63"/>
      <c r="H229" s="67"/>
      <c r="I229" s="68"/>
      <c r="J229" s="68"/>
      <c r="K229" s="32"/>
      <c r="L229" s="75">
        <v>229</v>
      </c>
      <c r="M229" s="75"/>
      <c r="N229" s="70"/>
      <c r="O229" s="77" t="s">
        <v>536</v>
      </c>
      <c r="P229" s="79">
        <v>45149.611793981479</v>
      </c>
      <c r="Q229" s="77" t="s">
        <v>763</v>
      </c>
      <c r="R229" s="77">
        <v>0</v>
      </c>
      <c r="S229" s="77">
        <v>0</v>
      </c>
      <c r="T229" s="77">
        <v>0</v>
      </c>
      <c r="U229" s="77">
        <v>0</v>
      </c>
      <c r="V229" s="77">
        <v>29</v>
      </c>
      <c r="W229" s="82" t="s">
        <v>1609</v>
      </c>
      <c r="X229" s="80" t="str">
        <f>HYPERLINK("http://contasonline.com.br")</f>
        <v>http://contasonline.com.br</v>
      </c>
      <c r="Y229" s="77" t="s">
        <v>1978</v>
      </c>
      <c r="Z229" s="77"/>
      <c r="AA229" s="77" t="s">
        <v>2152</v>
      </c>
      <c r="AB229" s="77" t="s">
        <v>2636</v>
      </c>
      <c r="AC229" s="82" t="s">
        <v>2639</v>
      </c>
      <c r="AD229" s="77" t="s">
        <v>2670</v>
      </c>
      <c r="AE229" s="80" t="str">
        <f>HYPERLINK("https://twitter.com/contas_online/status/1690010426015174656")</f>
        <v>https://twitter.com/contas_online/status/1690010426015174656</v>
      </c>
      <c r="AF229" s="79">
        <v>45149.611793981479</v>
      </c>
      <c r="AG229" s="85">
        <v>45149</v>
      </c>
      <c r="AH229" s="82" t="s">
        <v>2872</v>
      </c>
      <c r="AI229" s="77" t="b">
        <v>0</v>
      </c>
      <c r="AJ229" s="77"/>
      <c r="AK229" s="77"/>
      <c r="AL229" s="77"/>
      <c r="AM229" s="77"/>
      <c r="AN229" s="77"/>
      <c r="AO229" s="77"/>
      <c r="AP229" s="77"/>
      <c r="AQ229" s="77" t="s">
        <v>3581</v>
      </c>
      <c r="AR229" s="77"/>
      <c r="AS229" s="77"/>
      <c r="AT229" s="77"/>
      <c r="AU229" s="77"/>
      <c r="AV229" s="80" t="str">
        <f>HYPERLINK("https://pbs.twimg.com/media/F3QfePJWgAA_wtQ.jpg")</f>
        <v>https://pbs.twimg.com/media/F3QfePJWgAA_wtQ.jpg</v>
      </c>
      <c r="AW229" s="82" t="s">
        <v>4284</v>
      </c>
      <c r="AX229" s="82" t="s">
        <v>4969</v>
      </c>
      <c r="AY229" s="82" t="s">
        <v>5038</v>
      </c>
      <c r="AZ229" s="82" t="s">
        <v>4969</v>
      </c>
      <c r="BA229" s="82" t="s">
        <v>5075</v>
      </c>
      <c r="BB229" s="82" t="s">
        <v>5075</v>
      </c>
      <c r="BC229" s="82" t="s">
        <v>4969</v>
      </c>
      <c r="BD229" s="77">
        <v>274989938</v>
      </c>
      <c r="BE229" s="77"/>
      <c r="BF229" s="77"/>
      <c r="BG229" s="77"/>
      <c r="BH229" s="77"/>
      <c r="BI229" s="77"/>
    </row>
    <row r="230" spans="1:61" x14ac:dyDescent="0.25">
      <c r="A230" s="62" t="s">
        <v>310</v>
      </c>
      <c r="B230" s="62" t="s">
        <v>310</v>
      </c>
      <c r="C230" s="63"/>
      <c r="D230" s="64"/>
      <c r="E230" s="65"/>
      <c r="F230" s="66"/>
      <c r="G230" s="63"/>
      <c r="H230" s="67"/>
      <c r="I230" s="68"/>
      <c r="J230" s="68"/>
      <c r="K230" s="32"/>
      <c r="L230" s="75">
        <v>230</v>
      </c>
      <c r="M230" s="75"/>
      <c r="N230" s="70"/>
      <c r="O230" s="77" t="s">
        <v>179</v>
      </c>
      <c r="P230" s="79">
        <v>45174.695763888885</v>
      </c>
      <c r="Q230" s="77" t="s">
        <v>764</v>
      </c>
      <c r="R230" s="77">
        <v>0</v>
      </c>
      <c r="S230" s="77">
        <v>0</v>
      </c>
      <c r="T230" s="77">
        <v>1</v>
      </c>
      <c r="U230" s="77">
        <v>0</v>
      </c>
      <c r="V230" s="77">
        <v>31</v>
      </c>
      <c r="W230" s="82" t="s">
        <v>1610</v>
      </c>
      <c r="X230" s="77"/>
      <c r="Y230" s="77"/>
      <c r="Z230" s="77"/>
      <c r="AA230" s="77" t="s">
        <v>2153</v>
      </c>
      <c r="AB230" s="77" t="s">
        <v>2635</v>
      </c>
      <c r="AC230" s="82" t="s">
        <v>2639</v>
      </c>
      <c r="AD230" s="77" t="s">
        <v>2670</v>
      </c>
      <c r="AE230" s="80" t="str">
        <f>HYPERLINK("https://twitter.com/contas_online/status/1699100554008420762")</f>
        <v>https://twitter.com/contas_online/status/1699100554008420762</v>
      </c>
      <c r="AF230" s="79">
        <v>45174.695763888885</v>
      </c>
      <c r="AG230" s="85">
        <v>45174</v>
      </c>
      <c r="AH230" s="82" t="s">
        <v>2873</v>
      </c>
      <c r="AI230" s="77" t="b">
        <v>0</v>
      </c>
      <c r="AJ230" s="77"/>
      <c r="AK230" s="77"/>
      <c r="AL230" s="77"/>
      <c r="AM230" s="77"/>
      <c r="AN230" s="77"/>
      <c r="AO230" s="77"/>
      <c r="AP230" s="77"/>
      <c r="AQ230" s="77" t="s">
        <v>3582</v>
      </c>
      <c r="AR230" s="77"/>
      <c r="AS230" s="77"/>
      <c r="AT230" s="77"/>
      <c r="AU230" s="77"/>
      <c r="AV230" s="80" t="str">
        <f>HYPERLINK("https://pbs.twimg.com/media/F5Rq3KKXYAMsB2v.jpg")</f>
        <v>https://pbs.twimg.com/media/F5Rq3KKXYAMsB2v.jpg</v>
      </c>
      <c r="AW230" s="82" t="s">
        <v>4285</v>
      </c>
      <c r="AX230" s="82" t="s">
        <v>4285</v>
      </c>
      <c r="AY230" s="77"/>
      <c r="AZ230" s="82" t="s">
        <v>5075</v>
      </c>
      <c r="BA230" s="82" t="s">
        <v>5075</v>
      </c>
      <c r="BB230" s="82" t="s">
        <v>5075</v>
      </c>
      <c r="BC230" s="82" t="s">
        <v>4285</v>
      </c>
      <c r="BD230" s="77">
        <v>274989938</v>
      </c>
      <c r="BE230" s="77"/>
      <c r="BF230" s="77"/>
      <c r="BG230" s="77"/>
      <c r="BH230" s="77"/>
      <c r="BI230" s="77"/>
    </row>
    <row r="231" spans="1:61" x14ac:dyDescent="0.25">
      <c r="A231" s="62" t="s">
        <v>311</v>
      </c>
      <c r="B231" s="62" t="s">
        <v>311</v>
      </c>
      <c r="C231" s="63"/>
      <c r="D231" s="64"/>
      <c r="E231" s="65"/>
      <c r="F231" s="66"/>
      <c r="G231" s="63"/>
      <c r="H231" s="67"/>
      <c r="I231" s="68"/>
      <c r="J231" s="68"/>
      <c r="K231" s="32"/>
      <c r="L231" s="75">
        <v>231</v>
      </c>
      <c r="M231" s="75"/>
      <c r="N231" s="70"/>
      <c r="O231" s="77" t="s">
        <v>536</v>
      </c>
      <c r="P231" s="79">
        <v>45181.738657407404</v>
      </c>
      <c r="Q231" s="77" t="s">
        <v>765</v>
      </c>
      <c r="R231" s="77">
        <v>0</v>
      </c>
      <c r="S231" s="77">
        <v>0</v>
      </c>
      <c r="T231" s="77">
        <v>0</v>
      </c>
      <c r="U231" s="77">
        <v>0</v>
      </c>
      <c r="V231" s="77">
        <v>31</v>
      </c>
      <c r="W231" s="82" t="s">
        <v>1611</v>
      </c>
      <c r="X231" s="77"/>
      <c r="Y231" s="77"/>
      <c r="Z231" s="77"/>
      <c r="AA231" s="77"/>
      <c r="AB231" s="77"/>
      <c r="AC231" s="82" t="s">
        <v>2638</v>
      </c>
      <c r="AD231" s="77" t="s">
        <v>2670</v>
      </c>
      <c r="AE231" s="80" t="str">
        <f>HYPERLINK("https://twitter.com/financialstream/status/1701652814517158109")</f>
        <v>https://twitter.com/financialstream/status/1701652814517158109</v>
      </c>
      <c r="AF231" s="79">
        <v>45181.738657407404</v>
      </c>
      <c r="AG231" s="85">
        <v>45181</v>
      </c>
      <c r="AH231" s="82" t="s">
        <v>2874</v>
      </c>
      <c r="AI231" s="77"/>
      <c r="AJ231" s="77"/>
      <c r="AK231" s="77"/>
      <c r="AL231" s="77"/>
      <c r="AM231" s="77"/>
      <c r="AN231" s="77"/>
      <c r="AO231" s="77"/>
      <c r="AP231" s="77"/>
      <c r="AQ231" s="77"/>
      <c r="AR231" s="77"/>
      <c r="AS231" s="77"/>
      <c r="AT231" s="77"/>
      <c r="AU231" s="77"/>
      <c r="AV231" s="80" t="str">
        <f>HYPERLINK("https://pbs.twimg.com/profile_images/1550999438952464384/tFhqdbVs_normal.jpg")</f>
        <v>https://pbs.twimg.com/profile_images/1550999438952464384/tFhqdbVs_normal.jpg</v>
      </c>
      <c r="AW231" s="82" t="s">
        <v>4286</v>
      </c>
      <c r="AX231" s="82" t="s">
        <v>4970</v>
      </c>
      <c r="AY231" s="82" t="s">
        <v>5039</v>
      </c>
      <c r="AZ231" s="82" t="s">
        <v>5085</v>
      </c>
      <c r="BA231" s="82" t="s">
        <v>5075</v>
      </c>
      <c r="BB231" s="82" t="s">
        <v>5075</v>
      </c>
      <c r="BC231" s="82" t="s">
        <v>5085</v>
      </c>
      <c r="BD231" s="82" t="s">
        <v>5039</v>
      </c>
      <c r="BE231" s="77"/>
      <c r="BF231" s="77"/>
      <c r="BG231" s="77"/>
      <c r="BH231" s="77"/>
      <c r="BI231" s="77"/>
    </row>
    <row r="232" spans="1:61" x14ac:dyDescent="0.25">
      <c r="A232" s="62" t="s">
        <v>311</v>
      </c>
      <c r="B232" s="62" t="s">
        <v>311</v>
      </c>
      <c r="C232" s="63"/>
      <c r="D232" s="64"/>
      <c r="E232" s="65"/>
      <c r="F232" s="66"/>
      <c r="G232" s="63"/>
      <c r="H232" s="67"/>
      <c r="I232" s="68"/>
      <c r="J232" s="68"/>
      <c r="K232" s="32"/>
      <c r="L232" s="75">
        <v>232</v>
      </c>
      <c r="M232" s="75"/>
      <c r="N232" s="70"/>
      <c r="O232" s="77" t="s">
        <v>536</v>
      </c>
      <c r="P232" s="79">
        <v>45183.093715277777</v>
      </c>
      <c r="Q232" s="77" t="s">
        <v>766</v>
      </c>
      <c r="R232" s="77">
        <v>0</v>
      </c>
      <c r="S232" s="77">
        <v>0</v>
      </c>
      <c r="T232" s="77">
        <v>0</v>
      </c>
      <c r="U232" s="77">
        <v>0</v>
      </c>
      <c r="V232" s="77">
        <v>19</v>
      </c>
      <c r="W232" s="82" t="s">
        <v>1612</v>
      </c>
      <c r="X232" s="77"/>
      <c r="Y232" s="77"/>
      <c r="Z232" s="77"/>
      <c r="AA232" s="77"/>
      <c r="AB232" s="77"/>
      <c r="AC232" s="82" t="s">
        <v>2638</v>
      </c>
      <c r="AD232" s="77" t="s">
        <v>2670</v>
      </c>
      <c r="AE232" s="80" t="str">
        <f>HYPERLINK("https://twitter.com/financialstream/status/1702143869146616218")</f>
        <v>https://twitter.com/financialstream/status/1702143869146616218</v>
      </c>
      <c r="AF232" s="79">
        <v>45183.093715277777</v>
      </c>
      <c r="AG232" s="85">
        <v>45183</v>
      </c>
      <c r="AH232" s="82" t="s">
        <v>2875</v>
      </c>
      <c r="AI232" s="77"/>
      <c r="AJ232" s="77"/>
      <c r="AK232" s="77"/>
      <c r="AL232" s="77"/>
      <c r="AM232" s="77"/>
      <c r="AN232" s="77"/>
      <c r="AO232" s="77"/>
      <c r="AP232" s="77"/>
      <c r="AQ232" s="77"/>
      <c r="AR232" s="77"/>
      <c r="AS232" s="77"/>
      <c r="AT232" s="77"/>
      <c r="AU232" s="77"/>
      <c r="AV232" s="80" t="str">
        <f>HYPERLINK("https://pbs.twimg.com/profile_images/1550999438952464384/tFhqdbVs_normal.jpg")</f>
        <v>https://pbs.twimg.com/profile_images/1550999438952464384/tFhqdbVs_normal.jpg</v>
      </c>
      <c r="AW232" s="82" t="s">
        <v>4287</v>
      </c>
      <c r="AX232" s="82" t="s">
        <v>4971</v>
      </c>
      <c r="AY232" s="82" t="s">
        <v>5039</v>
      </c>
      <c r="AZ232" s="82" t="s">
        <v>5086</v>
      </c>
      <c r="BA232" s="82" t="s">
        <v>5075</v>
      </c>
      <c r="BB232" s="82" t="s">
        <v>5075</v>
      </c>
      <c r="BC232" s="82" t="s">
        <v>5086</v>
      </c>
      <c r="BD232" s="82" t="s">
        <v>5039</v>
      </c>
      <c r="BE232" s="77"/>
      <c r="BF232" s="77"/>
      <c r="BG232" s="77"/>
      <c r="BH232" s="77"/>
      <c r="BI232" s="77"/>
    </row>
    <row r="233" spans="1:61" x14ac:dyDescent="0.25">
      <c r="A233" s="62" t="s">
        <v>312</v>
      </c>
      <c r="B233" s="62" t="s">
        <v>312</v>
      </c>
      <c r="C233" s="63"/>
      <c r="D233" s="64"/>
      <c r="E233" s="65"/>
      <c r="F233" s="66"/>
      <c r="G233" s="63"/>
      <c r="H233" s="67"/>
      <c r="I233" s="68"/>
      <c r="J233" s="68"/>
      <c r="K233" s="32"/>
      <c r="L233" s="75">
        <v>233</v>
      </c>
      <c r="M233" s="75"/>
      <c r="N233" s="70"/>
      <c r="O233" s="77" t="s">
        <v>179</v>
      </c>
      <c r="P233" s="79">
        <v>44950.517141203702</v>
      </c>
      <c r="Q233" s="77" t="s">
        <v>767</v>
      </c>
      <c r="R233" s="77">
        <v>0</v>
      </c>
      <c r="S233" s="77">
        <v>0</v>
      </c>
      <c r="T233" s="77">
        <v>0</v>
      </c>
      <c r="U233" s="77">
        <v>0</v>
      </c>
      <c r="V233" s="77">
        <v>10</v>
      </c>
      <c r="W233" s="82" t="s">
        <v>1613</v>
      </c>
      <c r="X233" s="77"/>
      <c r="Y233" s="77"/>
      <c r="Z233" s="77"/>
      <c r="AA233" s="77"/>
      <c r="AB233" s="77"/>
      <c r="AC233" s="82" t="s">
        <v>2640</v>
      </c>
      <c r="AD233" s="77" t="s">
        <v>2670</v>
      </c>
      <c r="AE233" s="80" t="str">
        <f>HYPERLINK("https://twitter.com/cassebbsb/status/1617860940250361856")</f>
        <v>https://twitter.com/cassebbsb/status/1617860940250361856</v>
      </c>
      <c r="AF233" s="79">
        <v>44950.517141203702</v>
      </c>
      <c r="AG233" s="85">
        <v>44950</v>
      </c>
      <c r="AH233" s="82" t="s">
        <v>2876</v>
      </c>
      <c r="AI233" s="77"/>
      <c r="AJ233" s="77"/>
      <c r="AK233" s="77"/>
      <c r="AL233" s="77"/>
      <c r="AM233" s="77"/>
      <c r="AN233" s="77"/>
      <c r="AO233" s="77"/>
      <c r="AP233" s="77"/>
      <c r="AQ233" s="77"/>
      <c r="AR233" s="77"/>
      <c r="AS233" s="77"/>
      <c r="AT233" s="77"/>
      <c r="AU233" s="77"/>
      <c r="AV233" s="80" t="str">
        <f>HYPERLINK("https://pbs.twimg.com/profile_images/1485247923868901376/AOtagI6o_normal.jpg")</f>
        <v>https://pbs.twimg.com/profile_images/1485247923868901376/AOtagI6o_normal.jpg</v>
      </c>
      <c r="AW233" s="82" t="s">
        <v>4288</v>
      </c>
      <c r="AX233" s="82" t="s">
        <v>4288</v>
      </c>
      <c r="AY233" s="77"/>
      <c r="AZ233" s="82" t="s">
        <v>5075</v>
      </c>
      <c r="BA233" s="82" t="s">
        <v>5075</v>
      </c>
      <c r="BB233" s="82" t="s">
        <v>5075</v>
      </c>
      <c r="BC233" s="82" t="s">
        <v>4288</v>
      </c>
      <c r="BD233" s="82" t="s">
        <v>5169</v>
      </c>
      <c r="BE233" s="77"/>
      <c r="BF233" s="77"/>
      <c r="BG233" s="77"/>
      <c r="BH233" s="77"/>
      <c r="BI233" s="77"/>
    </row>
    <row r="234" spans="1:61" x14ac:dyDescent="0.25">
      <c r="A234" s="62" t="s">
        <v>313</v>
      </c>
      <c r="B234" s="62" t="s">
        <v>313</v>
      </c>
      <c r="C234" s="63"/>
      <c r="D234" s="64"/>
      <c r="E234" s="65"/>
      <c r="F234" s="66"/>
      <c r="G234" s="63"/>
      <c r="H234" s="67"/>
      <c r="I234" s="68"/>
      <c r="J234" s="68"/>
      <c r="K234" s="32"/>
      <c r="L234" s="75">
        <v>234</v>
      </c>
      <c r="M234" s="75"/>
      <c r="N234" s="70"/>
      <c r="O234" s="77" t="s">
        <v>179</v>
      </c>
      <c r="P234" s="79">
        <v>45051.760243055556</v>
      </c>
      <c r="Q234" s="77" t="s">
        <v>768</v>
      </c>
      <c r="R234" s="77">
        <v>0</v>
      </c>
      <c r="S234" s="77">
        <v>0</v>
      </c>
      <c r="T234" s="77">
        <v>0</v>
      </c>
      <c r="U234" s="77">
        <v>0</v>
      </c>
      <c r="V234" s="77">
        <v>14</v>
      </c>
      <c r="W234" s="82" t="s">
        <v>1614</v>
      </c>
      <c r="X234" s="80" t="str">
        <f>HYPERLINK("https://bit.ly/3LFh4Io")</f>
        <v>https://bit.ly/3LFh4Io</v>
      </c>
      <c r="Y234" s="77" t="s">
        <v>1975</v>
      </c>
      <c r="Z234" s="77"/>
      <c r="AA234" s="77" t="s">
        <v>2154</v>
      </c>
      <c r="AB234" s="77" t="s">
        <v>2632</v>
      </c>
      <c r="AC234" s="82" t="s">
        <v>2639</v>
      </c>
      <c r="AD234" s="77" t="s">
        <v>2670</v>
      </c>
      <c r="AE234" s="80" t="str">
        <f>HYPERLINK("https://twitter.com/clmcontroller/status/1654550211060981762")</f>
        <v>https://twitter.com/clmcontroller/status/1654550211060981762</v>
      </c>
      <c r="AF234" s="79">
        <v>45051.760243055556</v>
      </c>
      <c r="AG234" s="85">
        <v>45051</v>
      </c>
      <c r="AH234" s="82" t="s">
        <v>2877</v>
      </c>
      <c r="AI234" s="77" t="b">
        <v>0</v>
      </c>
      <c r="AJ234" s="77"/>
      <c r="AK234" s="77"/>
      <c r="AL234" s="77"/>
      <c r="AM234" s="77"/>
      <c r="AN234" s="77"/>
      <c r="AO234" s="77"/>
      <c r="AP234" s="77"/>
      <c r="AQ234" s="77" t="s">
        <v>3583</v>
      </c>
      <c r="AR234" s="77"/>
      <c r="AS234" s="77"/>
      <c r="AT234" s="77"/>
      <c r="AU234" s="77"/>
      <c r="AV234" s="80" t="str">
        <f>HYPERLINK("https://pbs.twimg.com/media/FvYknHCWYAQTA2a.jpg")</f>
        <v>https://pbs.twimg.com/media/FvYknHCWYAQTA2a.jpg</v>
      </c>
      <c r="AW234" s="82" t="s">
        <v>4289</v>
      </c>
      <c r="AX234" s="82" t="s">
        <v>4289</v>
      </c>
      <c r="AY234" s="77"/>
      <c r="AZ234" s="82" t="s">
        <v>5075</v>
      </c>
      <c r="BA234" s="82" t="s">
        <v>5075</v>
      </c>
      <c r="BB234" s="82" t="s">
        <v>5075</v>
      </c>
      <c r="BC234" s="82" t="s">
        <v>4289</v>
      </c>
      <c r="BD234" s="77">
        <v>80030542</v>
      </c>
      <c r="BE234" s="77"/>
      <c r="BF234" s="77"/>
      <c r="BG234" s="77"/>
      <c r="BH234" s="77"/>
      <c r="BI234" s="77"/>
    </row>
    <row r="235" spans="1:61" x14ac:dyDescent="0.25">
      <c r="A235" s="62" t="s">
        <v>314</v>
      </c>
      <c r="B235" s="62" t="s">
        <v>314</v>
      </c>
      <c r="C235" s="63"/>
      <c r="D235" s="64"/>
      <c r="E235" s="65"/>
      <c r="F235" s="66"/>
      <c r="G235" s="63"/>
      <c r="H235" s="67"/>
      <c r="I235" s="68"/>
      <c r="J235" s="68"/>
      <c r="K235" s="32"/>
      <c r="L235" s="75">
        <v>235</v>
      </c>
      <c r="M235" s="75"/>
      <c r="N235" s="70"/>
      <c r="O235" s="77" t="s">
        <v>179</v>
      </c>
      <c r="P235" s="79">
        <v>44936.713449074072</v>
      </c>
      <c r="Q235" s="77" t="s">
        <v>769</v>
      </c>
      <c r="R235" s="77">
        <v>1</v>
      </c>
      <c r="S235" s="77">
        <v>4</v>
      </c>
      <c r="T235" s="77">
        <v>1</v>
      </c>
      <c r="U235" s="77">
        <v>0</v>
      </c>
      <c r="V235" s="77">
        <v>105</v>
      </c>
      <c r="W235" s="82" t="s">
        <v>1615</v>
      </c>
      <c r="X235" s="77"/>
      <c r="Y235" s="77"/>
      <c r="Z235" s="77"/>
      <c r="AA235" s="77" t="s">
        <v>2155</v>
      </c>
      <c r="AB235" s="77" t="s">
        <v>2632</v>
      </c>
      <c r="AC235" s="82" t="s">
        <v>2639</v>
      </c>
      <c r="AD235" s="77" t="s">
        <v>2670</v>
      </c>
      <c r="AE235" s="80" t="str">
        <f>HYPERLINK("https://twitter.com/tokencom_br/status/1612858651487920129")</f>
        <v>https://twitter.com/tokencom_br/status/1612858651487920129</v>
      </c>
      <c r="AF235" s="79">
        <v>44936.713449074072</v>
      </c>
      <c r="AG235" s="85">
        <v>44936</v>
      </c>
      <c r="AH235" s="82" t="s">
        <v>2878</v>
      </c>
      <c r="AI235" s="77" t="b">
        <v>0</v>
      </c>
      <c r="AJ235" s="77"/>
      <c r="AK235" s="77"/>
      <c r="AL235" s="77"/>
      <c r="AM235" s="77"/>
      <c r="AN235" s="77"/>
      <c r="AO235" s="77"/>
      <c r="AP235" s="77"/>
      <c r="AQ235" s="77" t="s">
        <v>3584</v>
      </c>
      <c r="AR235" s="77"/>
      <c r="AS235" s="77"/>
      <c r="AT235" s="77"/>
      <c r="AU235" s="77"/>
      <c r="AV235" s="80" t="str">
        <f>HYPERLINK("https://pbs.twimg.com/media/FmIEAc5XkBMW7jl.jpg")</f>
        <v>https://pbs.twimg.com/media/FmIEAc5XkBMW7jl.jpg</v>
      </c>
      <c r="AW235" s="82" t="s">
        <v>4290</v>
      </c>
      <c r="AX235" s="82" t="s">
        <v>4290</v>
      </c>
      <c r="AY235" s="77"/>
      <c r="AZ235" s="82" t="s">
        <v>5075</v>
      </c>
      <c r="BA235" s="82" t="s">
        <v>5075</v>
      </c>
      <c r="BB235" s="82" t="s">
        <v>5075</v>
      </c>
      <c r="BC235" s="82" t="s">
        <v>4290</v>
      </c>
      <c r="BD235" s="82" t="s">
        <v>5170</v>
      </c>
      <c r="BE235" s="77"/>
      <c r="BF235" s="77"/>
      <c r="BG235" s="77"/>
      <c r="BH235" s="77"/>
      <c r="BI235" s="77"/>
    </row>
    <row r="236" spans="1:61" x14ac:dyDescent="0.25">
      <c r="A236" s="62" t="s">
        <v>315</v>
      </c>
      <c r="B236" s="62" t="s">
        <v>315</v>
      </c>
      <c r="C236" s="63"/>
      <c r="D236" s="64"/>
      <c r="E236" s="65"/>
      <c r="F236" s="66"/>
      <c r="G236" s="63"/>
      <c r="H236" s="67"/>
      <c r="I236" s="68"/>
      <c r="J236" s="68"/>
      <c r="K236" s="32"/>
      <c r="L236" s="75">
        <v>236</v>
      </c>
      <c r="M236" s="75"/>
      <c r="N236" s="70"/>
      <c r="O236" s="77" t="s">
        <v>179</v>
      </c>
      <c r="P236" s="79">
        <v>45124.667280092595</v>
      </c>
      <c r="Q236" s="77" t="s">
        <v>770</v>
      </c>
      <c r="R236" s="77">
        <v>0</v>
      </c>
      <c r="S236" s="77">
        <v>0</v>
      </c>
      <c r="T236" s="77">
        <v>1</v>
      </c>
      <c r="U236" s="77">
        <v>0</v>
      </c>
      <c r="V236" s="77">
        <v>25</v>
      </c>
      <c r="W236" s="82" t="s">
        <v>1606</v>
      </c>
      <c r="X236" s="77"/>
      <c r="Y236" s="77"/>
      <c r="Z236" s="77"/>
      <c r="AA236" s="77"/>
      <c r="AB236" s="77"/>
      <c r="AC236" s="82" t="s">
        <v>2639</v>
      </c>
      <c r="AD236" s="77" t="s">
        <v>2670</v>
      </c>
      <c r="AE236" s="80" t="str">
        <f>HYPERLINK("https://twitter.com/danielg_s6/status/1680970840022687745")</f>
        <v>https://twitter.com/danielg_s6/status/1680970840022687745</v>
      </c>
      <c r="AF236" s="79">
        <v>45124.667280092595</v>
      </c>
      <c r="AG236" s="85">
        <v>45124</v>
      </c>
      <c r="AH236" s="82" t="s">
        <v>2879</v>
      </c>
      <c r="AI236" s="77"/>
      <c r="AJ236" s="77"/>
      <c r="AK236" s="77"/>
      <c r="AL236" s="77"/>
      <c r="AM236" s="77"/>
      <c r="AN236" s="77"/>
      <c r="AO236" s="77"/>
      <c r="AP236" s="77"/>
      <c r="AQ236" s="77"/>
      <c r="AR236" s="77"/>
      <c r="AS236" s="77"/>
      <c r="AT236" s="77"/>
      <c r="AU236" s="77"/>
      <c r="AV236" s="80" t="str">
        <f>HYPERLINK("https://pbs.twimg.com/profile_images/1598423978082705410/jU-vUeHf_normal.jpg")</f>
        <v>https://pbs.twimg.com/profile_images/1598423978082705410/jU-vUeHf_normal.jpg</v>
      </c>
      <c r="AW236" s="82" t="s">
        <v>4291</v>
      </c>
      <c r="AX236" s="82" t="s">
        <v>4291</v>
      </c>
      <c r="AY236" s="77"/>
      <c r="AZ236" s="82" t="s">
        <v>5075</v>
      </c>
      <c r="BA236" s="82" t="s">
        <v>5075</v>
      </c>
      <c r="BB236" s="82" t="s">
        <v>5075</v>
      </c>
      <c r="BC236" s="82" t="s">
        <v>4291</v>
      </c>
      <c r="BD236" s="82" t="s">
        <v>5040</v>
      </c>
      <c r="BE236" s="77"/>
      <c r="BF236" s="77"/>
      <c r="BG236" s="77"/>
      <c r="BH236" s="77"/>
      <c r="BI236" s="77"/>
    </row>
    <row r="237" spans="1:61" x14ac:dyDescent="0.25">
      <c r="A237" s="62" t="s">
        <v>315</v>
      </c>
      <c r="B237" s="62" t="s">
        <v>315</v>
      </c>
      <c r="C237" s="63"/>
      <c r="D237" s="64"/>
      <c r="E237" s="65"/>
      <c r="F237" s="66"/>
      <c r="G237" s="63"/>
      <c r="H237" s="67"/>
      <c r="I237" s="68"/>
      <c r="J237" s="68"/>
      <c r="K237" s="32"/>
      <c r="L237" s="75">
        <v>237</v>
      </c>
      <c r="M237" s="75"/>
      <c r="N237" s="70"/>
      <c r="O237" s="77" t="s">
        <v>536</v>
      </c>
      <c r="P237" s="79">
        <v>45141.529976851853</v>
      </c>
      <c r="Q237" s="77" t="s">
        <v>771</v>
      </c>
      <c r="R237" s="77">
        <v>0</v>
      </c>
      <c r="S237" s="77">
        <v>0</v>
      </c>
      <c r="T237" s="77">
        <v>0</v>
      </c>
      <c r="U237" s="77">
        <v>0</v>
      </c>
      <c r="V237" s="77">
        <v>4</v>
      </c>
      <c r="W237" s="82" t="s">
        <v>1606</v>
      </c>
      <c r="X237" s="77"/>
      <c r="Y237" s="77"/>
      <c r="Z237" s="77"/>
      <c r="AA237" s="77"/>
      <c r="AB237" s="77"/>
      <c r="AC237" s="82" t="s">
        <v>2639</v>
      </c>
      <c r="AD237" s="77" t="s">
        <v>2670</v>
      </c>
      <c r="AE237" s="80" t="str">
        <f>HYPERLINK("https://twitter.com/danielg_s6/status/1687081674847219712")</f>
        <v>https://twitter.com/danielg_s6/status/1687081674847219712</v>
      </c>
      <c r="AF237" s="79">
        <v>45141.529976851853</v>
      </c>
      <c r="AG237" s="85">
        <v>45141</v>
      </c>
      <c r="AH237" s="82" t="s">
        <v>2880</v>
      </c>
      <c r="AI237" s="77"/>
      <c r="AJ237" s="77"/>
      <c r="AK237" s="77"/>
      <c r="AL237" s="77"/>
      <c r="AM237" s="77"/>
      <c r="AN237" s="77"/>
      <c r="AO237" s="77"/>
      <c r="AP237" s="77"/>
      <c r="AQ237" s="77"/>
      <c r="AR237" s="77"/>
      <c r="AS237" s="77"/>
      <c r="AT237" s="77"/>
      <c r="AU237" s="77"/>
      <c r="AV237" s="80" t="str">
        <f>HYPERLINK("https://pbs.twimg.com/profile_images/1598423978082705410/jU-vUeHf_normal.jpg")</f>
        <v>https://pbs.twimg.com/profile_images/1598423978082705410/jU-vUeHf_normal.jpg</v>
      </c>
      <c r="AW237" s="82" t="s">
        <v>4292</v>
      </c>
      <c r="AX237" s="82" t="s">
        <v>4972</v>
      </c>
      <c r="AY237" s="82" t="s">
        <v>5040</v>
      </c>
      <c r="AZ237" s="82" t="s">
        <v>5087</v>
      </c>
      <c r="BA237" s="82" t="s">
        <v>5075</v>
      </c>
      <c r="BB237" s="82" t="s">
        <v>5075</v>
      </c>
      <c r="BC237" s="82" t="s">
        <v>5087</v>
      </c>
      <c r="BD237" s="82" t="s">
        <v>5040</v>
      </c>
      <c r="BE237" s="77"/>
      <c r="BF237" s="77"/>
      <c r="BG237" s="77"/>
      <c r="BH237" s="77"/>
      <c r="BI237" s="77"/>
    </row>
    <row r="238" spans="1:61" x14ac:dyDescent="0.25">
      <c r="A238" s="62" t="s">
        <v>316</v>
      </c>
      <c r="B238" s="62" t="s">
        <v>316</v>
      </c>
      <c r="C238" s="63"/>
      <c r="D238" s="64"/>
      <c r="E238" s="65"/>
      <c r="F238" s="66"/>
      <c r="G238" s="63"/>
      <c r="H238" s="67"/>
      <c r="I238" s="68"/>
      <c r="J238" s="68"/>
      <c r="K238" s="32"/>
      <c r="L238" s="75">
        <v>238</v>
      </c>
      <c r="M238" s="75"/>
      <c r="N238" s="70"/>
      <c r="O238" s="77" t="s">
        <v>179</v>
      </c>
      <c r="P238" s="79">
        <v>45084.585497685184</v>
      </c>
      <c r="Q238" s="77" t="s">
        <v>772</v>
      </c>
      <c r="R238" s="77">
        <v>1</v>
      </c>
      <c r="S238" s="77">
        <v>1</v>
      </c>
      <c r="T238" s="77">
        <v>0</v>
      </c>
      <c r="U238" s="77">
        <v>0</v>
      </c>
      <c r="V238" s="77">
        <v>25</v>
      </c>
      <c r="W238" s="82" t="s">
        <v>1616</v>
      </c>
      <c r="X238" s="80" t="str">
        <f>HYPERLINK("https://lobscontabil.com/mei-precisa-de-servico-de-contabilidade/")</f>
        <v>https://lobscontabil.com/mei-precisa-de-servico-de-contabilidade/</v>
      </c>
      <c r="Y238" s="77" t="s">
        <v>1984</v>
      </c>
      <c r="Z238" s="77"/>
      <c r="AA238" s="77" t="s">
        <v>2156</v>
      </c>
      <c r="AB238" s="77" t="s">
        <v>2632</v>
      </c>
      <c r="AC238" s="82" t="s">
        <v>2652</v>
      </c>
      <c r="AD238" s="77" t="s">
        <v>2670</v>
      </c>
      <c r="AE238" s="80" t="str">
        <f>HYPERLINK("https://twitter.com/lobscontabilid1/status/1666445685468672001")</f>
        <v>https://twitter.com/lobscontabilid1/status/1666445685468672001</v>
      </c>
      <c r="AF238" s="79">
        <v>45084.585497685184</v>
      </c>
      <c r="AG238" s="85">
        <v>45084</v>
      </c>
      <c r="AH238" s="82" t="s">
        <v>2881</v>
      </c>
      <c r="AI238" s="77" t="b">
        <v>0</v>
      </c>
      <c r="AJ238" s="77"/>
      <c r="AK238" s="77"/>
      <c r="AL238" s="77"/>
      <c r="AM238" s="77"/>
      <c r="AN238" s="77"/>
      <c r="AO238" s="77"/>
      <c r="AP238" s="77"/>
      <c r="AQ238" s="77" t="s">
        <v>3585</v>
      </c>
      <c r="AR238" s="77"/>
      <c r="AS238" s="77"/>
      <c r="AT238" s="77"/>
      <c r="AU238" s="77"/>
      <c r="AV238" s="80" t="str">
        <f>HYPERLINK("https://pbs.twimg.com/media/FyBnhQ7XsAI_g1y.png")</f>
        <v>https://pbs.twimg.com/media/FyBnhQ7XsAI_g1y.png</v>
      </c>
      <c r="AW238" s="82" t="s">
        <v>4293</v>
      </c>
      <c r="AX238" s="82" t="s">
        <v>4293</v>
      </c>
      <c r="AY238" s="77"/>
      <c r="AZ238" s="82" t="s">
        <v>5075</v>
      </c>
      <c r="BA238" s="82" t="s">
        <v>5075</v>
      </c>
      <c r="BB238" s="82" t="s">
        <v>5075</v>
      </c>
      <c r="BC238" s="82" t="s">
        <v>4293</v>
      </c>
      <c r="BD238" s="82" t="s">
        <v>5171</v>
      </c>
      <c r="BE238" s="77"/>
      <c r="BF238" s="77"/>
      <c r="BG238" s="77"/>
      <c r="BH238" s="77"/>
      <c r="BI238" s="77"/>
    </row>
    <row r="239" spans="1:61" x14ac:dyDescent="0.25">
      <c r="A239" s="62" t="s">
        <v>316</v>
      </c>
      <c r="B239" s="62" t="s">
        <v>316</v>
      </c>
      <c r="C239" s="63"/>
      <c r="D239" s="64"/>
      <c r="E239" s="65"/>
      <c r="F239" s="66"/>
      <c r="G239" s="63"/>
      <c r="H239" s="67"/>
      <c r="I239" s="68"/>
      <c r="J239" s="68"/>
      <c r="K239" s="32"/>
      <c r="L239" s="75">
        <v>239</v>
      </c>
      <c r="M239" s="75"/>
      <c r="N239" s="70"/>
      <c r="O239" s="77" t="s">
        <v>179</v>
      </c>
      <c r="P239" s="79">
        <v>45124.8122337963</v>
      </c>
      <c r="Q239" s="77" t="s">
        <v>773</v>
      </c>
      <c r="R239" s="77">
        <v>1</v>
      </c>
      <c r="S239" s="77">
        <v>1</v>
      </c>
      <c r="T239" s="77">
        <v>0</v>
      </c>
      <c r="U239" s="77">
        <v>0</v>
      </c>
      <c r="V239" s="77">
        <v>36</v>
      </c>
      <c r="W239" s="82" t="s">
        <v>1617</v>
      </c>
      <c r="X239" s="80" t="str">
        <f>HYPERLINK("https://lobscontabil.com/a-importancia-do-planejamento-financeiro-para-o-mei/")</f>
        <v>https://lobscontabil.com/a-importancia-do-planejamento-financeiro-para-o-mei/</v>
      </c>
      <c r="Y239" s="77" t="s">
        <v>1984</v>
      </c>
      <c r="Z239" s="77"/>
      <c r="AA239" s="77" t="s">
        <v>2157</v>
      </c>
      <c r="AB239" s="77" t="s">
        <v>2632</v>
      </c>
      <c r="AC239" s="82" t="s">
        <v>2652</v>
      </c>
      <c r="AD239" s="77" t="s">
        <v>2670</v>
      </c>
      <c r="AE239" s="80" t="str">
        <f>HYPERLINK("https://twitter.com/lobscontabilid1/status/1681023367502077953")</f>
        <v>https://twitter.com/lobscontabilid1/status/1681023367502077953</v>
      </c>
      <c r="AF239" s="79">
        <v>45124.8122337963</v>
      </c>
      <c r="AG239" s="85">
        <v>45124</v>
      </c>
      <c r="AH239" s="82" t="s">
        <v>2882</v>
      </c>
      <c r="AI239" s="77" t="b">
        <v>0</v>
      </c>
      <c r="AJ239" s="77"/>
      <c r="AK239" s="77"/>
      <c r="AL239" s="77"/>
      <c r="AM239" s="77"/>
      <c r="AN239" s="77"/>
      <c r="AO239" s="77"/>
      <c r="AP239" s="77"/>
      <c r="AQ239" s="77" t="s">
        <v>3586</v>
      </c>
      <c r="AR239" s="77"/>
      <c r="AS239" s="77"/>
      <c r="AT239" s="77"/>
      <c r="AU239" s="77"/>
      <c r="AV239" s="80" t="str">
        <f>HYPERLINK("https://pbs.twimg.com/media/F1Qx2EWXoAEPSSk.png")</f>
        <v>https://pbs.twimg.com/media/F1Qx2EWXoAEPSSk.png</v>
      </c>
      <c r="AW239" s="82" t="s">
        <v>4294</v>
      </c>
      <c r="AX239" s="82" t="s">
        <v>4294</v>
      </c>
      <c r="AY239" s="77"/>
      <c r="AZ239" s="82" t="s">
        <v>5075</v>
      </c>
      <c r="BA239" s="82" t="s">
        <v>5075</v>
      </c>
      <c r="BB239" s="82" t="s">
        <v>5075</v>
      </c>
      <c r="BC239" s="82" t="s">
        <v>4294</v>
      </c>
      <c r="BD239" s="82" t="s">
        <v>5171</v>
      </c>
      <c r="BE239" s="77"/>
      <c r="BF239" s="77"/>
      <c r="BG239" s="77"/>
      <c r="BH239" s="77"/>
      <c r="BI239" s="77"/>
    </row>
    <row r="240" spans="1:61" x14ac:dyDescent="0.25">
      <c r="A240" s="62" t="s">
        <v>317</v>
      </c>
      <c r="B240" s="62" t="s">
        <v>317</v>
      </c>
      <c r="C240" s="63"/>
      <c r="D240" s="64"/>
      <c r="E240" s="65"/>
      <c r="F240" s="66"/>
      <c r="G240" s="63"/>
      <c r="H240" s="67"/>
      <c r="I240" s="68"/>
      <c r="J240" s="68"/>
      <c r="K240" s="32"/>
      <c r="L240" s="75">
        <v>240</v>
      </c>
      <c r="M240" s="75"/>
      <c r="N240" s="70"/>
      <c r="O240" s="77" t="s">
        <v>179</v>
      </c>
      <c r="P240" s="79">
        <v>45030.873576388891</v>
      </c>
      <c r="Q240" s="77" t="s">
        <v>774</v>
      </c>
      <c r="R240" s="77">
        <v>0</v>
      </c>
      <c r="S240" s="77">
        <v>0</v>
      </c>
      <c r="T240" s="77">
        <v>0</v>
      </c>
      <c r="U240" s="77">
        <v>0</v>
      </c>
      <c r="V240" s="77">
        <v>98</v>
      </c>
      <c r="W240" s="82" t="s">
        <v>1618</v>
      </c>
      <c r="X240" s="80" t="str">
        <f>HYPERLINK("https://youtu.be/MseqWjsYX7o")</f>
        <v>https://youtu.be/MseqWjsYX7o</v>
      </c>
      <c r="Y240" s="77" t="s">
        <v>1979</v>
      </c>
      <c r="Z240" s="77"/>
      <c r="AA240" s="77"/>
      <c r="AB240" s="77"/>
      <c r="AC240" s="82" t="s">
        <v>2638</v>
      </c>
      <c r="AD240" s="77" t="s">
        <v>2670</v>
      </c>
      <c r="AE240" s="80" t="str">
        <f>HYPERLINK("https://twitter.com/brunoma37644336/status/1646981136986550273")</f>
        <v>https://twitter.com/brunoma37644336/status/1646981136986550273</v>
      </c>
      <c r="AF240" s="79">
        <v>45030.873576388891</v>
      </c>
      <c r="AG240" s="85">
        <v>45030</v>
      </c>
      <c r="AH240" s="82" t="s">
        <v>2883</v>
      </c>
      <c r="AI240" s="77" t="b">
        <v>0</v>
      </c>
      <c r="AJ240" s="77"/>
      <c r="AK240" s="77"/>
      <c r="AL240" s="77"/>
      <c r="AM240" s="77"/>
      <c r="AN240" s="77"/>
      <c r="AO240" s="77"/>
      <c r="AP240" s="77"/>
      <c r="AQ240" s="77"/>
      <c r="AR240" s="77"/>
      <c r="AS240" s="77"/>
      <c r="AT240" s="77"/>
      <c r="AU240" s="77"/>
      <c r="AV240" s="80" t="str">
        <f>HYPERLINK("https://pbs.twimg.com/profile_images/1526628556578725890/HgC0bau7_normal.jpg")</f>
        <v>https://pbs.twimg.com/profile_images/1526628556578725890/HgC0bau7_normal.jpg</v>
      </c>
      <c r="AW240" s="82" t="s">
        <v>4295</v>
      </c>
      <c r="AX240" s="82" t="s">
        <v>4295</v>
      </c>
      <c r="AY240" s="77"/>
      <c r="AZ240" s="82" t="s">
        <v>5075</v>
      </c>
      <c r="BA240" s="82" t="s">
        <v>5075</v>
      </c>
      <c r="BB240" s="82" t="s">
        <v>5075</v>
      </c>
      <c r="BC240" s="82" t="s">
        <v>4295</v>
      </c>
      <c r="BD240" s="82" t="s">
        <v>5172</v>
      </c>
      <c r="BE240" s="77"/>
      <c r="BF240" s="77"/>
      <c r="BG240" s="77"/>
      <c r="BH240" s="77"/>
      <c r="BI240" s="77"/>
    </row>
    <row r="241" spans="1:61" x14ac:dyDescent="0.25">
      <c r="A241" s="62" t="s">
        <v>318</v>
      </c>
      <c r="B241" s="62" t="s">
        <v>318</v>
      </c>
      <c r="C241" s="63"/>
      <c r="D241" s="64"/>
      <c r="E241" s="65"/>
      <c r="F241" s="66"/>
      <c r="G241" s="63"/>
      <c r="H241" s="67"/>
      <c r="I241" s="68"/>
      <c r="J241" s="68"/>
      <c r="K241" s="32"/>
      <c r="L241" s="75">
        <v>241</v>
      </c>
      <c r="M241" s="75"/>
      <c r="N241" s="70"/>
      <c r="O241" s="77" t="s">
        <v>536</v>
      </c>
      <c r="P241" s="79">
        <v>44988.6562037037</v>
      </c>
      <c r="Q241" s="77" t="s">
        <v>775</v>
      </c>
      <c r="R241" s="77">
        <v>0</v>
      </c>
      <c r="S241" s="77">
        <v>2</v>
      </c>
      <c r="T241" s="77">
        <v>1</v>
      </c>
      <c r="U241" s="77">
        <v>0</v>
      </c>
      <c r="V241" s="77">
        <v>28</v>
      </c>
      <c r="W241" s="82" t="s">
        <v>1619</v>
      </c>
      <c r="X241" s="77"/>
      <c r="Y241" s="77"/>
      <c r="Z241" s="77"/>
      <c r="AA241" s="77" t="s">
        <v>2158</v>
      </c>
      <c r="AB241" s="77" t="s">
        <v>2632</v>
      </c>
      <c r="AC241" s="82" t="s">
        <v>2639</v>
      </c>
      <c r="AD241" s="77" t="s">
        <v>2670</v>
      </c>
      <c r="AE241" s="80" t="str">
        <f>HYPERLINK("https://twitter.com/emotionalillit1/status/1631682074724777984")</f>
        <v>https://twitter.com/emotionalillit1/status/1631682074724777984</v>
      </c>
      <c r="AF241" s="79">
        <v>44988.6562037037</v>
      </c>
      <c r="AG241" s="85">
        <v>44988</v>
      </c>
      <c r="AH241" s="82" t="s">
        <v>2884</v>
      </c>
      <c r="AI241" s="77" t="b">
        <v>0</v>
      </c>
      <c r="AJ241" s="77"/>
      <c r="AK241" s="77"/>
      <c r="AL241" s="77"/>
      <c r="AM241" s="77"/>
      <c r="AN241" s="77"/>
      <c r="AO241" s="77"/>
      <c r="AP241" s="77"/>
      <c r="AQ241" s="77" t="s">
        <v>3587</v>
      </c>
      <c r="AR241" s="77"/>
      <c r="AS241" s="77"/>
      <c r="AT241" s="77"/>
      <c r="AU241" s="77"/>
      <c r="AV241" s="80" t="str">
        <f>HYPERLINK("https://pbs.twimg.com/media/FqTlCNNXsAIp3fD.jpg")</f>
        <v>https://pbs.twimg.com/media/FqTlCNNXsAIp3fD.jpg</v>
      </c>
      <c r="AW241" s="82" t="s">
        <v>4296</v>
      </c>
      <c r="AX241" s="82" t="s">
        <v>4973</v>
      </c>
      <c r="AY241" s="82" t="s">
        <v>5041</v>
      </c>
      <c r="AZ241" s="82" t="s">
        <v>5088</v>
      </c>
      <c r="BA241" s="82" t="s">
        <v>5075</v>
      </c>
      <c r="BB241" s="82" t="s">
        <v>5075</v>
      </c>
      <c r="BC241" s="82" t="s">
        <v>5088</v>
      </c>
      <c r="BD241" s="82" t="s">
        <v>5041</v>
      </c>
      <c r="BE241" s="77"/>
      <c r="BF241" s="77"/>
      <c r="BG241" s="77"/>
      <c r="BH241" s="77"/>
      <c r="BI241" s="77"/>
    </row>
    <row r="242" spans="1:61" x14ac:dyDescent="0.25">
      <c r="A242" s="62" t="s">
        <v>319</v>
      </c>
      <c r="B242" s="62" t="s">
        <v>319</v>
      </c>
      <c r="C242" s="63"/>
      <c r="D242" s="64"/>
      <c r="E242" s="65"/>
      <c r="F242" s="66"/>
      <c r="G242" s="63"/>
      <c r="H242" s="67"/>
      <c r="I242" s="68"/>
      <c r="J242" s="68"/>
      <c r="K242" s="32"/>
      <c r="L242" s="75">
        <v>242</v>
      </c>
      <c r="M242" s="75"/>
      <c r="N242" s="70"/>
      <c r="O242" s="77" t="s">
        <v>179</v>
      </c>
      <c r="P242" s="79">
        <v>45172.917256944442</v>
      </c>
      <c r="Q242" s="77" t="s">
        <v>776</v>
      </c>
      <c r="R242" s="77">
        <v>0</v>
      </c>
      <c r="S242" s="77">
        <v>0</v>
      </c>
      <c r="T242" s="77">
        <v>0</v>
      </c>
      <c r="U242" s="77">
        <v>0</v>
      </c>
      <c r="V242" s="77">
        <v>91</v>
      </c>
      <c r="W242" s="82" t="s">
        <v>1620</v>
      </c>
      <c r="X242" s="77"/>
      <c r="Y242" s="77"/>
      <c r="Z242" s="77"/>
      <c r="AA242" s="77" t="s">
        <v>2159</v>
      </c>
      <c r="AB242" s="77" t="s">
        <v>2632</v>
      </c>
      <c r="AC242" s="82" t="s">
        <v>2642</v>
      </c>
      <c r="AD242" s="77" t="s">
        <v>2670</v>
      </c>
      <c r="AE242" s="80" t="str">
        <f>HYPERLINK("https://twitter.com/computar1915/status/1698456043594850564")</f>
        <v>https://twitter.com/computar1915/status/1698456043594850564</v>
      </c>
      <c r="AF242" s="79">
        <v>45172.917256944442</v>
      </c>
      <c r="AG242" s="85">
        <v>45172</v>
      </c>
      <c r="AH242" s="82" t="s">
        <v>2885</v>
      </c>
      <c r="AI242" s="77" t="b">
        <v>0</v>
      </c>
      <c r="AJ242" s="77"/>
      <c r="AK242" s="77"/>
      <c r="AL242" s="77"/>
      <c r="AM242" s="77"/>
      <c r="AN242" s="77"/>
      <c r="AO242" s="77"/>
      <c r="AP242" s="77"/>
      <c r="AQ242" s="77" t="s">
        <v>3588</v>
      </c>
      <c r="AR242" s="77"/>
      <c r="AS242" s="77"/>
      <c r="AT242" s="77"/>
      <c r="AU242" s="77"/>
      <c r="AV242" s="80" t="str">
        <f>HYPERLINK("https://pbs.twimg.com/media/F5IgxVdXkAEv-n_.jpg")</f>
        <v>https://pbs.twimg.com/media/F5IgxVdXkAEv-n_.jpg</v>
      </c>
      <c r="AW242" s="82" t="s">
        <v>4297</v>
      </c>
      <c r="AX242" s="82" t="s">
        <v>4297</v>
      </c>
      <c r="AY242" s="77"/>
      <c r="AZ242" s="82" t="s">
        <v>5075</v>
      </c>
      <c r="BA242" s="82" t="s">
        <v>5075</v>
      </c>
      <c r="BB242" s="82" t="s">
        <v>5075</v>
      </c>
      <c r="BC242" s="82" t="s">
        <v>4297</v>
      </c>
      <c r="BD242" s="82" t="s">
        <v>5173</v>
      </c>
      <c r="BE242" s="77"/>
      <c r="BF242" s="77"/>
      <c r="BG242" s="77"/>
      <c r="BH242" s="77"/>
      <c r="BI242" s="77"/>
    </row>
    <row r="243" spans="1:61" x14ac:dyDescent="0.25">
      <c r="A243" s="62" t="s">
        <v>320</v>
      </c>
      <c r="B243" s="62" t="s">
        <v>320</v>
      </c>
      <c r="C243" s="63"/>
      <c r="D243" s="64"/>
      <c r="E243" s="65"/>
      <c r="F243" s="66"/>
      <c r="G243" s="63"/>
      <c r="H243" s="67"/>
      <c r="I243" s="68"/>
      <c r="J243" s="68"/>
      <c r="K243" s="32"/>
      <c r="L243" s="75">
        <v>243</v>
      </c>
      <c r="M243" s="75"/>
      <c r="N243" s="70"/>
      <c r="O243" s="77" t="s">
        <v>179</v>
      </c>
      <c r="P243" s="79">
        <v>45117.708391203705</v>
      </c>
      <c r="Q243" s="77" t="s">
        <v>777</v>
      </c>
      <c r="R243" s="77">
        <v>0</v>
      </c>
      <c r="S243" s="77">
        <v>0</v>
      </c>
      <c r="T243" s="77">
        <v>0</v>
      </c>
      <c r="U243" s="77">
        <v>0</v>
      </c>
      <c r="V243" s="77">
        <v>7</v>
      </c>
      <c r="W243" s="82" t="s">
        <v>1621</v>
      </c>
      <c r="X243" s="77"/>
      <c r="Y243" s="77"/>
      <c r="Z243" s="77"/>
      <c r="AA243" s="77"/>
      <c r="AB243" s="77"/>
      <c r="AC243" s="82" t="s">
        <v>2653</v>
      </c>
      <c r="AD243" s="77" t="s">
        <v>2670</v>
      </c>
      <c r="AE243" s="80" t="str">
        <f>HYPERLINK("https://twitter.com/dirprev/status/1678449022657343488")</f>
        <v>https://twitter.com/dirprev/status/1678449022657343488</v>
      </c>
      <c r="AF243" s="79">
        <v>45117.708391203705</v>
      </c>
      <c r="AG243" s="85">
        <v>45117</v>
      </c>
      <c r="AH243" s="82" t="s">
        <v>2886</v>
      </c>
      <c r="AI243" s="77"/>
      <c r="AJ243" s="77"/>
      <c r="AK243" s="77"/>
      <c r="AL243" s="77"/>
      <c r="AM243" s="77"/>
      <c r="AN243" s="77"/>
      <c r="AO243" s="77"/>
      <c r="AP243" s="77"/>
      <c r="AQ243" s="77"/>
      <c r="AR243" s="77"/>
      <c r="AS243" s="77"/>
      <c r="AT243" s="77"/>
      <c r="AU243" s="77"/>
      <c r="AV243" s="80" t="str">
        <f>HYPERLINK("https://pbs.twimg.com/profile_images/1675567492482101248/ZXXQDXRT_normal.png")</f>
        <v>https://pbs.twimg.com/profile_images/1675567492482101248/ZXXQDXRT_normal.png</v>
      </c>
      <c r="AW243" s="82" t="s">
        <v>4298</v>
      </c>
      <c r="AX243" s="82" t="s">
        <v>4298</v>
      </c>
      <c r="AY243" s="77"/>
      <c r="AZ243" s="82" t="s">
        <v>5075</v>
      </c>
      <c r="BA243" s="82" t="s">
        <v>5075</v>
      </c>
      <c r="BB243" s="82" t="s">
        <v>5075</v>
      </c>
      <c r="BC243" s="82" t="s">
        <v>4298</v>
      </c>
      <c r="BD243" s="82" t="s">
        <v>5174</v>
      </c>
      <c r="BE243" s="77"/>
      <c r="BF243" s="77"/>
      <c r="BG243" s="77"/>
      <c r="BH243" s="77"/>
      <c r="BI243" s="77"/>
    </row>
    <row r="244" spans="1:61" x14ac:dyDescent="0.25">
      <c r="A244" s="62" t="s">
        <v>321</v>
      </c>
      <c r="B244" s="62" t="s">
        <v>321</v>
      </c>
      <c r="C244" s="63"/>
      <c r="D244" s="64"/>
      <c r="E244" s="65"/>
      <c r="F244" s="66"/>
      <c r="G244" s="63"/>
      <c r="H244" s="67"/>
      <c r="I244" s="68"/>
      <c r="J244" s="68"/>
      <c r="K244" s="32"/>
      <c r="L244" s="75">
        <v>244</v>
      </c>
      <c r="M244" s="75"/>
      <c r="N244" s="70"/>
      <c r="O244" s="77" t="s">
        <v>179</v>
      </c>
      <c r="P244" s="79">
        <v>45092.850995370369</v>
      </c>
      <c r="Q244" s="77" t="s">
        <v>778</v>
      </c>
      <c r="R244" s="77">
        <v>0</v>
      </c>
      <c r="S244" s="77">
        <v>0</v>
      </c>
      <c r="T244" s="77">
        <v>0</v>
      </c>
      <c r="U244" s="77">
        <v>0</v>
      </c>
      <c r="V244" s="77">
        <v>48</v>
      </c>
      <c r="W244" s="82" t="s">
        <v>1622</v>
      </c>
      <c r="X244" s="77"/>
      <c r="Y244" s="77"/>
      <c r="Z244" s="77"/>
      <c r="AA244" s="77" t="s">
        <v>2160</v>
      </c>
      <c r="AB244" s="77" t="s">
        <v>2633</v>
      </c>
      <c r="AC244" s="82" t="s">
        <v>2642</v>
      </c>
      <c r="AD244" s="77" t="s">
        <v>2670</v>
      </c>
      <c r="AE244" s="80" t="str">
        <f>HYPERLINK("https://twitter.com/investimentoob1/status/1669441004649304085")</f>
        <v>https://twitter.com/investimentoob1/status/1669441004649304085</v>
      </c>
      <c r="AF244" s="79">
        <v>45092.850995370369</v>
      </c>
      <c r="AG244" s="85">
        <v>45092</v>
      </c>
      <c r="AH244" s="82" t="s">
        <v>2887</v>
      </c>
      <c r="AI244" s="77" t="b">
        <v>0</v>
      </c>
      <c r="AJ244" s="77"/>
      <c r="AK244" s="77"/>
      <c r="AL244" s="77"/>
      <c r="AM244" s="77"/>
      <c r="AN244" s="77"/>
      <c r="AO244" s="77"/>
      <c r="AP244" s="77"/>
      <c r="AQ244" s="77" t="s">
        <v>3589</v>
      </c>
      <c r="AR244" s="77">
        <v>57671</v>
      </c>
      <c r="AS244" s="77"/>
      <c r="AT244" s="77"/>
      <c r="AU244" s="77"/>
      <c r="AV244" s="80" t="str">
        <f>HYPERLINK("https://pbs.twimg.com/ext_tw_video_thumb/1669440951574581269/pu/img/wMkHNRJEt4jNF8Hn.jpg")</f>
        <v>https://pbs.twimg.com/ext_tw_video_thumb/1669440951574581269/pu/img/wMkHNRJEt4jNF8Hn.jpg</v>
      </c>
      <c r="AW244" s="82" t="s">
        <v>4299</v>
      </c>
      <c r="AX244" s="82" t="s">
        <v>4299</v>
      </c>
      <c r="AY244" s="77"/>
      <c r="AZ244" s="82" t="s">
        <v>5075</v>
      </c>
      <c r="BA244" s="82" t="s">
        <v>5075</v>
      </c>
      <c r="BB244" s="82" t="s">
        <v>5075</v>
      </c>
      <c r="BC244" s="82" t="s">
        <v>4299</v>
      </c>
      <c r="BD244" s="82" t="s">
        <v>5175</v>
      </c>
      <c r="BE244" s="77"/>
      <c r="BF244" s="77"/>
      <c r="BG244" s="77"/>
      <c r="BH244" s="77"/>
      <c r="BI244" s="77"/>
    </row>
    <row r="245" spans="1:61" x14ac:dyDescent="0.25">
      <c r="A245" s="62" t="s">
        <v>321</v>
      </c>
      <c r="B245" s="62" t="s">
        <v>321</v>
      </c>
      <c r="C245" s="63"/>
      <c r="D245" s="64"/>
      <c r="E245" s="65"/>
      <c r="F245" s="66"/>
      <c r="G245" s="63"/>
      <c r="H245" s="67"/>
      <c r="I245" s="68"/>
      <c r="J245" s="68"/>
      <c r="K245" s="32"/>
      <c r="L245" s="75">
        <v>245</v>
      </c>
      <c r="M245" s="75"/>
      <c r="N245" s="70"/>
      <c r="O245" s="77" t="s">
        <v>179</v>
      </c>
      <c r="P245" s="79">
        <v>45073.625613425924</v>
      </c>
      <c r="Q245" s="77" t="s">
        <v>779</v>
      </c>
      <c r="R245" s="77">
        <v>0</v>
      </c>
      <c r="S245" s="77">
        <v>0</v>
      </c>
      <c r="T245" s="77">
        <v>1</v>
      </c>
      <c r="U245" s="77">
        <v>0</v>
      </c>
      <c r="V245" s="77">
        <v>10</v>
      </c>
      <c r="W245" s="82" t="s">
        <v>1623</v>
      </c>
      <c r="X245" s="77"/>
      <c r="Y245" s="77"/>
      <c r="Z245" s="77"/>
      <c r="AA245" s="77" t="s">
        <v>2161</v>
      </c>
      <c r="AB245" s="77" t="s">
        <v>2632</v>
      </c>
      <c r="AC245" s="82" t="s">
        <v>2642</v>
      </c>
      <c r="AD245" s="77" t="s">
        <v>2670</v>
      </c>
      <c r="AE245" s="80" t="str">
        <f>HYPERLINK("https://twitter.com/investimentoob1/status/1662473957885243392")</f>
        <v>https://twitter.com/investimentoob1/status/1662473957885243392</v>
      </c>
      <c r="AF245" s="79">
        <v>45073.625613425924</v>
      </c>
      <c r="AG245" s="85">
        <v>45073</v>
      </c>
      <c r="AH245" s="82" t="s">
        <v>2888</v>
      </c>
      <c r="AI245" s="77" t="b">
        <v>0</v>
      </c>
      <c r="AJ245" s="77"/>
      <c r="AK245" s="77"/>
      <c r="AL245" s="77"/>
      <c r="AM245" s="77"/>
      <c r="AN245" s="77"/>
      <c r="AO245" s="77"/>
      <c r="AP245" s="77"/>
      <c r="AQ245" s="77" t="s">
        <v>3590</v>
      </c>
      <c r="AR245" s="77"/>
      <c r="AS245" s="77"/>
      <c r="AT245" s="77"/>
      <c r="AU245" s="77"/>
      <c r="AV245" s="80" t="str">
        <f>HYPERLINK("https://pbs.twimg.com/media/FxJLQQ5XwAMfPDw.jpg")</f>
        <v>https://pbs.twimg.com/media/FxJLQQ5XwAMfPDw.jpg</v>
      </c>
      <c r="AW245" s="82" t="s">
        <v>4300</v>
      </c>
      <c r="AX245" s="82" t="s">
        <v>4300</v>
      </c>
      <c r="AY245" s="77"/>
      <c r="AZ245" s="82" t="s">
        <v>5075</v>
      </c>
      <c r="BA245" s="82" t="s">
        <v>5075</v>
      </c>
      <c r="BB245" s="82" t="s">
        <v>5075</v>
      </c>
      <c r="BC245" s="82" t="s">
        <v>4300</v>
      </c>
      <c r="BD245" s="82" t="s">
        <v>5175</v>
      </c>
      <c r="BE245" s="77"/>
      <c r="BF245" s="77"/>
      <c r="BG245" s="77"/>
      <c r="BH245" s="77"/>
      <c r="BI245" s="77"/>
    </row>
    <row r="246" spans="1:61" x14ac:dyDescent="0.25">
      <c r="A246" s="62" t="s">
        <v>321</v>
      </c>
      <c r="B246" s="62" t="s">
        <v>321</v>
      </c>
      <c r="C246" s="63"/>
      <c r="D246" s="64"/>
      <c r="E246" s="65"/>
      <c r="F246" s="66"/>
      <c r="G246" s="63"/>
      <c r="H246" s="67"/>
      <c r="I246" s="68"/>
      <c r="J246" s="68"/>
      <c r="K246" s="32"/>
      <c r="L246" s="75">
        <v>246</v>
      </c>
      <c r="M246" s="75"/>
      <c r="N246" s="70"/>
      <c r="O246" s="77" t="s">
        <v>179</v>
      </c>
      <c r="P246" s="79">
        <v>45107.500601851854</v>
      </c>
      <c r="Q246" s="77" t="s">
        <v>780</v>
      </c>
      <c r="R246" s="77">
        <v>0</v>
      </c>
      <c r="S246" s="77">
        <v>0</v>
      </c>
      <c r="T246" s="77">
        <v>0</v>
      </c>
      <c r="U246" s="77">
        <v>0</v>
      </c>
      <c r="V246" s="77">
        <v>11</v>
      </c>
      <c r="W246" s="82" t="s">
        <v>1624</v>
      </c>
      <c r="X246" s="77"/>
      <c r="Y246" s="77"/>
      <c r="Z246" s="77"/>
      <c r="AA246" s="77" t="s">
        <v>2162</v>
      </c>
      <c r="AB246" s="77" t="s">
        <v>2633</v>
      </c>
      <c r="AC246" s="82" t="s">
        <v>2642</v>
      </c>
      <c r="AD246" s="77" t="s">
        <v>2670</v>
      </c>
      <c r="AE246" s="80" t="str">
        <f>HYPERLINK("https://twitter.com/investimentoob1/status/1674749844311666688")</f>
        <v>https://twitter.com/investimentoob1/status/1674749844311666688</v>
      </c>
      <c r="AF246" s="79">
        <v>45107.500601851854</v>
      </c>
      <c r="AG246" s="85">
        <v>45107</v>
      </c>
      <c r="AH246" s="82" t="s">
        <v>2889</v>
      </c>
      <c r="AI246" s="77" t="b">
        <v>0</v>
      </c>
      <c r="AJ246" s="77"/>
      <c r="AK246" s="77"/>
      <c r="AL246" s="77"/>
      <c r="AM246" s="77"/>
      <c r="AN246" s="77"/>
      <c r="AO246" s="77"/>
      <c r="AP246" s="77"/>
      <c r="AQ246" s="77" t="s">
        <v>3591</v>
      </c>
      <c r="AR246" s="77">
        <v>11033</v>
      </c>
      <c r="AS246" s="77"/>
      <c r="AT246" s="77"/>
      <c r="AU246" s="77"/>
      <c r="AV246" s="80" t="str">
        <f>HYPERLINK("https://pbs.twimg.com/ext_tw_video_thumb/1674749821230407680/pu/img/U9lNIxKdZ_W2hmSp.jpg")</f>
        <v>https://pbs.twimg.com/ext_tw_video_thumb/1674749821230407680/pu/img/U9lNIxKdZ_W2hmSp.jpg</v>
      </c>
      <c r="AW246" s="82" t="s">
        <v>4301</v>
      </c>
      <c r="AX246" s="82" t="s">
        <v>4301</v>
      </c>
      <c r="AY246" s="77"/>
      <c r="AZ246" s="82" t="s">
        <v>5075</v>
      </c>
      <c r="BA246" s="82" t="s">
        <v>5075</v>
      </c>
      <c r="BB246" s="82" t="s">
        <v>5075</v>
      </c>
      <c r="BC246" s="82" t="s">
        <v>4301</v>
      </c>
      <c r="BD246" s="82" t="s">
        <v>5175</v>
      </c>
      <c r="BE246" s="77"/>
      <c r="BF246" s="77"/>
      <c r="BG246" s="77"/>
      <c r="BH246" s="77"/>
      <c r="BI246" s="77"/>
    </row>
    <row r="247" spans="1:61" x14ac:dyDescent="0.25">
      <c r="A247" s="62" t="s">
        <v>321</v>
      </c>
      <c r="B247" s="62" t="s">
        <v>321</v>
      </c>
      <c r="C247" s="63"/>
      <c r="D247" s="64"/>
      <c r="E247" s="65"/>
      <c r="F247" s="66"/>
      <c r="G247" s="63"/>
      <c r="H247" s="67"/>
      <c r="I247" s="68"/>
      <c r="J247" s="68"/>
      <c r="K247" s="32"/>
      <c r="L247" s="75">
        <v>247</v>
      </c>
      <c r="M247" s="75"/>
      <c r="N247" s="70"/>
      <c r="O247" s="77" t="s">
        <v>179</v>
      </c>
      <c r="P247" s="79">
        <v>45103.500590277778</v>
      </c>
      <c r="Q247" s="77" t="s">
        <v>781</v>
      </c>
      <c r="R247" s="77">
        <v>0</v>
      </c>
      <c r="S247" s="77">
        <v>0</v>
      </c>
      <c r="T247" s="77">
        <v>0</v>
      </c>
      <c r="U247" s="77">
        <v>0</v>
      </c>
      <c r="V247" s="77">
        <v>18</v>
      </c>
      <c r="W247" s="82" t="s">
        <v>1624</v>
      </c>
      <c r="X247" s="77"/>
      <c r="Y247" s="77"/>
      <c r="Z247" s="77"/>
      <c r="AA247" s="77" t="s">
        <v>2163</v>
      </c>
      <c r="AB247" s="77" t="s">
        <v>2633</v>
      </c>
      <c r="AC247" s="82" t="s">
        <v>2642</v>
      </c>
      <c r="AD247" s="77" t="s">
        <v>2670</v>
      </c>
      <c r="AE247" s="80" t="str">
        <f>HYPERLINK("https://twitter.com/investimentoob1/status/1673300285052141569")</f>
        <v>https://twitter.com/investimentoob1/status/1673300285052141569</v>
      </c>
      <c r="AF247" s="79">
        <v>45103.500590277778</v>
      </c>
      <c r="AG247" s="85">
        <v>45103</v>
      </c>
      <c r="AH247" s="82" t="s">
        <v>2890</v>
      </c>
      <c r="AI247" s="77" t="b">
        <v>0</v>
      </c>
      <c r="AJ247" s="77"/>
      <c r="AK247" s="77"/>
      <c r="AL247" s="77"/>
      <c r="AM247" s="77"/>
      <c r="AN247" s="77"/>
      <c r="AO247" s="77"/>
      <c r="AP247" s="77"/>
      <c r="AQ247" s="77" t="s">
        <v>3592</v>
      </c>
      <c r="AR247" s="77">
        <v>11033</v>
      </c>
      <c r="AS247" s="77"/>
      <c r="AT247" s="77"/>
      <c r="AU247" s="77"/>
      <c r="AV247" s="80" t="str">
        <f>HYPERLINK("https://pbs.twimg.com/ext_tw_video_thumb/1673300261362708482/pu/img/zWB-_moqc9WSWUoK.jpg")</f>
        <v>https://pbs.twimg.com/ext_tw_video_thumb/1673300261362708482/pu/img/zWB-_moqc9WSWUoK.jpg</v>
      </c>
      <c r="AW247" s="82" t="s">
        <v>4302</v>
      </c>
      <c r="AX247" s="82" t="s">
        <v>4302</v>
      </c>
      <c r="AY247" s="77"/>
      <c r="AZ247" s="82" t="s">
        <v>5075</v>
      </c>
      <c r="BA247" s="82" t="s">
        <v>5075</v>
      </c>
      <c r="BB247" s="82" t="s">
        <v>5075</v>
      </c>
      <c r="BC247" s="82" t="s">
        <v>4302</v>
      </c>
      <c r="BD247" s="82" t="s">
        <v>5175</v>
      </c>
      <c r="BE247" s="77"/>
      <c r="BF247" s="77"/>
      <c r="BG247" s="77"/>
      <c r="BH247" s="77"/>
      <c r="BI247" s="77"/>
    </row>
    <row r="248" spans="1:61" x14ac:dyDescent="0.25">
      <c r="A248" s="62" t="s">
        <v>321</v>
      </c>
      <c r="B248" s="62" t="s">
        <v>321</v>
      </c>
      <c r="C248" s="63"/>
      <c r="D248" s="64"/>
      <c r="E248" s="65"/>
      <c r="F248" s="66"/>
      <c r="G248" s="63"/>
      <c r="H248" s="67"/>
      <c r="I248" s="68"/>
      <c r="J248" s="68"/>
      <c r="K248" s="32"/>
      <c r="L248" s="75">
        <v>248</v>
      </c>
      <c r="M248" s="75"/>
      <c r="N248" s="70"/>
      <c r="O248" s="77" t="s">
        <v>179</v>
      </c>
      <c r="P248" s="79">
        <v>45102.458935185183</v>
      </c>
      <c r="Q248" s="77" t="s">
        <v>782</v>
      </c>
      <c r="R248" s="77">
        <v>0</v>
      </c>
      <c r="S248" s="77">
        <v>0</v>
      </c>
      <c r="T248" s="77">
        <v>0</v>
      </c>
      <c r="U248" s="77">
        <v>0</v>
      </c>
      <c r="V248" s="77">
        <v>19</v>
      </c>
      <c r="W248" s="82" t="s">
        <v>1624</v>
      </c>
      <c r="X248" s="77"/>
      <c r="Y248" s="77"/>
      <c r="Z248" s="77"/>
      <c r="AA248" s="77" t="s">
        <v>2164</v>
      </c>
      <c r="AB248" s="77" t="s">
        <v>2633</v>
      </c>
      <c r="AC248" s="82" t="s">
        <v>2642</v>
      </c>
      <c r="AD248" s="77" t="s">
        <v>2670</v>
      </c>
      <c r="AE248" s="80" t="str">
        <f>HYPERLINK("https://twitter.com/investimentoob1/status/1672922805137022978")</f>
        <v>https://twitter.com/investimentoob1/status/1672922805137022978</v>
      </c>
      <c r="AF248" s="79">
        <v>45102.458935185183</v>
      </c>
      <c r="AG248" s="85">
        <v>45102</v>
      </c>
      <c r="AH248" s="82" t="s">
        <v>2891</v>
      </c>
      <c r="AI248" s="77" t="b">
        <v>0</v>
      </c>
      <c r="AJ248" s="77"/>
      <c r="AK248" s="77"/>
      <c r="AL248" s="77"/>
      <c r="AM248" s="77"/>
      <c r="AN248" s="77"/>
      <c r="AO248" s="77"/>
      <c r="AP248" s="77"/>
      <c r="AQ248" s="77" t="s">
        <v>3593</v>
      </c>
      <c r="AR248" s="77">
        <v>11033</v>
      </c>
      <c r="AS248" s="77"/>
      <c r="AT248" s="77"/>
      <c r="AU248" s="77"/>
      <c r="AV248" s="80" t="str">
        <f>HYPERLINK("https://pbs.twimg.com/ext_tw_video_thumb/1672922781669810178/pu/img/rV1uK8iVRzKh-TbB.jpg")</f>
        <v>https://pbs.twimg.com/ext_tw_video_thumb/1672922781669810178/pu/img/rV1uK8iVRzKh-TbB.jpg</v>
      </c>
      <c r="AW248" s="82" t="s">
        <v>4303</v>
      </c>
      <c r="AX248" s="82" t="s">
        <v>4303</v>
      </c>
      <c r="AY248" s="77"/>
      <c r="AZ248" s="82" t="s">
        <v>5075</v>
      </c>
      <c r="BA248" s="82" t="s">
        <v>5075</v>
      </c>
      <c r="BB248" s="82" t="s">
        <v>5075</v>
      </c>
      <c r="BC248" s="82" t="s">
        <v>4303</v>
      </c>
      <c r="BD248" s="82" t="s">
        <v>5175</v>
      </c>
      <c r="BE248" s="77"/>
      <c r="BF248" s="77"/>
      <c r="BG248" s="77"/>
      <c r="BH248" s="77"/>
      <c r="BI248" s="77"/>
    </row>
    <row r="249" spans="1:61" x14ac:dyDescent="0.25">
      <c r="A249" s="62" t="s">
        <v>321</v>
      </c>
      <c r="B249" s="62" t="s">
        <v>321</v>
      </c>
      <c r="C249" s="63"/>
      <c r="D249" s="64"/>
      <c r="E249" s="65"/>
      <c r="F249" s="66"/>
      <c r="G249" s="63"/>
      <c r="H249" s="67"/>
      <c r="I249" s="68"/>
      <c r="J249" s="68"/>
      <c r="K249" s="32"/>
      <c r="L249" s="75">
        <v>249</v>
      </c>
      <c r="M249" s="75"/>
      <c r="N249" s="70"/>
      <c r="O249" s="77" t="s">
        <v>179</v>
      </c>
      <c r="P249" s="79">
        <v>45101.500497685185</v>
      </c>
      <c r="Q249" s="77" t="s">
        <v>783</v>
      </c>
      <c r="R249" s="77">
        <v>0</v>
      </c>
      <c r="S249" s="77">
        <v>0</v>
      </c>
      <c r="T249" s="77">
        <v>0</v>
      </c>
      <c r="U249" s="77">
        <v>0</v>
      </c>
      <c r="V249" s="77">
        <v>23</v>
      </c>
      <c r="W249" s="82" t="s">
        <v>1624</v>
      </c>
      <c r="X249" s="77"/>
      <c r="Y249" s="77"/>
      <c r="Z249" s="77"/>
      <c r="AA249" s="77" t="s">
        <v>2165</v>
      </c>
      <c r="AB249" s="77" t="s">
        <v>2633</v>
      </c>
      <c r="AC249" s="82" t="s">
        <v>2642</v>
      </c>
      <c r="AD249" s="77" t="s">
        <v>2670</v>
      </c>
      <c r="AE249" s="80" t="str">
        <f>HYPERLINK("https://twitter.com/investimentoob1/status/1672575479281229826")</f>
        <v>https://twitter.com/investimentoob1/status/1672575479281229826</v>
      </c>
      <c r="AF249" s="79">
        <v>45101.500497685185</v>
      </c>
      <c r="AG249" s="85">
        <v>45101</v>
      </c>
      <c r="AH249" s="82" t="s">
        <v>2892</v>
      </c>
      <c r="AI249" s="77" t="b">
        <v>0</v>
      </c>
      <c r="AJ249" s="77"/>
      <c r="AK249" s="77"/>
      <c r="AL249" s="77"/>
      <c r="AM249" s="77"/>
      <c r="AN249" s="77"/>
      <c r="AO249" s="77"/>
      <c r="AP249" s="77"/>
      <c r="AQ249" s="77" t="s">
        <v>3594</v>
      </c>
      <c r="AR249" s="77">
        <v>11033</v>
      </c>
      <c r="AS249" s="77"/>
      <c r="AT249" s="77"/>
      <c r="AU249" s="77"/>
      <c r="AV249" s="80" t="str">
        <f>HYPERLINK("https://pbs.twimg.com/ext_tw_video_thumb/1672575456413974528/pu/img/C12kv4FudRHMF_tn.jpg")</f>
        <v>https://pbs.twimg.com/ext_tw_video_thumb/1672575456413974528/pu/img/C12kv4FudRHMF_tn.jpg</v>
      </c>
      <c r="AW249" s="82" t="s">
        <v>4304</v>
      </c>
      <c r="AX249" s="82" t="s">
        <v>4304</v>
      </c>
      <c r="AY249" s="77"/>
      <c r="AZ249" s="82" t="s">
        <v>5075</v>
      </c>
      <c r="BA249" s="82" t="s">
        <v>5075</v>
      </c>
      <c r="BB249" s="82" t="s">
        <v>5075</v>
      </c>
      <c r="BC249" s="82" t="s">
        <v>4304</v>
      </c>
      <c r="BD249" s="82" t="s">
        <v>5175</v>
      </c>
      <c r="BE249" s="77"/>
      <c r="BF249" s="77"/>
      <c r="BG249" s="77"/>
      <c r="BH249" s="77"/>
      <c r="BI249" s="77"/>
    </row>
    <row r="250" spans="1:61" x14ac:dyDescent="0.25">
      <c r="A250" s="62" t="s">
        <v>321</v>
      </c>
      <c r="B250" s="62" t="s">
        <v>321</v>
      </c>
      <c r="C250" s="63"/>
      <c r="D250" s="64"/>
      <c r="E250" s="65"/>
      <c r="F250" s="66"/>
      <c r="G250" s="63"/>
      <c r="H250" s="67"/>
      <c r="I250" s="68"/>
      <c r="J250" s="68"/>
      <c r="K250" s="32"/>
      <c r="L250" s="75">
        <v>250</v>
      </c>
      <c r="M250" s="75"/>
      <c r="N250" s="70"/>
      <c r="O250" s="77" t="s">
        <v>179</v>
      </c>
      <c r="P250" s="79">
        <v>45047.750706018516</v>
      </c>
      <c r="Q250" s="77" t="s">
        <v>784</v>
      </c>
      <c r="R250" s="77">
        <v>0</v>
      </c>
      <c r="S250" s="77">
        <v>0</v>
      </c>
      <c r="T250" s="77">
        <v>0</v>
      </c>
      <c r="U250" s="77">
        <v>0</v>
      </c>
      <c r="V250" s="77">
        <v>50</v>
      </c>
      <c r="W250" s="82" t="s">
        <v>1625</v>
      </c>
      <c r="X250" s="77"/>
      <c r="Y250" s="77"/>
      <c r="Z250" s="77"/>
      <c r="AA250" s="77" t="s">
        <v>2166</v>
      </c>
      <c r="AB250" s="77" t="s">
        <v>2633</v>
      </c>
      <c r="AC250" s="82" t="s">
        <v>2642</v>
      </c>
      <c r="AD250" s="77" t="s">
        <v>2670</v>
      </c>
      <c r="AE250" s="80" t="str">
        <f>HYPERLINK("https://twitter.com/investimentoob1/status/1653097205098586113")</f>
        <v>https://twitter.com/investimentoob1/status/1653097205098586113</v>
      </c>
      <c r="AF250" s="79">
        <v>45047.750706018516</v>
      </c>
      <c r="AG250" s="85">
        <v>45047</v>
      </c>
      <c r="AH250" s="82" t="s">
        <v>2893</v>
      </c>
      <c r="AI250" s="77" t="b">
        <v>0</v>
      </c>
      <c r="AJ250" s="77"/>
      <c r="AK250" s="77"/>
      <c r="AL250" s="77"/>
      <c r="AM250" s="77"/>
      <c r="AN250" s="77"/>
      <c r="AO250" s="77"/>
      <c r="AP250" s="77"/>
      <c r="AQ250" s="77" t="s">
        <v>3595</v>
      </c>
      <c r="AR250" s="77">
        <v>54437</v>
      </c>
      <c r="AS250" s="77"/>
      <c r="AT250" s="77"/>
      <c r="AU250" s="77"/>
      <c r="AV250" s="80" t="str">
        <f>HYPERLINK("https://pbs.twimg.com/ext_tw_video_thumb/1653097180473827329/pu/img/MpYdW1C2dOH7VaKV.jpg")</f>
        <v>https://pbs.twimg.com/ext_tw_video_thumb/1653097180473827329/pu/img/MpYdW1C2dOH7VaKV.jpg</v>
      </c>
      <c r="AW250" s="82" t="s">
        <v>4305</v>
      </c>
      <c r="AX250" s="82" t="s">
        <v>4305</v>
      </c>
      <c r="AY250" s="77"/>
      <c r="AZ250" s="82" t="s">
        <v>5075</v>
      </c>
      <c r="BA250" s="82" t="s">
        <v>5075</v>
      </c>
      <c r="BB250" s="82" t="s">
        <v>5075</v>
      </c>
      <c r="BC250" s="82" t="s">
        <v>4305</v>
      </c>
      <c r="BD250" s="82" t="s">
        <v>5175</v>
      </c>
      <c r="BE250" s="77"/>
      <c r="BF250" s="77"/>
      <c r="BG250" s="77"/>
      <c r="BH250" s="77"/>
      <c r="BI250" s="77"/>
    </row>
    <row r="251" spans="1:61" x14ac:dyDescent="0.25">
      <c r="A251" s="62" t="s">
        <v>321</v>
      </c>
      <c r="B251" s="62" t="s">
        <v>321</v>
      </c>
      <c r="C251" s="63"/>
      <c r="D251" s="64"/>
      <c r="E251" s="65"/>
      <c r="F251" s="66"/>
      <c r="G251" s="63"/>
      <c r="H251" s="67"/>
      <c r="I251" s="68"/>
      <c r="J251" s="68"/>
      <c r="K251" s="32"/>
      <c r="L251" s="75">
        <v>251</v>
      </c>
      <c r="M251" s="75"/>
      <c r="N251" s="70"/>
      <c r="O251" s="77" t="s">
        <v>179</v>
      </c>
      <c r="P251" s="79">
        <v>45046.750717592593</v>
      </c>
      <c r="Q251" s="77" t="s">
        <v>785</v>
      </c>
      <c r="R251" s="77">
        <v>0</v>
      </c>
      <c r="S251" s="77">
        <v>0</v>
      </c>
      <c r="T251" s="77">
        <v>0</v>
      </c>
      <c r="U251" s="77">
        <v>0</v>
      </c>
      <c r="V251" s="77">
        <v>30</v>
      </c>
      <c r="W251" s="82" t="s">
        <v>1626</v>
      </c>
      <c r="X251" s="77"/>
      <c r="Y251" s="77"/>
      <c r="Z251" s="77"/>
      <c r="AA251" s="77" t="s">
        <v>2167</v>
      </c>
      <c r="AB251" s="77" t="s">
        <v>2633</v>
      </c>
      <c r="AC251" s="82" t="s">
        <v>2642</v>
      </c>
      <c r="AD251" s="77" t="s">
        <v>2670</v>
      </c>
      <c r="AE251" s="80" t="str">
        <f>HYPERLINK("https://twitter.com/investimentoob1/status/1652734819791433741")</f>
        <v>https://twitter.com/investimentoob1/status/1652734819791433741</v>
      </c>
      <c r="AF251" s="79">
        <v>45046.750717592593</v>
      </c>
      <c r="AG251" s="85">
        <v>45046</v>
      </c>
      <c r="AH251" s="82" t="s">
        <v>2894</v>
      </c>
      <c r="AI251" s="77" t="b">
        <v>0</v>
      </c>
      <c r="AJ251" s="77"/>
      <c r="AK251" s="77"/>
      <c r="AL251" s="77"/>
      <c r="AM251" s="77"/>
      <c r="AN251" s="77"/>
      <c r="AO251" s="77"/>
      <c r="AP251" s="77"/>
      <c r="AQ251" s="77" t="s">
        <v>3596</v>
      </c>
      <c r="AR251" s="77">
        <v>26416</v>
      </c>
      <c r="AS251" s="77"/>
      <c r="AT251" s="77"/>
      <c r="AU251" s="77"/>
      <c r="AV251" s="80" t="str">
        <f>HYPERLINK("https://pbs.twimg.com/ext_tw_video_thumb/1652734773092032513/pu/img/eeuC-_nOjyGoR4dC.jpg")</f>
        <v>https://pbs.twimg.com/ext_tw_video_thumb/1652734773092032513/pu/img/eeuC-_nOjyGoR4dC.jpg</v>
      </c>
      <c r="AW251" s="82" t="s">
        <v>4306</v>
      </c>
      <c r="AX251" s="82" t="s">
        <v>4306</v>
      </c>
      <c r="AY251" s="77"/>
      <c r="AZ251" s="82" t="s">
        <v>5075</v>
      </c>
      <c r="BA251" s="82" t="s">
        <v>5075</v>
      </c>
      <c r="BB251" s="82" t="s">
        <v>5075</v>
      </c>
      <c r="BC251" s="82" t="s">
        <v>4306</v>
      </c>
      <c r="BD251" s="82" t="s">
        <v>5175</v>
      </c>
      <c r="BE251" s="77"/>
      <c r="BF251" s="77"/>
      <c r="BG251" s="77"/>
      <c r="BH251" s="77"/>
      <c r="BI251" s="77"/>
    </row>
    <row r="252" spans="1:61" x14ac:dyDescent="0.25">
      <c r="A252" s="62" t="s">
        <v>321</v>
      </c>
      <c r="B252" s="62" t="s">
        <v>321</v>
      </c>
      <c r="C252" s="63"/>
      <c r="D252" s="64"/>
      <c r="E252" s="65"/>
      <c r="F252" s="66"/>
      <c r="G252" s="63"/>
      <c r="H252" s="67"/>
      <c r="I252" s="68"/>
      <c r="J252" s="68"/>
      <c r="K252" s="32"/>
      <c r="L252" s="75">
        <v>252</v>
      </c>
      <c r="M252" s="75"/>
      <c r="N252" s="70"/>
      <c r="O252" s="77" t="s">
        <v>179</v>
      </c>
      <c r="P252" s="79">
        <v>45044.750659722224</v>
      </c>
      <c r="Q252" s="77" t="s">
        <v>786</v>
      </c>
      <c r="R252" s="77">
        <v>0</v>
      </c>
      <c r="S252" s="77">
        <v>0</v>
      </c>
      <c r="T252" s="77">
        <v>0</v>
      </c>
      <c r="U252" s="77">
        <v>0</v>
      </c>
      <c r="V252" s="77">
        <v>22</v>
      </c>
      <c r="W252" s="82" t="s">
        <v>1627</v>
      </c>
      <c r="X252" s="77"/>
      <c r="Y252" s="77"/>
      <c r="Z252" s="77"/>
      <c r="AA252" s="77" t="s">
        <v>2168</v>
      </c>
      <c r="AB252" s="77" t="s">
        <v>2633</v>
      </c>
      <c r="AC252" s="82" t="s">
        <v>2642</v>
      </c>
      <c r="AD252" s="77" t="s">
        <v>2670</v>
      </c>
      <c r="AE252" s="80" t="str">
        <f>HYPERLINK("https://twitter.com/investimentoob1/status/1652010026985218048")</f>
        <v>https://twitter.com/investimentoob1/status/1652010026985218048</v>
      </c>
      <c r="AF252" s="79">
        <v>45044.750659722224</v>
      </c>
      <c r="AG252" s="85">
        <v>45044</v>
      </c>
      <c r="AH252" s="82" t="s">
        <v>2895</v>
      </c>
      <c r="AI252" s="77" t="b">
        <v>0</v>
      </c>
      <c r="AJ252" s="77"/>
      <c r="AK252" s="77"/>
      <c r="AL252" s="77"/>
      <c r="AM252" s="77"/>
      <c r="AN252" s="77"/>
      <c r="AO252" s="77"/>
      <c r="AP252" s="77"/>
      <c r="AQ252" s="77" t="s">
        <v>3597</v>
      </c>
      <c r="AR252" s="77">
        <v>44125</v>
      </c>
      <c r="AS252" s="77"/>
      <c r="AT252" s="77"/>
      <c r="AU252" s="77"/>
      <c r="AV252" s="80" t="str">
        <f>HYPERLINK("https://pbs.twimg.com/ext_tw_video_thumb/1652010002314346502/pu/img/wnnoMERieLdLMTDq.jpg")</f>
        <v>https://pbs.twimg.com/ext_tw_video_thumb/1652010002314346502/pu/img/wnnoMERieLdLMTDq.jpg</v>
      </c>
      <c r="AW252" s="82" t="s">
        <v>4307</v>
      </c>
      <c r="AX252" s="82" t="s">
        <v>4307</v>
      </c>
      <c r="AY252" s="77"/>
      <c r="AZ252" s="82" t="s">
        <v>5075</v>
      </c>
      <c r="BA252" s="82" t="s">
        <v>5075</v>
      </c>
      <c r="BB252" s="82" t="s">
        <v>5075</v>
      </c>
      <c r="BC252" s="82" t="s">
        <v>4307</v>
      </c>
      <c r="BD252" s="82" t="s">
        <v>5175</v>
      </c>
      <c r="BE252" s="77"/>
      <c r="BF252" s="77"/>
      <c r="BG252" s="77"/>
      <c r="BH252" s="77"/>
      <c r="BI252" s="77"/>
    </row>
    <row r="253" spans="1:61" x14ac:dyDescent="0.25">
      <c r="A253" s="62" t="s">
        <v>321</v>
      </c>
      <c r="B253" s="62" t="s">
        <v>321</v>
      </c>
      <c r="C253" s="63"/>
      <c r="D253" s="64"/>
      <c r="E253" s="65"/>
      <c r="F253" s="66"/>
      <c r="G253" s="63"/>
      <c r="H253" s="67"/>
      <c r="I253" s="68"/>
      <c r="J253" s="68"/>
      <c r="K253" s="32"/>
      <c r="L253" s="75">
        <v>253</v>
      </c>
      <c r="M253" s="75"/>
      <c r="N253" s="70"/>
      <c r="O253" s="77" t="s">
        <v>179</v>
      </c>
      <c r="P253" s="79">
        <v>45043.750717592593</v>
      </c>
      <c r="Q253" s="77" t="s">
        <v>787</v>
      </c>
      <c r="R253" s="77">
        <v>0</v>
      </c>
      <c r="S253" s="77">
        <v>0</v>
      </c>
      <c r="T253" s="77">
        <v>0</v>
      </c>
      <c r="U253" s="77">
        <v>0</v>
      </c>
      <c r="V253" s="77">
        <v>33</v>
      </c>
      <c r="W253" s="82" t="s">
        <v>1628</v>
      </c>
      <c r="X253" s="77"/>
      <c r="Y253" s="77"/>
      <c r="Z253" s="77"/>
      <c r="AA253" s="77" t="s">
        <v>2169</v>
      </c>
      <c r="AB253" s="77" t="s">
        <v>2633</v>
      </c>
      <c r="AC253" s="82" t="s">
        <v>2642</v>
      </c>
      <c r="AD253" s="77" t="s">
        <v>2670</v>
      </c>
      <c r="AE253" s="80" t="str">
        <f>HYPERLINK("https://twitter.com/investimentoob1/status/1651647659155890177")</f>
        <v>https://twitter.com/investimentoob1/status/1651647659155890177</v>
      </c>
      <c r="AF253" s="79">
        <v>45043.750717592593</v>
      </c>
      <c r="AG253" s="85">
        <v>45043</v>
      </c>
      <c r="AH253" s="82" t="s">
        <v>2894</v>
      </c>
      <c r="AI253" s="77" t="b">
        <v>0</v>
      </c>
      <c r="AJ253" s="77"/>
      <c r="AK253" s="77"/>
      <c r="AL253" s="77"/>
      <c r="AM253" s="77"/>
      <c r="AN253" s="77"/>
      <c r="AO253" s="77"/>
      <c r="AP253" s="77"/>
      <c r="AQ253" s="77" t="s">
        <v>3598</v>
      </c>
      <c r="AR253" s="77">
        <v>47770</v>
      </c>
      <c r="AS253" s="77"/>
      <c r="AT253" s="77"/>
      <c r="AU253" s="77"/>
      <c r="AV253" s="80" t="str">
        <f>HYPERLINK("https://pbs.twimg.com/ext_tw_video_thumb/1651647610640277527/pu/img/LTy4rWoOUXL1-ayr.jpg")</f>
        <v>https://pbs.twimg.com/ext_tw_video_thumb/1651647610640277527/pu/img/LTy4rWoOUXL1-ayr.jpg</v>
      </c>
      <c r="AW253" s="82" t="s">
        <v>4308</v>
      </c>
      <c r="AX253" s="82" t="s">
        <v>4308</v>
      </c>
      <c r="AY253" s="77"/>
      <c r="AZ253" s="82" t="s">
        <v>5075</v>
      </c>
      <c r="BA253" s="82" t="s">
        <v>5075</v>
      </c>
      <c r="BB253" s="82" t="s">
        <v>5075</v>
      </c>
      <c r="BC253" s="82" t="s">
        <v>4308</v>
      </c>
      <c r="BD253" s="82" t="s">
        <v>5175</v>
      </c>
      <c r="BE253" s="77"/>
      <c r="BF253" s="77"/>
      <c r="BG253" s="77"/>
      <c r="BH253" s="77"/>
      <c r="BI253" s="77"/>
    </row>
    <row r="254" spans="1:61" x14ac:dyDescent="0.25">
      <c r="A254" s="62" t="s">
        <v>321</v>
      </c>
      <c r="B254" s="62" t="s">
        <v>321</v>
      </c>
      <c r="C254" s="63"/>
      <c r="D254" s="64"/>
      <c r="E254" s="65"/>
      <c r="F254" s="66"/>
      <c r="G254" s="63"/>
      <c r="H254" s="67"/>
      <c r="I254" s="68"/>
      <c r="J254" s="68"/>
      <c r="K254" s="32"/>
      <c r="L254" s="75">
        <v>254</v>
      </c>
      <c r="M254" s="75"/>
      <c r="N254" s="70"/>
      <c r="O254" s="77" t="s">
        <v>179</v>
      </c>
      <c r="P254" s="79">
        <v>45105.500567129631</v>
      </c>
      <c r="Q254" s="77" t="s">
        <v>788</v>
      </c>
      <c r="R254" s="77">
        <v>0</v>
      </c>
      <c r="S254" s="77">
        <v>0</v>
      </c>
      <c r="T254" s="77">
        <v>1</v>
      </c>
      <c r="U254" s="77">
        <v>0</v>
      </c>
      <c r="V254" s="77">
        <v>29</v>
      </c>
      <c r="W254" s="82" t="s">
        <v>1624</v>
      </c>
      <c r="X254" s="77"/>
      <c r="Y254" s="77"/>
      <c r="Z254" s="77"/>
      <c r="AA254" s="77" t="s">
        <v>2170</v>
      </c>
      <c r="AB254" s="77" t="s">
        <v>2633</v>
      </c>
      <c r="AC254" s="82" t="s">
        <v>2642</v>
      </c>
      <c r="AD254" s="77" t="s">
        <v>2670</v>
      </c>
      <c r="AE254" s="80" t="str">
        <f>HYPERLINK("https://twitter.com/investimentoob1/status/1674025054605135872")</f>
        <v>https://twitter.com/investimentoob1/status/1674025054605135872</v>
      </c>
      <c r="AF254" s="79">
        <v>45105.500567129631</v>
      </c>
      <c r="AG254" s="85">
        <v>45105</v>
      </c>
      <c r="AH254" s="82" t="s">
        <v>2896</v>
      </c>
      <c r="AI254" s="77" t="b">
        <v>0</v>
      </c>
      <c r="AJ254" s="77"/>
      <c r="AK254" s="77"/>
      <c r="AL254" s="77"/>
      <c r="AM254" s="77"/>
      <c r="AN254" s="77"/>
      <c r="AO254" s="77"/>
      <c r="AP254" s="77"/>
      <c r="AQ254" s="77" t="s">
        <v>3599</v>
      </c>
      <c r="AR254" s="77">
        <v>11033</v>
      </c>
      <c r="AS254" s="77"/>
      <c r="AT254" s="77"/>
      <c r="AU254" s="77"/>
      <c r="AV254" s="80" t="str">
        <f>HYPERLINK("https://pbs.twimg.com/ext_tw_video_thumb/1674025031695843331/pu/img/_xW3K7nwr40fnII-.jpg")</f>
        <v>https://pbs.twimg.com/ext_tw_video_thumb/1674025031695843331/pu/img/_xW3K7nwr40fnII-.jpg</v>
      </c>
      <c r="AW254" s="82" t="s">
        <v>4309</v>
      </c>
      <c r="AX254" s="82" t="s">
        <v>4309</v>
      </c>
      <c r="AY254" s="77"/>
      <c r="AZ254" s="82" t="s">
        <v>5075</v>
      </c>
      <c r="BA254" s="82" t="s">
        <v>5075</v>
      </c>
      <c r="BB254" s="82" t="s">
        <v>5075</v>
      </c>
      <c r="BC254" s="82" t="s">
        <v>4309</v>
      </c>
      <c r="BD254" s="82" t="s">
        <v>5175</v>
      </c>
      <c r="BE254" s="77"/>
      <c r="BF254" s="77"/>
      <c r="BG254" s="77"/>
      <c r="BH254" s="77"/>
      <c r="BI254" s="77"/>
    </row>
    <row r="255" spans="1:61" x14ac:dyDescent="0.25">
      <c r="A255" s="62" t="s">
        <v>321</v>
      </c>
      <c r="B255" s="62" t="s">
        <v>321</v>
      </c>
      <c r="C255" s="63"/>
      <c r="D255" s="64"/>
      <c r="E255" s="65"/>
      <c r="F255" s="66"/>
      <c r="G255" s="63"/>
      <c r="H255" s="67"/>
      <c r="I255" s="68"/>
      <c r="J255" s="68"/>
      <c r="K255" s="32"/>
      <c r="L255" s="75">
        <v>255</v>
      </c>
      <c r="M255" s="75"/>
      <c r="N255" s="70"/>
      <c r="O255" s="77" t="s">
        <v>179</v>
      </c>
      <c r="P255" s="79">
        <v>45104.542233796295</v>
      </c>
      <c r="Q255" s="77" t="s">
        <v>789</v>
      </c>
      <c r="R255" s="77">
        <v>0</v>
      </c>
      <c r="S255" s="77">
        <v>0</v>
      </c>
      <c r="T255" s="77">
        <v>0</v>
      </c>
      <c r="U255" s="77">
        <v>0</v>
      </c>
      <c r="V255" s="77">
        <v>22</v>
      </c>
      <c r="W255" s="82" t="s">
        <v>1624</v>
      </c>
      <c r="X255" s="77"/>
      <c r="Y255" s="77"/>
      <c r="Z255" s="77"/>
      <c r="AA255" s="77" t="s">
        <v>2171</v>
      </c>
      <c r="AB255" s="77" t="s">
        <v>2633</v>
      </c>
      <c r="AC255" s="82" t="s">
        <v>2642</v>
      </c>
      <c r="AD255" s="77" t="s">
        <v>2670</v>
      </c>
      <c r="AE255" s="80" t="str">
        <f>HYPERLINK("https://twitter.com/investimentoob1/status/1673677765864837126")</f>
        <v>https://twitter.com/investimentoob1/status/1673677765864837126</v>
      </c>
      <c r="AF255" s="79">
        <v>45104.542233796295</v>
      </c>
      <c r="AG255" s="85">
        <v>45104</v>
      </c>
      <c r="AH255" s="82" t="s">
        <v>2897</v>
      </c>
      <c r="AI255" s="77" t="b">
        <v>0</v>
      </c>
      <c r="AJ255" s="77"/>
      <c r="AK255" s="77"/>
      <c r="AL255" s="77"/>
      <c r="AM255" s="77"/>
      <c r="AN255" s="77"/>
      <c r="AO255" s="77"/>
      <c r="AP255" s="77"/>
      <c r="AQ255" s="77" t="s">
        <v>3600</v>
      </c>
      <c r="AR255" s="77">
        <v>11033</v>
      </c>
      <c r="AS255" s="77"/>
      <c r="AT255" s="77"/>
      <c r="AU255" s="77"/>
      <c r="AV255" s="80" t="str">
        <f>HYPERLINK("https://pbs.twimg.com/ext_tw_video_thumb/1673677740841607172/pu/img/hJA_uWErEvAHvhKM.jpg")</f>
        <v>https://pbs.twimg.com/ext_tw_video_thumb/1673677740841607172/pu/img/hJA_uWErEvAHvhKM.jpg</v>
      </c>
      <c r="AW255" s="82" t="s">
        <v>4310</v>
      </c>
      <c r="AX255" s="82" t="s">
        <v>4310</v>
      </c>
      <c r="AY255" s="77"/>
      <c r="AZ255" s="82" t="s">
        <v>5075</v>
      </c>
      <c r="BA255" s="82" t="s">
        <v>5075</v>
      </c>
      <c r="BB255" s="82" t="s">
        <v>5075</v>
      </c>
      <c r="BC255" s="82" t="s">
        <v>4310</v>
      </c>
      <c r="BD255" s="82" t="s">
        <v>5175</v>
      </c>
      <c r="BE255" s="77"/>
      <c r="BF255" s="77"/>
      <c r="BG255" s="77"/>
      <c r="BH255" s="77"/>
      <c r="BI255" s="77"/>
    </row>
    <row r="256" spans="1:61" x14ac:dyDescent="0.25">
      <c r="A256" s="62" t="s">
        <v>321</v>
      </c>
      <c r="B256" s="62" t="s">
        <v>321</v>
      </c>
      <c r="C256" s="63"/>
      <c r="D256" s="64"/>
      <c r="E256" s="65"/>
      <c r="F256" s="66"/>
      <c r="G256" s="63"/>
      <c r="H256" s="67"/>
      <c r="I256" s="68"/>
      <c r="J256" s="68"/>
      <c r="K256" s="32"/>
      <c r="L256" s="75">
        <v>256</v>
      </c>
      <c r="M256" s="75"/>
      <c r="N256" s="70"/>
      <c r="O256" s="77" t="s">
        <v>179</v>
      </c>
      <c r="P256" s="79">
        <v>45084.500717592593</v>
      </c>
      <c r="Q256" s="77" t="s">
        <v>790</v>
      </c>
      <c r="R256" s="77">
        <v>0</v>
      </c>
      <c r="S256" s="77">
        <v>0</v>
      </c>
      <c r="T256" s="77">
        <v>0</v>
      </c>
      <c r="U256" s="77">
        <v>0</v>
      </c>
      <c r="V256" s="77">
        <v>13</v>
      </c>
      <c r="W256" s="82" t="s">
        <v>1629</v>
      </c>
      <c r="X256" s="77"/>
      <c r="Y256" s="77"/>
      <c r="Z256" s="77"/>
      <c r="AA256" s="77" t="s">
        <v>2172</v>
      </c>
      <c r="AB256" s="77" t="s">
        <v>2633</v>
      </c>
      <c r="AC256" s="82" t="s">
        <v>2642</v>
      </c>
      <c r="AD256" s="77" t="s">
        <v>2670</v>
      </c>
      <c r="AE256" s="80" t="str">
        <f>HYPERLINK("https://twitter.com/investimentoob1/status/1666414962028298242")</f>
        <v>https://twitter.com/investimentoob1/status/1666414962028298242</v>
      </c>
      <c r="AF256" s="79">
        <v>45084.500717592593</v>
      </c>
      <c r="AG256" s="85">
        <v>45084</v>
      </c>
      <c r="AH256" s="82" t="s">
        <v>2898</v>
      </c>
      <c r="AI256" s="77" t="b">
        <v>0</v>
      </c>
      <c r="AJ256" s="77"/>
      <c r="AK256" s="77"/>
      <c r="AL256" s="77"/>
      <c r="AM256" s="77"/>
      <c r="AN256" s="77"/>
      <c r="AO256" s="77"/>
      <c r="AP256" s="77"/>
      <c r="AQ256" s="77" t="s">
        <v>3601</v>
      </c>
      <c r="AR256" s="77">
        <v>57641</v>
      </c>
      <c r="AS256" s="77"/>
      <c r="AT256" s="77"/>
      <c r="AU256" s="77"/>
      <c r="AV256" s="80" t="str">
        <f>HYPERLINK("https://pbs.twimg.com/ext_tw_video_thumb/1666414889907154947/pu/img/Sv8R6OyRGfHbhdI0.jpg")</f>
        <v>https://pbs.twimg.com/ext_tw_video_thumb/1666414889907154947/pu/img/Sv8R6OyRGfHbhdI0.jpg</v>
      </c>
      <c r="AW256" s="82" t="s">
        <v>4311</v>
      </c>
      <c r="AX256" s="82" t="s">
        <v>4311</v>
      </c>
      <c r="AY256" s="77"/>
      <c r="AZ256" s="82" t="s">
        <v>5075</v>
      </c>
      <c r="BA256" s="82" t="s">
        <v>5075</v>
      </c>
      <c r="BB256" s="82" t="s">
        <v>5075</v>
      </c>
      <c r="BC256" s="82" t="s">
        <v>4311</v>
      </c>
      <c r="BD256" s="82" t="s">
        <v>5175</v>
      </c>
      <c r="BE256" s="77"/>
      <c r="BF256" s="77"/>
      <c r="BG256" s="77"/>
      <c r="BH256" s="77"/>
      <c r="BI256" s="77"/>
    </row>
    <row r="257" spans="1:61" x14ac:dyDescent="0.25">
      <c r="A257" s="62" t="s">
        <v>321</v>
      </c>
      <c r="B257" s="62" t="s">
        <v>321</v>
      </c>
      <c r="C257" s="63"/>
      <c r="D257" s="64"/>
      <c r="E257" s="65"/>
      <c r="F257" s="66"/>
      <c r="G257" s="63"/>
      <c r="H257" s="67"/>
      <c r="I257" s="68"/>
      <c r="J257" s="68"/>
      <c r="K257" s="32"/>
      <c r="L257" s="75">
        <v>257</v>
      </c>
      <c r="M257" s="75"/>
      <c r="N257" s="70"/>
      <c r="O257" s="77" t="s">
        <v>179</v>
      </c>
      <c r="P257" s="79">
        <v>45050.750613425924</v>
      </c>
      <c r="Q257" s="77" t="s">
        <v>791</v>
      </c>
      <c r="R257" s="77">
        <v>0</v>
      </c>
      <c r="S257" s="77">
        <v>0</v>
      </c>
      <c r="T257" s="77">
        <v>0</v>
      </c>
      <c r="U257" s="77">
        <v>0</v>
      </c>
      <c r="V257" s="77">
        <v>28</v>
      </c>
      <c r="W257" s="82" t="s">
        <v>1630</v>
      </c>
      <c r="X257" s="77"/>
      <c r="Y257" s="77"/>
      <c r="Z257" s="77"/>
      <c r="AA257" s="77" t="s">
        <v>2173</v>
      </c>
      <c r="AB257" s="77" t="s">
        <v>2633</v>
      </c>
      <c r="AC257" s="82" t="s">
        <v>2642</v>
      </c>
      <c r="AD257" s="77" t="s">
        <v>2670</v>
      </c>
      <c r="AE257" s="80" t="str">
        <f>HYPERLINK("https://twitter.com/investimentoob1/status/1654184334159491074")</f>
        <v>https://twitter.com/investimentoob1/status/1654184334159491074</v>
      </c>
      <c r="AF257" s="79">
        <v>45050.750613425924</v>
      </c>
      <c r="AG257" s="85">
        <v>45050</v>
      </c>
      <c r="AH257" s="82" t="s">
        <v>2899</v>
      </c>
      <c r="AI257" s="77" t="b">
        <v>0</v>
      </c>
      <c r="AJ257" s="77"/>
      <c r="AK257" s="77"/>
      <c r="AL257" s="77"/>
      <c r="AM257" s="77"/>
      <c r="AN257" s="77"/>
      <c r="AO257" s="77"/>
      <c r="AP257" s="77"/>
      <c r="AQ257" s="77" t="s">
        <v>3602</v>
      </c>
      <c r="AR257" s="77">
        <v>34208</v>
      </c>
      <c r="AS257" s="77"/>
      <c r="AT257" s="77"/>
      <c r="AU257" s="77"/>
      <c r="AV257" s="80" t="str">
        <f>HYPERLINK("https://pbs.twimg.com/ext_tw_video_thumb/1654184308976898051/pu/img/Acg5wbe6WyMZkG1d.jpg")</f>
        <v>https://pbs.twimg.com/ext_tw_video_thumb/1654184308976898051/pu/img/Acg5wbe6WyMZkG1d.jpg</v>
      </c>
      <c r="AW257" s="82" t="s">
        <v>4312</v>
      </c>
      <c r="AX257" s="82" t="s">
        <v>4312</v>
      </c>
      <c r="AY257" s="77"/>
      <c r="AZ257" s="82" t="s">
        <v>5075</v>
      </c>
      <c r="BA257" s="82" t="s">
        <v>5075</v>
      </c>
      <c r="BB257" s="82" t="s">
        <v>5075</v>
      </c>
      <c r="BC257" s="82" t="s">
        <v>4312</v>
      </c>
      <c r="BD257" s="82" t="s">
        <v>5175</v>
      </c>
      <c r="BE257" s="77"/>
      <c r="BF257" s="77"/>
      <c r="BG257" s="77"/>
      <c r="BH257" s="77"/>
      <c r="BI257" s="77"/>
    </row>
    <row r="258" spans="1:61" x14ac:dyDescent="0.25">
      <c r="A258" s="62" t="s">
        <v>321</v>
      </c>
      <c r="B258" s="62" t="s">
        <v>321</v>
      </c>
      <c r="C258" s="63"/>
      <c r="D258" s="64"/>
      <c r="E258" s="65"/>
      <c r="F258" s="66"/>
      <c r="G258" s="63"/>
      <c r="H258" s="67"/>
      <c r="I258" s="68"/>
      <c r="J258" s="68"/>
      <c r="K258" s="32"/>
      <c r="L258" s="75">
        <v>258</v>
      </c>
      <c r="M258" s="75"/>
      <c r="N258" s="70"/>
      <c r="O258" s="77" t="s">
        <v>179</v>
      </c>
      <c r="P258" s="79">
        <v>45106.458958333336</v>
      </c>
      <c r="Q258" s="77" t="s">
        <v>792</v>
      </c>
      <c r="R258" s="77">
        <v>0</v>
      </c>
      <c r="S258" s="77">
        <v>0</v>
      </c>
      <c r="T258" s="77">
        <v>0</v>
      </c>
      <c r="U258" s="77">
        <v>0</v>
      </c>
      <c r="V258" s="77">
        <v>16</v>
      </c>
      <c r="W258" s="82" t="s">
        <v>1624</v>
      </c>
      <c r="X258" s="77"/>
      <c r="Y258" s="77"/>
      <c r="Z258" s="77"/>
      <c r="AA258" s="77" t="s">
        <v>2174</v>
      </c>
      <c r="AB258" s="77" t="s">
        <v>2633</v>
      </c>
      <c r="AC258" s="82" t="s">
        <v>2642</v>
      </c>
      <c r="AD258" s="77" t="s">
        <v>2670</v>
      </c>
      <c r="AE258" s="80" t="str">
        <f>HYPERLINK("https://twitter.com/investimentoob1/status/1674372364644110339")</f>
        <v>https://twitter.com/investimentoob1/status/1674372364644110339</v>
      </c>
      <c r="AF258" s="79">
        <v>45106.458958333336</v>
      </c>
      <c r="AG258" s="85">
        <v>45106</v>
      </c>
      <c r="AH258" s="82" t="s">
        <v>2900</v>
      </c>
      <c r="AI258" s="77" t="b">
        <v>0</v>
      </c>
      <c r="AJ258" s="77"/>
      <c r="AK258" s="77"/>
      <c r="AL258" s="77"/>
      <c r="AM258" s="77"/>
      <c r="AN258" s="77"/>
      <c r="AO258" s="77"/>
      <c r="AP258" s="77"/>
      <c r="AQ258" s="77" t="s">
        <v>3603</v>
      </c>
      <c r="AR258" s="77">
        <v>11033</v>
      </c>
      <c r="AS258" s="77"/>
      <c r="AT258" s="77"/>
      <c r="AU258" s="77"/>
      <c r="AV258" s="80" t="str">
        <f>HYPERLINK("https://pbs.twimg.com/ext_tw_video_thumb/1674372341575438336/pu/img/9jD5u_J0lFtmC-8t.jpg")</f>
        <v>https://pbs.twimg.com/ext_tw_video_thumb/1674372341575438336/pu/img/9jD5u_J0lFtmC-8t.jpg</v>
      </c>
      <c r="AW258" s="82" t="s">
        <v>4313</v>
      </c>
      <c r="AX258" s="82" t="s">
        <v>4313</v>
      </c>
      <c r="AY258" s="77"/>
      <c r="AZ258" s="82" t="s">
        <v>5075</v>
      </c>
      <c r="BA258" s="82" t="s">
        <v>5075</v>
      </c>
      <c r="BB258" s="82" t="s">
        <v>5075</v>
      </c>
      <c r="BC258" s="82" t="s">
        <v>4313</v>
      </c>
      <c r="BD258" s="82" t="s">
        <v>5175</v>
      </c>
      <c r="BE258" s="77"/>
      <c r="BF258" s="77"/>
      <c r="BG258" s="77"/>
      <c r="BH258" s="77"/>
      <c r="BI258" s="77"/>
    </row>
    <row r="259" spans="1:61" x14ac:dyDescent="0.25">
      <c r="A259" s="62" t="s">
        <v>321</v>
      </c>
      <c r="B259" s="62" t="s">
        <v>321</v>
      </c>
      <c r="C259" s="63"/>
      <c r="D259" s="64"/>
      <c r="E259" s="65"/>
      <c r="F259" s="66"/>
      <c r="G259" s="63"/>
      <c r="H259" s="67"/>
      <c r="I259" s="68"/>
      <c r="J259" s="68"/>
      <c r="K259" s="32"/>
      <c r="L259" s="75">
        <v>259</v>
      </c>
      <c r="M259" s="75"/>
      <c r="N259" s="70"/>
      <c r="O259" s="77" t="s">
        <v>179</v>
      </c>
      <c r="P259" s="79">
        <v>44966.875393518516</v>
      </c>
      <c r="Q259" s="77" t="s">
        <v>793</v>
      </c>
      <c r="R259" s="77">
        <v>0</v>
      </c>
      <c r="S259" s="77">
        <v>0</v>
      </c>
      <c r="T259" s="77">
        <v>0</v>
      </c>
      <c r="U259" s="77">
        <v>0</v>
      </c>
      <c r="V259" s="77">
        <v>5</v>
      </c>
      <c r="W259" s="82" t="s">
        <v>1631</v>
      </c>
      <c r="X259" s="80" t="str">
        <f>HYPERLINK("https://investimentoobjetivo.com.br/metodo-ilf/")</f>
        <v>https://investimentoobjetivo.com.br/metodo-ilf/</v>
      </c>
      <c r="Y259" s="77" t="s">
        <v>1978</v>
      </c>
      <c r="Z259" s="77"/>
      <c r="AA259" s="77" t="s">
        <v>2175</v>
      </c>
      <c r="AB259" s="77" t="s">
        <v>2632</v>
      </c>
      <c r="AC259" s="82" t="s">
        <v>2642</v>
      </c>
      <c r="AD259" s="77" t="s">
        <v>2670</v>
      </c>
      <c r="AE259" s="80" t="str">
        <f>HYPERLINK("https://twitter.com/investimentoob1/status/1623788975457533952")</f>
        <v>https://twitter.com/investimentoob1/status/1623788975457533952</v>
      </c>
      <c r="AF259" s="79">
        <v>44966.875393518516</v>
      </c>
      <c r="AG259" s="85">
        <v>44966</v>
      </c>
      <c r="AH259" s="82" t="s">
        <v>2901</v>
      </c>
      <c r="AI259" s="77" t="b">
        <v>0</v>
      </c>
      <c r="AJ259" s="77"/>
      <c r="AK259" s="77"/>
      <c r="AL259" s="77"/>
      <c r="AM259" s="77"/>
      <c r="AN259" s="77"/>
      <c r="AO259" s="77"/>
      <c r="AP259" s="77"/>
      <c r="AQ259" s="77" t="s">
        <v>3604</v>
      </c>
      <c r="AR259" s="77"/>
      <c r="AS259" s="77"/>
      <c r="AT259" s="77"/>
      <c r="AU259" s="77"/>
      <c r="AV259" s="80" t="str">
        <f>HYPERLINK("https://pbs.twimg.com/media/Fojbd8zWcAQrhW0.jpg")</f>
        <v>https://pbs.twimg.com/media/Fojbd8zWcAQrhW0.jpg</v>
      </c>
      <c r="AW259" s="82" t="s">
        <v>4314</v>
      </c>
      <c r="AX259" s="82" t="s">
        <v>4314</v>
      </c>
      <c r="AY259" s="77"/>
      <c r="AZ259" s="82" t="s">
        <v>5075</v>
      </c>
      <c r="BA259" s="82" t="s">
        <v>5075</v>
      </c>
      <c r="BB259" s="82" t="s">
        <v>5075</v>
      </c>
      <c r="BC259" s="82" t="s">
        <v>4314</v>
      </c>
      <c r="BD259" s="82" t="s">
        <v>5175</v>
      </c>
      <c r="BE259" s="77"/>
      <c r="BF259" s="77"/>
      <c r="BG259" s="77"/>
      <c r="BH259" s="77"/>
      <c r="BI259" s="77"/>
    </row>
    <row r="260" spans="1:61" x14ac:dyDescent="0.25">
      <c r="A260" s="62" t="s">
        <v>321</v>
      </c>
      <c r="B260" s="62" t="s">
        <v>321</v>
      </c>
      <c r="C260" s="63"/>
      <c r="D260" s="64"/>
      <c r="E260" s="65"/>
      <c r="F260" s="66"/>
      <c r="G260" s="63"/>
      <c r="H260" s="67"/>
      <c r="I260" s="68"/>
      <c r="J260" s="68"/>
      <c r="K260" s="32"/>
      <c r="L260" s="75">
        <v>260</v>
      </c>
      <c r="M260" s="75"/>
      <c r="N260" s="70"/>
      <c r="O260" s="77" t="s">
        <v>179</v>
      </c>
      <c r="P260" s="79">
        <v>45109.500590277778</v>
      </c>
      <c r="Q260" s="77" t="s">
        <v>794</v>
      </c>
      <c r="R260" s="77">
        <v>0</v>
      </c>
      <c r="S260" s="77">
        <v>0</v>
      </c>
      <c r="T260" s="77">
        <v>0</v>
      </c>
      <c r="U260" s="77">
        <v>0</v>
      </c>
      <c r="V260" s="77">
        <v>38</v>
      </c>
      <c r="W260" s="82" t="s">
        <v>1624</v>
      </c>
      <c r="X260" s="77"/>
      <c r="Y260" s="77"/>
      <c r="Z260" s="77"/>
      <c r="AA260" s="77" t="s">
        <v>2176</v>
      </c>
      <c r="AB260" s="77" t="s">
        <v>2633</v>
      </c>
      <c r="AC260" s="82" t="s">
        <v>2642</v>
      </c>
      <c r="AD260" s="77" t="s">
        <v>2670</v>
      </c>
      <c r="AE260" s="80" t="str">
        <f>HYPERLINK("https://twitter.com/investimentoob1/status/1675474616083513344")</f>
        <v>https://twitter.com/investimentoob1/status/1675474616083513344</v>
      </c>
      <c r="AF260" s="79">
        <v>45109.500590277778</v>
      </c>
      <c r="AG260" s="85">
        <v>45109</v>
      </c>
      <c r="AH260" s="82" t="s">
        <v>2890</v>
      </c>
      <c r="AI260" s="77" t="b">
        <v>0</v>
      </c>
      <c r="AJ260" s="77"/>
      <c r="AK260" s="77"/>
      <c r="AL260" s="77"/>
      <c r="AM260" s="77"/>
      <c r="AN260" s="77"/>
      <c r="AO260" s="77"/>
      <c r="AP260" s="77"/>
      <c r="AQ260" s="77" t="s">
        <v>3605</v>
      </c>
      <c r="AR260" s="77">
        <v>11033</v>
      </c>
      <c r="AS260" s="77"/>
      <c r="AT260" s="77"/>
      <c r="AU260" s="77"/>
      <c r="AV260" s="80" t="str">
        <f>HYPERLINK("https://pbs.twimg.com/ext_tw_video_thumb/1675474592050102274/pu/img/jQMRj01J3IB9DaNz.jpg")</f>
        <v>https://pbs.twimg.com/ext_tw_video_thumb/1675474592050102274/pu/img/jQMRj01J3IB9DaNz.jpg</v>
      </c>
      <c r="AW260" s="82" t="s">
        <v>4315</v>
      </c>
      <c r="AX260" s="82" t="s">
        <v>4315</v>
      </c>
      <c r="AY260" s="77"/>
      <c r="AZ260" s="82" t="s">
        <v>5075</v>
      </c>
      <c r="BA260" s="82" t="s">
        <v>5075</v>
      </c>
      <c r="BB260" s="82" t="s">
        <v>5075</v>
      </c>
      <c r="BC260" s="82" t="s">
        <v>4315</v>
      </c>
      <c r="BD260" s="82" t="s">
        <v>5175</v>
      </c>
      <c r="BE260" s="77"/>
      <c r="BF260" s="77"/>
      <c r="BG260" s="77"/>
      <c r="BH260" s="77"/>
      <c r="BI260" s="77"/>
    </row>
    <row r="261" spans="1:61" x14ac:dyDescent="0.25">
      <c r="A261" s="62" t="s">
        <v>321</v>
      </c>
      <c r="B261" s="62" t="s">
        <v>321</v>
      </c>
      <c r="C261" s="63"/>
      <c r="D261" s="64"/>
      <c r="E261" s="65"/>
      <c r="F261" s="66"/>
      <c r="G261" s="63"/>
      <c r="H261" s="67"/>
      <c r="I261" s="68"/>
      <c r="J261" s="68"/>
      <c r="K261" s="32"/>
      <c r="L261" s="75">
        <v>261</v>
      </c>
      <c r="M261" s="75"/>
      <c r="N261" s="70"/>
      <c r="O261" s="77" t="s">
        <v>179</v>
      </c>
      <c r="P261" s="79">
        <v>45108.542210648149</v>
      </c>
      <c r="Q261" s="77" t="s">
        <v>795</v>
      </c>
      <c r="R261" s="77">
        <v>0</v>
      </c>
      <c r="S261" s="77">
        <v>0</v>
      </c>
      <c r="T261" s="77">
        <v>0</v>
      </c>
      <c r="U261" s="77">
        <v>0</v>
      </c>
      <c r="V261" s="77">
        <v>47</v>
      </c>
      <c r="W261" s="82" t="s">
        <v>1624</v>
      </c>
      <c r="X261" s="77"/>
      <c r="Y261" s="77"/>
      <c r="Z261" s="77"/>
      <c r="AA261" s="77" t="s">
        <v>2177</v>
      </c>
      <c r="AB261" s="77" t="s">
        <v>2633</v>
      </c>
      <c r="AC261" s="82" t="s">
        <v>2642</v>
      </c>
      <c r="AD261" s="77" t="s">
        <v>2670</v>
      </c>
      <c r="AE261" s="80" t="str">
        <f>HYPERLINK("https://twitter.com/investimentoob1/status/1675127311081807872")</f>
        <v>https://twitter.com/investimentoob1/status/1675127311081807872</v>
      </c>
      <c r="AF261" s="79">
        <v>45108.542210648149</v>
      </c>
      <c r="AG261" s="85">
        <v>45108</v>
      </c>
      <c r="AH261" s="82" t="s">
        <v>2902</v>
      </c>
      <c r="AI261" s="77" t="b">
        <v>0</v>
      </c>
      <c r="AJ261" s="77"/>
      <c r="AK261" s="77"/>
      <c r="AL261" s="77"/>
      <c r="AM261" s="77"/>
      <c r="AN261" s="77"/>
      <c r="AO261" s="77"/>
      <c r="AP261" s="77"/>
      <c r="AQ261" s="77" t="s">
        <v>3606</v>
      </c>
      <c r="AR261" s="77">
        <v>11033</v>
      </c>
      <c r="AS261" s="77"/>
      <c r="AT261" s="77"/>
      <c r="AU261" s="77"/>
      <c r="AV261" s="80" t="str">
        <f>HYPERLINK("https://pbs.twimg.com/ext_tw_video_thumb/1675127287082041345/pu/img/GL6xMLrcfaUkck6e.jpg")</f>
        <v>https://pbs.twimg.com/ext_tw_video_thumb/1675127287082041345/pu/img/GL6xMLrcfaUkck6e.jpg</v>
      </c>
      <c r="AW261" s="82" t="s">
        <v>4316</v>
      </c>
      <c r="AX261" s="82" t="s">
        <v>4316</v>
      </c>
      <c r="AY261" s="77"/>
      <c r="AZ261" s="82" t="s">
        <v>5075</v>
      </c>
      <c r="BA261" s="82" t="s">
        <v>5075</v>
      </c>
      <c r="BB261" s="82" t="s">
        <v>5075</v>
      </c>
      <c r="BC261" s="82" t="s">
        <v>4316</v>
      </c>
      <c r="BD261" s="82" t="s">
        <v>5175</v>
      </c>
      <c r="BE261" s="77"/>
      <c r="BF261" s="77"/>
      <c r="BG261" s="77"/>
      <c r="BH261" s="77"/>
      <c r="BI261" s="77"/>
    </row>
    <row r="262" spans="1:61" x14ac:dyDescent="0.25">
      <c r="A262" s="62" t="s">
        <v>321</v>
      </c>
      <c r="B262" s="62" t="s">
        <v>321</v>
      </c>
      <c r="C262" s="63"/>
      <c r="D262" s="64"/>
      <c r="E262" s="65"/>
      <c r="F262" s="66"/>
      <c r="G262" s="63"/>
      <c r="H262" s="67"/>
      <c r="I262" s="68"/>
      <c r="J262" s="68"/>
      <c r="K262" s="32"/>
      <c r="L262" s="75">
        <v>262</v>
      </c>
      <c r="M262" s="75"/>
      <c r="N262" s="70"/>
      <c r="O262" s="77" t="s">
        <v>179</v>
      </c>
      <c r="P262" s="79">
        <v>45077.500775462962</v>
      </c>
      <c r="Q262" s="77" t="s">
        <v>796</v>
      </c>
      <c r="R262" s="77">
        <v>0</v>
      </c>
      <c r="S262" s="77">
        <v>0</v>
      </c>
      <c r="T262" s="77">
        <v>0</v>
      </c>
      <c r="U262" s="77">
        <v>0</v>
      </c>
      <c r="V262" s="77">
        <v>34</v>
      </c>
      <c r="W262" s="82" t="s">
        <v>1632</v>
      </c>
      <c r="X262" s="77"/>
      <c r="Y262" s="77"/>
      <c r="Z262" s="77"/>
      <c r="AA262" s="77" t="s">
        <v>2178</v>
      </c>
      <c r="AB262" s="77" t="s">
        <v>2633</v>
      </c>
      <c r="AC262" s="82" t="s">
        <v>2642</v>
      </c>
      <c r="AD262" s="77" t="s">
        <v>2670</v>
      </c>
      <c r="AE262" s="80" t="str">
        <f>HYPERLINK("https://twitter.com/investimentoob1/status/1663878269853134848")</f>
        <v>https://twitter.com/investimentoob1/status/1663878269853134848</v>
      </c>
      <c r="AF262" s="79">
        <v>45077.500775462962</v>
      </c>
      <c r="AG262" s="85">
        <v>45077</v>
      </c>
      <c r="AH262" s="82" t="s">
        <v>2903</v>
      </c>
      <c r="AI262" s="77" t="b">
        <v>0</v>
      </c>
      <c r="AJ262" s="77"/>
      <c r="AK262" s="77"/>
      <c r="AL262" s="77"/>
      <c r="AM262" s="77"/>
      <c r="AN262" s="77"/>
      <c r="AO262" s="77"/>
      <c r="AP262" s="77"/>
      <c r="AQ262" s="77" t="s">
        <v>3607</v>
      </c>
      <c r="AR262" s="77">
        <v>58231</v>
      </c>
      <c r="AS262" s="77"/>
      <c r="AT262" s="77"/>
      <c r="AU262" s="77"/>
      <c r="AV262" s="80" t="str">
        <f>HYPERLINK("https://pbs.twimg.com/ext_tw_video_thumb/1663878240337899521/pu/img/K9uklS9iQids7o1n.jpg")</f>
        <v>https://pbs.twimg.com/ext_tw_video_thumb/1663878240337899521/pu/img/K9uklS9iQids7o1n.jpg</v>
      </c>
      <c r="AW262" s="82" t="s">
        <v>4317</v>
      </c>
      <c r="AX262" s="82" t="s">
        <v>4317</v>
      </c>
      <c r="AY262" s="77"/>
      <c r="AZ262" s="82" t="s">
        <v>5075</v>
      </c>
      <c r="BA262" s="82" t="s">
        <v>5075</v>
      </c>
      <c r="BB262" s="82" t="s">
        <v>5075</v>
      </c>
      <c r="BC262" s="82" t="s">
        <v>4317</v>
      </c>
      <c r="BD262" s="82" t="s">
        <v>5175</v>
      </c>
      <c r="BE262" s="77"/>
      <c r="BF262" s="77"/>
      <c r="BG262" s="77"/>
      <c r="BH262" s="77"/>
      <c r="BI262" s="77"/>
    </row>
    <row r="263" spans="1:61" x14ac:dyDescent="0.25">
      <c r="A263" s="62" t="s">
        <v>321</v>
      </c>
      <c r="B263" s="62" t="s">
        <v>321</v>
      </c>
      <c r="C263" s="63"/>
      <c r="D263" s="64"/>
      <c r="E263" s="65"/>
      <c r="F263" s="66"/>
      <c r="G263" s="63"/>
      <c r="H263" s="67"/>
      <c r="I263" s="68"/>
      <c r="J263" s="68"/>
      <c r="K263" s="32"/>
      <c r="L263" s="75">
        <v>263</v>
      </c>
      <c r="M263" s="75"/>
      <c r="N263" s="70"/>
      <c r="O263" s="77" t="s">
        <v>179</v>
      </c>
      <c r="P263" s="79">
        <v>45037.87572916667</v>
      </c>
      <c r="Q263" s="77" t="s">
        <v>797</v>
      </c>
      <c r="R263" s="77">
        <v>0</v>
      </c>
      <c r="S263" s="77">
        <v>0</v>
      </c>
      <c r="T263" s="77">
        <v>0</v>
      </c>
      <c r="U263" s="77">
        <v>0</v>
      </c>
      <c r="V263" s="77">
        <v>40</v>
      </c>
      <c r="W263" s="82" t="s">
        <v>1633</v>
      </c>
      <c r="X263" s="77"/>
      <c r="Y263" s="77"/>
      <c r="Z263" s="77"/>
      <c r="AA263" s="77" t="s">
        <v>2179</v>
      </c>
      <c r="AB263" s="77" t="s">
        <v>2633</v>
      </c>
      <c r="AC263" s="82" t="s">
        <v>2642</v>
      </c>
      <c r="AD263" s="77" t="s">
        <v>2670</v>
      </c>
      <c r="AE263" s="80" t="str">
        <f>HYPERLINK("https://twitter.com/investimentoob1/status/1649518635633786885")</f>
        <v>https://twitter.com/investimentoob1/status/1649518635633786885</v>
      </c>
      <c r="AF263" s="79">
        <v>45037.87572916667</v>
      </c>
      <c r="AG263" s="85">
        <v>45037</v>
      </c>
      <c r="AH263" s="82" t="s">
        <v>2904</v>
      </c>
      <c r="AI263" s="77" t="b">
        <v>0</v>
      </c>
      <c r="AJ263" s="77"/>
      <c r="AK263" s="77"/>
      <c r="AL263" s="77"/>
      <c r="AM263" s="77"/>
      <c r="AN263" s="77"/>
      <c r="AO263" s="77"/>
      <c r="AP263" s="77"/>
      <c r="AQ263" s="77" t="s">
        <v>3608</v>
      </c>
      <c r="AR263" s="77">
        <v>38208</v>
      </c>
      <c r="AS263" s="77"/>
      <c r="AT263" s="77"/>
      <c r="AU263" s="77"/>
      <c r="AV263" s="80" t="str">
        <f>HYPERLINK("https://pbs.twimg.com/ext_tw_video_thumb/1649518586824728580/pu/img/mWA5Nppyys6XcjnI.jpg")</f>
        <v>https://pbs.twimg.com/ext_tw_video_thumb/1649518586824728580/pu/img/mWA5Nppyys6XcjnI.jpg</v>
      </c>
      <c r="AW263" s="82" t="s">
        <v>4318</v>
      </c>
      <c r="AX263" s="82" t="s">
        <v>4318</v>
      </c>
      <c r="AY263" s="77"/>
      <c r="AZ263" s="82" t="s">
        <v>5075</v>
      </c>
      <c r="BA263" s="82" t="s">
        <v>5075</v>
      </c>
      <c r="BB263" s="82" t="s">
        <v>5075</v>
      </c>
      <c r="BC263" s="82" t="s">
        <v>4318</v>
      </c>
      <c r="BD263" s="82" t="s">
        <v>5175</v>
      </c>
      <c r="BE263" s="77"/>
      <c r="BF263" s="77"/>
      <c r="BG263" s="77"/>
      <c r="BH263" s="77"/>
      <c r="BI263" s="77"/>
    </row>
    <row r="264" spans="1:61" x14ac:dyDescent="0.25">
      <c r="A264" s="62" t="s">
        <v>322</v>
      </c>
      <c r="B264" s="62" t="s">
        <v>322</v>
      </c>
      <c r="C264" s="63"/>
      <c r="D264" s="64"/>
      <c r="E264" s="65"/>
      <c r="F264" s="66"/>
      <c r="G264" s="63"/>
      <c r="H264" s="67"/>
      <c r="I264" s="68"/>
      <c r="J264" s="68"/>
      <c r="K264" s="32"/>
      <c r="L264" s="75">
        <v>264</v>
      </c>
      <c r="M264" s="75"/>
      <c r="N264" s="70"/>
      <c r="O264" s="77" t="s">
        <v>536</v>
      </c>
      <c r="P264" s="79">
        <v>45012.801874999997</v>
      </c>
      <c r="Q264" s="77" t="s">
        <v>798</v>
      </c>
      <c r="R264" s="77">
        <v>0</v>
      </c>
      <c r="S264" s="77">
        <v>1</v>
      </c>
      <c r="T264" s="77">
        <v>1</v>
      </c>
      <c r="U264" s="77">
        <v>0</v>
      </c>
      <c r="V264" s="77">
        <v>177</v>
      </c>
      <c r="W264" s="82" t="s">
        <v>1435</v>
      </c>
      <c r="X264" s="77"/>
      <c r="Y264" s="77"/>
      <c r="Z264" s="77"/>
      <c r="AA264" s="77"/>
      <c r="AB264" s="77"/>
      <c r="AC264" s="82" t="s">
        <v>2639</v>
      </c>
      <c r="AD264" s="77" t="s">
        <v>2670</v>
      </c>
      <c r="AE264" s="80" t="str">
        <f>HYPERLINK("https://twitter.com/sunonoticias/status/1640432174515011584")</f>
        <v>https://twitter.com/sunonoticias/status/1640432174515011584</v>
      </c>
      <c r="AF264" s="79">
        <v>45012.801874999997</v>
      </c>
      <c r="AG264" s="85">
        <v>45012</v>
      </c>
      <c r="AH264" s="82" t="s">
        <v>2905</v>
      </c>
      <c r="AI264" s="77"/>
      <c r="AJ264" s="77"/>
      <c r="AK264" s="77"/>
      <c r="AL264" s="77"/>
      <c r="AM264" s="77"/>
      <c r="AN264" s="77"/>
      <c r="AO264" s="77"/>
      <c r="AP264" s="77"/>
      <c r="AQ264" s="77"/>
      <c r="AR264" s="77"/>
      <c r="AS264" s="77"/>
      <c r="AT264" s="77"/>
      <c r="AU264" s="77"/>
      <c r="AV264" s="80" t="str">
        <f>HYPERLINK("https://pbs.twimg.com/profile_images/1615417996826054674/S4AQ1ejx_normal.jpg")</f>
        <v>https://pbs.twimg.com/profile_images/1615417996826054674/S4AQ1ejx_normal.jpg</v>
      </c>
      <c r="AW264" s="82" t="s">
        <v>4319</v>
      </c>
      <c r="AX264" s="82" t="s">
        <v>4974</v>
      </c>
      <c r="AY264" s="82" t="s">
        <v>5042</v>
      </c>
      <c r="AZ264" s="82" t="s">
        <v>5089</v>
      </c>
      <c r="BA264" s="82" t="s">
        <v>5075</v>
      </c>
      <c r="BB264" s="82" t="s">
        <v>5075</v>
      </c>
      <c r="BC264" s="82" t="s">
        <v>5089</v>
      </c>
      <c r="BD264" s="82" t="s">
        <v>5042</v>
      </c>
      <c r="BE264" s="77"/>
      <c r="BF264" s="77"/>
      <c r="BG264" s="77"/>
      <c r="BH264" s="77"/>
      <c r="BI264" s="77"/>
    </row>
    <row r="265" spans="1:61" x14ac:dyDescent="0.25">
      <c r="A265" s="62" t="s">
        <v>323</v>
      </c>
      <c r="B265" s="62" t="s">
        <v>323</v>
      </c>
      <c r="C265" s="63"/>
      <c r="D265" s="64"/>
      <c r="E265" s="65"/>
      <c r="F265" s="66"/>
      <c r="G265" s="63"/>
      <c r="H265" s="67"/>
      <c r="I265" s="68"/>
      <c r="J265" s="68"/>
      <c r="K265" s="32"/>
      <c r="L265" s="75">
        <v>265</v>
      </c>
      <c r="M265" s="75"/>
      <c r="N265" s="70"/>
      <c r="O265" s="77" t="s">
        <v>536</v>
      </c>
      <c r="P265" s="79">
        <v>44973.600266203706</v>
      </c>
      <c r="Q265" s="77" t="s">
        <v>799</v>
      </c>
      <c r="R265" s="77">
        <v>0</v>
      </c>
      <c r="S265" s="77">
        <v>0</v>
      </c>
      <c r="T265" s="77">
        <v>0</v>
      </c>
      <c r="U265" s="77">
        <v>0</v>
      </c>
      <c r="V265" s="77">
        <v>66</v>
      </c>
      <c r="W265" s="82" t="s">
        <v>1634</v>
      </c>
      <c r="X265" s="77"/>
      <c r="Y265" s="77"/>
      <c r="Z265" s="77"/>
      <c r="AA265" s="77"/>
      <c r="AB265" s="77"/>
      <c r="AC265" s="82" t="s">
        <v>2638</v>
      </c>
      <c r="AD265" s="77" t="s">
        <v>2670</v>
      </c>
      <c r="AE265" s="80" t="str">
        <f>HYPERLINK("https://twitter.com/thiagobudni/status/1626225985686507523")</f>
        <v>https://twitter.com/thiagobudni/status/1626225985686507523</v>
      </c>
      <c r="AF265" s="79">
        <v>44973.600266203706</v>
      </c>
      <c r="AG265" s="85">
        <v>44973</v>
      </c>
      <c r="AH265" s="82" t="s">
        <v>2906</v>
      </c>
      <c r="AI265" s="77"/>
      <c r="AJ265" s="77" t="s">
        <v>3405</v>
      </c>
      <c r="AK265" s="77" t="s">
        <v>3410</v>
      </c>
      <c r="AL265" s="77" t="s">
        <v>3411</v>
      </c>
      <c r="AM265" s="77" t="s">
        <v>3417</v>
      </c>
      <c r="AN265" s="77" t="s">
        <v>3427</v>
      </c>
      <c r="AO265" s="77" t="s">
        <v>3437</v>
      </c>
      <c r="AP265" s="77" t="s">
        <v>3442</v>
      </c>
      <c r="AQ265" s="77"/>
      <c r="AR265" s="77"/>
      <c r="AS265" s="77"/>
      <c r="AT265" s="77"/>
      <c r="AU265" s="77"/>
      <c r="AV265" s="80" t="str">
        <f>HYPERLINK("https://pbs.twimg.com/profile_images/1564389807702376458/1UGzDIk7_normal.jpg")</f>
        <v>https://pbs.twimg.com/profile_images/1564389807702376458/1UGzDIk7_normal.jpg</v>
      </c>
      <c r="AW265" s="82" t="s">
        <v>4320</v>
      </c>
      <c r="AX265" s="82" t="s">
        <v>4975</v>
      </c>
      <c r="AY265" s="82" t="s">
        <v>5043</v>
      </c>
      <c r="AZ265" s="82" t="s">
        <v>5090</v>
      </c>
      <c r="BA265" s="82" t="s">
        <v>5075</v>
      </c>
      <c r="BB265" s="82" t="s">
        <v>5075</v>
      </c>
      <c r="BC265" s="82" t="s">
        <v>5090</v>
      </c>
      <c r="BD265" s="77">
        <v>57981116</v>
      </c>
      <c r="BE265" s="77"/>
      <c r="BF265" s="77"/>
      <c r="BG265" s="77"/>
      <c r="BH265" s="77"/>
      <c r="BI265" s="77"/>
    </row>
    <row r="266" spans="1:61" x14ac:dyDescent="0.25">
      <c r="A266" s="62" t="s">
        <v>324</v>
      </c>
      <c r="B266" s="62" t="s">
        <v>324</v>
      </c>
      <c r="C266" s="63"/>
      <c r="D266" s="64"/>
      <c r="E266" s="65"/>
      <c r="F266" s="66"/>
      <c r="G266" s="63"/>
      <c r="H266" s="67"/>
      <c r="I266" s="68"/>
      <c r="J266" s="68"/>
      <c r="K266" s="32"/>
      <c r="L266" s="75">
        <v>266</v>
      </c>
      <c r="M266" s="75"/>
      <c r="N266" s="70"/>
      <c r="O266" s="77" t="s">
        <v>536</v>
      </c>
      <c r="P266" s="79">
        <v>45043.216365740744</v>
      </c>
      <c r="Q266" s="77" t="s">
        <v>800</v>
      </c>
      <c r="R266" s="77">
        <v>0</v>
      </c>
      <c r="S266" s="77">
        <v>0</v>
      </c>
      <c r="T266" s="77">
        <v>0</v>
      </c>
      <c r="U266" s="77">
        <v>0</v>
      </c>
      <c r="V266" s="77">
        <v>11</v>
      </c>
      <c r="W266" s="82" t="s">
        <v>1635</v>
      </c>
      <c r="X266" s="77"/>
      <c r="Y266" s="77"/>
      <c r="Z266" s="77"/>
      <c r="AA266" s="77"/>
      <c r="AB266" s="77"/>
      <c r="AC266" s="82" t="s">
        <v>2638</v>
      </c>
      <c r="AD266" s="77" t="s">
        <v>2675</v>
      </c>
      <c r="AE266" s="80" t="str">
        <f>HYPERLINK("https://twitter.com/paraminvest/status/1651454014809341953")</f>
        <v>https://twitter.com/paraminvest/status/1651454014809341953</v>
      </c>
      <c r="AF266" s="79">
        <v>45043.216365740744</v>
      </c>
      <c r="AG266" s="85">
        <v>45043</v>
      </c>
      <c r="AH266" s="82" t="s">
        <v>2907</v>
      </c>
      <c r="AI266" s="77"/>
      <c r="AJ266" s="77"/>
      <c r="AK266" s="77"/>
      <c r="AL266" s="77"/>
      <c r="AM266" s="77"/>
      <c r="AN266" s="77"/>
      <c r="AO266" s="77"/>
      <c r="AP266" s="77"/>
      <c r="AQ266" s="77"/>
      <c r="AR266" s="77"/>
      <c r="AS266" s="77"/>
      <c r="AT266" s="77"/>
      <c r="AU266" s="77"/>
      <c r="AV266" s="80" t="str">
        <f>HYPERLINK("https://pbs.twimg.com/profile_images/1660516506491568129/s9Q9FabK_normal.jpg")</f>
        <v>https://pbs.twimg.com/profile_images/1660516506491568129/s9Q9FabK_normal.jpg</v>
      </c>
      <c r="AW266" s="82" t="s">
        <v>4321</v>
      </c>
      <c r="AX266" s="82" t="s">
        <v>4976</v>
      </c>
      <c r="AY266" s="82" t="s">
        <v>5044</v>
      </c>
      <c r="AZ266" s="82" t="s">
        <v>4976</v>
      </c>
      <c r="BA266" s="82" t="s">
        <v>5075</v>
      </c>
      <c r="BB266" s="82" t="s">
        <v>5075</v>
      </c>
      <c r="BC266" s="82" t="s">
        <v>4976</v>
      </c>
      <c r="BD266" s="77">
        <v>2469127752</v>
      </c>
      <c r="BE266" s="77"/>
      <c r="BF266" s="77"/>
      <c r="BG266" s="77"/>
      <c r="BH266" s="77"/>
      <c r="BI266" s="77"/>
    </row>
    <row r="267" spans="1:61" x14ac:dyDescent="0.25">
      <c r="A267" s="62" t="s">
        <v>325</v>
      </c>
      <c r="B267" s="62" t="s">
        <v>325</v>
      </c>
      <c r="C267" s="63"/>
      <c r="D267" s="64"/>
      <c r="E267" s="65"/>
      <c r="F267" s="66"/>
      <c r="G267" s="63"/>
      <c r="H267" s="67"/>
      <c r="I267" s="68"/>
      <c r="J267" s="68"/>
      <c r="K267" s="32"/>
      <c r="L267" s="75">
        <v>267</v>
      </c>
      <c r="M267" s="75"/>
      <c r="N267" s="70"/>
      <c r="O267" s="77" t="s">
        <v>179</v>
      </c>
      <c r="P267" s="79">
        <v>45190.509791666664</v>
      </c>
      <c r="Q267" s="77" t="s">
        <v>801</v>
      </c>
      <c r="R267" s="77">
        <v>0</v>
      </c>
      <c r="S267" s="77">
        <v>0</v>
      </c>
      <c r="T267" s="77">
        <v>0</v>
      </c>
      <c r="U267" s="77">
        <v>0</v>
      </c>
      <c r="V267" s="77">
        <v>24</v>
      </c>
      <c r="W267" s="82" t="s">
        <v>1636</v>
      </c>
      <c r="X267" s="77"/>
      <c r="Y267" s="77"/>
      <c r="Z267" s="77"/>
      <c r="AA267" s="77"/>
      <c r="AB267" s="77"/>
      <c r="AC267" s="82" t="s">
        <v>2639</v>
      </c>
      <c r="AD267" s="77" t="s">
        <v>2670</v>
      </c>
      <c r="AE267" s="80" t="str">
        <f>HYPERLINK("https://twitter.com/rodrigosrp4/status/1704831364850176161")</f>
        <v>https://twitter.com/rodrigosrp4/status/1704831364850176161</v>
      </c>
      <c r="AF267" s="79">
        <v>45190.509791666664</v>
      </c>
      <c r="AG267" s="85">
        <v>45190</v>
      </c>
      <c r="AH267" s="82" t="s">
        <v>2908</v>
      </c>
      <c r="AI267" s="77"/>
      <c r="AJ267" s="77"/>
      <c r="AK267" s="77"/>
      <c r="AL267" s="77"/>
      <c r="AM267" s="77"/>
      <c r="AN267" s="77"/>
      <c r="AO267" s="77"/>
      <c r="AP267" s="77"/>
      <c r="AQ267" s="77"/>
      <c r="AR267" s="77"/>
      <c r="AS267" s="77"/>
      <c r="AT267" s="77"/>
      <c r="AU267" s="77"/>
      <c r="AV267" s="80" t="str">
        <f>HYPERLINK("https://pbs.twimg.com/profile_images/1680413141245612036/8M3SnOn-_normal.jpg")</f>
        <v>https://pbs.twimg.com/profile_images/1680413141245612036/8M3SnOn-_normal.jpg</v>
      </c>
      <c r="AW267" s="82" t="s">
        <v>4322</v>
      </c>
      <c r="AX267" s="82" t="s">
        <v>4322</v>
      </c>
      <c r="AY267" s="77"/>
      <c r="AZ267" s="82" t="s">
        <v>5075</v>
      </c>
      <c r="BA267" s="82" t="s">
        <v>5075</v>
      </c>
      <c r="BB267" s="82" t="s">
        <v>5075</v>
      </c>
      <c r="BC267" s="82" t="s">
        <v>4322</v>
      </c>
      <c r="BD267" s="77">
        <v>64904940</v>
      </c>
      <c r="BE267" s="77"/>
      <c r="BF267" s="77"/>
      <c r="BG267" s="77"/>
      <c r="BH267" s="77"/>
      <c r="BI267" s="77"/>
    </row>
    <row r="268" spans="1:61" x14ac:dyDescent="0.25">
      <c r="A268" s="62" t="s">
        <v>326</v>
      </c>
      <c r="B268" s="62" t="s">
        <v>326</v>
      </c>
      <c r="C268" s="63"/>
      <c r="D268" s="64"/>
      <c r="E268" s="65"/>
      <c r="F268" s="66"/>
      <c r="G268" s="63"/>
      <c r="H268" s="67"/>
      <c r="I268" s="68"/>
      <c r="J268" s="68"/>
      <c r="K268" s="32"/>
      <c r="L268" s="75">
        <v>268</v>
      </c>
      <c r="M268" s="75"/>
      <c r="N268" s="70"/>
      <c r="O268" s="77" t="s">
        <v>179</v>
      </c>
      <c r="P268" s="79">
        <v>45026.518969907411</v>
      </c>
      <c r="Q268" s="77" t="s">
        <v>802</v>
      </c>
      <c r="R268" s="77">
        <v>0</v>
      </c>
      <c r="S268" s="77">
        <v>0</v>
      </c>
      <c r="T268" s="77">
        <v>0</v>
      </c>
      <c r="U268" s="77">
        <v>0</v>
      </c>
      <c r="V268" s="77">
        <v>16</v>
      </c>
      <c r="W268" s="82" t="s">
        <v>1637</v>
      </c>
      <c r="X268" s="77"/>
      <c r="Y268" s="77"/>
      <c r="Z268" s="77"/>
      <c r="AA268" s="77" t="s">
        <v>2180</v>
      </c>
      <c r="AB268" s="77" t="s">
        <v>2632</v>
      </c>
      <c r="AC268" s="82" t="s">
        <v>2640</v>
      </c>
      <c r="AD268" s="77" t="s">
        <v>2670</v>
      </c>
      <c r="AE268" s="80" t="str">
        <f>HYPERLINK("https://twitter.com/caixettanayara/status/1645403081197117443")</f>
        <v>https://twitter.com/caixettanayara/status/1645403081197117443</v>
      </c>
      <c r="AF268" s="79">
        <v>45026.518969907411</v>
      </c>
      <c r="AG268" s="85">
        <v>45026</v>
      </c>
      <c r="AH268" s="82" t="s">
        <v>2909</v>
      </c>
      <c r="AI268" s="77" t="b">
        <v>0</v>
      </c>
      <c r="AJ268" s="77"/>
      <c r="AK268" s="77"/>
      <c r="AL268" s="77"/>
      <c r="AM268" s="77"/>
      <c r="AN268" s="77"/>
      <c r="AO268" s="77"/>
      <c r="AP268" s="77"/>
      <c r="AQ268" s="77" t="s">
        <v>3609</v>
      </c>
      <c r="AR268" s="77"/>
      <c r="AS268" s="77"/>
      <c r="AT268" s="77"/>
      <c r="AU268" s="77"/>
      <c r="AV268" s="80" t="str">
        <f>HYPERLINK("https://pbs.twimg.com/media/FtWlYSNWwAAchP9.jpg")</f>
        <v>https://pbs.twimg.com/media/FtWlYSNWwAAchP9.jpg</v>
      </c>
      <c r="AW268" s="82" t="s">
        <v>4323</v>
      </c>
      <c r="AX268" s="82" t="s">
        <v>4323</v>
      </c>
      <c r="AY268" s="77"/>
      <c r="AZ268" s="82" t="s">
        <v>5075</v>
      </c>
      <c r="BA268" s="82" t="s">
        <v>5075</v>
      </c>
      <c r="BB268" s="82" t="s">
        <v>5075</v>
      </c>
      <c r="BC268" s="82" t="s">
        <v>4323</v>
      </c>
      <c r="BD268" s="82" t="s">
        <v>5176</v>
      </c>
      <c r="BE268" s="77"/>
      <c r="BF268" s="77"/>
      <c r="BG268" s="77"/>
      <c r="BH268" s="77"/>
      <c r="BI268" s="77"/>
    </row>
    <row r="269" spans="1:61" x14ac:dyDescent="0.25">
      <c r="A269" s="62" t="s">
        <v>327</v>
      </c>
      <c r="B269" s="62" t="s">
        <v>327</v>
      </c>
      <c r="C269" s="63"/>
      <c r="D269" s="64"/>
      <c r="E269" s="65"/>
      <c r="F269" s="66"/>
      <c r="G269" s="63"/>
      <c r="H269" s="67"/>
      <c r="I269" s="68"/>
      <c r="J269" s="68"/>
      <c r="K269" s="32"/>
      <c r="L269" s="75">
        <v>269</v>
      </c>
      <c r="M269" s="75"/>
      <c r="N269" s="70"/>
      <c r="O269" s="77" t="s">
        <v>179</v>
      </c>
      <c r="P269" s="79">
        <v>44958.167083333334</v>
      </c>
      <c r="Q269" s="77" t="s">
        <v>803</v>
      </c>
      <c r="R269" s="77">
        <v>0</v>
      </c>
      <c r="S269" s="77">
        <v>0</v>
      </c>
      <c r="T269" s="77">
        <v>0</v>
      </c>
      <c r="U269" s="77">
        <v>0</v>
      </c>
      <c r="V269" s="77">
        <v>28</v>
      </c>
      <c r="W269" s="82" t="s">
        <v>1638</v>
      </c>
      <c r="X269" s="77"/>
      <c r="Y269" s="77"/>
      <c r="Z269" s="77"/>
      <c r="AA269" s="77"/>
      <c r="AB269" s="77"/>
      <c r="AC269" s="82" t="s">
        <v>2639</v>
      </c>
      <c r="AD269" s="77" t="s">
        <v>2670</v>
      </c>
      <c r="AE269" s="80" t="str">
        <f>HYPERLINK("https://twitter.com/qfasegui/status/1620633185930612737")</f>
        <v>https://twitter.com/qfasegui/status/1620633185930612737</v>
      </c>
      <c r="AF269" s="79">
        <v>44958.167083333334</v>
      </c>
      <c r="AG269" s="85">
        <v>44958</v>
      </c>
      <c r="AH269" s="82" t="s">
        <v>2910</v>
      </c>
      <c r="AI269" s="77"/>
      <c r="AJ269" s="77"/>
      <c r="AK269" s="77"/>
      <c r="AL269" s="77"/>
      <c r="AM269" s="77"/>
      <c r="AN269" s="77"/>
      <c r="AO269" s="77"/>
      <c r="AP269" s="77"/>
      <c r="AQ269" s="77"/>
      <c r="AR269" s="77"/>
      <c r="AS269" s="77"/>
      <c r="AT269" s="77"/>
      <c r="AU269" s="77"/>
      <c r="AV269" s="80" t="str">
        <f>HYPERLINK("https://pbs.twimg.com/profile_images/1675973165678247938/jdPb7WLd_normal.jpg")</f>
        <v>https://pbs.twimg.com/profile_images/1675973165678247938/jdPb7WLd_normal.jpg</v>
      </c>
      <c r="AW269" s="82" t="s">
        <v>4324</v>
      </c>
      <c r="AX269" s="82" t="s">
        <v>4324</v>
      </c>
      <c r="AY269" s="77"/>
      <c r="AZ269" s="82" t="s">
        <v>5075</v>
      </c>
      <c r="BA269" s="82" t="s">
        <v>5075</v>
      </c>
      <c r="BB269" s="82" t="s">
        <v>5075</v>
      </c>
      <c r="BC269" s="82" t="s">
        <v>4324</v>
      </c>
      <c r="BD269" s="82" t="s">
        <v>5177</v>
      </c>
      <c r="BE269" s="77"/>
      <c r="BF269" s="77"/>
      <c r="BG269" s="77"/>
      <c r="BH269" s="77"/>
      <c r="BI269" s="77"/>
    </row>
    <row r="270" spans="1:61" x14ac:dyDescent="0.25">
      <c r="A270" s="62" t="s">
        <v>328</v>
      </c>
      <c r="B270" s="62" t="s">
        <v>328</v>
      </c>
      <c r="C270" s="63"/>
      <c r="D270" s="64"/>
      <c r="E270" s="65"/>
      <c r="F270" s="66"/>
      <c r="G270" s="63"/>
      <c r="H270" s="67"/>
      <c r="I270" s="68"/>
      <c r="J270" s="68"/>
      <c r="K270" s="32"/>
      <c r="L270" s="75">
        <v>270</v>
      </c>
      <c r="M270" s="75"/>
      <c r="N270" s="70"/>
      <c r="O270" s="77" t="s">
        <v>179</v>
      </c>
      <c r="P270" s="79">
        <v>45034.517604166664</v>
      </c>
      <c r="Q270" s="77" t="s">
        <v>804</v>
      </c>
      <c r="R270" s="77">
        <v>0</v>
      </c>
      <c r="S270" s="77">
        <v>0</v>
      </c>
      <c r="T270" s="77">
        <v>0</v>
      </c>
      <c r="U270" s="77">
        <v>0</v>
      </c>
      <c r="V270" s="77">
        <v>10</v>
      </c>
      <c r="W270" s="82" t="s">
        <v>1493</v>
      </c>
      <c r="X270" s="80" t="str">
        <f>HYPERLINK("https://go.hotmart.com/U78070312R")</f>
        <v>https://go.hotmart.com/U78070312R</v>
      </c>
      <c r="Y270" s="77" t="s">
        <v>1985</v>
      </c>
      <c r="Z270" s="77"/>
      <c r="AA270" s="77"/>
      <c r="AB270" s="77"/>
      <c r="AC270" s="82" t="s">
        <v>2639</v>
      </c>
      <c r="AD270" s="77" t="s">
        <v>2670</v>
      </c>
      <c r="AE270" s="80" t="str">
        <f>HYPERLINK("https://twitter.com/falasantiago/status/1648301688581660673")</f>
        <v>https://twitter.com/falasantiago/status/1648301688581660673</v>
      </c>
      <c r="AF270" s="79">
        <v>45034.517604166664</v>
      </c>
      <c r="AG270" s="85">
        <v>45034</v>
      </c>
      <c r="AH270" s="82" t="s">
        <v>2911</v>
      </c>
      <c r="AI270" s="77" t="b">
        <v>0</v>
      </c>
      <c r="AJ270" s="77"/>
      <c r="AK270" s="77"/>
      <c r="AL270" s="77"/>
      <c r="AM270" s="77"/>
      <c r="AN270" s="77"/>
      <c r="AO270" s="77"/>
      <c r="AP270" s="77"/>
      <c r="AQ270" s="77"/>
      <c r="AR270" s="77"/>
      <c r="AS270" s="77"/>
      <c r="AT270" s="77"/>
      <c r="AU270" s="77"/>
      <c r="AV270" s="80" t="str">
        <f>HYPERLINK("https://pbs.twimg.com/profile_images/1156248170801827840/l0sXCZb4_normal.jpg")</f>
        <v>https://pbs.twimg.com/profile_images/1156248170801827840/l0sXCZb4_normal.jpg</v>
      </c>
      <c r="AW270" s="82" t="s">
        <v>4325</v>
      </c>
      <c r="AX270" s="82" t="s">
        <v>4325</v>
      </c>
      <c r="AY270" s="77"/>
      <c r="AZ270" s="82" t="s">
        <v>5075</v>
      </c>
      <c r="BA270" s="82" t="s">
        <v>5075</v>
      </c>
      <c r="BB270" s="82" t="s">
        <v>5075</v>
      </c>
      <c r="BC270" s="82" t="s">
        <v>4325</v>
      </c>
      <c r="BD270" s="77">
        <v>69006385</v>
      </c>
      <c r="BE270" s="77"/>
      <c r="BF270" s="77"/>
      <c r="BG270" s="77"/>
      <c r="BH270" s="77"/>
      <c r="BI270" s="77"/>
    </row>
    <row r="271" spans="1:61" x14ac:dyDescent="0.25">
      <c r="A271" s="62" t="s">
        <v>329</v>
      </c>
      <c r="B271" s="62" t="s">
        <v>329</v>
      </c>
      <c r="C271" s="63"/>
      <c r="D271" s="64"/>
      <c r="E271" s="65"/>
      <c r="F271" s="66"/>
      <c r="G271" s="63"/>
      <c r="H271" s="67"/>
      <c r="I271" s="68"/>
      <c r="J271" s="68"/>
      <c r="K271" s="32"/>
      <c r="L271" s="75">
        <v>271</v>
      </c>
      <c r="M271" s="75"/>
      <c r="N271" s="70"/>
      <c r="O271" s="77" t="s">
        <v>179</v>
      </c>
      <c r="P271" s="79">
        <v>44944.568043981482</v>
      </c>
      <c r="Q271" s="77" t="s">
        <v>805</v>
      </c>
      <c r="R271" s="77">
        <v>0</v>
      </c>
      <c r="S271" s="77">
        <v>10</v>
      </c>
      <c r="T271" s="77">
        <v>1</v>
      </c>
      <c r="U271" s="77">
        <v>0</v>
      </c>
      <c r="V271" s="77">
        <v>938</v>
      </c>
      <c r="W271" s="82" t="s">
        <v>1546</v>
      </c>
      <c r="X271" s="77"/>
      <c r="Y271" s="77"/>
      <c r="Z271" s="77"/>
      <c r="AA271" s="77"/>
      <c r="AB271" s="77"/>
      <c r="AC271" s="82" t="s">
        <v>2639</v>
      </c>
      <c r="AD271" s="77" t="s">
        <v>2670</v>
      </c>
      <c r="AE271" s="80" t="str">
        <f>HYPERLINK("https://twitter.com/andreynousi/status/1615705062734438401")</f>
        <v>https://twitter.com/andreynousi/status/1615705062734438401</v>
      </c>
      <c r="AF271" s="79">
        <v>44944.568043981482</v>
      </c>
      <c r="AG271" s="85">
        <v>44944</v>
      </c>
      <c r="AH271" s="82" t="s">
        <v>2912</v>
      </c>
      <c r="AI271" s="77"/>
      <c r="AJ271" s="77"/>
      <c r="AK271" s="77"/>
      <c r="AL271" s="77"/>
      <c r="AM271" s="77"/>
      <c r="AN271" s="77"/>
      <c r="AO271" s="77"/>
      <c r="AP271" s="77"/>
      <c r="AQ271" s="77"/>
      <c r="AR271" s="77"/>
      <c r="AS271" s="77"/>
      <c r="AT271" s="77"/>
      <c r="AU271" s="77"/>
      <c r="AV271" s="80" t="str">
        <f>HYPERLINK("https://pbs.twimg.com/profile_images/1394560389283733504/fXVSfDJN_normal.jpg")</f>
        <v>https://pbs.twimg.com/profile_images/1394560389283733504/fXVSfDJN_normal.jpg</v>
      </c>
      <c r="AW271" s="82" t="s">
        <v>4326</v>
      </c>
      <c r="AX271" s="82" t="s">
        <v>4326</v>
      </c>
      <c r="AY271" s="77"/>
      <c r="AZ271" s="82" t="s">
        <v>5075</v>
      </c>
      <c r="BA271" s="82" t="s">
        <v>5075</v>
      </c>
      <c r="BB271" s="82" t="s">
        <v>5075</v>
      </c>
      <c r="BC271" s="82" t="s">
        <v>4326</v>
      </c>
      <c r="BD271" s="82" t="s">
        <v>5178</v>
      </c>
      <c r="BE271" s="77"/>
      <c r="BF271" s="77"/>
      <c r="BG271" s="77"/>
      <c r="BH271" s="77"/>
      <c r="BI271" s="77"/>
    </row>
    <row r="272" spans="1:61" x14ac:dyDescent="0.25">
      <c r="A272" s="62" t="s">
        <v>330</v>
      </c>
      <c r="B272" s="62" t="s">
        <v>330</v>
      </c>
      <c r="C272" s="63"/>
      <c r="D272" s="64"/>
      <c r="E272" s="65"/>
      <c r="F272" s="66"/>
      <c r="G272" s="63"/>
      <c r="H272" s="67"/>
      <c r="I272" s="68"/>
      <c r="J272" s="68"/>
      <c r="K272" s="32"/>
      <c r="L272" s="75">
        <v>272</v>
      </c>
      <c r="M272" s="75"/>
      <c r="N272" s="70"/>
      <c r="O272" s="77" t="s">
        <v>179</v>
      </c>
      <c r="P272" s="79">
        <v>45164.566666666666</v>
      </c>
      <c r="Q272" s="77" t="s">
        <v>806</v>
      </c>
      <c r="R272" s="77">
        <v>0</v>
      </c>
      <c r="S272" s="77">
        <v>0</v>
      </c>
      <c r="T272" s="77">
        <v>0</v>
      </c>
      <c r="U272" s="77">
        <v>0</v>
      </c>
      <c r="V272" s="77">
        <v>3</v>
      </c>
      <c r="W272" s="82" t="s">
        <v>1639</v>
      </c>
      <c r="X272" s="77"/>
      <c r="Y272" s="77"/>
      <c r="Z272" s="77"/>
      <c r="AA272" s="77" t="s">
        <v>2181</v>
      </c>
      <c r="AB272" s="77" t="s">
        <v>2636</v>
      </c>
      <c r="AC272" s="82" t="s">
        <v>2639</v>
      </c>
      <c r="AD272" s="77" t="s">
        <v>2670</v>
      </c>
      <c r="AE272" s="80" t="str">
        <f>HYPERLINK("https://twitter.com/dicasxdicas/status/1695429890986696875")</f>
        <v>https://twitter.com/dicasxdicas/status/1695429890986696875</v>
      </c>
      <c r="AF272" s="79">
        <v>45164.566666666666</v>
      </c>
      <c r="AG272" s="85">
        <v>45164</v>
      </c>
      <c r="AH272" s="82" t="s">
        <v>2913</v>
      </c>
      <c r="AI272" s="77" t="b">
        <v>0</v>
      </c>
      <c r="AJ272" s="77"/>
      <c r="AK272" s="77"/>
      <c r="AL272" s="77"/>
      <c r="AM272" s="77"/>
      <c r="AN272" s="77"/>
      <c r="AO272" s="77"/>
      <c r="AP272" s="77"/>
      <c r="AQ272" s="77" t="s">
        <v>3610</v>
      </c>
      <c r="AR272" s="77"/>
      <c r="AS272" s="77"/>
      <c r="AT272" s="77"/>
      <c r="AU272" s="77"/>
      <c r="AV272" s="80" t="str">
        <f>HYPERLINK("https://pbs.twimg.com/media/F4bxIOzW0AAbIsU.jpg")</f>
        <v>https://pbs.twimg.com/media/F4bxIOzW0AAbIsU.jpg</v>
      </c>
      <c r="AW272" s="82" t="s">
        <v>4327</v>
      </c>
      <c r="AX272" s="82" t="s">
        <v>4327</v>
      </c>
      <c r="AY272" s="77"/>
      <c r="AZ272" s="82" t="s">
        <v>5075</v>
      </c>
      <c r="BA272" s="82" t="s">
        <v>5075</v>
      </c>
      <c r="BB272" s="82" t="s">
        <v>5075</v>
      </c>
      <c r="BC272" s="82" t="s">
        <v>4327</v>
      </c>
      <c r="BD272" s="82" t="s">
        <v>5179</v>
      </c>
      <c r="BE272" s="77"/>
      <c r="BF272" s="77"/>
      <c r="BG272" s="77"/>
      <c r="BH272" s="77"/>
      <c r="BI272" s="77"/>
    </row>
    <row r="273" spans="1:61" x14ac:dyDescent="0.25">
      <c r="A273" s="62" t="s">
        <v>331</v>
      </c>
      <c r="B273" s="62" t="s">
        <v>331</v>
      </c>
      <c r="C273" s="63"/>
      <c r="D273" s="64"/>
      <c r="E273" s="65"/>
      <c r="F273" s="66"/>
      <c r="G273" s="63"/>
      <c r="H273" s="67"/>
      <c r="I273" s="68"/>
      <c r="J273" s="68"/>
      <c r="K273" s="32"/>
      <c r="L273" s="75">
        <v>273</v>
      </c>
      <c r="M273" s="75"/>
      <c r="N273" s="70"/>
      <c r="O273" s="77" t="s">
        <v>536</v>
      </c>
      <c r="P273" s="79">
        <v>45184.050023148149</v>
      </c>
      <c r="Q273" s="77" t="s">
        <v>807</v>
      </c>
      <c r="R273" s="77">
        <v>0</v>
      </c>
      <c r="S273" s="77">
        <v>0</v>
      </c>
      <c r="T273" s="77">
        <v>0</v>
      </c>
      <c r="U273" s="77">
        <v>0</v>
      </c>
      <c r="V273" s="77">
        <v>1</v>
      </c>
      <c r="W273" s="82" t="s">
        <v>1640</v>
      </c>
      <c r="X273" s="77"/>
      <c r="Y273" s="77"/>
      <c r="Z273" s="77"/>
      <c r="AA273" s="77"/>
      <c r="AB273" s="77"/>
      <c r="AC273" s="82" t="s">
        <v>2640</v>
      </c>
      <c r="AD273" s="77" t="s">
        <v>2670</v>
      </c>
      <c r="AE273" s="80" t="str">
        <f>HYPERLINK("https://twitter.com/caiohleal/status/1702490424407892318")</f>
        <v>https://twitter.com/caiohleal/status/1702490424407892318</v>
      </c>
      <c r="AF273" s="79">
        <v>45184.050023148149</v>
      </c>
      <c r="AG273" s="85">
        <v>45184</v>
      </c>
      <c r="AH273" s="82" t="s">
        <v>2914</v>
      </c>
      <c r="AI273" s="77"/>
      <c r="AJ273" s="77"/>
      <c r="AK273" s="77"/>
      <c r="AL273" s="77"/>
      <c r="AM273" s="77"/>
      <c r="AN273" s="77"/>
      <c r="AO273" s="77"/>
      <c r="AP273" s="77"/>
      <c r="AQ273" s="77"/>
      <c r="AR273" s="77"/>
      <c r="AS273" s="77"/>
      <c r="AT273" s="77"/>
      <c r="AU273" s="77"/>
      <c r="AV273" s="80" t="str">
        <f>HYPERLINK("https://pbs.twimg.com/profile_images/1701033403988987904/E9QP1UP1_normal.jpg")</f>
        <v>https://pbs.twimg.com/profile_images/1701033403988987904/E9QP1UP1_normal.jpg</v>
      </c>
      <c r="AW273" s="82" t="s">
        <v>4328</v>
      </c>
      <c r="AX273" s="82" t="s">
        <v>4977</v>
      </c>
      <c r="AY273" s="82" t="s">
        <v>5045</v>
      </c>
      <c r="AZ273" s="82" t="s">
        <v>5091</v>
      </c>
      <c r="BA273" s="82" t="s">
        <v>5075</v>
      </c>
      <c r="BB273" s="82" t="s">
        <v>5075</v>
      </c>
      <c r="BC273" s="82" t="s">
        <v>5091</v>
      </c>
      <c r="BD273" s="82" t="s">
        <v>5045</v>
      </c>
      <c r="BE273" s="77"/>
      <c r="BF273" s="77"/>
      <c r="BG273" s="77"/>
      <c r="BH273" s="77"/>
      <c r="BI273" s="77"/>
    </row>
    <row r="274" spans="1:61" x14ac:dyDescent="0.25">
      <c r="A274" s="62" t="s">
        <v>332</v>
      </c>
      <c r="B274" s="62" t="s">
        <v>332</v>
      </c>
      <c r="C274" s="63"/>
      <c r="D274" s="64"/>
      <c r="E274" s="65"/>
      <c r="F274" s="66"/>
      <c r="G274" s="63"/>
      <c r="H274" s="67"/>
      <c r="I274" s="68"/>
      <c r="J274" s="68"/>
      <c r="K274" s="32"/>
      <c r="L274" s="75">
        <v>274</v>
      </c>
      <c r="M274" s="75"/>
      <c r="N274" s="70"/>
      <c r="O274" s="77" t="s">
        <v>179</v>
      </c>
      <c r="P274" s="79">
        <v>45079.64539351852</v>
      </c>
      <c r="Q274" s="77" t="s">
        <v>808</v>
      </c>
      <c r="R274" s="77">
        <v>0</v>
      </c>
      <c r="S274" s="77">
        <v>1</v>
      </c>
      <c r="T274" s="77">
        <v>0</v>
      </c>
      <c r="U274" s="77">
        <v>0</v>
      </c>
      <c r="V274" s="77">
        <v>12</v>
      </c>
      <c r="W274" s="82" t="s">
        <v>1641</v>
      </c>
      <c r="X274" s="77"/>
      <c r="Y274" s="77"/>
      <c r="Z274" s="77"/>
      <c r="AA274" s="77" t="s">
        <v>2182</v>
      </c>
      <c r="AB274" s="77" t="s">
        <v>2632</v>
      </c>
      <c r="AC274" s="82" t="s">
        <v>2641</v>
      </c>
      <c r="AD274" s="77" t="s">
        <v>2670</v>
      </c>
      <c r="AE274" s="80" t="str">
        <f>HYPERLINK("https://twitter.com/ronaldolundgren/status/1664655451110162442")</f>
        <v>https://twitter.com/ronaldolundgren/status/1664655451110162442</v>
      </c>
      <c r="AF274" s="79">
        <v>45079.64539351852</v>
      </c>
      <c r="AG274" s="85">
        <v>45079</v>
      </c>
      <c r="AH274" s="82" t="s">
        <v>2915</v>
      </c>
      <c r="AI274" s="77" t="b">
        <v>0</v>
      </c>
      <c r="AJ274" s="77"/>
      <c r="AK274" s="77"/>
      <c r="AL274" s="77"/>
      <c r="AM274" s="77"/>
      <c r="AN274" s="77"/>
      <c r="AO274" s="77"/>
      <c r="AP274" s="77"/>
      <c r="AQ274" s="77" t="s">
        <v>3611</v>
      </c>
      <c r="AR274" s="77"/>
      <c r="AS274" s="77"/>
      <c r="AT274" s="77"/>
      <c r="AU274" s="77"/>
      <c r="AV274" s="80" t="str">
        <f>HYPERLINK("https://pbs.twimg.com/media/FxoLTXcWwAIV8-I.jpg")</f>
        <v>https://pbs.twimg.com/media/FxoLTXcWwAIV8-I.jpg</v>
      </c>
      <c r="AW274" s="82" t="s">
        <v>4329</v>
      </c>
      <c r="AX274" s="82" t="s">
        <v>4329</v>
      </c>
      <c r="AY274" s="77"/>
      <c r="AZ274" s="82" t="s">
        <v>5075</v>
      </c>
      <c r="BA274" s="82" t="s">
        <v>5075</v>
      </c>
      <c r="BB274" s="82" t="s">
        <v>5075</v>
      </c>
      <c r="BC274" s="82" t="s">
        <v>4329</v>
      </c>
      <c r="BD274" s="77">
        <v>3127710448</v>
      </c>
      <c r="BE274" s="77"/>
      <c r="BF274" s="77"/>
      <c r="BG274" s="77"/>
      <c r="BH274" s="77"/>
      <c r="BI274" s="77"/>
    </row>
    <row r="275" spans="1:61" x14ac:dyDescent="0.25">
      <c r="A275" s="62" t="s">
        <v>333</v>
      </c>
      <c r="B275" s="62" t="s">
        <v>333</v>
      </c>
      <c r="C275" s="63"/>
      <c r="D275" s="64"/>
      <c r="E275" s="65"/>
      <c r="F275" s="66"/>
      <c r="G275" s="63"/>
      <c r="H275" s="67"/>
      <c r="I275" s="68"/>
      <c r="J275" s="68"/>
      <c r="K275" s="32"/>
      <c r="L275" s="75">
        <v>275</v>
      </c>
      <c r="M275" s="75"/>
      <c r="N275" s="70"/>
      <c r="O275" s="77" t="s">
        <v>536</v>
      </c>
      <c r="P275" s="79">
        <v>45109.773263888892</v>
      </c>
      <c r="Q275" s="77" t="s">
        <v>809</v>
      </c>
      <c r="R275" s="77">
        <v>0</v>
      </c>
      <c r="S275" s="77">
        <v>0</v>
      </c>
      <c r="T275" s="77">
        <v>1</v>
      </c>
      <c r="U275" s="77">
        <v>0</v>
      </c>
      <c r="V275" s="77">
        <v>7</v>
      </c>
      <c r="W275" s="82" t="s">
        <v>1642</v>
      </c>
      <c r="X275" s="77"/>
      <c r="Y275" s="77"/>
      <c r="Z275" s="77"/>
      <c r="AA275" s="77"/>
      <c r="AB275" s="77"/>
      <c r="AC275" s="82" t="s">
        <v>2639</v>
      </c>
      <c r="AD275" s="77" t="s">
        <v>2670</v>
      </c>
      <c r="AE275" s="80" t="str">
        <f>HYPERLINK("https://twitter.com/ageucamargoadv/status/1675573426684035073")</f>
        <v>https://twitter.com/ageucamargoadv/status/1675573426684035073</v>
      </c>
      <c r="AF275" s="79">
        <v>45109.773263888892</v>
      </c>
      <c r="AG275" s="85">
        <v>45109</v>
      </c>
      <c r="AH275" s="82" t="s">
        <v>2916</v>
      </c>
      <c r="AI275" s="77"/>
      <c r="AJ275" s="77"/>
      <c r="AK275" s="77"/>
      <c r="AL275" s="77"/>
      <c r="AM275" s="77"/>
      <c r="AN275" s="77"/>
      <c r="AO275" s="77"/>
      <c r="AP275" s="77"/>
      <c r="AQ275" s="77"/>
      <c r="AR275" s="77"/>
      <c r="AS275" s="77"/>
      <c r="AT275" s="77"/>
      <c r="AU275" s="77"/>
      <c r="AV275" s="80" t="str">
        <f>HYPERLINK("https://pbs.twimg.com/profile_images/1695802508277411840/RiWm3KDd_normal.jpg")</f>
        <v>https://pbs.twimg.com/profile_images/1695802508277411840/RiWm3KDd_normal.jpg</v>
      </c>
      <c r="AW275" s="82" t="s">
        <v>4330</v>
      </c>
      <c r="AX275" s="82" t="s">
        <v>4978</v>
      </c>
      <c r="AY275" s="82" t="s">
        <v>5046</v>
      </c>
      <c r="AZ275" s="82" t="s">
        <v>4331</v>
      </c>
      <c r="BA275" s="82" t="s">
        <v>5075</v>
      </c>
      <c r="BB275" s="82" t="s">
        <v>5075</v>
      </c>
      <c r="BC275" s="82" t="s">
        <v>4331</v>
      </c>
      <c r="BD275" s="82" t="s">
        <v>5046</v>
      </c>
      <c r="BE275" s="77"/>
      <c r="BF275" s="77"/>
      <c r="BG275" s="77"/>
      <c r="BH275" s="77"/>
      <c r="BI275" s="77"/>
    </row>
    <row r="276" spans="1:61" x14ac:dyDescent="0.25">
      <c r="A276" s="62" t="s">
        <v>333</v>
      </c>
      <c r="B276" s="62" t="s">
        <v>333</v>
      </c>
      <c r="C276" s="63"/>
      <c r="D276" s="64"/>
      <c r="E276" s="65"/>
      <c r="F276" s="66"/>
      <c r="G276" s="63"/>
      <c r="H276" s="67"/>
      <c r="I276" s="68"/>
      <c r="J276" s="68"/>
      <c r="K276" s="32"/>
      <c r="L276" s="75">
        <v>276</v>
      </c>
      <c r="M276" s="75"/>
      <c r="N276" s="70"/>
      <c r="O276" s="77" t="s">
        <v>536</v>
      </c>
      <c r="P276" s="79">
        <v>45109.773252314815</v>
      </c>
      <c r="Q276" s="77" t="s">
        <v>810</v>
      </c>
      <c r="R276" s="77">
        <v>0</v>
      </c>
      <c r="S276" s="77">
        <v>0</v>
      </c>
      <c r="T276" s="77">
        <v>1</v>
      </c>
      <c r="U276" s="77">
        <v>0</v>
      </c>
      <c r="V276" s="77">
        <v>8</v>
      </c>
      <c r="W276" s="82" t="s">
        <v>1643</v>
      </c>
      <c r="X276" s="77"/>
      <c r="Y276" s="77"/>
      <c r="Z276" s="77"/>
      <c r="AA276" s="77"/>
      <c r="AB276" s="77"/>
      <c r="AC276" s="82" t="s">
        <v>2639</v>
      </c>
      <c r="AD276" s="77" t="s">
        <v>2670</v>
      </c>
      <c r="AE276" s="80" t="str">
        <f>HYPERLINK("https://twitter.com/ageucamargoadv/status/1675573424914038785")</f>
        <v>https://twitter.com/ageucamargoadv/status/1675573424914038785</v>
      </c>
      <c r="AF276" s="79">
        <v>45109.773252314815</v>
      </c>
      <c r="AG276" s="85">
        <v>45109</v>
      </c>
      <c r="AH276" s="82" t="s">
        <v>2917</v>
      </c>
      <c r="AI276" s="77"/>
      <c r="AJ276" s="77"/>
      <c r="AK276" s="77"/>
      <c r="AL276" s="77"/>
      <c r="AM276" s="77"/>
      <c r="AN276" s="77"/>
      <c r="AO276" s="77"/>
      <c r="AP276" s="77"/>
      <c r="AQ276" s="77"/>
      <c r="AR276" s="77"/>
      <c r="AS276" s="77"/>
      <c r="AT276" s="77"/>
      <c r="AU276" s="77"/>
      <c r="AV276" s="80" t="str">
        <f>HYPERLINK("https://pbs.twimg.com/profile_images/1695802508277411840/RiWm3KDd_normal.jpg")</f>
        <v>https://pbs.twimg.com/profile_images/1695802508277411840/RiWm3KDd_normal.jpg</v>
      </c>
      <c r="AW276" s="82" t="s">
        <v>4331</v>
      </c>
      <c r="AX276" s="82" t="s">
        <v>4978</v>
      </c>
      <c r="AY276" s="82" t="s">
        <v>5046</v>
      </c>
      <c r="AZ276" s="82" t="s">
        <v>5092</v>
      </c>
      <c r="BA276" s="82" t="s">
        <v>5075</v>
      </c>
      <c r="BB276" s="82" t="s">
        <v>5075</v>
      </c>
      <c r="BC276" s="82" t="s">
        <v>5092</v>
      </c>
      <c r="BD276" s="82" t="s">
        <v>5046</v>
      </c>
      <c r="BE276" s="77"/>
      <c r="BF276" s="77"/>
      <c r="BG276" s="77"/>
      <c r="BH276" s="77"/>
      <c r="BI276" s="77"/>
    </row>
    <row r="277" spans="1:61" x14ac:dyDescent="0.25">
      <c r="A277" s="62" t="s">
        <v>333</v>
      </c>
      <c r="B277" s="62" t="s">
        <v>333</v>
      </c>
      <c r="C277" s="63"/>
      <c r="D277" s="64"/>
      <c r="E277" s="65"/>
      <c r="F277" s="66"/>
      <c r="G277" s="63"/>
      <c r="H277" s="67"/>
      <c r="I277" s="68"/>
      <c r="J277" s="68"/>
      <c r="K277" s="32"/>
      <c r="L277" s="75">
        <v>277</v>
      </c>
      <c r="M277" s="75"/>
      <c r="N277" s="70"/>
      <c r="O277" s="77" t="s">
        <v>536</v>
      </c>
      <c r="P277" s="79">
        <v>45109.773240740738</v>
      </c>
      <c r="Q277" s="77" t="s">
        <v>811</v>
      </c>
      <c r="R277" s="77">
        <v>0</v>
      </c>
      <c r="S277" s="77">
        <v>0</v>
      </c>
      <c r="T277" s="77">
        <v>1</v>
      </c>
      <c r="U277" s="77">
        <v>0</v>
      </c>
      <c r="V277" s="77">
        <v>9</v>
      </c>
      <c r="W277" s="82" t="s">
        <v>1644</v>
      </c>
      <c r="X277" s="77"/>
      <c r="Y277" s="77"/>
      <c r="Z277" s="77"/>
      <c r="AA277" s="77"/>
      <c r="AB277" s="77"/>
      <c r="AC277" s="82" t="s">
        <v>2639</v>
      </c>
      <c r="AD277" s="77" t="s">
        <v>2670</v>
      </c>
      <c r="AE277" s="80" t="str">
        <f>HYPERLINK("https://twitter.com/ageucamargoadv/status/1675573419323150336")</f>
        <v>https://twitter.com/ageucamargoadv/status/1675573419323150336</v>
      </c>
      <c r="AF277" s="79">
        <v>45109.773240740738</v>
      </c>
      <c r="AG277" s="85">
        <v>45109</v>
      </c>
      <c r="AH277" s="82" t="s">
        <v>2918</v>
      </c>
      <c r="AI277" s="77"/>
      <c r="AJ277" s="77"/>
      <c r="AK277" s="77"/>
      <c r="AL277" s="77"/>
      <c r="AM277" s="77"/>
      <c r="AN277" s="77"/>
      <c r="AO277" s="77"/>
      <c r="AP277" s="77"/>
      <c r="AQ277" s="77"/>
      <c r="AR277" s="77"/>
      <c r="AS277" s="77"/>
      <c r="AT277" s="77"/>
      <c r="AU277" s="77"/>
      <c r="AV277" s="80" t="str">
        <f>HYPERLINK("https://pbs.twimg.com/profile_images/1695802508277411840/RiWm3KDd_normal.jpg")</f>
        <v>https://pbs.twimg.com/profile_images/1695802508277411840/RiWm3KDd_normal.jpg</v>
      </c>
      <c r="AW277" s="82" t="s">
        <v>4332</v>
      </c>
      <c r="AX277" s="82" t="s">
        <v>4978</v>
      </c>
      <c r="AY277" s="82" t="s">
        <v>5046</v>
      </c>
      <c r="AZ277" s="82" t="s">
        <v>4978</v>
      </c>
      <c r="BA277" s="82" t="s">
        <v>5075</v>
      </c>
      <c r="BB277" s="82" t="s">
        <v>5075</v>
      </c>
      <c r="BC277" s="82" t="s">
        <v>4978</v>
      </c>
      <c r="BD277" s="82" t="s">
        <v>5046</v>
      </c>
      <c r="BE277" s="77"/>
      <c r="BF277" s="77"/>
      <c r="BG277" s="77"/>
      <c r="BH277" s="77"/>
      <c r="BI277" s="77"/>
    </row>
    <row r="278" spans="1:61" x14ac:dyDescent="0.25">
      <c r="A278" s="62" t="s">
        <v>334</v>
      </c>
      <c r="B278" s="62" t="s">
        <v>334</v>
      </c>
      <c r="C278" s="63"/>
      <c r="D278" s="64"/>
      <c r="E278" s="65"/>
      <c r="F278" s="66"/>
      <c r="G278" s="63"/>
      <c r="H278" s="67"/>
      <c r="I278" s="68"/>
      <c r="J278" s="68"/>
      <c r="K278" s="32"/>
      <c r="L278" s="75">
        <v>278</v>
      </c>
      <c r="M278" s="75"/>
      <c r="N278" s="70"/>
      <c r="O278" s="77" t="s">
        <v>179</v>
      </c>
      <c r="P278" s="79">
        <v>44992.54960648148</v>
      </c>
      <c r="Q278" s="77" t="s">
        <v>812</v>
      </c>
      <c r="R278" s="77">
        <v>0</v>
      </c>
      <c r="S278" s="77">
        <v>0</v>
      </c>
      <c r="T278" s="77">
        <v>0</v>
      </c>
      <c r="U278" s="77">
        <v>0</v>
      </c>
      <c r="V278" s="77">
        <v>13</v>
      </c>
      <c r="W278" s="82" t="s">
        <v>1645</v>
      </c>
      <c r="X278" s="80" t="str">
        <f>HYPERLINK("https://lnkd.in/eusGk5DT")</f>
        <v>https://lnkd.in/eusGk5DT</v>
      </c>
      <c r="Y278" s="77" t="s">
        <v>1986</v>
      </c>
      <c r="Z278" s="77"/>
      <c r="AA278" s="77" t="s">
        <v>2183</v>
      </c>
      <c r="AB278" s="77" t="s">
        <v>2632</v>
      </c>
      <c r="AC278" s="82" t="s">
        <v>2650</v>
      </c>
      <c r="AD278" s="77" t="s">
        <v>2670</v>
      </c>
      <c r="AE278" s="80" t="str">
        <f>HYPERLINK("https://twitter.com/b18editora/status/1633092995997155328")</f>
        <v>https://twitter.com/b18editora/status/1633092995997155328</v>
      </c>
      <c r="AF278" s="79">
        <v>44992.54960648148</v>
      </c>
      <c r="AG278" s="85">
        <v>44992</v>
      </c>
      <c r="AH278" s="82" t="s">
        <v>2919</v>
      </c>
      <c r="AI278" s="77" t="b">
        <v>0</v>
      </c>
      <c r="AJ278" s="77"/>
      <c r="AK278" s="77"/>
      <c r="AL278" s="77"/>
      <c r="AM278" s="77"/>
      <c r="AN278" s="77"/>
      <c r="AO278" s="77"/>
      <c r="AP278" s="77"/>
      <c r="AQ278" s="77" t="s">
        <v>3612</v>
      </c>
      <c r="AR278" s="77"/>
      <c r="AS278" s="77"/>
      <c r="AT278" s="77"/>
      <c r="AU278" s="77"/>
      <c r="AV278" s="80" t="str">
        <f>HYPERLINK("https://pbs.twimg.com/media/FqnpbLnWYAYYys_.jpg")</f>
        <v>https://pbs.twimg.com/media/FqnpbLnWYAYYys_.jpg</v>
      </c>
      <c r="AW278" s="82" t="s">
        <v>4333</v>
      </c>
      <c r="AX278" s="82" t="s">
        <v>4333</v>
      </c>
      <c r="AY278" s="77"/>
      <c r="AZ278" s="82" t="s">
        <v>5075</v>
      </c>
      <c r="BA278" s="82" t="s">
        <v>5075</v>
      </c>
      <c r="BB278" s="82" t="s">
        <v>5075</v>
      </c>
      <c r="BC278" s="82" t="s">
        <v>4333</v>
      </c>
      <c r="BD278" s="82" t="s">
        <v>5180</v>
      </c>
      <c r="BE278" s="77"/>
      <c r="BF278" s="77"/>
      <c r="BG278" s="77"/>
      <c r="BH278" s="77"/>
      <c r="BI278" s="77"/>
    </row>
    <row r="279" spans="1:61" x14ac:dyDescent="0.25">
      <c r="A279" s="62" t="s">
        <v>335</v>
      </c>
      <c r="B279" s="62" t="s">
        <v>335</v>
      </c>
      <c r="C279" s="63"/>
      <c r="D279" s="64"/>
      <c r="E279" s="65"/>
      <c r="F279" s="66"/>
      <c r="G279" s="63"/>
      <c r="H279" s="67"/>
      <c r="I279" s="68"/>
      <c r="J279" s="68"/>
      <c r="K279" s="32"/>
      <c r="L279" s="75">
        <v>279</v>
      </c>
      <c r="M279" s="75"/>
      <c r="N279" s="70"/>
      <c r="O279" s="77" t="s">
        <v>179</v>
      </c>
      <c r="P279" s="79">
        <v>45176.335300925923</v>
      </c>
      <c r="Q279" s="77" t="s">
        <v>813</v>
      </c>
      <c r="R279" s="77">
        <v>0</v>
      </c>
      <c r="S279" s="77">
        <v>0</v>
      </c>
      <c r="T279" s="77">
        <v>0</v>
      </c>
      <c r="U279" s="77">
        <v>0</v>
      </c>
      <c r="V279" s="77">
        <v>1</v>
      </c>
      <c r="W279" s="82" t="s">
        <v>1646</v>
      </c>
      <c r="X279" s="80" t="str">
        <f>HYPERLINK("https://carreiraprofissional.com/mercado-de-trabalho-na-gestao-financeira/")</f>
        <v>https://carreiraprofissional.com/mercado-de-trabalho-na-gestao-financeira/</v>
      </c>
      <c r="Y279" s="77" t="s">
        <v>1987</v>
      </c>
      <c r="Z279" s="77"/>
      <c r="AA279" s="77"/>
      <c r="AB279" s="77"/>
      <c r="AC279" s="82" t="s">
        <v>2654</v>
      </c>
      <c r="AD279" s="77" t="s">
        <v>2670</v>
      </c>
      <c r="AE279" s="80" t="str">
        <f>HYPERLINK("https://twitter.com/carreiraprof_cp/status/1699694702310629545")</f>
        <v>https://twitter.com/carreiraprof_cp/status/1699694702310629545</v>
      </c>
      <c r="AF279" s="79">
        <v>45176.335300925923</v>
      </c>
      <c r="AG279" s="85">
        <v>45176</v>
      </c>
      <c r="AH279" s="82" t="s">
        <v>2920</v>
      </c>
      <c r="AI279" s="77" t="b">
        <v>0</v>
      </c>
      <c r="AJ279" s="77"/>
      <c r="AK279" s="77"/>
      <c r="AL279" s="77"/>
      <c r="AM279" s="77"/>
      <c r="AN279" s="77"/>
      <c r="AO279" s="77"/>
      <c r="AP279" s="77"/>
      <c r="AQ279" s="77"/>
      <c r="AR279" s="77"/>
      <c r="AS279" s="77"/>
      <c r="AT279" s="77"/>
      <c r="AU279" s="77"/>
      <c r="AV279" s="80" t="str">
        <f>HYPERLINK("https://pbs.twimg.com/profile_images/1662252054151143426/C6h1D0Ev_normal.jpg")</f>
        <v>https://pbs.twimg.com/profile_images/1662252054151143426/C6h1D0Ev_normal.jpg</v>
      </c>
      <c r="AW279" s="82" t="s">
        <v>4334</v>
      </c>
      <c r="AX279" s="82" t="s">
        <v>4334</v>
      </c>
      <c r="AY279" s="77"/>
      <c r="AZ279" s="82" t="s">
        <v>5075</v>
      </c>
      <c r="BA279" s="82" t="s">
        <v>5075</v>
      </c>
      <c r="BB279" s="82" t="s">
        <v>5075</v>
      </c>
      <c r="BC279" s="82" t="s">
        <v>4334</v>
      </c>
      <c r="BD279" s="82" t="s">
        <v>5181</v>
      </c>
      <c r="BE279" s="77"/>
      <c r="BF279" s="77"/>
      <c r="BG279" s="77"/>
      <c r="BH279" s="77"/>
      <c r="BI279" s="77"/>
    </row>
    <row r="280" spans="1:61" x14ac:dyDescent="0.25">
      <c r="A280" s="62" t="s">
        <v>336</v>
      </c>
      <c r="B280" s="62" t="s">
        <v>525</v>
      </c>
      <c r="C280" s="63"/>
      <c r="D280" s="64"/>
      <c r="E280" s="65"/>
      <c r="F280" s="66"/>
      <c r="G280" s="63"/>
      <c r="H280" s="67"/>
      <c r="I280" s="68"/>
      <c r="J280" s="68"/>
      <c r="K280" s="32"/>
      <c r="L280" s="75">
        <v>280</v>
      </c>
      <c r="M280" s="75"/>
      <c r="N280" s="70"/>
      <c r="O280" s="77" t="s">
        <v>539</v>
      </c>
      <c r="P280" s="79">
        <v>45169.671111111114</v>
      </c>
      <c r="Q280" s="77" t="s">
        <v>814</v>
      </c>
      <c r="R280" s="77">
        <v>0</v>
      </c>
      <c r="S280" s="77">
        <v>0</v>
      </c>
      <c r="T280" s="77">
        <v>0</v>
      </c>
      <c r="U280" s="77">
        <v>0</v>
      </c>
      <c r="V280" s="77">
        <v>7</v>
      </c>
      <c r="W280" s="82" t="s">
        <v>1647</v>
      </c>
      <c r="X280" s="80" t="str">
        <f>HYPERLINK("https://www.linkedin.com/pulse/import%25C3%25A2ncia-do-seguro-de-vida-empresarial-para-dos-pereira-corr%25C3%25AAa")</f>
        <v>https://www.linkedin.com/pulse/import%25C3%25A2ncia-do-seguro-de-vida-empresarial-para-dos-pereira-corr%25C3%25AAa</v>
      </c>
      <c r="Y280" s="77" t="s">
        <v>1988</v>
      </c>
      <c r="Z280" s="77" t="s">
        <v>525</v>
      </c>
      <c r="AA280" s="77"/>
      <c r="AB280" s="77"/>
      <c r="AC280" s="82" t="s">
        <v>2639</v>
      </c>
      <c r="AD280" s="77" t="s">
        <v>2670</v>
      </c>
      <c r="AE280" s="80" t="str">
        <f>HYPERLINK("https://twitter.com/paulocpcorrea/status/1697279680586338705")</f>
        <v>https://twitter.com/paulocpcorrea/status/1697279680586338705</v>
      </c>
      <c r="AF280" s="79">
        <v>45169.671111111114</v>
      </c>
      <c r="AG280" s="85">
        <v>45169</v>
      </c>
      <c r="AH280" s="82" t="s">
        <v>2921</v>
      </c>
      <c r="AI280" s="77" t="b">
        <v>0</v>
      </c>
      <c r="AJ280" s="77"/>
      <c r="AK280" s="77"/>
      <c r="AL280" s="77"/>
      <c r="AM280" s="77"/>
      <c r="AN280" s="77"/>
      <c r="AO280" s="77"/>
      <c r="AP280" s="77"/>
      <c r="AQ280" s="77"/>
      <c r="AR280" s="77"/>
      <c r="AS280" s="77"/>
      <c r="AT280" s="77"/>
      <c r="AU280" s="77"/>
      <c r="AV280" s="80" t="str">
        <f>HYPERLINK("https://pbs.twimg.com/profile_images/518743539010650112/lqoZd9CF_normal.jpeg")</f>
        <v>https://pbs.twimg.com/profile_images/518743539010650112/lqoZd9CF_normal.jpeg</v>
      </c>
      <c r="AW280" s="82" t="s">
        <v>4335</v>
      </c>
      <c r="AX280" s="82" t="s">
        <v>4335</v>
      </c>
      <c r="AY280" s="77"/>
      <c r="AZ280" s="82" t="s">
        <v>5075</v>
      </c>
      <c r="BA280" s="82" t="s">
        <v>5075</v>
      </c>
      <c r="BB280" s="82" t="s">
        <v>5075</v>
      </c>
      <c r="BC280" s="82" t="s">
        <v>4335</v>
      </c>
      <c r="BD280" s="77">
        <v>1400259530</v>
      </c>
      <c r="BE280" s="77"/>
      <c r="BF280" s="77"/>
      <c r="BG280" s="77"/>
      <c r="BH280" s="77"/>
      <c r="BI280" s="77"/>
    </row>
    <row r="281" spans="1:61" x14ac:dyDescent="0.25">
      <c r="A281" s="62" t="s">
        <v>336</v>
      </c>
      <c r="B281" s="62" t="s">
        <v>336</v>
      </c>
      <c r="C281" s="63"/>
      <c r="D281" s="64"/>
      <c r="E281" s="65"/>
      <c r="F281" s="66"/>
      <c r="G281" s="63"/>
      <c r="H281" s="67"/>
      <c r="I281" s="68"/>
      <c r="J281" s="68"/>
      <c r="K281" s="32"/>
      <c r="L281" s="75">
        <v>281</v>
      </c>
      <c r="M281" s="75"/>
      <c r="N281" s="70"/>
      <c r="O281" s="77" t="s">
        <v>179</v>
      </c>
      <c r="P281" s="79">
        <v>45131.985671296294</v>
      </c>
      <c r="Q281" s="77" t="s">
        <v>815</v>
      </c>
      <c r="R281" s="77">
        <v>0</v>
      </c>
      <c r="S281" s="77">
        <v>0</v>
      </c>
      <c r="T281" s="77">
        <v>0</v>
      </c>
      <c r="U281" s="77">
        <v>0</v>
      </c>
      <c r="V281" s="77">
        <v>3</v>
      </c>
      <c r="W281" s="82" t="s">
        <v>1648</v>
      </c>
      <c r="X281" s="80" t="str">
        <f>HYPERLINK("https://www.linkedin.com/pulse/reforma-tribut%25C3%25A1ria-o-fortalecimento-do-seguro-de-vida-pereira-corr%25C3%25AAa")</f>
        <v>https://www.linkedin.com/pulse/reforma-tribut%25C3%25A1ria-o-fortalecimento-do-seguro-de-vida-pereira-corr%25C3%25AAa</v>
      </c>
      <c r="Y281" s="77" t="s">
        <v>1988</v>
      </c>
      <c r="Z281" s="77"/>
      <c r="AA281" s="77"/>
      <c r="AB281" s="77"/>
      <c r="AC281" s="82" t="s">
        <v>2639</v>
      </c>
      <c r="AD281" s="77" t="s">
        <v>2670</v>
      </c>
      <c r="AE281" s="80" t="str">
        <f>HYPERLINK("https://twitter.com/paulocpcorrea/status/1683622933393031168")</f>
        <v>https://twitter.com/paulocpcorrea/status/1683622933393031168</v>
      </c>
      <c r="AF281" s="79">
        <v>45131.985671296294</v>
      </c>
      <c r="AG281" s="85">
        <v>45131</v>
      </c>
      <c r="AH281" s="82" t="s">
        <v>2922</v>
      </c>
      <c r="AI281" s="77" t="b">
        <v>0</v>
      </c>
      <c r="AJ281" s="77"/>
      <c r="AK281" s="77"/>
      <c r="AL281" s="77"/>
      <c r="AM281" s="77"/>
      <c r="AN281" s="77"/>
      <c r="AO281" s="77"/>
      <c r="AP281" s="77"/>
      <c r="AQ281" s="77"/>
      <c r="AR281" s="77"/>
      <c r="AS281" s="77"/>
      <c r="AT281" s="77"/>
      <c r="AU281" s="77"/>
      <c r="AV281" s="80" t="str">
        <f>HYPERLINK("https://pbs.twimg.com/profile_images/518743539010650112/lqoZd9CF_normal.jpeg")</f>
        <v>https://pbs.twimg.com/profile_images/518743539010650112/lqoZd9CF_normal.jpeg</v>
      </c>
      <c r="AW281" s="82" t="s">
        <v>4336</v>
      </c>
      <c r="AX281" s="82" t="s">
        <v>4336</v>
      </c>
      <c r="AY281" s="77"/>
      <c r="AZ281" s="82" t="s">
        <v>5075</v>
      </c>
      <c r="BA281" s="82" t="s">
        <v>5075</v>
      </c>
      <c r="BB281" s="82" t="s">
        <v>5075</v>
      </c>
      <c r="BC281" s="82" t="s">
        <v>4336</v>
      </c>
      <c r="BD281" s="77">
        <v>1400259530</v>
      </c>
      <c r="BE281" s="77"/>
      <c r="BF281" s="77"/>
      <c r="BG281" s="77"/>
      <c r="BH281" s="77"/>
      <c r="BI281" s="77"/>
    </row>
    <row r="282" spans="1:61" x14ac:dyDescent="0.25">
      <c r="A282" s="62" t="s">
        <v>337</v>
      </c>
      <c r="B282" s="62" t="s">
        <v>337</v>
      </c>
      <c r="C282" s="63"/>
      <c r="D282" s="64"/>
      <c r="E282" s="65"/>
      <c r="F282" s="66"/>
      <c r="G282" s="63"/>
      <c r="H282" s="67"/>
      <c r="I282" s="68"/>
      <c r="J282" s="68"/>
      <c r="K282" s="32"/>
      <c r="L282" s="75">
        <v>282</v>
      </c>
      <c r="M282" s="75"/>
      <c r="N282" s="70"/>
      <c r="O282" s="77" t="s">
        <v>536</v>
      </c>
      <c r="P282" s="79">
        <v>44939.36278935185</v>
      </c>
      <c r="Q282" s="77" t="s">
        <v>816</v>
      </c>
      <c r="R282" s="77">
        <v>0</v>
      </c>
      <c r="S282" s="77">
        <v>0</v>
      </c>
      <c r="T282" s="77">
        <v>0</v>
      </c>
      <c r="U282" s="77">
        <v>0</v>
      </c>
      <c r="V282" s="77">
        <v>95</v>
      </c>
      <c r="W282" s="82" t="s">
        <v>1649</v>
      </c>
      <c r="X282" s="77"/>
      <c r="Y282" s="77"/>
      <c r="Z282" s="77"/>
      <c r="AA282" s="77" t="s">
        <v>2184</v>
      </c>
      <c r="AB282" s="77" t="s">
        <v>2632</v>
      </c>
      <c r="AC282" s="82" t="s">
        <v>2640</v>
      </c>
      <c r="AD282" s="77" t="s">
        <v>2673</v>
      </c>
      <c r="AE282" s="80" t="str">
        <f>HYPERLINK("https://twitter.com/rafael__costa__/status/1613818738817617920")</f>
        <v>https://twitter.com/rafael__costa__/status/1613818738817617920</v>
      </c>
      <c r="AF282" s="79">
        <v>44939.36278935185</v>
      </c>
      <c r="AG282" s="85">
        <v>44939</v>
      </c>
      <c r="AH282" s="82" t="s">
        <v>2923</v>
      </c>
      <c r="AI282" s="77" t="b">
        <v>0</v>
      </c>
      <c r="AJ282" s="77"/>
      <c r="AK282" s="77"/>
      <c r="AL282" s="77"/>
      <c r="AM282" s="77"/>
      <c r="AN282" s="77"/>
      <c r="AO282" s="77"/>
      <c r="AP282" s="77"/>
      <c r="AQ282" s="77" t="s">
        <v>3613</v>
      </c>
      <c r="AR282" s="77"/>
      <c r="AS282" s="77"/>
      <c r="AT282" s="77"/>
      <c r="AU282" s="77"/>
      <c r="AV282" s="80" t="str">
        <f>HYPERLINK("https://pbs.twimg.com/media/FmVvlpeXEAEFD1X.jpg")</f>
        <v>https://pbs.twimg.com/media/FmVvlpeXEAEFD1X.jpg</v>
      </c>
      <c r="AW282" s="82" t="s">
        <v>4337</v>
      </c>
      <c r="AX282" s="82" t="s">
        <v>4979</v>
      </c>
      <c r="AY282" s="82" t="s">
        <v>5047</v>
      </c>
      <c r="AZ282" s="82" t="s">
        <v>5093</v>
      </c>
      <c r="BA282" s="82" t="s">
        <v>5075</v>
      </c>
      <c r="BB282" s="82" t="s">
        <v>5075</v>
      </c>
      <c r="BC282" s="82" t="s">
        <v>5093</v>
      </c>
      <c r="BD282" s="82" t="s">
        <v>5047</v>
      </c>
      <c r="BE282" s="77"/>
      <c r="BF282" s="77"/>
      <c r="BG282" s="77"/>
      <c r="BH282" s="77"/>
      <c r="BI282" s="77"/>
    </row>
    <row r="283" spans="1:61" x14ac:dyDescent="0.25">
      <c r="A283" s="62" t="s">
        <v>337</v>
      </c>
      <c r="B283" s="62" t="s">
        <v>337</v>
      </c>
      <c r="C283" s="63"/>
      <c r="D283" s="64"/>
      <c r="E283" s="65"/>
      <c r="F283" s="66"/>
      <c r="G283" s="63"/>
      <c r="H283" s="67"/>
      <c r="I283" s="68"/>
      <c r="J283" s="68"/>
      <c r="K283" s="32"/>
      <c r="L283" s="75">
        <v>283</v>
      </c>
      <c r="M283" s="75"/>
      <c r="N283" s="70"/>
      <c r="O283" s="77" t="s">
        <v>536</v>
      </c>
      <c r="P283" s="79">
        <v>44938.428761574076</v>
      </c>
      <c r="Q283" s="77" t="s">
        <v>817</v>
      </c>
      <c r="R283" s="77">
        <v>0</v>
      </c>
      <c r="S283" s="77">
        <v>0</v>
      </c>
      <c r="T283" s="77">
        <v>1</v>
      </c>
      <c r="U283" s="77">
        <v>0</v>
      </c>
      <c r="V283" s="77">
        <v>31</v>
      </c>
      <c r="W283" s="82" t="s">
        <v>1650</v>
      </c>
      <c r="X283" s="77"/>
      <c r="Y283" s="77"/>
      <c r="Z283" s="77"/>
      <c r="AA283" s="77"/>
      <c r="AB283" s="77"/>
      <c r="AC283" s="82" t="s">
        <v>2640</v>
      </c>
      <c r="AD283" s="77" t="s">
        <v>2670</v>
      </c>
      <c r="AE283" s="80" t="str">
        <f>HYPERLINK("https://twitter.com/rafael__costa__/status/1613480261441699841")</f>
        <v>https://twitter.com/rafael__costa__/status/1613480261441699841</v>
      </c>
      <c r="AF283" s="79">
        <v>44938.428761574076</v>
      </c>
      <c r="AG283" s="85">
        <v>44938</v>
      </c>
      <c r="AH283" s="82" t="s">
        <v>2924</v>
      </c>
      <c r="AI283" s="77"/>
      <c r="AJ283" s="77"/>
      <c r="AK283" s="77"/>
      <c r="AL283" s="77"/>
      <c r="AM283" s="77"/>
      <c r="AN283" s="77"/>
      <c r="AO283" s="77"/>
      <c r="AP283" s="77"/>
      <c r="AQ283" s="77"/>
      <c r="AR283" s="77"/>
      <c r="AS283" s="77"/>
      <c r="AT283" s="77"/>
      <c r="AU283" s="77"/>
      <c r="AV283" s="80" t="str">
        <f>HYPERLINK("https://pbs.twimg.com/profile_images/1460727419829116929/1hfB_OTD_normal.jpg")</f>
        <v>https://pbs.twimg.com/profile_images/1460727419829116929/1hfB_OTD_normal.jpg</v>
      </c>
      <c r="AW283" s="82" t="s">
        <v>4338</v>
      </c>
      <c r="AX283" s="82" t="s">
        <v>4980</v>
      </c>
      <c r="AY283" s="82" t="s">
        <v>5047</v>
      </c>
      <c r="AZ283" s="82" t="s">
        <v>5094</v>
      </c>
      <c r="BA283" s="82" t="s">
        <v>5075</v>
      </c>
      <c r="BB283" s="82" t="s">
        <v>5075</v>
      </c>
      <c r="BC283" s="82" t="s">
        <v>5094</v>
      </c>
      <c r="BD283" s="82" t="s">
        <v>5047</v>
      </c>
      <c r="BE283" s="77"/>
      <c r="BF283" s="77"/>
      <c r="BG283" s="77"/>
      <c r="BH283" s="77"/>
      <c r="BI283" s="77"/>
    </row>
    <row r="284" spans="1:61" x14ac:dyDescent="0.25">
      <c r="A284" s="62" t="s">
        <v>337</v>
      </c>
      <c r="B284" s="62" t="s">
        <v>337</v>
      </c>
      <c r="C284" s="63"/>
      <c r="D284" s="64"/>
      <c r="E284" s="65"/>
      <c r="F284" s="66"/>
      <c r="G284" s="63"/>
      <c r="H284" s="67"/>
      <c r="I284" s="68"/>
      <c r="J284" s="68"/>
      <c r="K284" s="32"/>
      <c r="L284" s="75">
        <v>284</v>
      </c>
      <c r="M284" s="75"/>
      <c r="N284" s="70"/>
      <c r="O284" s="77" t="s">
        <v>536</v>
      </c>
      <c r="P284" s="79">
        <v>45001.516956018517</v>
      </c>
      <c r="Q284" s="77" t="s">
        <v>818</v>
      </c>
      <c r="R284" s="77">
        <v>0</v>
      </c>
      <c r="S284" s="77">
        <v>1</v>
      </c>
      <c r="T284" s="77">
        <v>1</v>
      </c>
      <c r="U284" s="77">
        <v>0</v>
      </c>
      <c r="V284" s="77">
        <v>15</v>
      </c>
      <c r="W284" s="82" t="s">
        <v>1650</v>
      </c>
      <c r="X284" s="77"/>
      <c r="Y284" s="77"/>
      <c r="Z284" s="77"/>
      <c r="AA284" s="77"/>
      <c r="AB284" s="77"/>
      <c r="AC284" s="82" t="s">
        <v>2640</v>
      </c>
      <c r="AD284" s="77" t="s">
        <v>2670</v>
      </c>
      <c r="AE284" s="80" t="str">
        <f>HYPERLINK("https://twitter.com/rafael__costa__/status/1636342656308477952")</f>
        <v>https://twitter.com/rafael__costa__/status/1636342656308477952</v>
      </c>
      <c r="AF284" s="79">
        <v>45001.516956018517</v>
      </c>
      <c r="AG284" s="85">
        <v>45001</v>
      </c>
      <c r="AH284" s="82" t="s">
        <v>2925</v>
      </c>
      <c r="AI284" s="77"/>
      <c r="AJ284" s="77"/>
      <c r="AK284" s="77"/>
      <c r="AL284" s="77"/>
      <c r="AM284" s="77"/>
      <c r="AN284" s="77"/>
      <c r="AO284" s="77"/>
      <c r="AP284" s="77"/>
      <c r="AQ284" s="77"/>
      <c r="AR284" s="77"/>
      <c r="AS284" s="77"/>
      <c r="AT284" s="77"/>
      <c r="AU284" s="77"/>
      <c r="AV284" s="80" t="str">
        <f>HYPERLINK("https://pbs.twimg.com/profile_images/1460727419829116929/1hfB_OTD_normal.jpg")</f>
        <v>https://pbs.twimg.com/profile_images/1460727419829116929/1hfB_OTD_normal.jpg</v>
      </c>
      <c r="AW284" s="82" t="s">
        <v>4339</v>
      </c>
      <c r="AX284" s="82" t="s">
        <v>4981</v>
      </c>
      <c r="AY284" s="82" t="s">
        <v>5047</v>
      </c>
      <c r="AZ284" s="82" t="s">
        <v>5095</v>
      </c>
      <c r="BA284" s="82" t="s">
        <v>5075</v>
      </c>
      <c r="BB284" s="82" t="s">
        <v>5075</v>
      </c>
      <c r="BC284" s="82" t="s">
        <v>5095</v>
      </c>
      <c r="BD284" s="82" t="s">
        <v>5047</v>
      </c>
      <c r="BE284" s="77"/>
      <c r="BF284" s="77"/>
      <c r="BG284" s="77"/>
      <c r="BH284" s="77"/>
      <c r="BI284" s="77"/>
    </row>
    <row r="285" spans="1:61" x14ac:dyDescent="0.25">
      <c r="A285" s="62" t="s">
        <v>337</v>
      </c>
      <c r="B285" s="62" t="s">
        <v>337</v>
      </c>
      <c r="C285" s="63"/>
      <c r="D285" s="64"/>
      <c r="E285" s="65"/>
      <c r="F285" s="66"/>
      <c r="G285" s="63"/>
      <c r="H285" s="67"/>
      <c r="I285" s="68"/>
      <c r="J285" s="68"/>
      <c r="K285" s="32"/>
      <c r="L285" s="75">
        <v>285</v>
      </c>
      <c r="M285" s="75"/>
      <c r="N285" s="70"/>
      <c r="O285" s="77" t="s">
        <v>536</v>
      </c>
      <c r="P285" s="79">
        <v>45020.918993055559</v>
      </c>
      <c r="Q285" s="77" t="s">
        <v>819</v>
      </c>
      <c r="R285" s="77">
        <v>0</v>
      </c>
      <c r="S285" s="77">
        <v>0</v>
      </c>
      <c r="T285" s="77">
        <v>0</v>
      </c>
      <c r="U285" s="77">
        <v>0</v>
      </c>
      <c r="V285" s="77">
        <v>122</v>
      </c>
      <c r="W285" s="82" t="s">
        <v>1651</v>
      </c>
      <c r="X285" s="77"/>
      <c r="Y285" s="77"/>
      <c r="Z285" s="77"/>
      <c r="AA285" s="77" t="s">
        <v>2185</v>
      </c>
      <c r="AB285" s="77" t="s">
        <v>2632</v>
      </c>
      <c r="AC285" s="82" t="s">
        <v>2640</v>
      </c>
      <c r="AD285" s="77" t="s">
        <v>2673</v>
      </c>
      <c r="AE285" s="80" t="str">
        <f>HYPERLINK("https://twitter.com/rafael__costa__/status/1643373717035048960")</f>
        <v>https://twitter.com/rafael__costa__/status/1643373717035048960</v>
      </c>
      <c r="AF285" s="79">
        <v>45020.918993055559</v>
      </c>
      <c r="AG285" s="85">
        <v>45020</v>
      </c>
      <c r="AH285" s="82" t="s">
        <v>2926</v>
      </c>
      <c r="AI285" s="77" t="b">
        <v>0</v>
      </c>
      <c r="AJ285" s="77"/>
      <c r="AK285" s="77"/>
      <c r="AL285" s="77"/>
      <c r="AM285" s="77"/>
      <c r="AN285" s="77"/>
      <c r="AO285" s="77"/>
      <c r="AP285" s="77"/>
      <c r="AQ285" s="77" t="s">
        <v>3614</v>
      </c>
      <c r="AR285" s="77"/>
      <c r="AS285" s="77"/>
      <c r="AT285" s="77"/>
      <c r="AU285" s="77"/>
      <c r="AV285" s="80" t="str">
        <f>HYPERLINK("https://pbs.twimg.com/media/Fs5vrp-XwAI5tOq.jpg")</f>
        <v>https://pbs.twimg.com/media/Fs5vrp-XwAI5tOq.jpg</v>
      </c>
      <c r="AW285" s="82" t="s">
        <v>4340</v>
      </c>
      <c r="AX285" s="82" t="s">
        <v>4982</v>
      </c>
      <c r="AY285" s="82" t="s">
        <v>5047</v>
      </c>
      <c r="AZ285" s="82" t="s">
        <v>5096</v>
      </c>
      <c r="BA285" s="82" t="s">
        <v>5075</v>
      </c>
      <c r="BB285" s="82" t="s">
        <v>5075</v>
      </c>
      <c r="BC285" s="82" t="s">
        <v>5096</v>
      </c>
      <c r="BD285" s="82" t="s">
        <v>5047</v>
      </c>
      <c r="BE285" s="77"/>
      <c r="BF285" s="77"/>
      <c r="BG285" s="77"/>
      <c r="BH285" s="77"/>
      <c r="BI285" s="77"/>
    </row>
    <row r="286" spans="1:61" x14ac:dyDescent="0.25">
      <c r="A286" s="62" t="s">
        <v>337</v>
      </c>
      <c r="B286" s="62" t="s">
        <v>337</v>
      </c>
      <c r="C286" s="63"/>
      <c r="D286" s="64"/>
      <c r="E286" s="65"/>
      <c r="F286" s="66"/>
      <c r="G286" s="63"/>
      <c r="H286" s="67"/>
      <c r="I286" s="68"/>
      <c r="J286" s="68"/>
      <c r="K286" s="32"/>
      <c r="L286" s="75">
        <v>286</v>
      </c>
      <c r="M286" s="75"/>
      <c r="N286" s="70"/>
      <c r="O286" s="77" t="s">
        <v>536</v>
      </c>
      <c r="P286" s="79">
        <v>45064.429965277777</v>
      </c>
      <c r="Q286" s="77" t="s">
        <v>820</v>
      </c>
      <c r="R286" s="77">
        <v>0</v>
      </c>
      <c r="S286" s="77">
        <v>0</v>
      </c>
      <c r="T286" s="77">
        <v>1</v>
      </c>
      <c r="U286" s="77">
        <v>0</v>
      </c>
      <c r="V286" s="77">
        <v>13</v>
      </c>
      <c r="W286" s="82" t="s">
        <v>1652</v>
      </c>
      <c r="X286" s="77"/>
      <c r="Y286" s="77"/>
      <c r="Z286" s="77"/>
      <c r="AA286" s="77"/>
      <c r="AB286" s="77"/>
      <c r="AC286" s="82" t="s">
        <v>2640</v>
      </c>
      <c r="AD286" s="77" t="s">
        <v>2670</v>
      </c>
      <c r="AE286" s="80" t="str">
        <f>HYPERLINK("https://twitter.com/rafael__costa__/status/1659141567699886081")</f>
        <v>https://twitter.com/rafael__costa__/status/1659141567699886081</v>
      </c>
      <c r="AF286" s="79">
        <v>45064.429965277777</v>
      </c>
      <c r="AG286" s="85">
        <v>45064</v>
      </c>
      <c r="AH286" s="82" t="s">
        <v>2927</v>
      </c>
      <c r="AI286" s="77"/>
      <c r="AJ286" s="77"/>
      <c r="AK286" s="77"/>
      <c r="AL286" s="77"/>
      <c r="AM286" s="77"/>
      <c r="AN286" s="77"/>
      <c r="AO286" s="77"/>
      <c r="AP286" s="77"/>
      <c r="AQ286" s="77"/>
      <c r="AR286" s="77"/>
      <c r="AS286" s="77"/>
      <c r="AT286" s="77"/>
      <c r="AU286" s="77"/>
      <c r="AV286" s="80" t="str">
        <f>HYPERLINK("https://pbs.twimg.com/profile_images/1460727419829116929/1hfB_OTD_normal.jpg")</f>
        <v>https://pbs.twimg.com/profile_images/1460727419829116929/1hfB_OTD_normal.jpg</v>
      </c>
      <c r="AW286" s="82" t="s">
        <v>4341</v>
      </c>
      <c r="AX286" s="82" t="s">
        <v>4983</v>
      </c>
      <c r="AY286" s="82" t="s">
        <v>5047</v>
      </c>
      <c r="AZ286" s="82" t="s">
        <v>5097</v>
      </c>
      <c r="BA286" s="82" t="s">
        <v>5075</v>
      </c>
      <c r="BB286" s="82" t="s">
        <v>5075</v>
      </c>
      <c r="BC286" s="82" t="s">
        <v>5097</v>
      </c>
      <c r="BD286" s="82" t="s">
        <v>5047</v>
      </c>
      <c r="BE286" s="77"/>
      <c r="BF286" s="77"/>
      <c r="BG286" s="77"/>
      <c r="BH286" s="77"/>
      <c r="BI286" s="77"/>
    </row>
    <row r="287" spans="1:61" x14ac:dyDescent="0.25">
      <c r="A287" s="62" t="s">
        <v>337</v>
      </c>
      <c r="B287" s="62" t="s">
        <v>337</v>
      </c>
      <c r="C287" s="63"/>
      <c r="D287" s="64"/>
      <c r="E287" s="65"/>
      <c r="F287" s="66"/>
      <c r="G287" s="63"/>
      <c r="H287" s="67"/>
      <c r="I287" s="68"/>
      <c r="J287" s="68"/>
      <c r="K287" s="32"/>
      <c r="L287" s="75">
        <v>287</v>
      </c>
      <c r="M287" s="75"/>
      <c r="N287" s="70"/>
      <c r="O287" s="77" t="s">
        <v>536</v>
      </c>
      <c r="P287" s="79">
        <v>44966.444374999999</v>
      </c>
      <c r="Q287" s="77" t="s">
        <v>821</v>
      </c>
      <c r="R287" s="77">
        <v>0</v>
      </c>
      <c r="S287" s="77">
        <v>0</v>
      </c>
      <c r="T287" s="77">
        <v>1</v>
      </c>
      <c r="U287" s="77">
        <v>0</v>
      </c>
      <c r="V287" s="77">
        <v>30</v>
      </c>
      <c r="W287" s="82" t="s">
        <v>1653</v>
      </c>
      <c r="X287" s="77"/>
      <c r="Y287" s="77"/>
      <c r="Z287" s="77"/>
      <c r="AA287" s="77"/>
      <c r="AB287" s="77"/>
      <c r="AC287" s="82" t="s">
        <v>2640</v>
      </c>
      <c r="AD287" s="77" t="s">
        <v>2670</v>
      </c>
      <c r="AE287" s="80" t="str">
        <f>HYPERLINK("https://twitter.com/rafael__costa__/status/1623632779400323074")</f>
        <v>https://twitter.com/rafael__costa__/status/1623632779400323074</v>
      </c>
      <c r="AF287" s="79">
        <v>44966.444374999999</v>
      </c>
      <c r="AG287" s="85">
        <v>44966</v>
      </c>
      <c r="AH287" s="82" t="s">
        <v>2928</v>
      </c>
      <c r="AI287" s="77"/>
      <c r="AJ287" s="77"/>
      <c r="AK287" s="77"/>
      <c r="AL287" s="77"/>
      <c r="AM287" s="77"/>
      <c r="AN287" s="77"/>
      <c r="AO287" s="77"/>
      <c r="AP287" s="77"/>
      <c r="AQ287" s="77"/>
      <c r="AR287" s="77"/>
      <c r="AS287" s="77"/>
      <c r="AT287" s="77"/>
      <c r="AU287" s="77"/>
      <c r="AV287" s="80" t="str">
        <f>HYPERLINK("https://pbs.twimg.com/profile_images/1460727419829116929/1hfB_OTD_normal.jpg")</f>
        <v>https://pbs.twimg.com/profile_images/1460727419829116929/1hfB_OTD_normal.jpg</v>
      </c>
      <c r="AW287" s="82" t="s">
        <v>4342</v>
      </c>
      <c r="AX287" s="82" t="s">
        <v>4984</v>
      </c>
      <c r="AY287" s="82" t="s">
        <v>5047</v>
      </c>
      <c r="AZ287" s="82" t="s">
        <v>5098</v>
      </c>
      <c r="BA287" s="82" t="s">
        <v>5075</v>
      </c>
      <c r="BB287" s="82" t="s">
        <v>5075</v>
      </c>
      <c r="BC287" s="82" t="s">
        <v>5098</v>
      </c>
      <c r="BD287" s="82" t="s">
        <v>5047</v>
      </c>
      <c r="BE287" s="77"/>
      <c r="BF287" s="77"/>
      <c r="BG287" s="77"/>
      <c r="BH287" s="77"/>
      <c r="BI287" s="77"/>
    </row>
    <row r="288" spans="1:61" x14ac:dyDescent="0.25">
      <c r="A288" s="62" t="s">
        <v>337</v>
      </c>
      <c r="B288" s="62" t="s">
        <v>337</v>
      </c>
      <c r="C288" s="63"/>
      <c r="D288" s="64"/>
      <c r="E288" s="65"/>
      <c r="F288" s="66"/>
      <c r="G288" s="63"/>
      <c r="H288" s="67"/>
      <c r="I288" s="68"/>
      <c r="J288" s="68"/>
      <c r="K288" s="32"/>
      <c r="L288" s="75">
        <v>288</v>
      </c>
      <c r="M288" s="75"/>
      <c r="N288" s="70"/>
      <c r="O288" s="77" t="s">
        <v>536</v>
      </c>
      <c r="P288" s="79">
        <v>44931.455428240741</v>
      </c>
      <c r="Q288" s="77" t="s">
        <v>822</v>
      </c>
      <c r="R288" s="77">
        <v>0</v>
      </c>
      <c r="S288" s="77">
        <v>1</v>
      </c>
      <c r="T288" s="77">
        <v>1</v>
      </c>
      <c r="U288" s="77">
        <v>0</v>
      </c>
      <c r="V288" s="77">
        <v>30</v>
      </c>
      <c r="W288" s="82" t="s">
        <v>1654</v>
      </c>
      <c r="X288" s="77"/>
      <c r="Y288" s="77"/>
      <c r="Z288" s="77"/>
      <c r="AA288" s="77"/>
      <c r="AB288" s="77"/>
      <c r="AC288" s="82" t="s">
        <v>2640</v>
      </c>
      <c r="AD288" s="77" t="s">
        <v>2670</v>
      </c>
      <c r="AE288" s="80" t="str">
        <f>HYPERLINK("https://twitter.com/rafael__costa__/status/1610953207739473920")</f>
        <v>https://twitter.com/rafael__costa__/status/1610953207739473920</v>
      </c>
      <c r="AF288" s="79">
        <v>44931.455428240741</v>
      </c>
      <c r="AG288" s="85">
        <v>44931</v>
      </c>
      <c r="AH288" s="82" t="s">
        <v>2929</v>
      </c>
      <c r="AI288" s="77"/>
      <c r="AJ288" s="77"/>
      <c r="AK288" s="77"/>
      <c r="AL288" s="77"/>
      <c r="AM288" s="77"/>
      <c r="AN288" s="77"/>
      <c r="AO288" s="77"/>
      <c r="AP288" s="77"/>
      <c r="AQ288" s="77"/>
      <c r="AR288" s="77"/>
      <c r="AS288" s="77"/>
      <c r="AT288" s="77"/>
      <c r="AU288" s="77"/>
      <c r="AV288" s="80" t="str">
        <f>HYPERLINK("https://pbs.twimg.com/profile_images/1460727419829116929/1hfB_OTD_normal.jpg")</f>
        <v>https://pbs.twimg.com/profile_images/1460727419829116929/1hfB_OTD_normal.jpg</v>
      </c>
      <c r="AW288" s="82" t="s">
        <v>4343</v>
      </c>
      <c r="AX288" s="82" t="s">
        <v>4985</v>
      </c>
      <c r="AY288" s="82" t="s">
        <v>5047</v>
      </c>
      <c r="AZ288" s="82" t="s">
        <v>5099</v>
      </c>
      <c r="BA288" s="82" t="s">
        <v>5075</v>
      </c>
      <c r="BB288" s="82" t="s">
        <v>5075</v>
      </c>
      <c r="BC288" s="82" t="s">
        <v>5099</v>
      </c>
      <c r="BD288" s="82" t="s">
        <v>5047</v>
      </c>
      <c r="BE288" s="77"/>
      <c r="BF288" s="77"/>
      <c r="BG288" s="77"/>
      <c r="BH288" s="77"/>
      <c r="BI288" s="77"/>
    </row>
    <row r="289" spans="1:61" x14ac:dyDescent="0.25">
      <c r="A289" s="62" t="s">
        <v>338</v>
      </c>
      <c r="B289" s="62" t="s">
        <v>338</v>
      </c>
      <c r="C289" s="63"/>
      <c r="D289" s="64"/>
      <c r="E289" s="65"/>
      <c r="F289" s="66"/>
      <c r="G289" s="63"/>
      <c r="H289" s="67"/>
      <c r="I289" s="68"/>
      <c r="J289" s="68"/>
      <c r="K289" s="32"/>
      <c r="L289" s="75">
        <v>289</v>
      </c>
      <c r="M289" s="75"/>
      <c r="N289" s="70"/>
      <c r="O289" s="77" t="s">
        <v>179</v>
      </c>
      <c r="P289" s="79">
        <v>44966.065682870372</v>
      </c>
      <c r="Q289" s="77" t="s">
        <v>823</v>
      </c>
      <c r="R289" s="77">
        <v>0</v>
      </c>
      <c r="S289" s="77">
        <v>1</v>
      </c>
      <c r="T289" s="77">
        <v>0</v>
      </c>
      <c r="U289" s="77">
        <v>0</v>
      </c>
      <c r="V289" s="77">
        <v>145</v>
      </c>
      <c r="W289" s="82" t="s">
        <v>1655</v>
      </c>
      <c r="X289" s="77"/>
      <c r="Y289" s="77"/>
      <c r="Z289" s="77"/>
      <c r="AA289" s="77" t="s">
        <v>2186</v>
      </c>
      <c r="AB289" s="77" t="s">
        <v>2632</v>
      </c>
      <c r="AC289" s="82" t="s">
        <v>2639</v>
      </c>
      <c r="AD289" s="77" t="s">
        <v>2670</v>
      </c>
      <c r="AE289" s="80" t="str">
        <f>HYPERLINK("https://twitter.com/vidaidealbr/status/1623495542679511040")</f>
        <v>https://twitter.com/vidaidealbr/status/1623495542679511040</v>
      </c>
      <c r="AF289" s="79">
        <v>44966.065682870372</v>
      </c>
      <c r="AG289" s="85">
        <v>44966</v>
      </c>
      <c r="AH289" s="82" t="s">
        <v>2930</v>
      </c>
      <c r="AI289" s="77" t="b">
        <v>0</v>
      </c>
      <c r="AJ289" s="77"/>
      <c r="AK289" s="77"/>
      <c r="AL289" s="77"/>
      <c r="AM289" s="77"/>
      <c r="AN289" s="77"/>
      <c r="AO289" s="77"/>
      <c r="AP289" s="77"/>
      <c r="AQ289" s="77" t="s">
        <v>3615</v>
      </c>
      <c r="AR289" s="77"/>
      <c r="AS289" s="77"/>
      <c r="AT289" s="77"/>
      <c r="AU289" s="77"/>
      <c r="AV289" s="80" t="str">
        <f>HYPERLINK("https://pbs.twimg.com/media/FofQlkcXgAAlea6.jpg")</f>
        <v>https://pbs.twimg.com/media/FofQlkcXgAAlea6.jpg</v>
      </c>
      <c r="AW289" s="82" t="s">
        <v>4344</v>
      </c>
      <c r="AX289" s="82" t="s">
        <v>4344</v>
      </c>
      <c r="AY289" s="77"/>
      <c r="AZ289" s="82" t="s">
        <v>5075</v>
      </c>
      <c r="BA289" s="82" t="s">
        <v>5075</v>
      </c>
      <c r="BB289" s="82" t="s">
        <v>5075</v>
      </c>
      <c r="BC289" s="82" t="s">
        <v>4344</v>
      </c>
      <c r="BD289" s="82" t="s">
        <v>5182</v>
      </c>
      <c r="BE289" s="77"/>
      <c r="BF289" s="77"/>
      <c r="BG289" s="77"/>
      <c r="BH289" s="77"/>
      <c r="BI289" s="77"/>
    </row>
    <row r="290" spans="1:61" x14ac:dyDescent="0.25">
      <c r="A290" s="62" t="s">
        <v>339</v>
      </c>
      <c r="B290" s="62" t="s">
        <v>339</v>
      </c>
      <c r="C290" s="63"/>
      <c r="D290" s="64"/>
      <c r="E290" s="65"/>
      <c r="F290" s="66"/>
      <c r="G290" s="63"/>
      <c r="H290" s="67"/>
      <c r="I290" s="68"/>
      <c r="J290" s="68"/>
      <c r="K290" s="32"/>
      <c r="L290" s="75">
        <v>290</v>
      </c>
      <c r="M290" s="75"/>
      <c r="N290" s="70"/>
      <c r="O290" s="77" t="s">
        <v>179</v>
      </c>
      <c r="P290" s="79">
        <v>45020.544791666667</v>
      </c>
      <c r="Q290" s="77" t="s">
        <v>824</v>
      </c>
      <c r="R290" s="77">
        <v>0</v>
      </c>
      <c r="S290" s="77">
        <v>0</v>
      </c>
      <c r="T290" s="77">
        <v>0</v>
      </c>
      <c r="U290" s="77">
        <v>0</v>
      </c>
      <c r="V290" s="77">
        <v>5</v>
      </c>
      <c r="W290" s="82" t="s">
        <v>1656</v>
      </c>
      <c r="X290" s="77"/>
      <c r="Y290" s="77"/>
      <c r="Z290" s="77"/>
      <c r="AA290" s="77"/>
      <c r="AB290" s="77"/>
      <c r="AC290" s="82" t="s">
        <v>2639</v>
      </c>
      <c r="AD290" s="77" t="s">
        <v>2670</v>
      </c>
      <c r="AE290" s="80" t="str">
        <f>HYPERLINK("https://twitter.com/karlfranca/status/1643238111877447680")</f>
        <v>https://twitter.com/karlfranca/status/1643238111877447680</v>
      </c>
      <c r="AF290" s="79">
        <v>45020.544791666667</v>
      </c>
      <c r="AG290" s="85">
        <v>45020</v>
      </c>
      <c r="AH290" s="82" t="s">
        <v>2931</v>
      </c>
      <c r="AI290" s="77"/>
      <c r="AJ290" s="77"/>
      <c r="AK290" s="77"/>
      <c r="AL290" s="77"/>
      <c r="AM290" s="77"/>
      <c r="AN290" s="77"/>
      <c r="AO290" s="77"/>
      <c r="AP290" s="77"/>
      <c r="AQ290" s="77"/>
      <c r="AR290" s="77"/>
      <c r="AS290" s="77"/>
      <c r="AT290" s="77"/>
      <c r="AU290" s="77"/>
      <c r="AV290" s="80" t="str">
        <f>HYPERLINK("https://pbs.twimg.com/profile_images/1673406541859266560/ThP893Z1_normal.jpg")</f>
        <v>https://pbs.twimg.com/profile_images/1673406541859266560/ThP893Z1_normal.jpg</v>
      </c>
      <c r="AW290" s="82" t="s">
        <v>4345</v>
      </c>
      <c r="AX290" s="82" t="s">
        <v>4345</v>
      </c>
      <c r="AY290" s="77"/>
      <c r="AZ290" s="82" t="s">
        <v>5075</v>
      </c>
      <c r="BA290" s="82" t="s">
        <v>5075</v>
      </c>
      <c r="BB290" s="82" t="s">
        <v>5075</v>
      </c>
      <c r="BC290" s="82" t="s">
        <v>4345</v>
      </c>
      <c r="BD290" s="82" t="s">
        <v>5183</v>
      </c>
      <c r="BE290" s="77"/>
      <c r="BF290" s="77"/>
      <c r="BG290" s="77"/>
      <c r="BH290" s="77"/>
      <c r="BI290" s="77"/>
    </row>
    <row r="291" spans="1:61" x14ac:dyDescent="0.25">
      <c r="A291" s="62" t="s">
        <v>340</v>
      </c>
      <c r="B291" s="62" t="s">
        <v>340</v>
      </c>
      <c r="C291" s="63"/>
      <c r="D291" s="64"/>
      <c r="E291" s="65"/>
      <c r="F291" s="66"/>
      <c r="G291" s="63"/>
      <c r="H291" s="67"/>
      <c r="I291" s="68"/>
      <c r="J291" s="68"/>
      <c r="K291" s="32"/>
      <c r="L291" s="75">
        <v>291</v>
      </c>
      <c r="M291" s="75"/>
      <c r="N291" s="70"/>
      <c r="O291" s="77" t="s">
        <v>179</v>
      </c>
      <c r="P291" s="79">
        <v>45077.021631944444</v>
      </c>
      <c r="Q291" s="77" t="s">
        <v>825</v>
      </c>
      <c r="R291" s="77">
        <v>0</v>
      </c>
      <c r="S291" s="77">
        <v>0</v>
      </c>
      <c r="T291" s="77">
        <v>0</v>
      </c>
      <c r="U291" s="77">
        <v>0</v>
      </c>
      <c r="V291" s="77">
        <v>4</v>
      </c>
      <c r="W291" s="82" t="s">
        <v>1546</v>
      </c>
      <c r="X291" s="80" t="str">
        <f>HYPERLINK("http://financaslucrativas.com.br/orcamento/regra-da-riqueza-50-30-20/")</f>
        <v>http://financaslucrativas.com.br/orcamento/regra-da-riqueza-50-30-20/</v>
      </c>
      <c r="Y291" s="77" t="s">
        <v>1978</v>
      </c>
      <c r="Z291" s="77"/>
      <c r="AA291" s="77"/>
      <c r="AB291" s="77"/>
      <c r="AC291" s="82" t="s">
        <v>2639</v>
      </c>
      <c r="AD291" s="77" t="s">
        <v>2670</v>
      </c>
      <c r="AE291" s="80" t="str">
        <f>HYPERLINK("https://twitter.com/financaslucra/status/1663704633330548736")</f>
        <v>https://twitter.com/financaslucra/status/1663704633330548736</v>
      </c>
      <c r="AF291" s="79">
        <v>45077.021631944444</v>
      </c>
      <c r="AG291" s="85">
        <v>45077</v>
      </c>
      <c r="AH291" s="82" t="s">
        <v>2932</v>
      </c>
      <c r="AI291" s="77" t="b">
        <v>0</v>
      </c>
      <c r="AJ291" s="77"/>
      <c r="AK291" s="77"/>
      <c r="AL291" s="77"/>
      <c r="AM291" s="77"/>
      <c r="AN291" s="77"/>
      <c r="AO291" s="77"/>
      <c r="AP291" s="77"/>
      <c r="AQ291" s="77"/>
      <c r="AR291" s="77"/>
      <c r="AS291" s="77"/>
      <c r="AT291" s="77"/>
      <c r="AU291" s="77"/>
      <c r="AV291" s="80" t="str">
        <f>HYPERLINK("https://pbs.twimg.com/profile_images/1654049369186861057/RuDhHhUO_normal.jpg")</f>
        <v>https://pbs.twimg.com/profile_images/1654049369186861057/RuDhHhUO_normal.jpg</v>
      </c>
      <c r="AW291" s="82" t="s">
        <v>4346</v>
      </c>
      <c r="AX291" s="82" t="s">
        <v>4346</v>
      </c>
      <c r="AY291" s="77"/>
      <c r="AZ291" s="82" t="s">
        <v>5075</v>
      </c>
      <c r="BA291" s="82" t="s">
        <v>5075</v>
      </c>
      <c r="BB291" s="82" t="s">
        <v>5075</v>
      </c>
      <c r="BC291" s="82" t="s">
        <v>4346</v>
      </c>
      <c r="BD291" s="82" t="s">
        <v>5184</v>
      </c>
      <c r="BE291" s="77"/>
      <c r="BF291" s="77"/>
      <c r="BG291" s="77"/>
      <c r="BH291" s="77"/>
      <c r="BI291" s="77"/>
    </row>
    <row r="292" spans="1:61" x14ac:dyDescent="0.25">
      <c r="A292" s="62" t="s">
        <v>340</v>
      </c>
      <c r="B292" s="62" t="s">
        <v>340</v>
      </c>
      <c r="C292" s="63"/>
      <c r="D292" s="64"/>
      <c r="E292" s="65"/>
      <c r="F292" s="66"/>
      <c r="G292" s="63"/>
      <c r="H292" s="67"/>
      <c r="I292" s="68"/>
      <c r="J292" s="68"/>
      <c r="K292" s="32"/>
      <c r="L292" s="75">
        <v>292</v>
      </c>
      <c r="M292" s="75"/>
      <c r="N292" s="70"/>
      <c r="O292" s="77" t="s">
        <v>179</v>
      </c>
      <c r="P292" s="79">
        <v>45074.620219907411</v>
      </c>
      <c r="Q292" s="77" t="s">
        <v>826</v>
      </c>
      <c r="R292" s="77">
        <v>0</v>
      </c>
      <c r="S292" s="77">
        <v>0</v>
      </c>
      <c r="T292" s="77">
        <v>0</v>
      </c>
      <c r="U292" s="77">
        <v>0</v>
      </c>
      <c r="V292" s="77">
        <v>10</v>
      </c>
      <c r="W292" s="82" t="s">
        <v>1657</v>
      </c>
      <c r="X292" s="80" t="str">
        <f>HYPERLINK("https://financaslucrativas.com.br/orcamento/orcamento-simples/")</f>
        <v>https://financaslucrativas.com.br/orcamento/orcamento-simples/</v>
      </c>
      <c r="Y292" s="77" t="s">
        <v>1978</v>
      </c>
      <c r="Z292" s="77"/>
      <c r="AA292" s="77"/>
      <c r="AB292" s="77"/>
      <c r="AC292" s="82" t="s">
        <v>2647</v>
      </c>
      <c r="AD292" s="77" t="s">
        <v>2670</v>
      </c>
      <c r="AE292" s="80" t="str">
        <f>HYPERLINK("https://twitter.com/financaslucra/status/1662834390030770179")</f>
        <v>https://twitter.com/financaslucra/status/1662834390030770179</v>
      </c>
      <c r="AF292" s="79">
        <v>45074.620219907411</v>
      </c>
      <c r="AG292" s="85">
        <v>45074</v>
      </c>
      <c r="AH292" s="82" t="s">
        <v>2933</v>
      </c>
      <c r="AI292" s="77" t="b">
        <v>0</v>
      </c>
      <c r="AJ292" s="77"/>
      <c r="AK292" s="77"/>
      <c r="AL292" s="77"/>
      <c r="AM292" s="77"/>
      <c r="AN292" s="77"/>
      <c r="AO292" s="77"/>
      <c r="AP292" s="77"/>
      <c r="AQ292" s="77"/>
      <c r="AR292" s="77"/>
      <c r="AS292" s="77"/>
      <c r="AT292" s="77"/>
      <c r="AU292" s="77"/>
      <c r="AV292" s="80" t="str">
        <f>HYPERLINK("https://pbs.twimg.com/profile_images/1654049369186861057/RuDhHhUO_normal.jpg")</f>
        <v>https://pbs.twimg.com/profile_images/1654049369186861057/RuDhHhUO_normal.jpg</v>
      </c>
      <c r="AW292" s="82" t="s">
        <v>4347</v>
      </c>
      <c r="AX292" s="82" t="s">
        <v>4347</v>
      </c>
      <c r="AY292" s="77"/>
      <c r="AZ292" s="82" t="s">
        <v>5075</v>
      </c>
      <c r="BA292" s="82" t="s">
        <v>5075</v>
      </c>
      <c r="BB292" s="82" t="s">
        <v>5075</v>
      </c>
      <c r="BC292" s="82" t="s">
        <v>4347</v>
      </c>
      <c r="BD292" s="82" t="s">
        <v>5184</v>
      </c>
      <c r="BE292" s="77"/>
      <c r="BF292" s="77"/>
      <c r="BG292" s="77"/>
      <c r="BH292" s="77"/>
      <c r="BI292" s="77"/>
    </row>
    <row r="293" spans="1:61" x14ac:dyDescent="0.25">
      <c r="A293" s="62" t="s">
        <v>341</v>
      </c>
      <c r="B293" s="62" t="s">
        <v>391</v>
      </c>
      <c r="C293" s="63"/>
      <c r="D293" s="64"/>
      <c r="E293" s="65"/>
      <c r="F293" s="66"/>
      <c r="G293" s="63"/>
      <c r="H293" s="67"/>
      <c r="I293" s="68"/>
      <c r="J293" s="68"/>
      <c r="K293" s="32"/>
      <c r="L293" s="75">
        <v>293</v>
      </c>
      <c r="M293" s="75"/>
      <c r="N293" s="70"/>
      <c r="O293" s="77" t="s">
        <v>538</v>
      </c>
      <c r="P293" s="79">
        <v>44929.833495370367</v>
      </c>
      <c r="Q293" s="77" t="s">
        <v>827</v>
      </c>
      <c r="R293" s="77">
        <v>0</v>
      </c>
      <c r="S293" s="77">
        <v>2</v>
      </c>
      <c r="T293" s="77">
        <v>0</v>
      </c>
      <c r="U293" s="77">
        <v>0</v>
      </c>
      <c r="V293" s="77">
        <v>150</v>
      </c>
      <c r="W293" s="82" t="s">
        <v>1658</v>
      </c>
      <c r="X293" s="77"/>
      <c r="Y293" s="77"/>
      <c r="Z293" s="77"/>
      <c r="AA293" s="77"/>
      <c r="AB293" s="77"/>
      <c r="AC293" s="82" t="s">
        <v>2640</v>
      </c>
      <c r="AD293" s="77" t="s">
        <v>2675</v>
      </c>
      <c r="AE293" s="80" t="str">
        <f>HYPERLINK("https://twitter.com/carlos_domini/status/1610365440353501187")</f>
        <v>https://twitter.com/carlos_domini/status/1610365440353501187</v>
      </c>
      <c r="AF293" s="79">
        <v>44929.833495370367</v>
      </c>
      <c r="AG293" s="85">
        <v>44929</v>
      </c>
      <c r="AH293" s="82" t="s">
        <v>2934</v>
      </c>
      <c r="AI293" s="77"/>
      <c r="AJ293" s="77"/>
      <c r="AK293" s="77"/>
      <c r="AL293" s="77"/>
      <c r="AM293" s="77"/>
      <c r="AN293" s="77"/>
      <c r="AO293" s="77"/>
      <c r="AP293" s="77"/>
      <c r="AQ293" s="77"/>
      <c r="AR293" s="77"/>
      <c r="AS293" s="77"/>
      <c r="AT293" s="77"/>
      <c r="AU293" s="77"/>
      <c r="AV293" s="80" t="str">
        <f>HYPERLINK("https://pbs.twimg.com/profile_images/1108562049829879808/lzMX_Y8h_normal.jpg")</f>
        <v>https://pbs.twimg.com/profile_images/1108562049829879808/lzMX_Y8h_normal.jpg</v>
      </c>
      <c r="AW293" s="82" t="s">
        <v>4348</v>
      </c>
      <c r="AX293" s="82" t="s">
        <v>4348</v>
      </c>
      <c r="AY293" s="77"/>
      <c r="AZ293" s="82" t="s">
        <v>5075</v>
      </c>
      <c r="BA293" s="82" t="s">
        <v>4528</v>
      </c>
      <c r="BB293" s="82" t="s">
        <v>5075</v>
      </c>
      <c r="BC293" s="82" t="s">
        <v>4528</v>
      </c>
      <c r="BD293" s="77">
        <v>487144994</v>
      </c>
      <c r="BE293" s="77"/>
      <c r="BF293" s="77"/>
      <c r="BG293" s="77"/>
      <c r="BH293" s="77"/>
      <c r="BI293" s="77"/>
    </row>
    <row r="294" spans="1:61" x14ac:dyDescent="0.25">
      <c r="A294" s="62" t="s">
        <v>342</v>
      </c>
      <c r="B294" s="62" t="s">
        <v>342</v>
      </c>
      <c r="C294" s="63"/>
      <c r="D294" s="64"/>
      <c r="E294" s="65"/>
      <c r="F294" s="66"/>
      <c r="G294" s="63"/>
      <c r="H294" s="67"/>
      <c r="I294" s="68"/>
      <c r="J294" s="68"/>
      <c r="K294" s="32"/>
      <c r="L294" s="75">
        <v>294</v>
      </c>
      <c r="M294" s="75"/>
      <c r="N294" s="70"/>
      <c r="O294" s="77" t="s">
        <v>179</v>
      </c>
      <c r="P294" s="79">
        <v>45090.731377314813</v>
      </c>
      <c r="Q294" s="77" t="s">
        <v>828</v>
      </c>
      <c r="R294" s="77">
        <v>0</v>
      </c>
      <c r="S294" s="77">
        <v>0</v>
      </c>
      <c r="T294" s="77">
        <v>0</v>
      </c>
      <c r="U294" s="77">
        <v>0</v>
      </c>
      <c r="V294" s="77">
        <v>25</v>
      </c>
      <c r="W294" s="82" t="s">
        <v>1659</v>
      </c>
      <c r="X294" s="80" t="str">
        <f>HYPERLINK("https://www.perspective.com.br/construindo-um-futuro-financeiro")</f>
        <v>https://www.perspective.com.br/construindo-um-futuro-financeiro</v>
      </c>
      <c r="Y294" s="77" t="s">
        <v>1978</v>
      </c>
      <c r="Z294" s="77"/>
      <c r="AA294" s="77" t="s">
        <v>2187</v>
      </c>
      <c r="AB294" s="77" t="s">
        <v>2632</v>
      </c>
      <c r="AC294" s="82" t="s">
        <v>2642</v>
      </c>
      <c r="AD294" s="77" t="s">
        <v>2670</v>
      </c>
      <c r="AE294" s="80" t="str">
        <f>HYPERLINK("https://twitter.com/perspectiveinvs/status/1668672877422362636")</f>
        <v>https://twitter.com/perspectiveinvs/status/1668672877422362636</v>
      </c>
      <c r="AF294" s="79">
        <v>45090.731377314813</v>
      </c>
      <c r="AG294" s="85">
        <v>45090</v>
      </c>
      <c r="AH294" s="82" t="s">
        <v>2935</v>
      </c>
      <c r="AI294" s="77" t="b">
        <v>0</v>
      </c>
      <c r="AJ294" s="77"/>
      <c r="AK294" s="77"/>
      <c r="AL294" s="77"/>
      <c r="AM294" s="77"/>
      <c r="AN294" s="77"/>
      <c r="AO294" s="77"/>
      <c r="AP294" s="77"/>
      <c r="AQ294" s="77" t="s">
        <v>3616</v>
      </c>
      <c r="AR294" s="77"/>
      <c r="AS294" s="77"/>
      <c r="AT294" s="77"/>
      <c r="AU294" s="77"/>
      <c r="AV294" s="80" t="str">
        <f>HYPERLINK("https://pbs.twimg.com/media/FyhRI1MWwBUSczS.jpg")</f>
        <v>https://pbs.twimg.com/media/FyhRI1MWwBUSczS.jpg</v>
      </c>
      <c r="AW294" s="82" t="s">
        <v>4349</v>
      </c>
      <c r="AX294" s="82" t="s">
        <v>4349</v>
      </c>
      <c r="AY294" s="77"/>
      <c r="AZ294" s="82" t="s">
        <v>5075</v>
      </c>
      <c r="BA294" s="82" t="s">
        <v>5075</v>
      </c>
      <c r="BB294" s="82" t="s">
        <v>5075</v>
      </c>
      <c r="BC294" s="82" t="s">
        <v>4349</v>
      </c>
      <c r="BD294" s="82" t="s">
        <v>5185</v>
      </c>
      <c r="BE294" s="77"/>
      <c r="BF294" s="77"/>
      <c r="BG294" s="77"/>
      <c r="BH294" s="77"/>
      <c r="BI294" s="77"/>
    </row>
    <row r="295" spans="1:61" x14ac:dyDescent="0.25">
      <c r="A295" s="62" t="s">
        <v>343</v>
      </c>
      <c r="B295" s="62" t="s">
        <v>343</v>
      </c>
      <c r="C295" s="63"/>
      <c r="D295" s="64"/>
      <c r="E295" s="65"/>
      <c r="F295" s="66"/>
      <c r="G295" s="63"/>
      <c r="H295" s="67"/>
      <c r="I295" s="68"/>
      <c r="J295" s="68"/>
      <c r="K295" s="32"/>
      <c r="L295" s="75">
        <v>295</v>
      </c>
      <c r="M295" s="75"/>
      <c r="N295" s="70"/>
      <c r="O295" s="77" t="s">
        <v>179</v>
      </c>
      <c r="P295" s="79">
        <v>45023.708761574075</v>
      </c>
      <c r="Q295" s="77" t="s">
        <v>829</v>
      </c>
      <c r="R295" s="77">
        <v>0</v>
      </c>
      <c r="S295" s="77">
        <v>0</v>
      </c>
      <c r="T295" s="77">
        <v>0</v>
      </c>
      <c r="U295" s="77">
        <v>0</v>
      </c>
      <c r="V295" s="77">
        <v>31</v>
      </c>
      <c r="W295" s="82" t="s">
        <v>1660</v>
      </c>
      <c r="X295" s="80" t="str">
        <f>HYPERLINK("https://mla.bs/10e0bfe5")</f>
        <v>https://mla.bs/10e0bfe5</v>
      </c>
      <c r="Y295" s="77" t="s">
        <v>1989</v>
      </c>
      <c r="Z295" s="77"/>
      <c r="AA295" s="77" t="s">
        <v>2188</v>
      </c>
      <c r="AB295" s="77" t="s">
        <v>2632</v>
      </c>
      <c r="AC295" s="82" t="s">
        <v>2642</v>
      </c>
      <c r="AD295" s="77" t="s">
        <v>2670</v>
      </c>
      <c r="AE295" s="80" t="str">
        <f>HYPERLINK("https://twitter.com/orcose/status/1644384698439720960")</f>
        <v>https://twitter.com/orcose/status/1644384698439720960</v>
      </c>
      <c r="AF295" s="79">
        <v>45023.708761574075</v>
      </c>
      <c r="AG295" s="85">
        <v>45023</v>
      </c>
      <c r="AH295" s="82" t="s">
        <v>2936</v>
      </c>
      <c r="AI295" s="77" t="b">
        <v>0</v>
      </c>
      <c r="AJ295" s="77"/>
      <c r="AK295" s="77"/>
      <c r="AL295" s="77"/>
      <c r="AM295" s="77"/>
      <c r="AN295" s="77"/>
      <c r="AO295" s="77"/>
      <c r="AP295" s="77"/>
      <c r="AQ295" s="77" t="s">
        <v>3617</v>
      </c>
      <c r="AR295" s="77"/>
      <c r="AS295" s="77"/>
      <c r="AT295" s="77"/>
      <c r="AU295" s="77"/>
      <c r="AV295" s="80" t="str">
        <f>HYPERLINK("https://pbs.twimg.com/media/FtIHKzRWABwqfPr.jpg")</f>
        <v>https://pbs.twimg.com/media/FtIHKzRWABwqfPr.jpg</v>
      </c>
      <c r="AW295" s="82" t="s">
        <v>4350</v>
      </c>
      <c r="AX295" s="82" t="s">
        <v>4350</v>
      </c>
      <c r="AY295" s="77"/>
      <c r="AZ295" s="82" t="s">
        <v>5075</v>
      </c>
      <c r="BA295" s="82" t="s">
        <v>5075</v>
      </c>
      <c r="BB295" s="82" t="s">
        <v>5075</v>
      </c>
      <c r="BC295" s="82" t="s">
        <v>4350</v>
      </c>
      <c r="BD295" s="77">
        <v>96743223</v>
      </c>
      <c r="BE295" s="77"/>
      <c r="BF295" s="77"/>
      <c r="BG295" s="77"/>
      <c r="BH295" s="77"/>
      <c r="BI295" s="77"/>
    </row>
    <row r="296" spans="1:61" x14ac:dyDescent="0.25">
      <c r="A296" s="62" t="s">
        <v>344</v>
      </c>
      <c r="B296" s="62" t="s">
        <v>344</v>
      </c>
      <c r="C296" s="63"/>
      <c r="D296" s="64"/>
      <c r="E296" s="65"/>
      <c r="F296" s="66"/>
      <c r="G296" s="63"/>
      <c r="H296" s="67"/>
      <c r="I296" s="68"/>
      <c r="J296" s="68"/>
      <c r="K296" s="32"/>
      <c r="L296" s="75">
        <v>296</v>
      </c>
      <c r="M296" s="75"/>
      <c r="N296" s="70"/>
      <c r="O296" s="77" t="s">
        <v>179</v>
      </c>
      <c r="P296" s="79">
        <v>45092.08966435185</v>
      </c>
      <c r="Q296" s="77" t="s">
        <v>830</v>
      </c>
      <c r="R296" s="77">
        <v>0</v>
      </c>
      <c r="S296" s="77">
        <v>0</v>
      </c>
      <c r="T296" s="77">
        <v>0</v>
      </c>
      <c r="U296" s="77">
        <v>0</v>
      </c>
      <c r="V296" s="77">
        <v>18</v>
      </c>
      <c r="W296" s="82" t="s">
        <v>1661</v>
      </c>
      <c r="X296" s="80" t="str">
        <f>HYPERLINK("https://youtu.be/R9vRE-blm7Q")</f>
        <v>https://youtu.be/R9vRE-blm7Q</v>
      </c>
      <c r="Y296" s="77" t="s">
        <v>1979</v>
      </c>
      <c r="Z296" s="77"/>
      <c r="AA296" s="77"/>
      <c r="AB296" s="77"/>
      <c r="AC296" s="82" t="s">
        <v>2638</v>
      </c>
      <c r="AD296" s="77" t="s">
        <v>2670</v>
      </c>
      <c r="AE296" s="80" t="str">
        <f>HYPERLINK("https://twitter.com/luizmarjr/status/1669165107111161857")</f>
        <v>https://twitter.com/luizmarjr/status/1669165107111161857</v>
      </c>
      <c r="AF296" s="79">
        <v>45092.08966435185</v>
      </c>
      <c r="AG296" s="85">
        <v>45092</v>
      </c>
      <c r="AH296" s="82" t="s">
        <v>2937</v>
      </c>
      <c r="AI296" s="77" t="b">
        <v>0</v>
      </c>
      <c r="AJ296" s="77"/>
      <c r="AK296" s="77"/>
      <c r="AL296" s="77"/>
      <c r="AM296" s="77"/>
      <c r="AN296" s="77"/>
      <c r="AO296" s="77"/>
      <c r="AP296" s="77"/>
      <c r="AQ296" s="77"/>
      <c r="AR296" s="77"/>
      <c r="AS296" s="77"/>
      <c r="AT296" s="77"/>
      <c r="AU296" s="77"/>
      <c r="AV296" s="80" t="str">
        <f>HYPERLINK("https://pbs.twimg.com/profile_images/1664838542126620672/bdhsehp6_normal.jpg")</f>
        <v>https://pbs.twimg.com/profile_images/1664838542126620672/bdhsehp6_normal.jpg</v>
      </c>
      <c r="AW296" s="82" t="s">
        <v>4351</v>
      </c>
      <c r="AX296" s="82" t="s">
        <v>4351</v>
      </c>
      <c r="AY296" s="77"/>
      <c r="AZ296" s="82" t="s">
        <v>5075</v>
      </c>
      <c r="BA296" s="82" t="s">
        <v>5075</v>
      </c>
      <c r="BB296" s="82" t="s">
        <v>5075</v>
      </c>
      <c r="BC296" s="82" t="s">
        <v>4351</v>
      </c>
      <c r="BD296" s="77">
        <v>100868755</v>
      </c>
      <c r="BE296" s="77"/>
      <c r="BF296" s="77"/>
      <c r="BG296" s="77"/>
      <c r="BH296" s="77"/>
      <c r="BI296" s="77"/>
    </row>
    <row r="297" spans="1:61" x14ac:dyDescent="0.25">
      <c r="A297" s="62" t="s">
        <v>345</v>
      </c>
      <c r="B297" s="62" t="s">
        <v>526</v>
      </c>
      <c r="C297" s="63"/>
      <c r="D297" s="64"/>
      <c r="E297" s="65"/>
      <c r="F297" s="66"/>
      <c r="G297" s="63"/>
      <c r="H297" s="67"/>
      <c r="I297" s="68"/>
      <c r="J297" s="68"/>
      <c r="K297" s="32"/>
      <c r="L297" s="75">
        <v>297</v>
      </c>
      <c r="M297" s="75"/>
      <c r="N297" s="70"/>
      <c r="O297" s="77" t="s">
        <v>539</v>
      </c>
      <c r="P297" s="79">
        <v>45141.660416666666</v>
      </c>
      <c r="Q297" s="77" t="s">
        <v>831</v>
      </c>
      <c r="R297" s="77">
        <v>0</v>
      </c>
      <c r="S297" s="77">
        <v>0</v>
      </c>
      <c r="T297" s="77">
        <v>0</v>
      </c>
      <c r="U297" s="77">
        <v>0</v>
      </c>
      <c r="V297" s="77">
        <v>284</v>
      </c>
      <c r="W297" s="82" t="s">
        <v>1662</v>
      </c>
      <c r="X297" s="77"/>
      <c r="Y297" s="77"/>
      <c r="Z297" s="77" t="s">
        <v>526</v>
      </c>
      <c r="AA297" s="77" t="s">
        <v>2189</v>
      </c>
      <c r="AB297" s="77" t="s">
        <v>2636</v>
      </c>
      <c r="AC297" s="82" t="s">
        <v>2640</v>
      </c>
      <c r="AD297" s="77" t="s">
        <v>2670</v>
      </c>
      <c r="AE297" s="80" t="str">
        <f>HYPERLINK("https://twitter.com/gtssilveira/status/1687128943290195968")</f>
        <v>https://twitter.com/gtssilveira/status/1687128943290195968</v>
      </c>
      <c r="AF297" s="79">
        <v>45141.660416666666</v>
      </c>
      <c r="AG297" s="85">
        <v>45141</v>
      </c>
      <c r="AH297" s="82" t="s">
        <v>2938</v>
      </c>
      <c r="AI297" s="77" t="b">
        <v>0</v>
      </c>
      <c r="AJ297" s="77"/>
      <c r="AK297" s="77"/>
      <c r="AL297" s="77"/>
      <c r="AM297" s="77"/>
      <c r="AN297" s="77"/>
      <c r="AO297" s="77"/>
      <c r="AP297" s="77"/>
      <c r="AQ297" s="77" t="s">
        <v>3618</v>
      </c>
      <c r="AR297" s="77"/>
      <c r="AS297" s="77"/>
      <c r="AT297" s="77"/>
      <c r="AU297" s="77"/>
      <c r="AV297" s="80" t="str">
        <f>HYPERLINK("https://pbs.twimg.com/media/F2ni1LyXQAAz76C.jpg")</f>
        <v>https://pbs.twimg.com/media/F2ni1LyXQAAz76C.jpg</v>
      </c>
      <c r="AW297" s="82" t="s">
        <v>4352</v>
      </c>
      <c r="AX297" s="82" t="s">
        <v>4352</v>
      </c>
      <c r="AY297" s="77"/>
      <c r="AZ297" s="82" t="s">
        <v>5075</v>
      </c>
      <c r="BA297" s="82" t="s">
        <v>5075</v>
      </c>
      <c r="BB297" s="82" t="s">
        <v>5075</v>
      </c>
      <c r="BC297" s="82" t="s">
        <v>4352</v>
      </c>
      <c r="BD297" s="77">
        <v>202938333</v>
      </c>
      <c r="BE297" s="77"/>
      <c r="BF297" s="77"/>
      <c r="BG297" s="77"/>
      <c r="BH297" s="77"/>
      <c r="BI297" s="77"/>
    </row>
    <row r="298" spans="1:61" x14ac:dyDescent="0.25">
      <c r="A298" s="62" t="s">
        <v>346</v>
      </c>
      <c r="B298" s="62" t="s">
        <v>346</v>
      </c>
      <c r="C298" s="63"/>
      <c r="D298" s="64"/>
      <c r="E298" s="65"/>
      <c r="F298" s="66"/>
      <c r="G298" s="63"/>
      <c r="H298" s="67"/>
      <c r="I298" s="68"/>
      <c r="J298" s="68"/>
      <c r="K298" s="32"/>
      <c r="L298" s="75">
        <v>298</v>
      </c>
      <c r="M298" s="75"/>
      <c r="N298" s="70"/>
      <c r="O298" s="77" t="s">
        <v>179</v>
      </c>
      <c r="P298" s="79">
        <v>45083.459027777775</v>
      </c>
      <c r="Q298" s="77" t="s">
        <v>832</v>
      </c>
      <c r="R298" s="77">
        <v>0</v>
      </c>
      <c r="S298" s="77">
        <v>1</v>
      </c>
      <c r="T298" s="77">
        <v>0</v>
      </c>
      <c r="U298" s="77">
        <v>0</v>
      </c>
      <c r="V298" s="77">
        <v>19</v>
      </c>
      <c r="W298" s="82" t="s">
        <v>1663</v>
      </c>
      <c r="X298" s="77"/>
      <c r="Y298" s="77"/>
      <c r="Z298" s="77"/>
      <c r="AA298" s="77"/>
      <c r="AB298" s="77"/>
      <c r="AC298" s="82" t="s">
        <v>2639</v>
      </c>
      <c r="AD298" s="77" t="s">
        <v>2670</v>
      </c>
      <c r="AE298" s="80" t="str">
        <f>HYPERLINK("https://twitter.com/xzibank/status/1666037467190034433")</f>
        <v>https://twitter.com/xzibank/status/1666037467190034433</v>
      </c>
      <c r="AF298" s="79">
        <v>45083.459027777775</v>
      </c>
      <c r="AG298" s="85">
        <v>45083</v>
      </c>
      <c r="AH298" s="82" t="s">
        <v>2939</v>
      </c>
      <c r="AI298" s="77"/>
      <c r="AJ298" s="77"/>
      <c r="AK298" s="77"/>
      <c r="AL298" s="77"/>
      <c r="AM298" s="77"/>
      <c r="AN298" s="77"/>
      <c r="AO298" s="77"/>
      <c r="AP298" s="77"/>
      <c r="AQ298" s="77"/>
      <c r="AR298" s="77"/>
      <c r="AS298" s="77"/>
      <c r="AT298" s="77"/>
      <c r="AU298" s="77"/>
      <c r="AV298" s="80" t="str">
        <f>HYPERLINK("https://pbs.twimg.com/profile_images/1639344097834983435/vC5Fb0qP_normal.jpg")</f>
        <v>https://pbs.twimg.com/profile_images/1639344097834983435/vC5Fb0qP_normal.jpg</v>
      </c>
      <c r="AW298" s="82" t="s">
        <v>4353</v>
      </c>
      <c r="AX298" s="82" t="s">
        <v>4353</v>
      </c>
      <c r="AY298" s="77"/>
      <c r="AZ298" s="82" t="s">
        <v>5075</v>
      </c>
      <c r="BA298" s="82" t="s">
        <v>5075</v>
      </c>
      <c r="BB298" s="82" t="s">
        <v>5075</v>
      </c>
      <c r="BC298" s="82" t="s">
        <v>4353</v>
      </c>
      <c r="BD298" s="82" t="s">
        <v>5186</v>
      </c>
      <c r="BE298" s="77"/>
      <c r="BF298" s="77"/>
      <c r="BG298" s="77"/>
      <c r="BH298" s="77"/>
      <c r="BI298" s="77"/>
    </row>
    <row r="299" spans="1:61" x14ac:dyDescent="0.25">
      <c r="A299" s="62" t="s">
        <v>347</v>
      </c>
      <c r="B299" s="62" t="s">
        <v>347</v>
      </c>
      <c r="C299" s="63"/>
      <c r="D299" s="64"/>
      <c r="E299" s="65"/>
      <c r="F299" s="66"/>
      <c r="G299" s="63"/>
      <c r="H299" s="67"/>
      <c r="I299" s="68"/>
      <c r="J299" s="68"/>
      <c r="K299" s="32"/>
      <c r="L299" s="75">
        <v>299</v>
      </c>
      <c r="M299" s="75"/>
      <c r="N299" s="70"/>
      <c r="O299" s="77" t="s">
        <v>179</v>
      </c>
      <c r="P299" s="79">
        <v>45002.678344907406</v>
      </c>
      <c r="Q299" s="77" t="s">
        <v>833</v>
      </c>
      <c r="R299" s="77">
        <v>0</v>
      </c>
      <c r="S299" s="77">
        <v>0</v>
      </c>
      <c r="T299" s="77">
        <v>0</v>
      </c>
      <c r="U299" s="77">
        <v>0</v>
      </c>
      <c r="V299" s="77">
        <v>5</v>
      </c>
      <c r="W299" s="82" t="s">
        <v>1664</v>
      </c>
      <c r="X299" s="80" t="str">
        <f>HYPERLINK("http://danilomacedo.code.blog/2023/03/17/descubra-como-o-plano-de-contas-contabil-pode-transformar-a-gestao-financeira-da-sua-empresa/")</f>
        <v>http://danilomacedo.code.blog/2023/03/17/descubra-como-o-plano-de-contas-contabil-pode-transformar-a-gestao-financeira-da-sua-empresa/</v>
      </c>
      <c r="Y299" s="77" t="s">
        <v>1990</v>
      </c>
      <c r="Z299" s="77"/>
      <c r="AA299" s="77"/>
      <c r="AB299" s="77"/>
      <c r="AC299" s="82" t="s">
        <v>2655</v>
      </c>
      <c r="AD299" s="77" t="s">
        <v>2670</v>
      </c>
      <c r="AE299" s="80" t="str">
        <f>HYPERLINK("https://twitter.com/contabilidadee4/status/1636763529897299970")</f>
        <v>https://twitter.com/contabilidadee4/status/1636763529897299970</v>
      </c>
      <c r="AF299" s="79">
        <v>45002.678344907406</v>
      </c>
      <c r="AG299" s="85">
        <v>45002</v>
      </c>
      <c r="AH299" s="82" t="s">
        <v>2940</v>
      </c>
      <c r="AI299" s="77" t="b">
        <v>0</v>
      </c>
      <c r="AJ299" s="77"/>
      <c r="AK299" s="77"/>
      <c r="AL299" s="77"/>
      <c r="AM299" s="77"/>
      <c r="AN299" s="77"/>
      <c r="AO299" s="77"/>
      <c r="AP299" s="77"/>
      <c r="AQ299" s="77"/>
      <c r="AR299" s="77"/>
      <c r="AS299" s="77"/>
      <c r="AT299" s="77"/>
      <c r="AU299" s="77"/>
      <c r="AV299" s="80" t="str">
        <f>HYPERLINK("https://pbs.twimg.com/profile_images/1630010851519258634/7kE1bchs_normal.jpg")</f>
        <v>https://pbs.twimg.com/profile_images/1630010851519258634/7kE1bchs_normal.jpg</v>
      </c>
      <c r="AW299" s="82" t="s">
        <v>4354</v>
      </c>
      <c r="AX299" s="82" t="s">
        <v>4354</v>
      </c>
      <c r="AY299" s="77"/>
      <c r="AZ299" s="82" t="s">
        <v>5075</v>
      </c>
      <c r="BA299" s="82" t="s">
        <v>5075</v>
      </c>
      <c r="BB299" s="82" t="s">
        <v>5075</v>
      </c>
      <c r="BC299" s="82" t="s">
        <v>4354</v>
      </c>
      <c r="BD299" s="82" t="s">
        <v>5187</v>
      </c>
      <c r="BE299" s="77"/>
      <c r="BF299" s="77"/>
      <c r="BG299" s="77"/>
      <c r="BH299" s="77"/>
      <c r="BI299" s="77"/>
    </row>
    <row r="300" spans="1:61" x14ac:dyDescent="0.25">
      <c r="A300" s="62" t="s">
        <v>348</v>
      </c>
      <c r="B300" s="62" t="s">
        <v>348</v>
      </c>
      <c r="C300" s="63"/>
      <c r="D300" s="64"/>
      <c r="E300" s="65"/>
      <c r="F300" s="66"/>
      <c r="G300" s="63"/>
      <c r="H300" s="67"/>
      <c r="I300" s="68"/>
      <c r="J300" s="68"/>
      <c r="K300" s="32"/>
      <c r="L300" s="75">
        <v>300</v>
      </c>
      <c r="M300" s="75"/>
      <c r="N300" s="70"/>
      <c r="O300" s="77" t="s">
        <v>179</v>
      </c>
      <c r="P300" s="79">
        <v>45113.585532407407</v>
      </c>
      <c r="Q300" s="77" t="s">
        <v>834</v>
      </c>
      <c r="R300" s="77">
        <v>0</v>
      </c>
      <c r="S300" s="77">
        <v>0</v>
      </c>
      <c r="T300" s="77">
        <v>0</v>
      </c>
      <c r="U300" s="77">
        <v>0</v>
      </c>
      <c r="V300" s="77">
        <v>4</v>
      </c>
      <c r="W300" s="82" t="s">
        <v>1665</v>
      </c>
      <c r="X300" s="77"/>
      <c r="Y300" s="77"/>
      <c r="Z300" s="77"/>
      <c r="AA300" s="77" t="s">
        <v>2190</v>
      </c>
      <c r="AB300" s="77" t="s">
        <v>2632</v>
      </c>
      <c r="AC300" s="82" t="s">
        <v>2638</v>
      </c>
      <c r="AD300" s="77" t="s">
        <v>2670</v>
      </c>
      <c r="AE300" s="80" t="str">
        <f>HYPERLINK("https://twitter.com/crevalleoficial/status/1676954948427448321")</f>
        <v>https://twitter.com/crevalleoficial/status/1676954948427448321</v>
      </c>
      <c r="AF300" s="79">
        <v>45113.585532407407</v>
      </c>
      <c r="AG300" s="85">
        <v>45113</v>
      </c>
      <c r="AH300" s="82" t="s">
        <v>2941</v>
      </c>
      <c r="AI300" s="77" t="b">
        <v>0</v>
      </c>
      <c r="AJ300" s="77"/>
      <c r="AK300" s="77"/>
      <c r="AL300" s="77"/>
      <c r="AM300" s="77"/>
      <c r="AN300" s="77"/>
      <c r="AO300" s="77"/>
      <c r="AP300" s="77"/>
      <c r="AQ300" s="77" t="s">
        <v>3619</v>
      </c>
      <c r="AR300" s="77"/>
      <c r="AS300" s="77"/>
      <c r="AT300" s="77"/>
      <c r="AU300" s="77"/>
      <c r="AV300" s="80" t="str">
        <f>HYPERLINK("https://pbs.twimg.com/media/F0W9owtaYAAOnCn.jpg")</f>
        <v>https://pbs.twimg.com/media/F0W9owtaYAAOnCn.jpg</v>
      </c>
      <c r="AW300" s="82" t="s">
        <v>4355</v>
      </c>
      <c r="AX300" s="82" t="s">
        <v>4355</v>
      </c>
      <c r="AY300" s="77"/>
      <c r="AZ300" s="82" t="s">
        <v>5075</v>
      </c>
      <c r="BA300" s="82" t="s">
        <v>5075</v>
      </c>
      <c r="BB300" s="82" t="s">
        <v>5075</v>
      </c>
      <c r="BC300" s="82" t="s">
        <v>4355</v>
      </c>
      <c r="BD300" s="82" t="s">
        <v>5188</v>
      </c>
      <c r="BE300" s="77"/>
      <c r="BF300" s="77"/>
      <c r="BG300" s="77"/>
      <c r="BH300" s="77"/>
      <c r="BI300" s="77"/>
    </row>
    <row r="301" spans="1:61" x14ac:dyDescent="0.25">
      <c r="A301" s="62" t="s">
        <v>348</v>
      </c>
      <c r="B301" s="62" t="s">
        <v>348</v>
      </c>
      <c r="C301" s="63"/>
      <c r="D301" s="64"/>
      <c r="E301" s="65"/>
      <c r="F301" s="66"/>
      <c r="G301" s="63"/>
      <c r="H301" s="67"/>
      <c r="I301" s="68"/>
      <c r="J301" s="68"/>
      <c r="K301" s="32"/>
      <c r="L301" s="75">
        <v>301</v>
      </c>
      <c r="M301" s="75"/>
      <c r="N301" s="70"/>
      <c r="O301" s="77" t="s">
        <v>179</v>
      </c>
      <c r="P301" s="79">
        <v>45120.536064814813</v>
      </c>
      <c r="Q301" s="77" t="s">
        <v>835</v>
      </c>
      <c r="R301" s="77">
        <v>0</v>
      </c>
      <c r="S301" s="77">
        <v>0</v>
      </c>
      <c r="T301" s="77">
        <v>0</v>
      </c>
      <c r="U301" s="77">
        <v>0</v>
      </c>
      <c r="V301" s="77">
        <v>23</v>
      </c>
      <c r="W301" s="82" t="s">
        <v>1666</v>
      </c>
      <c r="X301" s="77"/>
      <c r="Y301" s="77"/>
      <c r="Z301" s="77"/>
      <c r="AA301" s="77" t="s">
        <v>2191</v>
      </c>
      <c r="AB301" s="77" t="s">
        <v>2632</v>
      </c>
      <c r="AC301" s="82" t="s">
        <v>2638</v>
      </c>
      <c r="AD301" s="77" t="s">
        <v>2670</v>
      </c>
      <c r="AE301" s="80" t="str">
        <f>HYPERLINK("https://twitter.com/crevalleoficial/status/1679473734262878212")</f>
        <v>https://twitter.com/crevalleoficial/status/1679473734262878212</v>
      </c>
      <c r="AF301" s="79">
        <v>45120.536064814813</v>
      </c>
      <c r="AG301" s="85">
        <v>45120</v>
      </c>
      <c r="AH301" s="82" t="s">
        <v>2942</v>
      </c>
      <c r="AI301" s="77" t="b">
        <v>0</v>
      </c>
      <c r="AJ301" s="77"/>
      <c r="AK301" s="77"/>
      <c r="AL301" s="77"/>
      <c r="AM301" s="77"/>
      <c r="AN301" s="77"/>
      <c r="AO301" s="77"/>
      <c r="AP301" s="77"/>
      <c r="AQ301" s="77" t="s">
        <v>3620</v>
      </c>
      <c r="AR301" s="77"/>
      <c r="AS301" s="77"/>
      <c r="AT301" s="77"/>
      <c r="AU301" s="77"/>
      <c r="AV301" s="80" t="str">
        <f>HYPERLINK("https://pbs.twimg.com/media/F06wde_XwAIC60t.jpg")</f>
        <v>https://pbs.twimg.com/media/F06wde_XwAIC60t.jpg</v>
      </c>
      <c r="AW301" s="82" t="s">
        <v>4356</v>
      </c>
      <c r="AX301" s="82" t="s">
        <v>4356</v>
      </c>
      <c r="AY301" s="77"/>
      <c r="AZ301" s="82" t="s">
        <v>5075</v>
      </c>
      <c r="BA301" s="82" t="s">
        <v>5075</v>
      </c>
      <c r="BB301" s="82" t="s">
        <v>5075</v>
      </c>
      <c r="BC301" s="82" t="s">
        <v>4356</v>
      </c>
      <c r="BD301" s="82" t="s">
        <v>5188</v>
      </c>
      <c r="BE301" s="77"/>
      <c r="BF301" s="77"/>
      <c r="BG301" s="77"/>
      <c r="BH301" s="77"/>
      <c r="BI301" s="77"/>
    </row>
    <row r="302" spans="1:61" x14ac:dyDescent="0.25">
      <c r="A302" s="62" t="s">
        <v>349</v>
      </c>
      <c r="B302" s="62" t="s">
        <v>349</v>
      </c>
      <c r="C302" s="63"/>
      <c r="D302" s="64"/>
      <c r="E302" s="65"/>
      <c r="F302" s="66"/>
      <c r="G302" s="63"/>
      <c r="H302" s="67"/>
      <c r="I302" s="68"/>
      <c r="J302" s="68"/>
      <c r="K302" s="32"/>
      <c r="L302" s="75">
        <v>302</v>
      </c>
      <c r="M302" s="75"/>
      <c r="N302" s="70"/>
      <c r="O302" s="77" t="s">
        <v>179</v>
      </c>
      <c r="P302" s="79">
        <v>44931.416909722226</v>
      </c>
      <c r="Q302" s="77" t="s">
        <v>836</v>
      </c>
      <c r="R302" s="77">
        <v>0</v>
      </c>
      <c r="S302" s="77">
        <v>0</v>
      </c>
      <c r="T302" s="77">
        <v>0</v>
      </c>
      <c r="U302" s="77">
        <v>0</v>
      </c>
      <c r="V302" s="77">
        <v>14</v>
      </c>
      <c r="W302" s="82" t="s">
        <v>1667</v>
      </c>
      <c r="X302" s="80" t="str">
        <f>HYPERLINK("https://vegansav.com/")</f>
        <v>https://vegansav.com/</v>
      </c>
      <c r="Y302" s="77" t="s">
        <v>1991</v>
      </c>
      <c r="Z302" s="77"/>
      <c r="AA302" s="77" t="s">
        <v>2192</v>
      </c>
      <c r="AB302" s="77" t="s">
        <v>2632</v>
      </c>
      <c r="AC302" s="82" t="s">
        <v>2639</v>
      </c>
      <c r="AD302" s="77" t="s">
        <v>2671</v>
      </c>
      <c r="AE302" s="80" t="str">
        <f>HYPERLINK("https://twitter.com/vegansav22/status/1610939249662234626")</f>
        <v>https://twitter.com/vegansav22/status/1610939249662234626</v>
      </c>
      <c r="AF302" s="79">
        <v>44931.416909722226</v>
      </c>
      <c r="AG302" s="85">
        <v>44931</v>
      </c>
      <c r="AH302" s="82" t="s">
        <v>2943</v>
      </c>
      <c r="AI302" s="77" t="b">
        <v>0</v>
      </c>
      <c r="AJ302" s="77"/>
      <c r="AK302" s="77"/>
      <c r="AL302" s="77"/>
      <c r="AM302" s="77"/>
      <c r="AN302" s="77"/>
      <c r="AO302" s="77"/>
      <c r="AP302" s="77"/>
      <c r="AQ302" s="77" t="s">
        <v>3621</v>
      </c>
      <c r="AR302" s="77"/>
      <c r="AS302" s="77"/>
      <c r="AT302" s="77"/>
      <c r="AU302" s="77"/>
      <c r="AV302" s="80" t="str">
        <f>HYPERLINK("https://pbs.twimg.com/media/Fls0mO3agAEHWIl.png")</f>
        <v>https://pbs.twimg.com/media/Fls0mO3agAEHWIl.png</v>
      </c>
      <c r="AW302" s="82" t="s">
        <v>4357</v>
      </c>
      <c r="AX302" s="82" t="s">
        <v>4357</v>
      </c>
      <c r="AY302" s="77"/>
      <c r="AZ302" s="82" t="s">
        <v>5075</v>
      </c>
      <c r="BA302" s="82" t="s">
        <v>5075</v>
      </c>
      <c r="BB302" s="82" t="s">
        <v>5075</v>
      </c>
      <c r="BC302" s="82" t="s">
        <v>4357</v>
      </c>
      <c r="BD302" s="82" t="s">
        <v>5189</v>
      </c>
      <c r="BE302" s="77"/>
      <c r="BF302" s="77"/>
      <c r="BG302" s="77"/>
      <c r="BH302" s="77"/>
      <c r="BI302" s="77"/>
    </row>
    <row r="303" spans="1:61" x14ac:dyDescent="0.25">
      <c r="A303" s="62" t="s">
        <v>350</v>
      </c>
      <c r="B303" s="62" t="s">
        <v>350</v>
      </c>
      <c r="C303" s="63"/>
      <c r="D303" s="64"/>
      <c r="E303" s="65"/>
      <c r="F303" s="66"/>
      <c r="G303" s="63"/>
      <c r="H303" s="67"/>
      <c r="I303" s="68"/>
      <c r="J303" s="68"/>
      <c r="K303" s="32"/>
      <c r="L303" s="75">
        <v>303</v>
      </c>
      <c r="M303" s="75"/>
      <c r="N303" s="70"/>
      <c r="O303" s="77" t="s">
        <v>536</v>
      </c>
      <c r="P303" s="79">
        <v>45028.818032407406</v>
      </c>
      <c r="Q303" s="77" t="s">
        <v>837</v>
      </c>
      <c r="R303" s="77">
        <v>0</v>
      </c>
      <c r="S303" s="77">
        <v>0</v>
      </c>
      <c r="T303" s="77">
        <v>0</v>
      </c>
      <c r="U303" s="77">
        <v>0</v>
      </c>
      <c r="V303" s="77">
        <v>10</v>
      </c>
      <c r="W303" s="82" t="s">
        <v>1668</v>
      </c>
      <c r="X303" s="77"/>
      <c r="Y303" s="77"/>
      <c r="Z303" s="77"/>
      <c r="AA303" s="77"/>
      <c r="AB303" s="77"/>
      <c r="AC303" s="82" t="s">
        <v>2639</v>
      </c>
      <c r="AD303" s="77" t="s">
        <v>2675</v>
      </c>
      <c r="AE303" s="80" t="str">
        <f>HYPERLINK("https://twitter.com/capitalizeja/status/1646236235151867904")</f>
        <v>https://twitter.com/capitalizeja/status/1646236235151867904</v>
      </c>
      <c r="AF303" s="79">
        <v>45028.818032407406</v>
      </c>
      <c r="AG303" s="85">
        <v>45028</v>
      </c>
      <c r="AH303" s="82" t="s">
        <v>2944</v>
      </c>
      <c r="AI303" s="77"/>
      <c r="AJ303" s="77"/>
      <c r="AK303" s="77"/>
      <c r="AL303" s="77"/>
      <c r="AM303" s="77"/>
      <c r="AN303" s="77"/>
      <c r="AO303" s="77"/>
      <c r="AP303" s="77"/>
      <c r="AQ303" s="77"/>
      <c r="AR303" s="77"/>
      <c r="AS303" s="77"/>
      <c r="AT303" s="77"/>
      <c r="AU303" s="77"/>
      <c r="AV303" s="80" t="str">
        <f>HYPERLINK("https://pbs.twimg.com/profile_images/1651046412283412480/FjbmpLiW_normal.jpg")</f>
        <v>https://pbs.twimg.com/profile_images/1651046412283412480/FjbmpLiW_normal.jpg</v>
      </c>
      <c r="AW303" s="82" t="s">
        <v>4358</v>
      </c>
      <c r="AX303" s="82" t="s">
        <v>4986</v>
      </c>
      <c r="AY303" s="82" t="s">
        <v>5048</v>
      </c>
      <c r="AZ303" s="82" t="s">
        <v>5100</v>
      </c>
      <c r="BA303" s="82" t="s">
        <v>5075</v>
      </c>
      <c r="BB303" s="82" t="s">
        <v>5075</v>
      </c>
      <c r="BC303" s="82" t="s">
        <v>5100</v>
      </c>
      <c r="BD303" s="82" t="s">
        <v>5048</v>
      </c>
      <c r="BE303" s="77"/>
      <c r="BF303" s="77"/>
      <c r="BG303" s="77"/>
      <c r="BH303" s="77"/>
      <c r="BI303" s="77"/>
    </row>
    <row r="304" spans="1:61" x14ac:dyDescent="0.25">
      <c r="A304" s="62" t="s">
        <v>350</v>
      </c>
      <c r="B304" s="62" t="s">
        <v>350</v>
      </c>
      <c r="C304" s="63"/>
      <c r="D304" s="64"/>
      <c r="E304" s="65"/>
      <c r="F304" s="66"/>
      <c r="G304" s="63"/>
      <c r="H304" s="67"/>
      <c r="I304" s="68"/>
      <c r="J304" s="68"/>
      <c r="K304" s="32"/>
      <c r="L304" s="75">
        <v>304</v>
      </c>
      <c r="M304" s="75"/>
      <c r="N304" s="70"/>
      <c r="O304" s="77" t="s">
        <v>536</v>
      </c>
      <c r="P304" s="79">
        <v>45034.707013888888</v>
      </c>
      <c r="Q304" s="77" t="s">
        <v>838</v>
      </c>
      <c r="R304" s="77">
        <v>0</v>
      </c>
      <c r="S304" s="77">
        <v>0</v>
      </c>
      <c r="T304" s="77">
        <v>0</v>
      </c>
      <c r="U304" s="77">
        <v>0</v>
      </c>
      <c r="V304" s="77">
        <v>10</v>
      </c>
      <c r="W304" s="82" t="s">
        <v>1669</v>
      </c>
      <c r="X304" s="77"/>
      <c r="Y304" s="77"/>
      <c r="Z304" s="77"/>
      <c r="AA304" s="77"/>
      <c r="AB304" s="77"/>
      <c r="AC304" s="82" t="s">
        <v>2639</v>
      </c>
      <c r="AD304" s="77" t="s">
        <v>2675</v>
      </c>
      <c r="AE304" s="80" t="str">
        <f>HYPERLINK("https://twitter.com/capitalizeja/status/1648370330581315584")</f>
        <v>https://twitter.com/capitalizeja/status/1648370330581315584</v>
      </c>
      <c r="AF304" s="79">
        <v>45034.707013888888</v>
      </c>
      <c r="AG304" s="85">
        <v>45034</v>
      </c>
      <c r="AH304" s="82" t="s">
        <v>2945</v>
      </c>
      <c r="AI304" s="77"/>
      <c r="AJ304" s="77"/>
      <c r="AK304" s="77"/>
      <c r="AL304" s="77"/>
      <c r="AM304" s="77"/>
      <c r="AN304" s="77"/>
      <c r="AO304" s="77"/>
      <c r="AP304" s="77"/>
      <c r="AQ304" s="77"/>
      <c r="AR304" s="77"/>
      <c r="AS304" s="77"/>
      <c r="AT304" s="77"/>
      <c r="AU304" s="77"/>
      <c r="AV304" s="80" t="str">
        <f>HYPERLINK("https://pbs.twimg.com/profile_images/1651046412283412480/FjbmpLiW_normal.jpg")</f>
        <v>https://pbs.twimg.com/profile_images/1651046412283412480/FjbmpLiW_normal.jpg</v>
      </c>
      <c r="AW304" s="82" t="s">
        <v>4359</v>
      </c>
      <c r="AX304" s="82" t="s">
        <v>4987</v>
      </c>
      <c r="AY304" s="82" t="s">
        <v>5048</v>
      </c>
      <c r="AZ304" s="82" t="s">
        <v>5101</v>
      </c>
      <c r="BA304" s="82" t="s">
        <v>5075</v>
      </c>
      <c r="BB304" s="82" t="s">
        <v>5075</v>
      </c>
      <c r="BC304" s="82" t="s">
        <v>5101</v>
      </c>
      <c r="BD304" s="82" t="s">
        <v>5048</v>
      </c>
      <c r="BE304" s="77"/>
      <c r="BF304" s="77"/>
      <c r="BG304" s="77"/>
      <c r="BH304" s="77"/>
      <c r="BI304" s="77"/>
    </row>
    <row r="305" spans="1:61" x14ac:dyDescent="0.25">
      <c r="A305" s="62" t="s">
        <v>351</v>
      </c>
      <c r="B305" s="62" t="s">
        <v>351</v>
      </c>
      <c r="C305" s="63"/>
      <c r="D305" s="64"/>
      <c r="E305" s="65"/>
      <c r="F305" s="66"/>
      <c r="G305" s="63"/>
      <c r="H305" s="67"/>
      <c r="I305" s="68"/>
      <c r="J305" s="68"/>
      <c r="K305" s="32"/>
      <c r="L305" s="75">
        <v>305</v>
      </c>
      <c r="M305" s="75"/>
      <c r="N305" s="70"/>
      <c r="O305" s="77" t="s">
        <v>179</v>
      </c>
      <c r="P305" s="79">
        <v>45088.371076388888</v>
      </c>
      <c r="Q305" s="77" t="s">
        <v>839</v>
      </c>
      <c r="R305" s="77">
        <v>0</v>
      </c>
      <c r="S305" s="77">
        <v>0</v>
      </c>
      <c r="T305" s="77">
        <v>0</v>
      </c>
      <c r="U305" s="77">
        <v>0</v>
      </c>
      <c r="V305" s="77">
        <v>4</v>
      </c>
      <c r="W305" s="82" t="s">
        <v>1670</v>
      </c>
      <c r="X305" s="80" t="str">
        <f>HYPERLINK("https://aleatoriando.com.br/a-importancia-da-educacao-financeira/")</f>
        <v>https://aleatoriando.com.br/a-importancia-da-educacao-financeira/</v>
      </c>
      <c r="Y305" s="77" t="s">
        <v>1978</v>
      </c>
      <c r="Z305" s="77"/>
      <c r="AA305" s="77"/>
      <c r="AB305" s="77"/>
      <c r="AC305" s="82" t="s">
        <v>2656</v>
      </c>
      <c r="AD305" s="77" t="s">
        <v>2670</v>
      </c>
      <c r="AE305" s="80" t="str">
        <f>HYPERLINK("https://twitter.com/aleatoriando_o/status/1667817535092170754")</f>
        <v>https://twitter.com/aleatoriando_o/status/1667817535092170754</v>
      </c>
      <c r="AF305" s="79">
        <v>45088.371076388888</v>
      </c>
      <c r="AG305" s="85">
        <v>45088</v>
      </c>
      <c r="AH305" s="82" t="s">
        <v>2946</v>
      </c>
      <c r="AI305" s="77" t="b">
        <v>0</v>
      </c>
      <c r="AJ305" s="77"/>
      <c r="AK305" s="77"/>
      <c r="AL305" s="77"/>
      <c r="AM305" s="77"/>
      <c r="AN305" s="77"/>
      <c r="AO305" s="77"/>
      <c r="AP305" s="77"/>
      <c r="AQ305" s="77"/>
      <c r="AR305" s="77"/>
      <c r="AS305" s="77"/>
      <c r="AT305" s="77"/>
      <c r="AU305" s="77"/>
      <c r="AV305" s="80" t="str">
        <f>HYPERLINK("https://pbs.twimg.com/profile_images/1661790216250687500/purhJhH7_normal.jpg")</f>
        <v>https://pbs.twimg.com/profile_images/1661790216250687500/purhJhH7_normal.jpg</v>
      </c>
      <c r="AW305" s="82" t="s">
        <v>4360</v>
      </c>
      <c r="AX305" s="82" t="s">
        <v>4360</v>
      </c>
      <c r="AY305" s="77"/>
      <c r="AZ305" s="82" t="s">
        <v>5075</v>
      </c>
      <c r="BA305" s="82" t="s">
        <v>5075</v>
      </c>
      <c r="BB305" s="82" t="s">
        <v>5075</v>
      </c>
      <c r="BC305" s="82" t="s">
        <v>4360</v>
      </c>
      <c r="BD305" s="82" t="s">
        <v>5190</v>
      </c>
      <c r="BE305" s="77"/>
      <c r="BF305" s="77"/>
      <c r="BG305" s="77"/>
      <c r="BH305" s="77"/>
      <c r="BI305" s="77"/>
    </row>
    <row r="306" spans="1:61" x14ac:dyDescent="0.25">
      <c r="A306" s="62" t="s">
        <v>351</v>
      </c>
      <c r="B306" s="62" t="s">
        <v>351</v>
      </c>
      <c r="C306" s="63"/>
      <c r="D306" s="64"/>
      <c r="E306" s="65"/>
      <c r="F306" s="66"/>
      <c r="G306" s="63"/>
      <c r="H306" s="67"/>
      <c r="I306" s="68"/>
      <c r="J306" s="68"/>
      <c r="K306" s="32"/>
      <c r="L306" s="75">
        <v>306</v>
      </c>
      <c r="M306" s="75"/>
      <c r="N306" s="70"/>
      <c r="O306" s="77" t="s">
        <v>179</v>
      </c>
      <c r="P306" s="79">
        <v>45088.370763888888</v>
      </c>
      <c r="Q306" s="77" t="s">
        <v>840</v>
      </c>
      <c r="R306" s="77">
        <v>0</v>
      </c>
      <c r="S306" s="77">
        <v>0</v>
      </c>
      <c r="T306" s="77">
        <v>0</v>
      </c>
      <c r="U306" s="77">
        <v>0</v>
      </c>
      <c r="V306" s="77">
        <v>4</v>
      </c>
      <c r="W306" s="82" t="s">
        <v>1671</v>
      </c>
      <c r="X306" s="80" t="str">
        <f>HYPERLINK("https://aleatoriando.com.br/educacao-financeira-aprenda-a-cuidar-do-seu-dinheiro/")</f>
        <v>https://aleatoriando.com.br/educacao-financeira-aprenda-a-cuidar-do-seu-dinheiro/</v>
      </c>
      <c r="Y306" s="77" t="s">
        <v>1978</v>
      </c>
      <c r="Z306" s="77"/>
      <c r="AA306" s="77"/>
      <c r="AB306" s="77"/>
      <c r="AC306" s="82" t="s">
        <v>2656</v>
      </c>
      <c r="AD306" s="77" t="s">
        <v>2670</v>
      </c>
      <c r="AE306" s="80" t="str">
        <f>HYPERLINK("https://twitter.com/aleatoriando_o/status/1667817423582494720")</f>
        <v>https://twitter.com/aleatoriando_o/status/1667817423582494720</v>
      </c>
      <c r="AF306" s="79">
        <v>45088.370763888888</v>
      </c>
      <c r="AG306" s="85">
        <v>45088</v>
      </c>
      <c r="AH306" s="82" t="s">
        <v>2947</v>
      </c>
      <c r="AI306" s="77" t="b">
        <v>0</v>
      </c>
      <c r="AJ306" s="77"/>
      <c r="AK306" s="77"/>
      <c r="AL306" s="77"/>
      <c r="AM306" s="77"/>
      <c r="AN306" s="77"/>
      <c r="AO306" s="77"/>
      <c r="AP306" s="77"/>
      <c r="AQ306" s="77"/>
      <c r="AR306" s="77"/>
      <c r="AS306" s="77"/>
      <c r="AT306" s="77"/>
      <c r="AU306" s="77"/>
      <c r="AV306" s="80" t="str">
        <f>HYPERLINK("https://pbs.twimg.com/profile_images/1661790216250687500/purhJhH7_normal.jpg")</f>
        <v>https://pbs.twimg.com/profile_images/1661790216250687500/purhJhH7_normal.jpg</v>
      </c>
      <c r="AW306" s="82" t="s">
        <v>4361</v>
      </c>
      <c r="AX306" s="82" t="s">
        <v>4361</v>
      </c>
      <c r="AY306" s="77"/>
      <c r="AZ306" s="82" t="s">
        <v>5075</v>
      </c>
      <c r="BA306" s="82" t="s">
        <v>5075</v>
      </c>
      <c r="BB306" s="82" t="s">
        <v>5075</v>
      </c>
      <c r="BC306" s="82" t="s">
        <v>4361</v>
      </c>
      <c r="BD306" s="82" t="s">
        <v>5190</v>
      </c>
      <c r="BE306" s="77"/>
      <c r="BF306" s="77"/>
      <c r="BG306" s="77"/>
      <c r="BH306" s="77"/>
      <c r="BI306" s="77"/>
    </row>
    <row r="307" spans="1:61" x14ac:dyDescent="0.25">
      <c r="A307" s="62" t="s">
        <v>351</v>
      </c>
      <c r="B307" s="62" t="s">
        <v>351</v>
      </c>
      <c r="C307" s="63"/>
      <c r="D307" s="64"/>
      <c r="E307" s="65"/>
      <c r="F307" s="66"/>
      <c r="G307" s="63"/>
      <c r="H307" s="67"/>
      <c r="I307" s="68"/>
      <c r="J307" s="68"/>
      <c r="K307" s="32"/>
      <c r="L307" s="75">
        <v>307</v>
      </c>
      <c r="M307" s="75"/>
      <c r="N307" s="70"/>
      <c r="O307" s="77" t="s">
        <v>179</v>
      </c>
      <c r="P307" s="79">
        <v>45093.370937500003</v>
      </c>
      <c r="Q307" s="77" t="s">
        <v>841</v>
      </c>
      <c r="R307" s="77">
        <v>0</v>
      </c>
      <c r="S307" s="77">
        <v>0</v>
      </c>
      <c r="T307" s="77">
        <v>0</v>
      </c>
      <c r="U307" s="77">
        <v>0</v>
      </c>
      <c r="V307" s="77">
        <v>6</v>
      </c>
      <c r="W307" s="82" t="s">
        <v>1672</v>
      </c>
      <c r="X307" s="80" t="str">
        <f>HYPERLINK("https://aleatoriando.com.br/planejamento-financeiro-como-organizar-suas-financas-e-alcancar-metas/")</f>
        <v>https://aleatoriando.com.br/planejamento-financeiro-como-organizar-suas-financas-e-alcancar-metas/</v>
      </c>
      <c r="Y307" s="77" t="s">
        <v>1978</v>
      </c>
      <c r="Z307" s="77"/>
      <c r="AA307" s="77"/>
      <c r="AB307" s="77"/>
      <c r="AC307" s="82" t="s">
        <v>2656</v>
      </c>
      <c r="AD307" s="77" t="s">
        <v>2670</v>
      </c>
      <c r="AE307" s="80" t="str">
        <f>HYPERLINK("https://twitter.com/aleatoriando_o/status/1669629425372020736")</f>
        <v>https://twitter.com/aleatoriando_o/status/1669629425372020736</v>
      </c>
      <c r="AF307" s="79">
        <v>45093.370937500003</v>
      </c>
      <c r="AG307" s="85">
        <v>45093</v>
      </c>
      <c r="AH307" s="82" t="s">
        <v>2948</v>
      </c>
      <c r="AI307" s="77" t="b">
        <v>0</v>
      </c>
      <c r="AJ307" s="77"/>
      <c r="AK307" s="77"/>
      <c r="AL307" s="77"/>
      <c r="AM307" s="77"/>
      <c r="AN307" s="77"/>
      <c r="AO307" s="77"/>
      <c r="AP307" s="77"/>
      <c r="AQ307" s="77"/>
      <c r="AR307" s="77"/>
      <c r="AS307" s="77"/>
      <c r="AT307" s="77"/>
      <c r="AU307" s="77"/>
      <c r="AV307" s="80" t="str">
        <f>HYPERLINK("https://pbs.twimg.com/profile_images/1661790216250687500/purhJhH7_normal.jpg")</f>
        <v>https://pbs.twimg.com/profile_images/1661790216250687500/purhJhH7_normal.jpg</v>
      </c>
      <c r="AW307" s="82" t="s">
        <v>4362</v>
      </c>
      <c r="AX307" s="82" t="s">
        <v>4362</v>
      </c>
      <c r="AY307" s="77"/>
      <c r="AZ307" s="82" t="s">
        <v>5075</v>
      </c>
      <c r="BA307" s="82" t="s">
        <v>5075</v>
      </c>
      <c r="BB307" s="82" t="s">
        <v>5075</v>
      </c>
      <c r="BC307" s="82" t="s">
        <v>4362</v>
      </c>
      <c r="BD307" s="82" t="s">
        <v>5190</v>
      </c>
      <c r="BE307" s="77"/>
      <c r="BF307" s="77"/>
      <c r="BG307" s="77"/>
      <c r="BH307" s="77"/>
      <c r="BI307" s="77"/>
    </row>
    <row r="308" spans="1:61" x14ac:dyDescent="0.25">
      <c r="A308" s="62" t="s">
        <v>351</v>
      </c>
      <c r="B308" s="62" t="s">
        <v>351</v>
      </c>
      <c r="C308" s="63"/>
      <c r="D308" s="64"/>
      <c r="E308" s="65"/>
      <c r="F308" s="66"/>
      <c r="G308" s="63"/>
      <c r="H308" s="67"/>
      <c r="I308" s="68"/>
      <c r="J308" s="68"/>
      <c r="K308" s="32"/>
      <c r="L308" s="75">
        <v>308</v>
      </c>
      <c r="M308" s="75"/>
      <c r="N308" s="70"/>
      <c r="O308" s="77" t="s">
        <v>179</v>
      </c>
      <c r="P308" s="79">
        <v>45092.370868055557</v>
      </c>
      <c r="Q308" s="77" t="s">
        <v>842</v>
      </c>
      <c r="R308" s="77">
        <v>0</v>
      </c>
      <c r="S308" s="77">
        <v>0</v>
      </c>
      <c r="T308" s="77">
        <v>0</v>
      </c>
      <c r="U308" s="77">
        <v>0</v>
      </c>
      <c r="V308" s="77">
        <v>3</v>
      </c>
      <c r="W308" s="82" t="s">
        <v>1673</v>
      </c>
      <c r="X308" s="80" t="str">
        <f>HYPERLINK("https://aleatoriando.com.br/5-passos-para-criar-um-planejamento-financeiro-pessoal-eficaz/")</f>
        <v>https://aleatoriando.com.br/5-passos-para-criar-um-planejamento-financeiro-pessoal-eficaz/</v>
      </c>
      <c r="Y308" s="77" t="s">
        <v>1978</v>
      </c>
      <c r="Z308" s="77"/>
      <c r="AA308" s="77"/>
      <c r="AB308" s="77"/>
      <c r="AC308" s="82" t="s">
        <v>2656</v>
      </c>
      <c r="AD308" s="77" t="s">
        <v>2670</v>
      </c>
      <c r="AE308" s="80" t="str">
        <f>HYPERLINK("https://twitter.com/aleatoriando_o/status/1669267009064914945")</f>
        <v>https://twitter.com/aleatoriando_o/status/1669267009064914945</v>
      </c>
      <c r="AF308" s="79">
        <v>45092.370868055557</v>
      </c>
      <c r="AG308" s="85">
        <v>45092</v>
      </c>
      <c r="AH308" s="82" t="s">
        <v>2949</v>
      </c>
      <c r="AI308" s="77" t="b">
        <v>0</v>
      </c>
      <c r="AJ308" s="77"/>
      <c r="AK308" s="77"/>
      <c r="AL308" s="77"/>
      <c r="AM308" s="77"/>
      <c r="AN308" s="77"/>
      <c r="AO308" s="77"/>
      <c r="AP308" s="77"/>
      <c r="AQ308" s="77"/>
      <c r="AR308" s="77"/>
      <c r="AS308" s="77"/>
      <c r="AT308" s="77"/>
      <c r="AU308" s="77"/>
      <c r="AV308" s="80" t="str">
        <f>HYPERLINK("https://pbs.twimg.com/profile_images/1661790216250687500/purhJhH7_normal.jpg")</f>
        <v>https://pbs.twimg.com/profile_images/1661790216250687500/purhJhH7_normal.jpg</v>
      </c>
      <c r="AW308" s="82" t="s">
        <v>4363</v>
      </c>
      <c r="AX308" s="82" t="s">
        <v>4363</v>
      </c>
      <c r="AY308" s="77"/>
      <c r="AZ308" s="82" t="s">
        <v>5075</v>
      </c>
      <c r="BA308" s="82" t="s">
        <v>5075</v>
      </c>
      <c r="BB308" s="82" t="s">
        <v>5075</v>
      </c>
      <c r="BC308" s="82" t="s">
        <v>4363</v>
      </c>
      <c r="BD308" s="82" t="s">
        <v>5190</v>
      </c>
      <c r="BE308" s="77"/>
      <c r="BF308" s="77"/>
      <c r="BG308" s="77"/>
      <c r="BH308" s="77"/>
      <c r="BI308" s="77"/>
    </row>
    <row r="309" spans="1:61" x14ac:dyDescent="0.25">
      <c r="A309" s="62" t="s">
        <v>351</v>
      </c>
      <c r="B309" s="62" t="s">
        <v>351</v>
      </c>
      <c r="C309" s="63"/>
      <c r="D309" s="64"/>
      <c r="E309" s="65"/>
      <c r="F309" s="66"/>
      <c r="G309" s="63"/>
      <c r="H309" s="67"/>
      <c r="I309" s="68"/>
      <c r="J309" s="68"/>
      <c r="K309" s="32"/>
      <c r="L309" s="75">
        <v>309</v>
      </c>
      <c r="M309" s="75"/>
      <c r="N309" s="70"/>
      <c r="O309" s="77" t="s">
        <v>179</v>
      </c>
      <c r="P309" s="79">
        <v>45091.370775462965</v>
      </c>
      <c r="Q309" s="77" t="s">
        <v>843</v>
      </c>
      <c r="R309" s="77">
        <v>0</v>
      </c>
      <c r="S309" s="77">
        <v>0</v>
      </c>
      <c r="T309" s="77">
        <v>0</v>
      </c>
      <c r="U309" s="77">
        <v>0</v>
      </c>
      <c r="V309" s="77">
        <v>4</v>
      </c>
      <c r="W309" s="82" t="s">
        <v>1674</v>
      </c>
      <c r="X309" s="80" t="str">
        <f>HYPERLINK("https://aleatoriando.com.br/vale-a-pena-investir-em-consorcios-descubra-aqui/")</f>
        <v>https://aleatoriando.com.br/vale-a-pena-investir-em-consorcios-descubra-aqui/</v>
      </c>
      <c r="Y309" s="77" t="s">
        <v>1978</v>
      </c>
      <c r="Z309" s="77"/>
      <c r="AA309" s="77"/>
      <c r="AB309" s="77"/>
      <c r="AC309" s="82" t="s">
        <v>2656</v>
      </c>
      <c r="AD309" s="77" t="s">
        <v>2670</v>
      </c>
      <c r="AE309" s="80" t="str">
        <f>HYPERLINK("https://twitter.com/aleatoriando_o/status/1668904588747984897")</f>
        <v>https://twitter.com/aleatoriando_o/status/1668904588747984897</v>
      </c>
      <c r="AF309" s="79">
        <v>45091.370775462965</v>
      </c>
      <c r="AG309" s="85">
        <v>45091</v>
      </c>
      <c r="AH309" s="82" t="s">
        <v>2950</v>
      </c>
      <c r="AI309" s="77" t="b">
        <v>0</v>
      </c>
      <c r="AJ309" s="77"/>
      <c r="AK309" s="77"/>
      <c r="AL309" s="77"/>
      <c r="AM309" s="77"/>
      <c r="AN309" s="77"/>
      <c r="AO309" s="77"/>
      <c r="AP309" s="77"/>
      <c r="AQ309" s="77"/>
      <c r="AR309" s="77"/>
      <c r="AS309" s="77"/>
      <c r="AT309" s="77"/>
      <c r="AU309" s="77"/>
      <c r="AV309" s="80" t="str">
        <f>HYPERLINK("https://pbs.twimg.com/profile_images/1661790216250687500/purhJhH7_normal.jpg")</f>
        <v>https://pbs.twimg.com/profile_images/1661790216250687500/purhJhH7_normal.jpg</v>
      </c>
      <c r="AW309" s="82" t="s">
        <v>4364</v>
      </c>
      <c r="AX309" s="82" t="s">
        <v>4364</v>
      </c>
      <c r="AY309" s="77"/>
      <c r="AZ309" s="82" t="s">
        <v>5075</v>
      </c>
      <c r="BA309" s="82" t="s">
        <v>5075</v>
      </c>
      <c r="BB309" s="82" t="s">
        <v>5075</v>
      </c>
      <c r="BC309" s="82" t="s">
        <v>4364</v>
      </c>
      <c r="BD309" s="82" t="s">
        <v>5190</v>
      </c>
      <c r="BE309" s="77"/>
      <c r="BF309" s="77"/>
      <c r="BG309" s="77"/>
      <c r="BH309" s="77"/>
      <c r="BI309" s="77"/>
    </row>
    <row r="310" spans="1:61" x14ac:dyDescent="0.25">
      <c r="A310" s="62" t="s">
        <v>351</v>
      </c>
      <c r="B310" s="62" t="s">
        <v>351</v>
      </c>
      <c r="C310" s="63"/>
      <c r="D310" s="64"/>
      <c r="E310" s="65"/>
      <c r="F310" s="66"/>
      <c r="G310" s="63"/>
      <c r="H310" s="67"/>
      <c r="I310" s="68"/>
      <c r="J310" s="68"/>
      <c r="K310" s="32"/>
      <c r="L310" s="75">
        <v>310</v>
      </c>
      <c r="M310" s="75"/>
      <c r="N310" s="70"/>
      <c r="O310" s="77" t="s">
        <v>179</v>
      </c>
      <c r="P310" s="79">
        <v>45138.217951388891</v>
      </c>
      <c r="Q310" s="77" t="s">
        <v>844</v>
      </c>
      <c r="R310" s="77">
        <v>0</v>
      </c>
      <c r="S310" s="77">
        <v>0</v>
      </c>
      <c r="T310" s="77">
        <v>0</v>
      </c>
      <c r="U310" s="77">
        <v>0</v>
      </c>
      <c r="V310" s="77">
        <v>4</v>
      </c>
      <c r="W310" s="82" t="s">
        <v>1675</v>
      </c>
      <c r="X310" s="80" t="str">
        <f>HYPERLINK("https://aleatoriando.com.br/como-gerenciar-as-financas-de-sua-empresa/")</f>
        <v>https://aleatoriando.com.br/como-gerenciar-as-financas-de-sua-empresa/</v>
      </c>
      <c r="Y310" s="77" t="s">
        <v>1978</v>
      </c>
      <c r="Z310" s="77"/>
      <c r="AA310" s="77"/>
      <c r="AB310" s="77"/>
      <c r="AC310" s="82" t="s">
        <v>2656</v>
      </c>
      <c r="AD310" s="77" t="s">
        <v>2670</v>
      </c>
      <c r="AE310" s="80" t="str">
        <f>HYPERLINK("https://twitter.com/aleatoriando_o/status/1685881436388171776")</f>
        <v>https://twitter.com/aleatoriando_o/status/1685881436388171776</v>
      </c>
      <c r="AF310" s="79">
        <v>45138.217951388891</v>
      </c>
      <c r="AG310" s="85">
        <v>45138</v>
      </c>
      <c r="AH310" s="82" t="s">
        <v>2951</v>
      </c>
      <c r="AI310" s="77" t="b">
        <v>0</v>
      </c>
      <c r="AJ310" s="77"/>
      <c r="AK310" s="77"/>
      <c r="AL310" s="77"/>
      <c r="AM310" s="77"/>
      <c r="AN310" s="77"/>
      <c r="AO310" s="77"/>
      <c r="AP310" s="77"/>
      <c r="AQ310" s="77"/>
      <c r="AR310" s="77"/>
      <c r="AS310" s="77"/>
      <c r="AT310" s="77"/>
      <c r="AU310" s="77"/>
      <c r="AV310" s="80" t="str">
        <f>HYPERLINK("https://pbs.twimg.com/profile_images/1661790216250687500/purhJhH7_normal.jpg")</f>
        <v>https://pbs.twimg.com/profile_images/1661790216250687500/purhJhH7_normal.jpg</v>
      </c>
      <c r="AW310" s="82" t="s">
        <v>4365</v>
      </c>
      <c r="AX310" s="82" t="s">
        <v>4365</v>
      </c>
      <c r="AY310" s="77"/>
      <c r="AZ310" s="82" t="s">
        <v>5075</v>
      </c>
      <c r="BA310" s="82" t="s">
        <v>5075</v>
      </c>
      <c r="BB310" s="82" t="s">
        <v>5075</v>
      </c>
      <c r="BC310" s="82" t="s">
        <v>4365</v>
      </c>
      <c r="BD310" s="82" t="s">
        <v>5190</v>
      </c>
      <c r="BE310" s="77"/>
      <c r="BF310" s="77"/>
      <c r="BG310" s="77"/>
      <c r="BH310" s="77"/>
      <c r="BI310" s="77"/>
    </row>
    <row r="311" spans="1:61" x14ac:dyDescent="0.25">
      <c r="A311" s="62" t="s">
        <v>352</v>
      </c>
      <c r="B311" s="62" t="s">
        <v>352</v>
      </c>
      <c r="C311" s="63"/>
      <c r="D311" s="64"/>
      <c r="E311" s="65"/>
      <c r="F311" s="66"/>
      <c r="G311" s="63"/>
      <c r="H311" s="67"/>
      <c r="I311" s="68"/>
      <c r="J311" s="68"/>
      <c r="K311" s="32"/>
      <c r="L311" s="75">
        <v>311</v>
      </c>
      <c r="M311" s="75"/>
      <c r="N311" s="70"/>
      <c r="O311" s="77" t="s">
        <v>179</v>
      </c>
      <c r="P311" s="79">
        <v>44928.162962962961</v>
      </c>
      <c r="Q311" s="77" t="s">
        <v>845</v>
      </c>
      <c r="R311" s="77">
        <v>0</v>
      </c>
      <c r="S311" s="77">
        <v>1</v>
      </c>
      <c r="T311" s="77">
        <v>0</v>
      </c>
      <c r="U311" s="77">
        <v>0</v>
      </c>
      <c r="V311" s="77">
        <v>191</v>
      </c>
      <c r="W311" s="82" t="s">
        <v>1676</v>
      </c>
      <c r="X311" s="80" t="str">
        <f>HYPERLINK("https://www.autodestaque.net.br/parcelar-ou-pagar-a-vista-o-ipva-e-o-iptu-2023/")</f>
        <v>https://www.autodestaque.net.br/parcelar-ou-pagar-a-vista-o-ipva-e-o-iptu-2023/</v>
      </c>
      <c r="Y311" s="77" t="s">
        <v>1992</v>
      </c>
      <c r="Z311" s="77"/>
      <c r="AA311" s="77" t="s">
        <v>2193</v>
      </c>
      <c r="AB311" s="77" t="s">
        <v>2635</v>
      </c>
      <c r="AC311" s="82" t="s">
        <v>2639</v>
      </c>
      <c r="AD311" s="77" t="s">
        <v>2670</v>
      </c>
      <c r="AE311" s="80" t="str">
        <f>HYPERLINK("https://twitter.com/autodestaque/status/1609760056823644160")</f>
        <v>https://twitter.com/autodestaque/status/1609760056823644160</v>
      </c>
      <c r="AF311" s="79">
        <v>44928.162962962961</v>
      </c>
      <c r="AG311" s="85">
        <v>44928</v>
      </c>
      <c r="AH311" s="82" t="s">
        <v>2952</v>
      </c>
      <c r="AI311" s="77" t="b">
        <v>0</v>
      </c>
      <c r="AJ311" s="77"/>
      <c r="AK311" s="77"/>
      <c r="AL311" s="77"/>
      <c r="AM311" s="77"/>
      <c r="AN311" s="77"/>
      <c r="AO311" s="77"/>
      <c r="AP311" s="77"/>
      <c r="AQ311" s="77" t="s">
        <v>3622</v>
      </c>
      <c r="AR311" s="77"/>
      <c r="AS311" s="77"/>
      <c r="AT311" s="77"/>
      <c r="AU311" s="77"/>
      <c r="AV311" s="80" t="str">
        <f>HYPERLINK("https://pbs.twimg.com/media/FlcEIiLWIAA-Crq.jpg")</f>
        <v>https://pbs.twimg.com/media/FlcEIiLWIAA-Crq.jpg</v>
      </c>
      <c r="AW311" s="82" t="s">
        <v>4366</v>
      </c>
      <c r="AX311" s="82" t="s">
        <v>4366</v>
      </c>
      <c r="AY311" s="77"/>
      <c r="AZ311" s="82" t="s">
        <v>5075</v>
      </c>
      <c r="BA311" s="82" t="s">
        <v>5075</v>
      </c>
      <c r="BB311" s="82" t="s">
        <v>5075</v>
      </c>
      <c r="BC311" s="82" t="s">
        <v>4366</v>
      </c>
      <c r="BD311" s="77">
        <v>4142639176</v>
      </c>
      <c r="BE311" s="77"/>
      <c r="BF311" s="77"/>
      <c r="BG311" s="77"/>
      <c r="BH311" s="77"/>
      <c r="BI311" s="77"/>
    </row>
    <row r="312" spans="1:61" x14ac:dyDescent="0.25">
      <c r="A312" s="62" t="s">
        <v>353</v>
      </c>
      <c r="B312" s="62" t="s">
        <v>353</v>
      </c>
      <c r="C312" s="63"/>
      <c r="D312" s="64"/>
      <c r="E312" s="65"/>
      <c r="F312" s="66"/>
      <c r="G312" s="63"/>
      <c r="H312" s="67"/>
      <c r="I312" s="68"/>
      <c r="J312" s="68"/>
      <c r="K312" s="32"/>
      <c r="L312" s="75">
        <v>312</v>
      </c>
      <c r="M312" s="75"/>
      <c r="N312" s="70"/>
      <c r="O312" s="77" t="s">
        <v>179</v>
      </c>
      <c r="P312" s="79">
        <v>45128.547881944447</v>
      </c>
      <c r="Q312" s="77" t="s">
        <v>846</v>
      </c>
      <c r="R312" s="77">
        <v>0</v>
      </c>
      <c r="S312" s="77">
        <v>0</v>
      </c>
      <c r="T312" s="77">
        <v>0</v>
      </c>
      <c r="U312" s="77">
        <v>0</v>
      </c>
      <c r="V312" s="77">
        <v>10</v>
      </c>
      <c r="W312" s="82" t="s">
        <v>1677</v>
      </c>
      <c r="X312" s="77"/>
      <c r="Y312" s="77"/>
      <c r="Z312" s="77"/>
      <c r="AA312" s="77" t="s">
        <v>2194</v>
      </c>
      <c r="AB312" s="77" t="s">
        <v>2632</v>
      </c>
      <c r="AC312" s="82" t="s">
        <v>2657</v>
      </c>
      <c r="AD312" s="77" t="s">
        <v>2670</v>
      </c>
      <c r="AE312" s="80" t="str">
        <f>HYPERLINK("https://twitter.com/junqueiradenis/status/1682377121358807040")</f>
        <v>https://twitter.com/junqueiradenis/status/1682377121358807040</v>
      </c>
      <c r="AF312" s="79">
        <v>45128.547881944447</v>
      </c>
      <c r="AG312" s="85">
        <v>45128</v>
      </c>
      <c r="AH312" s="82" t="s">
        <v>2953</v>
      </c>
      <c r="AI312" s="77" t="b">
        <v>0</v>
      </c>
      <c r="AJ312" s="77"/>
      <c r="AK312" s="77"/>
      <c r="AL312" s="77"/>
      <c r="AM312" s="77"/>
      <c r="AN312" s="77"/>
      <c r="AO312" s="77"/>
      <c r="AP312" s="77"/>
      <c r="AQ312" s="77" t="s">
        <v>3623</v>
      </c>
      <c r="AR312" s="77"/>
      <c r="AS312" s="77"/>
      <c r="AT312" s="77"/>
      <c r="AU312" s="77"/>
      <c r="AV312" s="80" t="str">
        <f>HYPERLINK("https://pbs.twimg.com/media/F1kBE5qWcAITJ2G.jpg")</f>
        <v>https://pbs.twimg.com/media/F1kBE5qWcAITJ2G.jpg</v>
      </c>
      <c r="AW312" s="82" t="s">
        <v>4367</v>
      </c>
      <c r="AX312" s="82" t="s">
        <v>4367</v>
      </c>
      <c r="AY312" s="77"/>
      <c r="AZ312" s="82" t="s">
        <v>5075</v>
      </c>
      <c r="BA312" s="82" t="s">
        <v>5075</v>
      </c>
      <c r="BB312" s="82" t="s">
        <v>5075</v>
      </c>
      <c r="BC312" s="82" t="s">
        <v>4367</v>
      </c>
      <c r="BD312" s="77">
        <v>60692388</v>
      </c>
      <c r="BE312" s="77"/>
      <c r="BF312" s="77"/>
      <c r="BG312" s="77"/>
      <c r="BH312" s="77"/>
      <c r="BI312" s="77"/>
    </row>
    <row r="313" spans="1:61" x14ac:dyDescent="0.25">
      <c r="A313" s="62" t="s">
        <v>354</v>
      </c>
      <c r="B313" s="62" t="s">
        <v>354</v>
      </c>
      <c r="C313" s="63"/>
      <c r="D313" s="64"/>
      <c r="E313" s="65"/>
      <c r="F313" s="66"/>
      <c r="G313" s="63"/>
      <c r="H313" s="67"/>
      <c r="I313" s="68"/>
      <c r="J313" s="68"/>
      <c r="K313" s="32"/>
      <c r="L313" s="75">
        <v>313</v>
      </c>
      <c r="M313" s="75"/>
      <c r="N313" s="70"/>
      <c r="O313" s="77" t="s">
        <v>179</v>
      </c>
      <c r="P313" s="79">
        <v>45188.697604166664</v>
      </c>
      <c r="Q313" s="77" t="s">
        <v>847</v>
      </c>
      <c r="R313" s="77">
        <v>1</v>
      </c>
      <c r="S313" s="77">
        <v>1</v>
      </c>
      <c r="T313" s="77">
        <v>0</v>
      </c>
      <c r="U313" s="77">
        <v>0</v>
      </c>
      <c r="V313" s="77">
        <v>10</v>
      </c>
      <c r="W313" s="82" t="s">
        <v>1678</v>
      </c>
      <c r="X313" s="77"/>
      <c r="Y313" s="77"/>
      <c r="Z313" s="77"/>
      <c r="AA313" s="77" t="s">
        <v>2195</v>
      </c>
      <c r="AB313" s="77" t="s">
        <v>2636</v>
      </c>
      <c r="AC313" s="82" t="s">
        <v>2640</v>
      </c>
      <c r="AD313" s="77" t="s">
        <v>2670</v>
      </c>
      <c r="AE313" s="80" t="str">
        <f>HYPERLINK("https://twitter.com/imovelstar/status/1704174651516039428")</f>
        <v>https://twitter.com/imovelstar/status/1704174651516039428</v>
      </c>
      <c r="AF313" s="79">
        <v>45188.697604166664</v>
      </c>
      <c r="AG313" s="85">
        <v>45188</v>
      </c>
      <c r="AH313" s="82" t="s">
        <v>2954</v>
      </c>
      <c r="AI313" s="77" t="b">
        <v>0</v>
      </c>
      <c r="AJ313" s="77"/>
      <c r="AK313" s="77"/>
      <c r="AL313" s="77"/>
      <c r="AM313" s="77"/>
      <c r="AN313" s="77"/>
      <c r="AO313" s="77"/>
      <c r="AP313" s="77"/>
      <c r="AQ313" s="77" t="s">
        <v>3624</v>
      </c>
      <c r="AR313" s="77"/>
      <c r="AS313" s="77"/>
      <c r="AT313" s="77"/>
      <c r="AU313" s="77"/>
      <c r="AV313" s="80" t="str">
        <f>HYPERLINK("https://pbs.twimg.com/media/F6Zxz_WWsAAD8nn.jpg")</f>
        <v>https://pbs.twimg.com/media/F6Zxz_WWsAAD8nn.jpg</v>
      </c>
      <c r="AW313" s="82" t="s">
        <v>4368</v>
      </c>
      <c r="AX313" s="82" t="s">
        <v>4368</v>
      </c>
      <c r="AY313" s="77"/>
      <c r="AZ313" s="82" t="s">
        <v>5075</v>
      </c>
      <c r="BA313" s="82" t="s">
        <v>5075</v>
      </c>
      <c r="BB313" s="82" t="s">
        <v>5075</v>
      </c>
      <c r="BC313" s="82" t="s">
        <v>4368</v>
      </c>
      <c r="BD313" s="82" t="s">
        <v>5191</v>
      </c>
      <c r="BE313" s="77"/>
      <c r="BF313" s="77"/>
      <c r="BG313" s="77"/>
      <c r="BH313" s="77"/>
      <c r="BI313" s="77"/>
    </row>
    <row r="314" spans="1:61" x14ac:dyDescent="0.25">
      <c r="A314" s="62" t="s">
        <v>355</v>
      </c>
      <c r="B314" s="62" t="s">
        <v>355</v>
      </c>
      <c r="C314" s="63"/>
      <c r="D314" s="64"/>
      <c r="E314" s="65"/>
      <c r="F314" s="66"/>
      <c r="G314" s="63"/>
      <c r="H314" s="67"/>
      <c r="I314" s="68"/>
      <c r="J314" s="68"/>
      <c r="K314" s="32"/>
      <c r="L314" s="75">
        <v>314</v>
      </c>
      <c r="M314" s="75"/>
      <c r="N314" s="70"/>
      <c r="O314" s="77" t="s">
        <v>179</v>
      </c>
      <c r="P314" s="79">
        <v>45174.327974537038</v>
      </c>
      <c r="Q314" s="77" t="s">
        <v>848</v>
      </c>
      <c r="R314" s="77">
        <v>0</v>
      </c>
      <c r="S314" s="77">
        <v>0</v>
      </c>
      <c r="T314" s="77">
        <v>0</v>
      </c>
      <c r="U314" s="77">
        <v>0</v>
      </c>
      <c r="V314" s="77"/>
      <c r="W314" s="82" t="s">
        <v>1679</v>
      </c>
      <c r="X314" s="77"/>
      <c r="Y314" s="77"/>
      <c r="Z314" s="77"/>
      <c r="AA314" s="77"/>
      <c r="AB314" s="77"/>
      <c r="AC314" s="82" t="s">
        <v>2638</v>
      </c>
      <c r="AD314" s="77" t="s">
        <v>2670</v>
      </c>
      <c r="AE314" s="80" t="str">
        <f>HYPERLINK("https://twitter.com/elitemind01/status/1698967270796456010")</f>
        <v>https://twitter.com/elitemind01/status/1698967270796456010</v>
      </c>
      <c r="AF314" s="79">
        <v>45174.327974537038</v>
      </c>
      <c r="AG314" s="85">
        <v>45174</v>
      </c>
      <c r="AH314" s="82" t="s">
        <v>2955</v>
      </c>
      <c r="AI314" s="77"/>
      <c r="AJ314" s="77"/>
      <c r="AK314" s="77"/>
      <c r="AL314" s="77"/>
      <c r="AM314" s="77"/>
      <c r="AN314" s="77"/>
      <c r="AO314" s="77"/>
      <c r="AP314" s="77"/>
      <c r="AQ314" s="77"/>
      <c r="AR314" s="77"/>
      <c r="AS314" s="77"/>
      <c r="AT314" s="77"/>
      <c r="AU314" s="77"/>
      <c r="AV314" s="80" t="str">
        <f>HYPERLINK("https://pbs.twimg.com/profile_images/1698069367362027520/HouselSP_normal.jpg")</f>
        <v>https://pbs.twimg.com/profile_images/1698069367362027520/HouselSP_normal.jpg</v>
      </c>
      <c r="AW314" s="82" t="s">
        <v>4369</v>
      </c>
      <c r="AX314" s="82" t="s">
        <v>4369</v>
      </c>
      <c r="AY314" s="77"/>
      <c r="AZ314" s="82" t="s">
        <v>5075</v>
      </c>
      <c r="BA314" s="82" t="s">
        <v>5075</v>
      </c>
      <c r="BB314" s="82" t="s">
        <v>5075</v>
      </c>
      <c r="BC314" s="82" t="s">
        <v>4369</v>
      </c>
      <c r="BD314" s="82" t="s">
        <v>5192</v>
      </c>
      <c r="BE314" s="77"/>
      <c r="BF314" s="77"/>
      <c r="BG314" s="77"/>
      <c r="BH314" s="77"/>
      <c r="BI314" s="77"/>
    </row>
    <row r="315" spans="1:61" x14ac:dyDescent="0.25">
      <c r="A315" s="62" t="s">
        <v>356</v>
      </c>
      <c r="B315" s="62" t="s">
        <v>356</v>
      </c>
      <c r="C315" s="63"/>
      <c r="D315" s="64"/>
      <c r="E315" s="65"/>
      <c r="F315" s="66"/>
      <c r="G315" s="63"/>
      <c r="H315" s="67"/>
      <c r="I315" s="68"/>
      <c r="J315" s="68"/>
      <c r="K315" s="32"/>
      <c r="L315" s="75">
        <v>315</v>
      </c>
      <c r="M315" s="75"/>
      <c r="N315" s="70"/>
      <c r="O315" s="77" t="s">
        <v>179</v>
      </c>
      <c r="P315" s="79">
        <v>44982.4375</v>
      </c>
      <c r="Q315" s="77" t="s">
        <v>849</v>
      </c>
      <c r="R315" s="77">
        <v>0</v>
      </c>
      <c r="S315" s="77">
        <v>0</v>
      </c>
      <c r="T315" s="77">
        <v>0</v>
      </c>
      <c r="U315" s="77">
        <v>0</v>
      </c>
      <c r="V315" s="77">
        <v>10</v>
      </c>
      <c r="W315" s="82" t="s">
        <v>1680</v>
      </c>
      <c r="X315" s="77"/>
      <c r="Y315" s="77"/>
      <c r="Z315" s="77"/>
      <c r="AA315" s="77"/>
      <c r="AB315" s="77"/>
      <c r="AC315" s="82" t="s">
        <v>2639</v>
      </c>
      <c r="AD315" s="77" t="s">
        <v>2670</v>
      </c>
      <c r="AE315" s="80" t="str">
        <f>HYPERLINK("https://twitter.com/almepoupa/status/1629428493003132929")</f>
        <v>https://twitter.com/almepoupa/status/1629428493003132929</v>
      </c>
      <c r="AF315" s="79">
        <v>44982.4375</v>
      </c>
      <c r="AG315" s="85">
        <v>44982</v>
      </c>
      <c r="AH315" s="82" t="s">
        <v>2956</v>
      </c>
      <c r="AI315" s="77"/>
      <c r="AJ315" s="77"/>
      <c r="AK315" s="77"/>
      <c r="AL315" s="77"/>
      <c r="AM315" s="77"/>
      <c r="AN315" s="77"/>
      <c r="AO315" s="77"/>
      <c r="AP315" s="77"/>
      <c r="AQ315" s="77"/>
      <c r="AR315" s="77"/>
      <c r="AS315" s="77"/>
      <c r="AT315" s="77"/>
      <c r="AU315" s="77"/>
      <c r="AV315" s="80" t="str">
        <f>HYPERLINK("https://pbs.twimg.com/profile_images/1664024456262549505/LEYLe1s-_normal.jpg")</f>
        <v>https://pbs.twimg.com/profile_images/1664024456262549505/LEYLe1s-_normal.jpg</v>
      </c>
      <c r="AW315" s="82" t="s">
        <v>4370</v>
      </c>
      <c r="AX315" s="82" t="s">
        <v>4370</v>
      </c>
      <c r="AY315" s="77"/>
      <c r="AZ315" s="82" t="s">
        <v>5075</v>
      </c>
      <c r="BA315" s="82" t="s">
        <v>5075</v>
      </c>
      <c r="BB315" s="82" t="s">
        <v>5075</v>
      </c>
      <c r="BC315" s="82" t="s">
        <v>4370</v>
      </c>
      <c r="BD315" s="82" t="s">
        <v>5193</v>
      </c>
      <c r="BE315" s="77"/>
      <c r="BF315" s="77"/>
      <c r="BG315" s="77"/>
      <c r="BH315" s="77"/>
      <c r="BI315" s="77"/>
    </row>
    <row r="316" spans="1:61" x14ac:dyDescent="0.25">
      <c r="A316" s="62" t="s">
        <v>356</v>
      </c>
      <c r="B316" s="62" t="s">
        <v>356</v>
      </c>
      <c r="C316" s="63"/>
      <c r="D316" s="64"/>
      <c r="E316" s="65"/>
      <c r="F316" s="66"/>
      <c r="G316" s="63"/>
      <c r="H316" s="67"/>
      <c r="I316" s="68"/>
      <c r="J316" s="68"/>
      <c r="K316" s="32"/>
      <c r="L316" s="75">
        <v>316</v>
      </c>
      <c r="M316" s="75"/>
      <c r="N316" s="70"/>
      <c r="O316" s="77" t="s">
        <v>179</v>
      </c>
      <c r="P316" s="79">
        <v>44981.437511574077</v>
      </c>
      <c r="Q316" s="77" t="s">
        <v>850</v>
      </c>
      <c r="R316" s="77">
        <v>0</v>
      </c>
      <c r="S316" s="77">
        <v>0</v>
      </c>
      <c r="T316" s="77">
        <v>0</v>
      </c>
      <c r="U316" s="77">
        <v>0</v>
      </c>
      <c r="V316" s="77">
        <v>12</v>
      </c>
      <c r="W316" s="82" t="s">
        <v>1565</v>
      </c>
      <c r="X316" s="77"/>
      <c r="Y316" s="77"/>
      <c r="Z316" s="77"/>
      <c r="AA316" s="77"/>
      <c r="AB316" s="77"/>
      <c r="AC316" s="82" t="s">
        <v>2639</v>
      </c>
      <c r="AD316" s="77" t="s">
        <v>2670</v>
      </c>
      <c r="AE316" s="80" t="str">
        <f>HYPERLINK("https://twitter.com/almepoupa/status/1629066106718785537")</f>
        <v>https://twitter.com/almepoupa/status/1629066106718785537</v>
      </c>
      <c r="AF316" s="79">
        <v>44981.437511574077</v>
      </c>
      <c r="AG316" s="85">
        <v>44981</v>
      </c>
      <c r="AH316" s="82" t="s">
        <v>2957</v>
      </c>
      <c r="AI316" s="77"/>
      <c r="AJ316" s="77"/>
      <c r="AK316" s="77"/>
      <c r="AL316" s="77"/>
      <c r="AM316" s="77"/>
      <c r="AN316" s="77"/>
      <c r="AO316" s="77"/>
      <c r="AP316" s="77"/>
      <c r="AQ316" s="77"/>
      <c r="AR316" s="77"/>
      <c r="AS316" s="77"/>
      <c r="AT316" s="77"/>
      <c r="AU316" s="77"/>
      <c r="AV316" s="80" t="str">
        <f>HYPERLINK("https://pbs.twimg.com/profile_images/1664024456262549505/LEYLe1s-_normal.jpg")</f>
        <v>https://pbs.twimg.com/profile_images/1664024456262549505/LEYLe1s-_normal.jpg</v>
      </c>
      <c r="AW316" s="82" t="s">
        <v>4371</v>
      </c>
      <c r="AX316" s="82" t="s">
        <v>4371</v>
      </c>
      <c r="AY316" s="77"/>
      <c r="AZ316" s="82" t="s">
        <v>5075</v>
      </c>
      <c r="BA316" s="82" t="s">
        <v>5075</v>
      </c>
      <c r="BB316" s="82" t="s">
        <v>5075</v>
      </c>
      <c r="BC316" s="82" t="s">
        <v>4371</v>
      </c>
      <c r="BD316" s="82" t="s">
        <v>5193</v>
      </c>
      <c r="BE316" s="77"/>
      <c r="BF316" s="77"/>
      <c r="BG316" s="77"/>
      <c r="BH316" s="77"/>
      <c r="BI316" s="77"/>
    </row>
    <row r="317" spans="1:61" x14ac:dyDescent="0.25">
      <c r="A317" s="62" t="s">
        <v>356</v>
      </c>
      <c r="B317" s="62" t="s">
        <v>356</v>
      </c>
      <c r="C317" s="63"/>
      <c r="D317" s="64"/>
      <c r="E317" s="65"/>
      <c r="F317" s="66"/>
      <c r="G317" s="63"/>
      <c r="H317" s="67"/>
      <c r="I317" s="68"/>
      <c r="J317" s="68"/>
      <c r="K317" s="32"/>
      <c r="L317" s="75">
        <v>317</v>
      </c>
      <c r="M317" s="75"/>
      <c r="N317" s="70"/>
      <c r="O317" s="77" t="s">
        <v>179</v>
      </c>
      <c r="P317" s="79">
        <v>44978.908668981479</v>
      </c>
      <c r="Q317" s="77" t="s">
        <v>851</v>
      </c>
      <c r="R317" s="77">
        <v>0</v>
      </c>
      <c r="S317" s="77">
        <v>0</v>
      </c>
      <c r="T317" s="77">
        <v>0</v>
      </c>
      <c r="U317" s="77">
        <v>0</v>
      </c>
      <c r="V317" s="77">
        <v>23</v>
      </c>
      <c r="W317" s="82" t="s">
        <v>1681</v>
      </c>
      <c r="X317" s="77"/>
      <c r="Y317" s="77"/>
      <c r="Z317" s="77"/>
      <c r="AA317" s="77" t="s">
        <v>2196</v>
      </c>
      <c r="AB317" s="77" t="s">
        <v>2637</v>
      </c>
      <c r="AC317" s="82" t="s">
        <v>2639</v>
      </c>
      <c r="AD317" s="77" t="s">
        <v>2670</v>
      </c>
      <c r="AE317" s="80" t="str">
        <f>HYPERLINK("https://twitter.com/almepoupa/status/1628149688376467462")</f>
        <v>https://twitter.com/almepoupa/status/1628149688376467462</v>
      </c>
      <c r="AF317" s="79">
        <v>44978.908668981479</v>
      </c>
      <c r="AG317" s="85">
        <v>44978</v>
      </c>
      <c r="AH317" s="82" t="s">
        <v>2958</v>
      </c>
      <c r="AI317" s="77" t="b">
        <v>0</v>
      </c>
      <c r="AJ317" s="77"/>
      <c r="AK317" s="77"/>
      <c r="AL317" s="77"/>
      <c r="AM317" s="77"/>
      <c r="AN317" s="77"/>
      <c r="AO317" s="77"/>
      <c r="AP317" s="77"/>
      <c r="AQ317" s="77" t="s">
        <v>3625</v>
      </c>
      <c r="AR317" s="77"/>
      <c r="AS317" s="77"/>
      <c r="AT317" s="77"/>
      <c r="AU317" s="77"/>
      <c r="AV317" s="80" t="str">
        <f>HYPERLINK("https://pbs.twimg.com/tweet_video_thumb/FphZgamWYAA8ZJK.jpg")</f>
        <v>https://pbs.twimg.com/tweet_video_thumb/FphZgamWYAA8ZJK.jpg</v>
      </c>
      <c r="AW317" s="82" t="s">
        <v>4372</v>
      </c>
      <c r="AX317" s="82" t="s">
        <v>4372</v>
      </c>
      <c r="AY317" s="77"/>
      <c r="AZ317" s="82" t="s">
        <v>5075</v>
      </c>
      <c r="BA317" s="82" t="s">
        <v>5075</v>
      </c>
      <c r="BB317" s="82" t="s">
        <v>5075</v>
      </c>
      <c r="BC317" s="82" t="s">
        <v>4372</v>
      </c>
      <c r="BD317" s="82" t="s">
        <v>5193</v>
      </c>
      <c r="BE317" s="77"/>
      <c r="BF317" s="77"/>
      <c r="BG317" s="77"/>
      <c r="BH317" s="77"/>
      <c r="BI317" s="77"/>
    </row>
    <row r="318" spans="1:61" x14ac:dyDescent="0.25">
      <c r="A318" s="62" t="s">
        <v>357</v>
      </c>
      <c r="B318" s="62" t="s">
        <v>357</v>
      </c>
      <c r="C318" s="63"/>
      <c r="D318" s="64"/>
      <c r="E318" s="65"/>
      <c r="F318" s="66"/>
      <c r="G318" s="63"/>
      <c r="H318" s="67"/>
      <c r="I318" s="68"/>
      <c r="J318" s="68"/>
      <c r="K318" s="32"/>
      <c r="L318" s="75">
        <v>318</v>
      </c>
      <c r="M318" s="75"/>
      <c r="N318" s="70"/>
      <c r="O318" s="77" t="s">
        <v>179</v>
      </c>
      <c r="P318" s="79">
        <v>45099.692488425928</v>
      </c>
      <c r="Q318" s="77" t="s">
        <v>852</v>
      </c>
      <c r="R318" s="77">
        <v>0</v>
      </c>
      <c r="S318" s="77">
        <v>0</v>
      </c>
      <c r="T318" s="77">
        <v>0</v>
      </c>
      <c r="U318" s="77">
        <v>0</v>
      </c>
      <c r="V318" s="77">
        <v>32</v>
      </c>
      <c r="W318" s="82" t="s">
        <v>1682</v>
      </c>
      <c r="X318" s="77"/>
      <c r="Y318" s="77"/>
      <c r="Z318" s="77"/>
      <c r="AA318" s="77"/>
      <c r="AB318" s="77"/>
      <c r="AC318" s="82" t="s">
        <v>2639</v>
      </c>
      <c r="AD318" s="77" t="s">
        <v>2670</v>
      </c>
      <c r="AE318" s="80" t="str">
        <f>HYPERLINK("https://twitter.com/financasdalari/status/1671920276257243136")</f>
        <v>https://twitter.com/financasdalari/status/1671920276257243136</v>
      </c>
      <c r="AF318" s="79">
        <v>45099.692488425928</v>
      </c>
      <c r="AG318" s="85">
        <v>45099</v>
      </c>
      <c r="AH318" s="82" t="s">
        <v>2959</v>
      </c>
      <c r="AI318" s="77"/>
      <c r="AJ318" s="77"/>
      <c r="AK318" s="77"/>
      <c r="AL318" s="77"/>
      <c r="AM318" s="77"/>
      <c r="AN318" s="77"/>
      <c r="AO318" s="77"/>
      <c r="AP318" s="77"/>
      <c r="AQ318" s="77"/>
      <c r="AR318" s="77"/>
      <c r="AS318" s="77"/>
      <c r="AT318" s="77"/>
      <c r="AU318" s="77"/>
      <c r="AV318" s="80" t="str">
        <f>HYPERLINK("https://pbs.twimg.com/profile_images/1673694497786540034/Tnj_Sswq_normal.jpg")</f>
        <v>https://pbs.twimg.com/profile_images/1673694497786540034/Tnj_Sswq_normal.jpg</v>
      </c>
      <c r="AW318" s="82" t="s">
        <v>4373</v>
      </c>
      <c r="AX318" s="82" t="s">
        <v>4373</v>
      </c>
      <c r="AY318" s="77"/>
      <c r="AZ318" s="82" t="s">
        <v>5075</v>
      </c>
      <c r="BA318" s="82" t="s">
        <v>5075</v>
      </c>
      <c r="BB318" s="82" t="s">
        <v>5075</v>
      </c>
      <c r="BC318" s="82" t="s">
        <v>4373</v>
      </c>
      <c r="BD318" s="82" t="s">
        <v>5194</v>
      </c>
      <c r="BE318" s="77"/>
      <c r="BF318" s="77"/>
      <c r="BG318" s="77"/>
      <c r="BH318" s="77"/>
      <c r="BI318" s="77"/>
    </row>
    <row r="319" spans="1:61" x14ac:dyDescent="0.25">
      <c r="A319" s="62" t="s">
        <v>357</v>
      </c>
      <c r="B319" s="62" t="s">
        <v>357</v>
      </c>
      <c r="C319" s="63"/>
      <c r="D319" s="64"/>
      <c r="E319" s="65"/>
      <c r="F319" s="66"/>
      <c r="G319" s="63"/>
      <c r="H319" s="67"/>
      <c r="I319" s="68"/>
      <c r="J319" s="68"/>
      <c r="K319" s="32"/>
      <c r="L319" s="75">
        <v>319</v>
      </c>
      <c r="M319" s="75"/>
      <c r="N319" s="70"/>
      <c r="O319" s="77" t="s">
        <v>179</v>
      </c>
      <c r="P319" s="79">
        <v>45098.092719907407</v>
      </c>
      <c r="Q319" s="77" t="s">
        <v>853</v>
      </c>
      <c r="R319" s="77">
        <v>0</v>
      </c>
      <c r="S319" s="77">
        <v>0</v>
      </c>
      <c r="T319" s="77">
        <v>0</v>
      </c>
      <c r="U319" s="77">
        <v>0</v>
      </c>
      <c r="V319" s="77">
        <v>44</v>
      </c>
      <c r="W319" s="82" t="s">
        <v>1683</v>
      </c>
      <c r="X319" s="77"/>
      <c r="Y319" s="77"/>
      <c r="Z319" s="77"/>
      <c r="AA319" s="77" t="s">
        <v>2197</v>
      </c>
      <c r="AB319" s="77" t="s">
        <v>2632</v>
      </c>
      <c r="AC319" s="82" t="s">
        <v>2639</v>
      </c>
      <c r="AD319" s="77" t="s">
        <v>2673</v>
      </c>
      <c r="AE319" s="80" t="str">
        <f>HYPERLINK("https://twitter.com/financasdalari/status/1671340540221173760")</f>
        <v>https://twitter.com/financasdalari/status/1671340540221173760</v>
      </c>
      <c r="AF319" s="79">
        <v>45098.092719907407</v>
      </c>
      <c r="AG319" s="85">
        <v>45098</v>
      </c>
      <c r="AH319" s="82" t="s">
        <v>2960</v>
      </c>
      <c r="AI319" s="77" t="b">
        <v>0</v>
      </c>
      <c r="AJ319" s="77"/>
      <c r="AK319" s="77"/>
      <c r="AL319" s="77"/>
      <c r="AM319" s="77"/>
      <c r="AN319" s="77"/>
      <c r="AO319" s="77"/>
      <c r="AP319" s="77"/>
      <c r="AQ319" s="77" t="s">
        <v>3626</v>
      </c>
      <c r="AR319" s="77"/>
      <c r="AS319" s="77"/>
      <c r="AT319" s="77"/>
      <c r="AU319" s="77"/>
      <c r="AV319" s="80" t="str">
        <f>HYPERLINK("https://pbs.twimg.com/media/FzHLG7hX0AAdeAq.jpg")</f>
        <v>https://pbs.twimg.com/media/FzHLG7hX0AAdeAq.jpg</v>
      </c>
      <c r="AW319" s="82" t="s">
        <v>4374</v>
      </c>
      <c r="AX319" s="82" t="s">
        <v>4374</v>
      </c>
      <c r="AY319" s="77"/>
      <c r="AZ319" s="82" t="s">
        <v>5075</v>
      </c>
      <c r="BA319" s="82" t="s">
        <v>5075</v>
      </c>
      <c r="BB319" s="82" t="s">
        <v>5075</v>
      </c>
      <c r="BC319" s="82" t="s">
        <v>4374</v>
      </c>
      <c r="BD319" s="82" t="s">
        <v>5194</v>
      </c>
      <c r="BE319" s="77"/>
      <c r="BF319" s="77"/>
      <c r="BG319" s="77"/>
      <c r="BH319" s="77"/>
      <c r="BI319" s="77"/>
    </row>
    <row r="320" spans="1:61" x14ac:dyDescent="0.25">
      <c r="A320" s="62" t="s">
        <v>358</v>
      </c>
      <c r="B320" s="62" t="s">
        <v>358</v>
      </c>
      <c r="C320" s="63"/>
      <c r="D320" s="64"/>
      <c r="E320" s="65"/>
      <c r="F320" s="66"/>
      <c r="G320" s="63"/>
      <c r="H320" s="67"/>
      <c r="I320" s="68"/>
      <c r="J320" s="68"/>
      <c r="K320" s="32"/>
      <c r="L320" s="75">
        <v>320</v>
      </c>
      <c r="M320" s="75"/>
      <c r="N320" s="70"/>
      <c r="O320" s="77" t="s">
        <v>179</v>
      </c>
      <c r="P320" s="79">
        <v>45159.780601851853</v>
      </c>
      <c r="Q320" s="77" t="s">
        <v>854</v>
      </c>
      <c r="R320" s="77">
        <v>0</v>
      </c>
      <c r="S320" s="77">
        <v>1</v>
      </c>
      <c r="T320" s="77">
        <v>0</v>
      </c>
      <c r="U320" s="77">
        <v>0</v>
      </c>
      <c r="V320" s="77">
        <v>21</v>
      </c>
      <c r="W320" s="82" t="s">
        <v>1684</v>
      </c>
      <c r="X320" s="77"/>
      <c r="Y320" s="77"/>
      <c r="Z320" s="77"/>
      <c r="AA320" s="77"/>
      <c r="AB320" s="77"/>
      <c r="AC320" s="82" t="s">
        <v>2638</v>
      </c>
      <c r="AD320" s="77" t="s">
        <v>2670</v>
      </c>
      <c r="AE320" s="80" t="str">
        <f>HYPERLINK("https://twitter.com/sousadavi/status/1693695479119220776")</f>
        <v>https://twitter.com/sousadavi/status/1693695479119220776</v>
      </c>
      <c r="AF320" s="79">
        <v>45159.780601851853</v>
      </c>
      <c r="AG320" s="85">
        <v>45159</v>
      </c>
      <c r="AH320" s="82" t="s">
        <v>2961</v>
      </c>
      <c r="AI320" s="77"/>
      <c r="AJ320" s="77"/>
      <c r="AK320" s="77"/>
      <c r="AL320" s="77"/>
      <c r="AM320" s="77"/>
      <c r="AN320" s="77"/>
      <c r="AO320" s="77"/>
      <c r="AP320" s="77"/>
      <c r="AQ320" s="77"/>
      <c r="AR320" s="77"/>
      <c r="AS320" s="77"/>
      <c r="AT320" s="77"/>
      <c r="AU320" s="77"/>
      <c r="AV320" s="80" t="str">
        <f>HYPERLINK("https://pbs.twimg.com/profile_images/1630048707226763265/beny6FI2_normal.jpg")</f>
        <v>https://pbs.twimg.com/profile_images/1630048707226763265/beny6FI2_normal.jpg</v>
      </c>
      <c r="AW320" s="82" t="s">
        <v>4375</v>
      </c>
      <c r="AX320" s="82" t="s">
        <v>4375</v>
      </c>
      <c r="AY320" s="77"/>
      <c r="AZ320" s="82" t="s">
        <v>5075</v>
      </c>
      <c r="BA320" s="82" t="s">
        <v>5075</v>
      </c>
      <c r="BB320" s="82" t="s">
        <v>5075</v>
      </c>
      <c r="BC320" s="82" t="s">
        <v>4375</v>
      </c>
      <c r="BD320" s="77">
        <v>59811558</v>
      </c>
      <c r="BE320" s="77"/>
      <c r="BF320" s="77"/>
      <c r="BG320" s="77"/>
      <c r="BH320" s="77"/>
      <c r="BI320" s="77"/>
    </row>
    <row r="321" spans="1:61" x14ac:dyDescent="0.25">
      <c r="A321" s="62" t="s">
        <v>359</v>
      </c>
      <c r="B321" s="62" t="s">
        <v>359</v>
      </c>
      <c r="C321" s="63"/>
      <c r="D321" s="64"/>
      <c r="E321" s="65"/>
      <c r="F321" s="66"/>
      <c r="G321" s="63"/>
      <c r="H321" s="67"/>
      <c r="I321" s="68"/>
      <c r="J321" s="68"/>
      <c r="K321" s="32"/>
      <c r="L321" s="75">
        <v>321</v>
      </c>
      <c r="M321" s="75"/>
      <c r="N321" s="70"/>
      <c r="O321" s="77" t="s">
        <v>179</v>
      </c>
      <c r="P321" s="79">
        <v>44973.518854166665</v>
      </c>
      <c r="Q321" s="77" t="s">
        <v>855</v>
      </c>
      <c r="R321" s="77">
        <v>0</v>
      </c>
      <c r="S321" s="77">
        <v>1</v>
      </c>
      <c r="T321" s="77">
        <v>0</v>
      </c>
      <c r="U321" s="77">
        <v>0</v>
      </c>
      <c r="V321" s="77">
        <v>9</v>
      </c>
      <c r="W321" s="82" t="s">
        <v>1435</v>
      </c>
      <c r="X321" s="77"/>
      <c r="Y321" s="77"/>
      <c r="Z321" s="77"/>
      <c r="AA321" s="77"/>
      <c r="AB321" s="77"/>
      <c r="AC321" s="82" t="s">
        <v>2640</v>
      </c>
      <c r="AD321" s="77" t="s">
        <v>2670</v>
      </c>
      <c r="AE321" s="80" t="str">
        <f>HYPERLINK("https://twitter.com/giovannesilva22/status/1626196481018408964")</f>
        <v>https://twitter.com/giovannesilva22/status/1626196481018408964</v>
      </c>
      <c r="AF321" s="79">
        <v>44973.518854166665</v>
      </c>
      <c r="AG321" s="85">
        <v>44973</v>
      </c>
      <c r="AH321" s="82" t="s">
        <v>2962</v>
      </c>
      <c r="AI321" s="77"/>
      <c r="AJ321" s="77"/>
      <c r="AK321" s="77"/>
      <c r="AL321" s="77"/>
      <c r="AM321" s="77"/>
      <c r="AN321" s="77"/>
      <c r="AO321" s="77"/>
      <c r="AP321" s="77"/>
      <c r="AQ321" s="77"/>
      <c r="AR321" s="77"/>
      <c r="AS321" s="77"/>
      <c r="AT321" s="77"/>
      <c r="AU321" s="77"/>
      <c r="AV321" s="80" t="str">
        <f>HYPERLINK("https://pbs.twimg.com/profile_images/1595001270372372480/grQvHbT-_normal.jpg")</f>
        <v>https://pbs.twimg.com/profile_images/1595001270372372480/grQvHbT-_normal.jpg</v>
      </c>
      <c r="AW321" s="82" t="s">
        <v>4376</v>
      </c>
      <c r="AX321" s="82" t="s">
        <v>4376</v>
      </c>
      <c r="AY321" s="77"/>
      <c r="AZ321" s="82" t="s">
        <v>5075</v>
      </c>
      <c r="BA321" s="82" t="s">
        <v>5075</v>
      </c>
      <c r="BB321" s="82" t="s">
        <v>5075</v>
      </c>
      <c r="BC321" s="82" t="s">
        <v>4376</v>
      </c>
      <c r="BD321" s="82" t="s">
        <v>5195</v>
      </c>
      <c r="BE321" s="77"/>
      <c r="BF321" s="77"/>
      <c r="BG321" s="77"/>
      <c r="BH321" s="77"/>
      <c r="BI321" s="77"/>
    </row>
    <row r="322" spans="1:61" x14ac:dyDescent="0.25">
      <c r="A322" s="62" t="s">
        <v>360</v>
      </c>
      <c r="B322" s="62" t="s">
        <v>360</v>
      </c>
      <c r="C322" s="63"/>
      <c r="D322" s="64"/>
      <c r="E322" s="65"/>
      <c r="F322" s="66"/>
      <c r="G322" s="63"/>
      <c r="H322" s="67"/>
      <c r="I322" s="68"/>
      <c r="J322" s="68"/>
      <c r="K322" s="32"/>
      <c r="L322" s="75">
        <v>322</v>
      </c>
      <c r="M322" s="75"/>
      <c r="N322" s="70"/>
      <c r="O322" s="77" t="s">
        <v>179</v>
      </c>
      <c r="P322" s="79">
        <v>45083.234085648146</v>
      </c>
      <c r="Q322" s="77" t="s">
        <v>856</v>
      </c>
      <c r="R322" s="77">
        <v>0</v>
      </c>
      <c r="S322" s="77">
        <v>0</v>
      </c>
      <c r="T322" s="77">
        <v>0</v>
      </c>
      <c r="U322" s="77">
        <v>0</v>
      </c>
      <c r="V322" s="77">
        <v>1</v>
      </c>
      <c r="W322" s="82" t="s">
        <v>1685</v>
      </c>
      <c r="X322" s="80" t="str">
        <f>HYPERLINK("https://invistafinancas.com.br/como-sair-das-dividas-5-passos-que-podem-te-ajudar/")</f>
        <v>https://invistafinancas.com.br/como-sair-das-dividas-5-passos-que-podem-te-ajudar/</v>
      </c>
      <c r="Y322" s="77" t="s">
        <v>1978</v>
      </c>
      <c r="Z322" s="77"/>
      <c r="AA322" s="77"/>
      <c r="AB322" s="77"/>
      <c r="AC322" s="82" t="s">
        <v>2658</v>
      </c>
      <c r="AD322" s="77" t="s">
        <v>2670</v>
      </c>
      <c r="AE322" s="80" t="str">
        <f>HYPERLINK("https://twitter.com/invistafinancas/status/1665955953575952391")</f>
        <v>https://twitter.com/invistafinancas/status/1665955953575952391</v>
      </c>
      <c r="AF322" s="79">
        <v>45083.234085648146</v>
      </c>
      <c r="AG322" s="85">
        <v>45083</v>
      </c>
      <c r="AH322" s="82" t="s">
        <v>2963</v>
      </c>
      <c r="AI322" s="77" t="b">
        <v>0</v>
      </c>
      <c r="AJ322" s="77"/>
      <c r="AK322" s="77"/>
      <c r="AL322" s="77"/>
      <c r="AM322" s="77"/>
      <c r="AN322" s="77"/>
      <c r="AO322" s="77"/>
      <c r="AP322" s="77"/>
      <c r="AQ322" s="77"/>
      <c r="AR322" s="77"/>
      <c r="AS322" s="77"/>
      <c r="AT322" s="77"/>
      <c r="AU322" s="77"/>
      <c r="AV322" s="80" t="str">
        <f>HYPERLINK("https://pbs.twimg.com/profile_images/1662255358281232384/VCpgqGrM_normal.jpg")</f>
        <v>https://pbs.twimg.com/profile_images/1662255358281232384/VCpgqGrM_normal.jpg</v>
      </c>
      <c r="AW322" s="82" t="s">
        <v>4377</v>
      </c>
      <c r="AX322" s="82" t="s">
        <v>4377</v>
      </c>
      <c r="AY322" s="77"/>
      <c r="AZ322" s="82" t="s">
        <v>5075</v>
      </c>
      <c r="BA322" s="82" t="s">
        <v>5075</v>
      </c>
      <c r="BB322" s="82" t="s">
        <v>5075</v>
      </c>
      <c r="BC322" s="82" t="s">
        <v>4377</v>
      </c>
      <c r="BD322" s="82" t="s">
        <v>5196</v>
      </c>
      <c r="BE322" s="77"/>
      <c r="BF322" s="77"/>
      <c r="BG322" s="77"/>
      <c r="BH322" s="77"/>
      <c r="BI322" s="77"/>
    </row>
    <row r="323" spans="1:61" x14ac:dyDescent="0.25">
      <c r="A323" s="62" t="s">
        <v>360</v>
      </c>
      <c r="B323" s="62" t="s">
        <v>360</v>
      </c>
      <c r="C323" s="63"/>
      <c r="D323" s="64"/>
      <c r="E323" s="65"/>
      <c r="F323" s="66"/>
      <c r="G323" s="63"/>
      <c r="H323" s="67"/>
      <c r="I323" s="68"/>
      <c r="J323" s="68"/>
      <c r="K323" s="32"/>
      <c r="L323" s="75">
        <v>323</v>
      </c>
      <c r="M323" s="75"/>
      <c r="N323" s="70"/>
      <c r="O323" s="77" t="s">
        <v>179</v>
      </c>
      <c r="P323" s="79">
        <v>45099.604097222225</v>
      </c>
      <c r="Q323" s="77" t="s">
        <v>857</v>
      </c>
      <c r="R323" s="77">
        <v>0</v>
      </c>
      <c r="S323" s="77">
        <v>0</v>
      </c>
      <c r="T323" s="77">
        <v>0</v>
      </c>
      <c r="U323" s="77">
        <v>0</v>
      </c>
      <c r="V323" s="77">
        <v>2</v>
      </c>
      <c r="W323" s="82" t="s">
        <v>1686</v>
      </c>
      <c r="X323" s="80" t="str">
        <f>HYPERLINK("https://invistafinancas.com.br/o-que-e-consorcio-descubra-tudo-sobre-essa-forma-de-investir/")</f>
        <v>https://invistafinancas.com.br/o-que-e-consorcio-descubra-tudo-sobre-essa-forma-de-investir/</v>
      </c>
      <c r="Y323" s="77" t="s">
        <v>1978</v>
      </c>
      <c r="Z323" s="77"/>
      <c r="AA323" s="77"/>
      <c r="AB323" s="77"/>
      <c r="AC323" s="82" t="s">
        <v>2658</v>
      </c>
      <c r="AD323" s="77" t="s">
        <v>2670</v>
      </c>
      <c r="AE323" s="80" t="str">
        <f>HYPERLINK("https://twitter.com/invistafinancas/status/1671888244450131971")</f>
        <v>https://twitter.com/invistafinancas/status/1671888244450131971</v>
      </c>
      <c r="AF323" s="79">
        <v>45099.604097222225</v>
      </c>
      <c r="AG323" s="85">
        <v>45099</v>
      </c>
      <c r="AH323" s="82" t="s">
        <v>2964</v>
      </c>
      <c r="AI323" s="77" t="b">
        <v>0</v>
      </c>
      <c r="AJ323" s="77"/>
      <c r="AK323" s="77"/>
      <c r="AL323" s="77"/>
      <c r="AM323" s="77"/>
      <c r="AN323" s="77"/>
      <c r="AO323" s="77"/>
      <c r="AP323" s="77"/>
      <c r="AQ323" s="77"/>
      <c r="AR323" s="77"/>
      <c r="AS323" s="77"/>
      <c r="AT323" s="77"/>
      <c r="AU323" s="77"/>
      <c r="AV323" s="80" t="str">
        <f>HYPERLINK("https://pbs.twimg.com/profile_images/1662255358281232384/VCpgqGrM_normal.jpg")</f>
        <v>https://pbs.twimg.com/profile_images/1662255358281232384/VCpgqGrM_normal.jpg</v>
      </c>
      <c r="AW323" s="82" t="s">
        <v>4378</v>
      </c>
      <c r="AX323" s="82" t="s">
        <v>4378</v>
      </c>
      <c r="AY323" s="77"/>
      <c r="AZ323" s="82" t="s">
        <v>5075</v>
      </c>
      <c r="BA323" s="82" t="s">
        <v>5075</v>
      </c>
      <c r="BB323" s="82" t="s">
        <v>5075</v>
      </c>
      <c r="BC323" s="82" t="s">
        <v>4378</v>
      </c>
      <c r="BD323" s="82" t="s">
        <v>5196</v>
      </c>
      <c r="BE323" s="77"/>
      <c r="BF323" s="77"/>
      <c r="BG323" s="77"/>
      <c r="BH323" s="77"/>
      <c r="BI323" s="77"/>
    </row>
    <row r="324" spans="1:61" x14ac:dyDescent="0.25">
      <c r="A324" s="62" t="s">
        <v>360</v>
      </c>
      <c r="B324" s="62" t="s">
        <v>360</v>
      </c>
      <c r="C324" s="63"/>
      <c r="D324" s="64"/>
      <c r="E324" s="65"/>
      <c r="F324" s="66"/>
      <c r="G324" s="63"/>
      <c r="H324" s="67"/>
      <c r="I324" s="68"/>
      <c r="J324" s="68"/>
      <c r="K324" s="32"/>
      <c r="L324" s="75">
        <v>324</v>
      </c>
      <c r="M324" s="75"/>
      <c r="N324" s="70"/>
      <c r="O324" s="77" t="s">
        <v>179</v>
      </c>
      <c r="P324" s="79">
        <v>45188.31318287037</v>
      </c>
      <c r="Q324" s="77" t="s">
        <v>858</v>
      </c>
      <c r="R324" s="77">
        <v>0</v>
      </c>
      <c r="S324" s="77">
        <v>0</v>
      </c>
      <c r="T324" s="77">
        <v>0</v>
      </c>
      <c r="U324" s="77">
        <v>0</v>
      </c>
      <c r="V324" s="77">
        <v>2</v>
      </c>
      <c r="W324" s="82" t="s">
        <v>1687</v>
      </c>
      <c r="X324" s="80" t="str">
        <f>HYPERLINK("https://invistafinancas.com.br/educacao-financeira/planejamento-financeiro-para-casais-conheca-as-melhores-ferramentas/")</f>
        <v>https://invistafinancas.com.br/educacao-financeira/planejamento-financeiro-para-casais-conheca-as-melhores-ferramentas/</v>
      </c>
      <c r="Y324" s="77" t="s">
        <v>1978</v>
      </c>
      <c r="Z324" s="77"/>
      <c r="AA324" s="77"/>
      <c r="AB324" s="77"/>
      <c r="AC324" s="82" t="s">
        <v>2658</v>
      </c>
      <c r="AD324" s="77" t="s">
        <v>2670</v>
      </c>
      <c r="AE324" s="80" t="str">
        <f>HYPERLINK("https://twitter.com/invistafinancas/status/1704035340304998663")</f>
        <v>https://twitter.com/invistafinancas/status/1704035340304998663</v>
      </c>
      <c r="AF324" s="79">
        <v>45188.31318287037</v>
      </c>
      <c r="AG324" s="85">
        <v>45188</v>
      </c>
      <c r="AH324" s="82" t="s">
        <v>2965</v>
      </c>
      <c r="AI324" s="77" t="b">
        <v>0</v>
      </c>
      <c r="AJ324" s="77"/>
      <c r="AK324" s="77"/>
      <c r="AL324" s="77"/>
      <c r="AM324" s="77"/>
      <c r="AN324" s="77"/>
      <c r="AO324" s="77"/>
      <c r="AP324" s="77"/>
      <c r="AQ324" s="77"/>
      <c r="AR324" s="77"/>
      <c r="AS324" s="77"/>
      <c r="AT324" s="77"/>
      <c r="AU324" s="77"/>
      <c r="AV324" s="80" t="str">
        <f>HYPERLINK("https://pbs.twimg.com/profile_images/1662255358281232384/VCpgqGrM_normal.jpg")</f>
        <v>https://pbs.twimg.com/profile_images/1662255358281232384/VCpgqGrM_normal.jpg</v>
      </c>
      <c r="AW324" s="82" t="s">
        <v>4379</v>
      </c>
      <c r="AX324" s="82" t="s">
        <v>4379</v>
      </c>
      <c r="AY324" s="77"/>
      <c r="AZ324" s="82" t="s">
        <v>5075</v>
      </c>
      <c r="BA324" s="82" t="s">
        <v>5075</v>
      </c>
      <c r="BB324" s="82" t="s">
        <v>5075</v>
      </c>
      <c r="BC324" s="82" t="s">
        <v>4379</v>
      </c>
      <c r="BD324" s="82" t="s">
        <v>5196</v>
      </c>
      <c r="BE324" s="77"/>
      <c r="BF324" s="77"/>
      <c r="BG324" s="77"/>
      <c r="BH324" s="77"/>
      <c r="BI324" s="77"/>
    </row>
    <row r="325" spans="1:61" x14ac:dyDescent="0.25">
      <c r="A325" s="62" t="s">
        <v>360</v>
      </c>
      <c r="B325" s="62" t="s">
        <v>360</v>
      </c>
      <c r="C325" s="63"/>
      <c r="D325" s="64"/>
      <c r="E325" s="65"/>
      <c r="F325" s="66"/>
      <c r="G325" s="63"/>
      <c r="H325" s="67"/>
      <c r="I325" s="68"/>
      <c r="J325" s="68"/>
      <c r="K325" s="32"/>
      <c r="L325" s="75">
        <v>325</v>
      </c>
      <c r="M325" s="75"/>
      <c r="N325" s="70"/>
      <c r="O325" s="77" t="s">
        <v>179</v>
      </c>
      <c r="P325" s="79">
        <v>45190.313217592593</v>
      </c>
      <c r="Q325" s="77" t="s">
        <v>859</v>
      </c>
      <c r="R325" s="77">
        <v>0</v>
      </c>
      <c r="S325" s="77">
        <v>0</v>
      </c>
      <c r="T325" s="77">
        <v>0</v>
      </c>
      <c r="U325" s="77">
        <v>0</v>
      </c>
      <c r="V325" s="77">
        <v>3</v>
      </c>
      <c r="W325" s="82" t="s">
        <v>1688</v>
      </c>
      <c r="X325" s="80" t="str">
        <f>HYPERLINK("https://invistafinancas.com.br/educacao-financeira/como-lidar-com-a-divida-dicas-praticas-para-ajudar-voce/")</f>
        <v>https://invistafinancas.com.br/educacao-financeira/como-lidar-com-a-divida-dicas-praticas-para-ajudar-voce/</v>
      </c>
      <c r="Y325" s="77" t="s">
        <v>1978</v>
      </c>
      <c r="Z325" s="77"/>
      <c r="AA325" s="77"/>
      <c r="AB325" s="77"/>
      <c r="AC325" s="82" t="s">
        <v>2658</v>
      </c>
      <c r="AD325" s="77" t="s">
        <v>2670</v>
      </c>
      <c r="AE325" s="80" t="str">
        <f>HYPERLINK("https://twitter.com/invistafinancas/status/1704760129634341305")</f>
        <v>https://twitter.com/invistafinancas/status/1704760129634341305</v>
      </c>
      <c r="AF325" s="79">
        <v>45190.313217592593</v>
      </c>
      <c r="AG325" s="85">
        <v>45190</v>
      </c>
      <c r="AH325" s="82" t="s">
        <v>2966</v>
      </c>
      <c r="AI325" s="77" t="b">
        <v>0</v>
      </c>
      <c r="AJ325" s="77"/>
      <c r="AK325" s="77"/>
      <c r="AL325" s="77"/>
      <c r="AM325" s="77"/>
      <c r="AN325" s="77"/>
      <c r="AO325" s="77"/>
      <c r="AP325" s="77"/>
      <c r="AQ325" s="77"/>
      <c r="AR325" s="77"/>
      <c r="AS325" s="77"/>
      <c r="AT325" s="77"/>
      <c r="AU325" s="77"/>
      <c r="AV325" s="80" t="str">
        <f>HYPERLINK("https://pbs.twimg.com/profile_images/1662255358281232384/VCpgqGrM_normal.jpg")</f>
        <v>https://pbs.twimg.com/profile_images/1662255358281232384/VCpgqGrM_normal.jpg</v>
      </c>
      <c r="AW325" s="82" t="s">
        <v>4380</v>
      </c>
      <c r="AX325" s="82" t="s">
        <v>4380</v>
      </c>
      <c r="AY325" s="77"/>
      <c r="AZ325" s="82" t="s">
        <v>5075</v>
      </c>
      <c r="BA325" s="82" t="s">
        <v>5075</v>
      </c>
      <c r="BB325" s="82" t="s">
        <v>5075</v>
      </c>
      <c r="BC325" s="82" t="s">
        <v>4380</v>
      </c>
      <c r="BD325" s="82" t="s">
        <v>5196</v>
      </c>
      <c r="BE325" s="77"/>
      <c r="BF325" s="77"/>
      <c r="BG325" s="77"/>
      <c r="BH325" s="77"/>
      <c r="BI325" s="77"/>
    </row>
    <row r="326" spans="1:61" x14ac:dyDescent="0.25">
      <c r="A326" s="62" t="s">
        <v>361</v>
      </c>
      <c r="B326" s="62" t="s">
        <v>361</v>
      </c>
      <c r="C326" s="63"/>
      <c r="D326" s="64"/>
      <c r="E326" s="65"/>
      <c r="F326" s="66"/>
      <c r="G326" s="63"/>
      <c r="H326" s="67"/>
      <c r="I326" s="68"/>
      <c r="J326" s="68"/>
      <c r="K326" s="32"/>
      <c r="L326" s="75">
        <v>326</v>
      </c>
      <c r="M326" s="75"/>
      <c r="N326" s="70"/>
      <c r="O326" s="77" t="s">
        <v>179</v>
      </c>
      <c r="P326" s="79">
        <v>45017.880752314813</v>
      </c>
      <c r="Q326" s="77" t="s">
        <v>860</v>
      </c>
      <c r="R326" s="77">
        <v>0</v>
      </c>
      <c r="S326" s="77">
        <v>1</v>
      </c>
      <c r="T326" s="77">
        <v>1</v>
      </c>
      <c r="U326" s="77">
        <v>0</v>
      </c>
      <c r="V326" s="77">
        <v>39</v>
      </c>
      <c r="W326" s="82" t="s">
        <v>1564</v>
      </c>
      <c r="X326" s="77"/>
      <c r="Y326" s="77"/>
      <c r="Z326" s="77"/>
      <c r="AA326" s="77" t="s">
        <v>2198</v>
      </c>
      <c r="AB326" s="77" t="s">
        <v>2632</v>
      </c>
      <c r="AC326" s="82" t="s">
        <v>2638</v>
      </c>
      <c r="AD326" s="77" t="s">
        <v>2671</v>
      </c>
      <c r="AE326" s="80" t="str">
        <f>HYPERLINK("https://twitter.com/investoom_com/status/1642272697794142208")</f>
        <v>https://twitter.com/investoom_com/status/1642272697794142208</v>
      </c>
      <c r="AF326" s="79">
        <v>45017.880752314813</v>
      </c>
      <c r="AG326" s="85">
        <v>45017</v>
      </c>
      <c r="AH326" s="82" t="s">
        <v>2967</v>
      </c>
      <c r="AI326" s="77" t="b">
        <v>0</v>
      </c>
      <c r="AJ326" s="77"/>
      <c r="AK326" s="77"/>
      <c r="AL326" s="77"/>
      <c r="AM326" s="77"/>
      <c r="AN326" s="77"/>
      <c r="AO326" s="77"/>
      <c r="AP326" s="77"/>
      <c r="AQ326" s="77" t="s">
        <v>3627</v>
      </c>
      <c r="AR326" s="77"/>
      <c r="AS326" s="77"/>
      <c r="AT326" s="77"/>
      <c r="AU326" s="77"/>
      <c r="AV326" s="80" t="str">
        <f>HYPERLINK("https://pbs.twimg.com/media/FsqGUHhXoAMHUAu.jpg")</f>
        <v>https://pbs.twimg.com/media/FsqGUHhXoAMHUAu.jpg</v>
      </c>
      <c r="AW326" s="82" t="s">
        <v>4381</v>
      </c>
      <c r="AX326" s="82" t="s">
        <v>4381</v>
      </c>
      <c r="AY326" s="77"/>
      <c r="AZ326" s="82" t="s">
        <v>5075</v>
      </c>
      <c r="BA326" s="82" t="s">
        <v>5075</v>
      </c>
      <c r="BB326" s="82" t="s">
        <v>5075</v>
      </c>
      <c r="BC326" s="82" t="s">
        <v>4381</v>
      </c>
      <c r="BD326" s="82" t="s">
        <v>5197</v>
      </c>
      <c r="BE326" s="77"/>
      <c r="BF326" s="77"/>
      <c r="BG326" s="77"/>
      <c r="BH326" s="77"/>
      <c r="BI326" s="77"/>
    </row>
    <row r="327" spans="1:61" x14ac:dyDescent="0.25">
      <c r="A327" s="62" t="s">
        <v>362</v>
      </c>
      <c r="B327" s="62" t="s">
        <v>362</v>
      </c>
      <c r="C327" s="63"/>
      <c r="D327" s="64"/>
      <c r="E327" s="65"/>
      <c r="F327" s="66"/>
      <c r="G327" s="63"/>
      <c r="H327" s="67"/>
      <c r="I327" s="68"/>
      <c r="J327" s="68"/>
      <c r="K327" s="32"/>
      <c r="L327" s="75">
        <v>327</v>
      </c>
      <c r="M327" s="75"/>
      <c r="N327" s="70"/>
      <c r="O327" s="77" t="s">
        <v>179</v>
      </c>
      <c r="P327" s="79">
        <v>44950.885601851849</v>
      </c>
      <c r="Q327" s="77" t="s">
        <v>861</v>
      </c>
      <c r="R327" s="77">
        <v>1</v>
      </c>
      <c r="S327" s="77">
        <v>5</v>
      </c>
      <c r="T327" s="77">
        <v>1</v>
      </c>
      <c r="U327" s="77">
        <v>1</v>
      </c>
      <c r="V327" s="77">
        <v>757</v>
      </c>
      <c r="W327" s="77"/>
      <c r="X327" s="77"/>
      <c r="Y327" s="77"/>
      <c r="Z327" s="77"/>
      <c r="AA327" s="77" t="s">
        <v>2199</v>
      </c>
      <c r="AB327" s="77" t="s">
        <v>2636</v>
      </c>
      <c r="AC327" s="82" t="s">
        <v>2642</v>
      </c>
      <c r="AD327" s="77" t="s">
        <v>2670</v>
      </c>
      <c r="AE327" s="80" t="str">
        <f>HYPERLINK("https://twitter.com/organizze/status/1617994468472377358")</f>
        <v>https://twitter.com/organizze/status/1617994468472377358</v>
      </c>
      <c r="AF327" s="79">
        <v>44950.885601851849</v>
      </c>
      <c r="AG327" s="85">
        <v>44950</v>
      </c>
      <c r="AH327" s="82" t="s">
        <v>2968</v>
      </c>
      <c r="AI327" s="77" t="b">
        <v>0</v>
      </c>
      <c r="AJ327" s="77"/>
      <c r="AK327" s="77"/>
      <c r="AL327" s="77"/>
      <c r="AM327" s="77"/>
      <c r="AN327" s="77"/>
      <c r="AO327" s="77"/>
      <c r="AP327" s="77"/>
      <c r="AQ327" s="77" t="s">
        <v>3628</v>
      </c>
      <c r="AR327" s="77"/>
      <c r="AS327" s="77"/>
      <c r="AT327" s="77"/>
      <c r="AU327" s="77"/>
      <c r="AV327" s="80" t="str">
        <f>HYPERLINK("https://pbs.twimg.com/media/FnRFZPpX0BsJm9_.jpg")</f>
        <v>https://pbs.twimg.com/media/FnRFZPpX0BsJm9_.jpg</v>
      </c>
      <c r="AW327" s="82" t="s">
        <v>4382</v>
      </c>
      <c r="AX327" s="82" t="s">
        <v>4382</v>
      </c>
      <c r="AY327" s="77"/>
      <c r="AZ327" s="82" t="s">
        <v>5075</v>
      </c>
      <c r="BA327" s="82" t="s">
        <v>5075</v>
      </c>
      <c r="BB327" s="82" t="s">
        <v>5075</v>
      </c>
      <c r="BC327" s="82" t="s">
        <v>4382</v>
      </c>
      <c r="BD327" s="77">
        <v>109091764</v>
      </c>
      <c r="BE327" s="77"/>
      <c r="BF327" s="77"/>
      <c r="BG327" s="77"/>
      <c r="BH327" s="77"/>
      <c r="BI327" s="77"/>
    </row>
    <row r="328" spans="1:61" x14ac:dyDescent="0.25">
      <c r="A328" s="62" t="s">
        <v>362</v>
      </c>
      <c r="B328" s="62" t="s">
        <v>362</v>
      </c>
      <c r="C328" s="63"/>
      <c r="D328" s="64"/>
      <c r="E328" s="65"/>
      <c r="F328" s="66"/>
      <c r="G328" s="63"/>
      <c r="H328" s="67"/>
      <c r="I328" s="68"/>
      <c r="J328" s="68"/>
      <c r="K328" s="32"/>
      <c r="L328" s="75">
        <v>328</v>
      </c>
      <c r="M328" s="75"/>
      <c r="N328" s="70"/>
      <c r="O328" s="77" t="s">
        <v>179</v>
      </c>
      <c r="P328" s="79">
        <v>45084.541678240741</v>
      </c>
      <c r="Q328" s="77" t="s">
        <v>862</v>
      </c>
      <c r="R328" s="77">
        <v>1</v>
      </c>
      <c r="S328" s="77">
        <v>3</v>
      </c>
      <c r="T328" s="77">
        <v>1</v>
      </c>
      <c r="U328" s="77">
        <v>0</v>
      </c>
      <c r="V328" s="77">
        <v>390</v>
      </c>
      <c r="W328" s="82" t="s">
        <v>1689</v>
      </c>
      <c r="X328" s="77"/>
      <c r="Y328" s="77"/>
      <c r="Z328" s="77"/>
      <c r="AA328" s="77"/>
      <c r="AB328" s="77"/>
      <c r="AC328" s="82" t="s">
        <v>2639</v>
      </c>
      <c r="AD328" s="77" t="s">
        <v>2670</v>
      </c>
      <c r="AE328" s="80" t="str">
        <f>HYPERLINK("https://twitter.com/organizze/status/1666429805741629440")</f>
        <v>https://twitter.com/organizze/status/1666429805741629440</v>
      </c>
      <c r="AF328" s="79">
        <v>45084.541678240741</v>
      </c>
      <c r="AG328" s="85">
        <v>45084</v>
      </c>
      <c r="AH328" s="82" t="s">
        <v>2969</v>
      </c>
      <c r="AI328" s="77"/>
      <c r="AJ328" s="77"/>
      <c r="AK328" s="77"/>
      <c r="AL328" s="77"/>
      <c r="AM328" s="77"/>
      <c r="AN328" s="77"/>
      <c r="AO328" s="77"/>
      <c r="AP328" s="77"/>
      <c r="AQ328" s="77"/>
      <c r="AR328" s="77"/>
      <c r="AS328" s="77"/>
      <c r="AT328" s="77"/>
      <c r="AU328" s="77"/>
      <c r="AV328" s="80" t="str">
        <f>HYPERLINK("https://pbs.twimg.com/profile_images/1654470883371565058/UJIlAYCp_normal.jpg")</f>
        <v>https://pbs.twimg.com/profile_images/1654470883371565058/UJIlAYCp_normal.jpg</v>
      </c>
      <c r="AW328" s="82" t="s">
        <v>4383</v>
      </c>
      <c r="AX328" s="82" t="s">
        <v>4383</v>
      </c>
      <c r="AY328" s="77"/>
      <c r="AZ328" s="82" t="s">
        <v>5075</v>
      </c>
      <c r="BA328" s="82" t="s">
        <v>5075</v>
      </c>
      <c r="BB328" s="82" t="s">
        <v>5075</v>
      </c>
      <c r="BC328" s="82" t="s">
        <v>4383</v>
      </c>
      <c r="BD328" s="77">
        <v>109091764</v>
      </c>
      <c r="BE328" s="77"/>
      <c r="BF328" s="77"/>
      <c r="BG328" s="77"/>
      <c r="BH328" s="77"/>
      <c r="BI328" s="77"/>
    </row>
    <row r="329" spans="1:61" x14ac:dyDescent="0.25">
      <c r="A329" s="62" t="s">
        <v>362</v>
      </c>
      <c r="B329" s="62" t="s">
        <v>362</v>
      </c>
      <c r="C329" s="63"/>
      <c r="D329" s="64"/>
      <c r="E329" s="65"/>
      <c r="F329" s="66"/>
      <c r="G329" s="63"/>
      <c r="H329" s="67"/>
      <c r="I329" s="68"/>
      <c r="J329" s="68"/>
      <c r="K329" s="32"/>
      <c r="L329" s="75">
        <v>329</v>
      </c>
      <c r="M329" s="75"/>
      <c r="N329" s="70"/>
      <c r="O329" s="77" t="s">
        <v>179</v>
      </c>
      <c r="P329" s="79">
        <v>45131.490682870368</v>
      </c>
      <c r="Q329" s="77" t="s">
        <v>863</v>
      </c>
      <c r="R329" s="77">
        <v>1</v>
      </c>
      <c r="S329" s="77">
        <v>4</v>
      </c>
      <c r="T329" s="77">
        <v>0</v>
      </c>
      <c r="U329" s="77">
        <v>0</v>
      </c>
      <c r="V329" s="77">
        <v>378</v>
      </c>
      <c r="W329" s="82" t="s">
        <v>1690</v>
      </c>
      <c r="X329" s="77"/>
      <c r="Y329" s="77"/>
      <c r="Z329" s="77"/>
      <c r="AA329" s="77"/>
      <c r="AB329" s="77"/>
      <c r="AC329" s="82" t="s">
        <v>2640</v>
      </c>
      <c r="AD329" s="77" t="s">
        <v>2670</v>
      </c>
      <c r="AE329" s="80" t="str">
        <f>HYPERLINK("https://twitter.com/organizze/status/1683443558764756992")</f>
        <v>https://twitter.com/organizze/status/1683443558764756992</v>
      </c>
      <c r="AF329" s="79">
        <v>45131.490682870368</v>
      </c>
      <c r="AG329" s="85">
        <v>45131</v>
      </c>
      <c r="AH329" s="82" t="s">
        <v>2970</v>
      </c>
      <c r="AI329" s="77"/>
      <c r="AJ329" s="77"/>
      <c r="AK329" s="77"/>
      <c r="AL329" s="77"/>
      <c r="AM329" s="77"/>
      <c r="AN329" s="77"/>
      <c r="AO329" s="77"/>
      <c r="AP329" s="77"/>
      <c r="AQ329" s="77"/>
      <c r="AR329" s="77"/>
      <c r="AS329" s="77"/>
      <c r="AT329" s="77"/>
      <c r="AU329" s="77"/>
      <c r="AV329" s="80" t="str">
        <f>HYPERLINK("https://pbs.twimg.com/profile_images/1654470883371565058/UJIlAYCp_normal.jpg")</f>
        <v>https://pbs.twimg.com/profile_images/1654470883371565058/UJIlAYCp_normal.jpg</v>
      </c>
      <c r="AW329" s="82" t="s">
        <v>4384</v>
      </c>
      <c r="AX329" s="82" t="s">
        <v>4384</v>
      </c>
      <c r="AY329" s="77"/>
      <c r="AZ329" s="82" t="s">
        <v>5075</v>
      </c>
      <c r="BA329" s="82" t="s">
        <v>5075</v>
      </c>
      <c r="BB329" s="82" t="s">
        <v>5075</v>
      </c>
      <c r="BC329" s="82" t="s">
        <v>4384</v>
      </c>
      <c r="BD329" s="77">
        <v>109091764</v>
      </c>
      <c r="BE329" s="77"/>
      <c r="BF329" s="77"/>
      <c r="BG329" s="77"/>
      <c r="BH329" s="77"/>
      <c r="BI329" s="77"/>
    </row>
    <row r="330" spans="1:61" x14ac:dyDescent="0.25">
      <c r="A330" s="62" t="s">
        <v>363</v>
      </c>
      <c r="B330" s="62" t="s">
        <v>362</v>
      </c>
      <c r="C330" s="63"/>
      <c r="D330" s="64"/>
      <c r="E330" s="65"/>
      <c r="F330" s="66"/>
      <c r="G330" s="63"/>
      <c r="H330" s="67"/>
      <c r="I330" s="68"/>
      <c r="J330" s="68"/>
      <c r="K330" s="32"/>
      <c r="L330" s="75">
        <v>330</v>
      </c>
      <c r="M330" s="75"/>
      <c r="N330" s="70"/>
      <c r="O330" s="77" t="s">
        <v>539</v>
      </c>
      <c r="P330" s="79">
        <v>44957.559687499997</v>
      </c>
      <c r="Q330" s="77" t="s">
        <v>864</v>
      </c>
      <c r="R330" s="77">
        <v>1</v>
      </c>
      <c r="S330" s="77">
        <v>6</v>
      </c>
      <c r="T330" s="77">
        <v>3</v>
      </c>
      <c r="U330" s="77">
        <v>1</v>
      </c>
      <c r="V330" s="77">
        <v>618</v>
      </c>
      <c r="W330" s="77"/>
      <c r="X330" s="77"/>
      <c r="Y330" s="77"/>
      <c r="Z330" s="77" t="s">
        <v>362</v>
      </c>
      <c r="AA330" s="77" t="s">
        <v>2200</v>
      </c>
      <c r="AB330" s="77" t="s">
        <v>2637</v>
      </c>
      <c r="AC330" s="82" t="s">
        <v>2639</v>
      </c>
      <c r="AD330" s="77" t="s">
        <v>2670</v>
      </c>
      <c r="AE330" s="80" t="str">
        <f>HYPERLINK("https://twitter.com/twetthiago/status/1620413076167327746")</f>
        <v>https://twitter.com/twetthiago/status/1620413076167327746</v>
      </c>
      <c r="AF330" s="79">
        <v>44957.559687499997</v>
      </c>
      <c r="AG330" s="85">
        <v>44957</v>
      </c>
      <c r="AH330" s="82" t="s">
        <v>2971</v>
      </c>
      <c r="AI330" s="77" t="b">
        <v>0</v>
      </c>
      <c r="AJ330" s="77"/>
      <c r="AK330" s="77"/>
      <c r="AL330" s="77"/>
      <c r="AM330" s="77"/>
      <c r="AN330" s="77"/>
      <c r="AO330" s="77"/>
      <c r="AP330" s="77"/>
      <c r="AQ330" s="77" t="s">
        <v>3629</v>
      </c>
      <c r="AR330" s="77"/>
      <c r="AS330" s="77"/>
      <c r="AT330" s="77"/>
      <c r="AU330" s="77"/>
      <c r="AV330" s="80" t="str">
        <f>HYPERLINK("https://pbs.twimg.com/tweet_video_thumb/FnzdFxJaIAAw2th.jpg")</f>
        <v>https://pbs.twimg.com/tweet_video_thumb/FnzdFxJaIAAw2th.jpg</v>
      </c>
      <c r="AW330" s="82" t="s">
        <v>4385</v>
      </c>
      <c r="AX330" s="82" t="s">
        <v>4385</v>
      </c>
      <c r="AY330" s="77"/>
      <c r="AZ330" s="82" t="s">
        <v>5075</v>
      </c>
      <c r="BA330" s="82" t="s">
        <v>5075</v>
      </c>
      <c r="BB330" s="82" t="s">
        <v>5075</v>
      </c>
      <c r="BC330" s="82" t="s">
        <v>4385</v>
      </c>
      <c r="BD330" s="77">
        <v>31728843</v>
      </c>
      <c r="BE330" s="77"/>
      <c r="BF330" s="77"/>
      <c r="BG330" s="77"/>
      <c r="BH330" s="77"/>
      <c r="BI330" s="77"/>
    </row>
    <row r="331" spans="1:61" x14ac:dyDescent="0.25">
      <c r="A331" s="62" t="s">
        <v>364</v>
      </c>
      <c r="B331" s="62" t="s">
        <v>362</v>
      </c>
      <c r="C331" s="63"/>
      <c r="D331" s="64"/>
      <c r="E331" s="65"/>
      <c r="F331" s="66"/>
      <c r="G331" s="63"/>
      <c r="H331" s="67"/>
      <c r="I331" s="68"/>
      <c r="J331" s="68"/>
      <c r="K331" s="32"/>
      <c r="L331" s="75">
        <v>331</v>
      </c>
      <c r="M331" s="75"/>
      <c r="N331" s="70"/>
      <c r="O331" s="77" t="s">
        <v>538</v>
      </c>
      <c r="P331" s="79">
        <v>44968.877141203702</v>
      </c>
      <c r="Q331" s="77" t="s">
        <v>865</v>
      </c>
      <c r="R331" s="77">
        <v>0</v>
      </c>
      <c r="S331" s="77">
        <v>1</v>
      </c>
      <c r="T331" s="77">
        <v>0</v>
      </c>
      <c r="U331" s="77">
        <v>0</v>
      </c>
      <c r="V331" s="77">
        <v>122</v>
      </c>
      <c r="W331" s="82" t="s">
        <v>1691</v>
      </c>
      <c r="X331" s="77"/>
      <c r="Y331" s="77"/>
      <c r="Z331" s="77"/>
      <c r="AA331" s="77"/>
      <c r="AB331" s="77"/>
      <c r="AC331" s="82" t="s">
        <v>2640</v>
      </c>
      <c r="AD331" s="77" t="s">
        <v>2675</v>
      </c>
      <c r="AE331" s="80" t="str">
        <f>HYPERLINK("https://twitter.com/anderson77i/status/1624514384671244290")</f>
        <v>https://twitter.com/anderson77i/status/1624514384671244290</v>
      </c>
      <c r="AF331" s="79">
        <v>44968.877141203702</v>
      </c>
      <c r="AG331" s="85">
        <v>44968</v>
      </c>
      <c r="AH331" s="82" t="s">
        <v>2972</v>
      </c>
      <c r="AI331" s="77"/>
      <c r="AJ331" s="77"/>
      <c r="AK331" s="77"/>
      <c r="AL331" s="77"/>
      <c r="AM331" s="77"/>
      <c r="AN331" s="77"/>
      <c r="AO331" s="77"/>
      <c r="AP331" s="77"/>
      <c r="AQ331" s="77"/>
      <c r="AR331" s="77"/>
      <c r="AS331" s="77"/>
      <c r="AT331" s="77"/>
      <c r="AU331" s="77"/>
      <c r="AV331" s="80" t="str">
        <f>HYPERLINK("https://pbs.twimg.com/profile_images/1240403189016469505/sNkpq40K_normal.jpg")</f>
        <v>https://pbs.twimg.com/profile_images/1240403189016469505/sNkpq40K_normal.jpg</v>
      </c>
      <c r="AW331" s="82" t="s">
        <v>4386</v>
      </c>
      <c r="AX331" s="82" t="s">
        <v>4386</v>
      </c>
      <c r="AY331" s="77"/>
      <c r="AZ331" s="82" t="s">
        <v>5075</v>
      </c>
      <c r="BA331" s="82" t="s">
        <v>4382</v>
      </c>
      <c r="BB331" s="82" t="s">
        <v>5075</v>
      </c>
      <c r="BC331" s="82" t="s">
        <v>4382</v>
      </c>
      <c r="BD331" s="77">
        <v>15514372</v>
      </c>
      <c r="BE331" s="77"/>
      <c r="BF331" s="77"/>
      <c r="BG331" s="77"/>
      <c r="BH331" s="77"/>
      <c r="BI331" s="77"/>
    </row>
    <row r="332" spans="1:61" x14ac:dyDescent="0.25">
      <c r="A332" s="62" t="s">
        <v>364</v>
      </c>
      <c r="B332" s="62" t="s">
        <v>363</v>
      </c>
      <c r="C332" s="63"/>
      <c r="D332" s="64"/>
      <c r="E332" s="65"/>
      <c r="F332" s="66"/>
      <c r="G332" s="63"/>
      <c r="H332" s="67"/>
      <c r="I332" s="68"/>
      <c r="J332" s="68"/>
      <c r="K332" s="32"/>
      <c r="L332" s="75">
        <v>332</v>
      </c>
      <c r="M332" s="75"/>
      <c r="N332" s="70"/>
      <c r="O332" s="77" t="s">
        <v>538</v>
      </c>
      <c r="P332" s="79">
        <v>44968.876805555556</v>
      </c>
      <c r="Q332" s="77" t="s">
        <v>865</v>
      </c>
      <c r="R332" s="77">
        <v>0</v>
      </c>
      <c r="S332" s="77">
        <v>0</v>
      </c>
      <c r="T332" s="77">
        <v>0</v>
      </c>
      <c r="U332" s="77">
        <v>0</v>
      </c>
      <c r="V332" s="77">
        <v>88</v>
      </c>
      <c r="W332" s="82" t="s">
        <v>1691</v>
      </c>
      <c r="X332" s="77"/>
      <c r="Y332" s="77"/>
      <c r="Z332" s="77"/>
      <c r="AA332" s="77"/>
      <c r="AB332" s="77"/>
      <c r="AC332" s="82" t="s">
        <v>2640</v>
      </c>
      <c r="AD332" s="77" t="s">
        <v>2675</v>
      </c>
      <c r="AE332" s="80" t="str">
        <f>HYPERLINK("https://twitter.com/anderson77i/status/1624514259701886976")</f>
        <v>https://twitter.com/anderson77i/status/1624514259701886976</v>
      </c>
      <c r="AF332" s="79">
        <v>44968.876805555556</v>
      </c>
      <c r="AG332" s="85">
        <v>44968</v>
      </c>
      <c r="AH332" s="82" t="s">
        <v>2973</v>
      </c>
      <c r="AI332" s="77"/>
      <c r="AJ332" s="77"/>
      <c r="AK332" s="77"/>
      <c r="AL332" s="77"/>
      <c r="AM332" s="77"/>
      <c r="AN332" s="77"/>
      <c r="AO332" s="77"/>
      <c r="AP332" s="77"/>
      <c r="AQ332" s="77"/>
      <c r="AR332" s="77"/>
      <c r="AS332" s="77"/>
      <c r="AT332" s="77"/>
      <c r="AU332" s="77"/>
      <c r="AV332" s="80" t="str">
        <f>HYPERLINK("https://pbs.twimg.com/profile_images/1240403189016469505/sNkpq40K_normal.jpg")</f>
        <v>https://pbs.twimg.com/profile_images/1240403189016469505/sNkpq40K_normal.jpg</v>
      </c>
      <c r="AW332" s="82" t="s">
        <v>4387</v>
      </c>
      <c r="AX332" s="82" t="s">
        <v>4387</v>
      </c>
      <c r="AY332" s="77"/>
      <c r="AZ332" s="82" t="s">
        <v>5075</v>
      </c>
      <c r="BA332" s="82" t="s">
        <v>4385</v>
      </c>
      <c r="BB332" s="82" t="s">
        <v>5075</v>
      </c>
      <c r="BC332" s="82" t="s">
        <v>4385</v>
      </c>
      <c r="BD332" s="77">
        <v>15514372</v>
      </c>
      <c r="BE332" s="77"/>
      <c r="BF332" s="77"/>
      <c r="BG332" s="77"/>
      <c r="BH332" s="77"/>
      <c r="BI332" s="77"/>
    </row>
    <row r="333" spans="1:61" x14ac:dyDescent="0.25">
      <c r="A333" s="62" t="s">
        <v>365</v>
      </c>
      <c r="B333" s="62" t="s">
        <v>365</v>
      </c>
      <c r="C333" s="63"/>
      <c r="D333" s="64"/>
      <c r="E333" s="65"/>
      <c r="F333" s="66"/>
      <c r="G333" s="63"/>
      <c r="H333" s="67"/>
      <c r="I333" s="68"/>
      <c r="J333" s="68"/>
      <c r="K333" s="32"/>
      <c r="L333" s="75">
        <v>333</v>
      </c>
      <c r="M333" s="75"/>
      <c r="N333" s="70"/>
      <c r="O333" s="77" t="s">
        <v>179</v>
      </c>
      <c r="P333" s="79">
        <v>45003.833622685182</v>
      </c>
      <c r="Q333" s="77" t="s">
        <v>866</v>
      </c>
      <c r="R333" s="77">
        <v>0</v>
      </c>
      <c r="S333" s="77">
        <v>4</v>
      </c>
      <c r="T333" s="77">
        <v>0</v>
      </c>
      <c r="U333" s="77">
        <v>1</v>
      </c>
      <c r="V333" s="77">
        <v>1096</v>
      </c>
      <c r="W333" s="82" t="s">
        <v>1692</v>
      </c>
      <c r="X333" s="80" t="str">
        <f>HYPERLINK("https://mla.bs/41ee5b69")</f>
        <v>https://mla.bs/41ee5b69</v>
      </c>
      <c r="Y333" s="77" t="s">
        <v>1989</v>
      </c>
      <c r="Z333" s="77"/>
      <c r="AA333" s="77"/>
      <c r="AB333" s="77"/>
      <c r="AC333" s="82" t="s">
        <v>2642</v>
      </c>
      <c r="AD333" s="77" t="s">
        <v>2670</v>
      </c>
      <c r="AE333" s="80" t="str">
        <f>HYPERLINK("https://twitter.com/einvestidor/status/1637182188201418754")</f>
        <v>https://twitter.com/einvestidor/status/1637182188201418754</v>
      </c>
      <c r="AF333" s="79">
        <v>45003.833622685182</v>
      </c>
      <c r="AG333" s="85">
        <v>45003</v>
      </c>
      <c r="AH333" s="82" t="s">
        <v>2974</v>
      </c>
      <c r="AI333" s="77" t="b">
        <v>0</v>
      </c>
      <c r="AJ333" s="77"/>
      <c r="AK333" s="77"/>
      <c r="AL333" s="77"/>
      <c r="AM333" s="77"/>
      <c r="AN333" s="77"/>
      <c r="AO333" s="77"/>
      <c r="AP333" s="77"/>
      <c r="AQ333" s="77"/>
      <c r="AR333" s="77"/>
      <c r="AS333" s="77"/>
      <c r="AT333" s="77"/>
      <c r="AU333" s="77"/>
      <c r="AV333" s="80" t="str">
        <f>HYPERLINK("https://pbs.twimg.com/profile_images/1241147984924082183/gZgx_hL-_normal.jpg")</f>
        <v>https://pbs.twimg.com/profile_images/1241147984924082183/gZgx_hL-_normal.jpg</v>
      </c>
      <c r="AW333" s="82" t="s">
        <v>4388</v>
      </c>
      <c r="AX333" s="82" t="s">
        <v>4388</v>
      </c>
      <c r="AY333" s="77"/>
      <c r="AZ333" s="82" t="s">
        <v>5075</v>
      </c>
      <c r="BA333" s="82" t="s">
        <v>5075</v>
      </c>
      <c r="BB333" s="82" t="s">
        <v>5075</v>
      </c>
      <c r="BC333" s="82" t="s">
        <v>4388</v>
      </c>
      <c r="BD333" s="82" t="s">
        <v>5198</v>
      </c>
      <c r="BE333" s="77"/>
      <c r="BF333" s="77"/>
      <c r="BG333" s="77"/>
      <c r="BH333" s="77"/>
      <c r="BI333" s="77"/>
    </row>
    <row r="334" spans="1:61" x14ac:dyDescent="0.25">
      <c r="A334" s="62" t="s">
        <v>364</v>
      </c>
      <c r="B334" s="62" t="s">
        <v>365</v>
      </c>
      <c r="C334" s="63"/>
      <c r="D334" s="64"/>
      <c r="E334" s="65"/>
      <c r="F334" s="66"/>
      <c r="G334" s="63"/>
      <c r="H334" s="67"/>
      <c r="I334" s="68"/>
      <c r="J334" s="68"/>
      <c r="K334" s="32"/>
      <c r="L334" s="75">
        <v>334</v>
      </c>
      <c r="M334" s="75"/>
      <c r="N334" s="70"/>
      <c r="O334" s="77" t="s">
        <v>538</v>
      </c>
      <c r="P334" s="79">
        <v>45003.852268518516</v>
      </c>
      <c r="Q334" s="77" t="s">
        <v>867</v>
      </c>
      <c r="R334" s="77">
        <v>0</v>
      </c>
      <c r="S334" s="77">
        <v>0</v>
      </c>
      <c r="T334" s="77">
        <v>0</v>
      </c>
      <c r="U334" s="77">
        <v>0</v>
      </c>
      <c r="V334" s="77">
        <v>54</v>
      </c>
      <c r="W334" s="82" t="s">
        <v>1693</v>
      </c>
      <c r="X334" s="77"/>
      <c r="Y334" s="77"/>
      <c r="Z334" s="77"/>
      <c r="AA334" s="77"/>
      <c r="AB334" s="77"/>
      <c r="AC334" s="82" t="s">
        <v>2640</v>
      </c>
      <c r="AD334" s="77" t="s">
        <v>2675</v>
      </c>
      <c r="AE334" s="80" t="str">
        <f>HYPERLINK("https://twitter.com/anderson77i/status/1637188945132810240")</f>
        <v>https://twitter.com/anderson77i/status/1637188945132810240</v>
      </c>
      <c r="AF334" s="79">
        <v>45003.852268518516</v>
      </c>
      <c r="AG334" s="85">
        <v>45003</v>
      </c>
      <c r="AH334" s="82" t="s">
        <v>2975</v>
      </c>
      <c r="AI334" s="77"/>
      <c r="AJ334" s="77"/>
      <c r="AK334" s="77"/>
      <c r="AL334" s="77"/>
      <c r="AM334" s="77"/>
      <c r="AN334" s="77"/>
      <c r="AO334" s="77"/>
      <c r="AP334" s="77"/>
      <c r="AQ334" s="77"/>
      <c r="AR334" s="77"/>
      <c r="AS334" s="77"/>
      <c r="AT334" s="77"/>
      <c r="AU334" s="77"/>
      <c r="AV334" s="80" t="str">
        <f>HYPERLINK("https://pbs.twimg.com/profile_images/1240403189016469505/sNkpq40K_normal.jpg")</f>
        <v>https://pbs.twimg.com/profile_images/1240403189016469505/sNkpq40K_normal.jpg</v>
      </c>
      <c r="AW334" s="82" t="s">
        <v>4389</v>
      </c>
      <c r="AX334" s="82" t="s">
        <v>4389</v>
      </c>
      <c r="AY334" s="77"/>
      <c r="AZ334" s="82" t="s">
        <v>5075</v>
      </c>
      <c r="BA334" s="82" t="s">
        <v>4388</v>
      </c>
      <c r="BB334" s="82" t="s">
        <v>5075</v>
      </c>
      <c r="BC334" s="82" t="s">
        <v>4388</v>
      </c>
      <c r="BD334" s="77">
        <v>15514372</v>
      </c>
      <c r="BE334" s="77"/>
      <c r="BF334" s="77"/>
      <c r="BG334" s="77"/>
      <c r="BH334" s="77"/>
      <c r="BI334" s="77"/>
    </row>
    <row r="335" spans="1:61" x14ac:dyDescent="0.25">
      <c r="A335" s="62" t="s">
        <v>366</v>
      </c>
      <c r="B335" s="62" t="s">
        <v>366</v>
      </c>
      <c r="C335" s="63"/>
      <c r="D335" s="64"/>
      <c r="E335" s="65"/>
      <c r="F335" s="66"/>
      <c r="G335" s="63"/>
      <c r="H335" s="67"/>
      <c r="I335" s="68"/>
      <c r="J335" s="68"/>
      <c r="K335" s="32"/>
      <c r="L335" s="75">
        <v>335</v>
      </c>
      <c r="M335" s="75"/>
      <c r="N335" s="70"/>
      <c r="O335" s="77" t="s">
        <v>179</v>
      </c>
      <c r="P335" s="79">
        <v>44930.572118055556</v>
      </c>
      <c r="Q335" s="77" t="s">
        <v>868</v>
      </c>
      <c r="R335" s="77">
        <v>0</v>
      </c>
      <c r="S335" s="77">
        <v>0</v>
      </c>
      <c r="T335" s="77">
        <v>0</v>
      </c>
      <c r="U335" s="77">
        <v>0</v>
      </c>
      <c r="V335" s="77">
        <v>13</v>
      </c>
      <c r="W335" s="82" t="s">
        <v>1694</v>
      </c>
      <c r="X335" s="80" t="str">
        <f>HYPERLINK("https://www.instagram.com/p/Cm_s_4qLZED/?igshid=YTgzYjQ4ZTY=")</f>
        <v>https://www.instagram.com/p/Cm_s_4qLZED/?igshid=YTgzYjQ4ZTY=</v>
      </c>
      <c r="Y335" s="77" t="s">
        <v>1974</v>
      </c>
      <c r="Z335" s="77"/>
      <c r="AA335" s="77"/>
      <c r="AB335" s="77"/>
      <c r="AC335" s="82" t="s">
        <v>2644</v>
      </c>
      <c r="AD335" s="77" t="s">
        <v>2670</v>
      </c>
      <c r="AE335" s="80" t="str">
        <f>HYPERLINK("https://twitter.com/alanabetioli/status/1610633107291635713")</f>
        <v>https://twitter.com/alanabetioli/status/1610633107291635713</v>
      </c>
      <c r="AF335" s="79">
        <v>44930.572118055556</v>
      </c>
      <c r="AG335" s="85">
        <v>44930</v>
      </c>
      <c r="AH335" s="82" t="s">
        <v>2976</v>
      </c>
      <c r="AI335" s="77" t="b">
        <v>0</v>
      </c>
      <c r="AJ335" s="77"/>
      <c r="AK335" s="77"/>
      <c r="AL335" s="77"/>
      <c r="AM335" s="77"/>
      <c r="AN335" s="77"/>
      <c r="AO335" s="77"/>
      <c r="AP335" s="77"/>
      <c r="AQ335" s="77"/>
      <c r="AR335" s="77"/>
      <c r="AS335" s="77"/>
      <c r="AT335" s="77"/>
      <c r="AU335" s="77"/>
      <c r="AV335" s="80" t="str">
        <f>HYPERLINK("https://pbs.twimg.com/profile_images/1445121959998676997/3o2fwAA-_normal.jpg")</f>
        <v>https://pbs.twimg.com/profile_images/1445121959998676997/3o2fwAA-_normal.jpg</v>
      </c>
      <c r="AW335" s="82" t="s">
        <v>4390</v>
      </c>
      <c r="AX335" s="82" t="s">
        <v>4390</v>
      </c>
      <c r="AY335" s="77"/>
      <c r="AZ335" s="82" t="s">
        <v>5075</v>
      </c>
      <c r="BA335" s="82" t="s">
        <v>5075</v>
      </c>
      <c r="BB335" s="82" t="s">
        <v>5075</v>
      </c>
      <c r="BC335" s="82" t="s">
        <v>4390</v>
      </c>
      <c r="BD335" s="77">
        <v>101408356</v>
      </c>
      <c r="BE335" s="77"/>
      <c r="BF335" s="77"/>
      <c r="BG335" s="77"/>
      <c r="BH335" s="77"/>
      <c r="BI335" s="77"/>
    </row>
    <row r="336" spans="1:61" x14ac:dyDescent="0.25">
      <c r="A336" s="62" t="s">
        <v>366</v>
      </c>
      <c r="B336" s="62" t="s">
        <v>366</v>
      </c>
      <c r="C336" s="63"/>
      <c r="D336" s="64"/>
      <c r="E336" s="65"/>
      <c r="F336" s="66"/>
      <c r="G336" s="63"/>
      <c r="H336" s="67"/>
      <c r="I336" s="68"/>
      <c r="J336" s="68"/>
      <c r="K336" s="32"/>
      <c r="L336" s="75">
        <v>336</v>
      </c>
      <c r="M336" s="75"/>
      <c r="N336" s="70"/>
      <c r="O336" s="77" t="s">
        <v>179</v>
      </c>
      <c r="P336" s="79">
        <v>44994.627314814818</v>
      </c>
      <c r="Q336" s="77" t="s">
        <v>869</v>
      </c>
      <c r="R336" s="77">
        <v>0</v>
      </c>
      <c r="S336" s="77">
        <v>0</v>
      </c>
      <c r="T336" s="77">
        <v>0</v>
      </c>
      <c r="U336" s="77">
        <v>0</v>
      </c>
      <c r="V336" s="77">
        <v>3</v>
      </c>
      <c r="W336" s="82" t="s">
        <v>1695</v>
      </c>
      <c r="X336" s="80" t="str">
        <f>HYPERLINK("https://www.instagram.com/p/Cpko99Nr5u0/?igshid=YTgzYjQ4ZTY=")</f>
        <v>https://www.instagram.com/p/Cpko99Nr5u0/?igshid=YTgzYjQ4ZTY=</v>
      </c>
      <c r="Y336" s="77" t="s">
        <v>1974</v>
      </c>
      <c r="Z336" s="77"/>
      <c r="AA336" s="77"/>
      <c r="AB336" s="77"/>
      <c r="AC336" s="82" t="s">
        <v>2644</v>
      </c>
      <c r="AD336" s="77" t="s">
        <v>2670</v>
      </c>
      <c r="AE336" s="80" t="str">
        <f>HYPERLINK("https://twitter.com/alanabetioli/status/1633845934974185472")</f>
        <v>https://twitter.com/alanabetioli/status/1633845934974185472</v>
      </c>
      <c r="AF336" s="79">
        <v>44994.627314814818</v>
      </c>
      <c r="AG336" s="85">
        <v>44994</v>
      </c>
      <c r="AH336" s="82" t="s">
        <v>2977</v>
      </c>
      <c r="AI336" s="77" t="b">
        <v>0</v>
      </c>
      <c r="AJ336" s="77"/>
      <c r="AK336" s="77"/>
      <c r="AL336" s="77"/>
      <c r="AM336" s="77"/>
      <c r="AN336" s="77"/>
      <c r="AO336" s="77"/>
      <c r="AP336" s="77"/>
      <c r="AQ336" s="77"/>
      <c r="AR336" s="77"/>
      <c r="AS336" s="77"/>
      <c r="AT336" s="77"/>
      <c r="AU336" s="77"/>
      <c r="AV336" s="80" t="str">
        <f>HYPERLINK("https://pbs.twimg.com/profile_images/1445121959998676997/3o2fwAA-_normal.jpg")</f>
        <v>https://pbs.twimg.com/profile_images/1445121959998676997/3o2fwAA-_normal.jpg</v>
      </c>
      <c r="AW336" s="82" t="s">
        <v>4391</v>
      </c>
      <c r="AX336" s="82" t="s">
        <v>4391</v>
      </c>
      <c r="AY336" s="77"/>
      <c r="AZ336" s="82" t="s">
        <v>5075</v>
      </c>
      <c r="BA336" s="82" t="s">
        <v>5075</v>
      </c>
      <c r="BB336" s="82" t="s">
        <v>5075</v>
      </c>
      <c r="BC336" s="82" t="s">
        <v>4391</v>
      </c>
      <c r="BD336" s="77">
        <v>101408356</v>
      </c>
      <c r="BE336" s="77"/>
      <c r="BF336" s="77"/>
      <c r="BG336" s="77"/>
      <c r="BH336" s="77"/>
      <c r="BI336" s="77"/>
    </row>
    <row r="337" spans="1:61" x14ac:dyDescent="0.25">
      <c r="A337" s="62" t="s">
        <v>366</v>
      </c>
      <c r="B337" s="62" t="s">
        <v>366</v>
      </c>
      <c r="C337" s="63"/>
      <c r="D337" s="64"/>
      <c r="E337" s="65"/>
      <c r="F337" s="66"/>
      <c r="G337" s="63"/>
      <c r="H337" s="67"/>
      <c r="I337" s="68"/>
      <c r="J337" s="68"/>
      <c r="K337" s="32"/>
      <c r="L337" s="75">
        <v>337</v>
      </c>
      <c r="M337" s="75"/>
      <c r="N337" s="70"/>
      <c r="O337" s="77" t="s">
        <v>179</v>
      </c>
      <c r="P337" s="79">
        <v>44944.70925925926</v>
      </c>
      <c r="Q337" s="77" t="s">
        <v>870</v>
      </c>
      <c r="R337" s="77">
        <v>0</v>
      </c>
      <c r="S337" s="77">
        <v>0</v>
      </c>
      <c r="T337" s="77">
        <v>0</v>
      </c>
      <c r="U337" s="77">
        <v>0</v>
      </c>
      <c r="V337" s="77">
        <v>10</v>
      </c>
      <c r="W337" s="82" t="s">
        <v>1696</v>
      </c>
      <c r="X337" s="80" t="str">
        <f>HYPERLINK("https://www.instagram.com/p/CnkGuoCpLgW/?igshid=YTgzYjQ4ZTY=")</f>
        <v>https://www.instagram.com/p/CnkGuoCpLgW/?igshid=YTgzYjQ4ZTY=</v>
      </c>
      <c r="Y337" s="77" t="s">
        <v>1974</v>
      </c>
      <c r="Z337" s="77"/>
      <c r="AA337" s="77"/>
      <c r="AB337" s="77"/>
      <c r="AC337" s="82" t="s">
        <v>2644</v>
      </c>
      <c r="AD337" s="77" t="s">
        <v>2670</v>
      </c>
      <c r="AE337" s="80" t="str">
        <f>HYPERLINK("https://twitter.com/alanabetioli/status/1615756237529927681")</f>
        <v>https://twitter.com/alanabetioli/status/1615756237529927681</v>
      </c>
      <c r="AF337" s="79">
        <v>44944.70925925926</v>
      </c>
      <c r="AG337" s="85">
        <v>44944</v>
      </c>
      <c r="AH337" s="82" t="s">
        <v>2978</v>
      </c>
      <c r="AI337" s="77" t="b">
        <v>0</v>
      </c>
      <c r="AJ337" s="77"/>
      <c r="AK337" s="77"/>
      <c r="AL337" s="77"/>
      <c r="AM337" s="77"/>
      <c r="AN337" s="77"/>
      <c r="AO337" s="77"/>
      <c r="AP337" s="77"/>
      <c r="AQ337" s="77"/>
      <c r="AR337" s="77"/>
      <c r="AS337" s="77"/>
      <c r="AT337" s="77"/>
      <c r="AU337" s="77"/>
      <c r="AV337" s="80" t="str">
        <f>HYPERLINK("https://pbs.twimg.com/profile_images/1445121959998676997/3o2fwAA-_normal.jpg")</f>
        <v>https://pbs.twimg.com/profile_images/1445121959998676997/3o2fwAA-_normal.jpg</v>
      </c>
      <c r="AW337" s="82" t="s">
        <v>4392</v>
      </c>
      <c r="AX337" s="82" t="s">
        <v>4392</v>
      </c>
      <c r="AY337" s="77"/>
      <c r="AZ337" s="82" t="s">
        <v>5075</v>
      </c>
      <c r="BA337" s="82" t="s">
        <v>5075</v>
      </c>
      <c r="BB337" s="82" t="s">
        <v>5075</v>
      </c>
      <c r="BC337" s="82" t="s">
        <v>4392</v>
      </c>
      <c r="BD337" s="77">
        <v>101408356</v>
      </c>
      <c r="BE337" s="77"/>
      <c r="BF337" s="77"/>
      <c r="BG337" s="77"/>
      <c r="BH337" s="77"/>
      <c r="BI337" s="77"/>
    </row>
    <row r="338" spans="1:61" x14ac:dyDescent="0.25">
      <c r="A338" s="62" t="s">
        <v>367</v>
      </c>
      <c r="B338" s="62" t="s">
        <v>367</v>
      </c>
      <c r="C338" s="63"/>
      <c r="D338" s="64"/>
      <c r="E338" s="65"/>
      <c r="F338" s="66"/>
      <c r="G338" s="63"/>
      <c r="H338" s="67"/>
      <c r="I338" s="68"/>
      <c r="J338" s="68"/>
      <c r="K338" s="32"/>
      <c r="L338" s="75">
        <v>338</v>
      </c>
      <c r="M338" s="75"/>
      <c r="N338" s="70"/>
      <c r="O338" s="77" t="s">
        <v>179</v>
      </c>
      <c r="P338" s="79">
        <v>44995.500358796293</v>
      </c>
      <c r="Q338" s="77" t="s">
        <v>871</v>
      </c>
      <c r="R338" s="77">
        <v>0</v>
      </c>
      <c r="S338" s="77">
        <v>0</v>
      </c>
      <c r="T338" s="77">
        <v>0</v>
      </c>
      <c r="U338" s="77">
        <v>0</v>
      </c>
      <c r="V338" s="77">
        <v>8</v>
      </c>
      <c r="W338" s="82" t="s">
        <v>1697</v>
      </c>
      <c r="X338" s="80" t="str">
        <f>HYPERLINK("https://www.linkedin.com/company/chatguru")</f>
        <v>https://www.linkedin.com/company/chatguru</v>
      </c>
      <c r="Y338" s="77" t="s">
        <v>1988</v>
      </c>
      <c r="Z338" s="77"/>
      <c r="AA338" s="77" t="s">
        <v>2201</v>
      </c>
      <c r="AB338" s="77" t="s">
        <v>2632</v>
      </c>
      <c r="AC338" s="82" t="s">
        <v>2642</v>
      </c>
      <c r="AD338" s="77" t="s">
        <v>2670</v>
      </c>
      <c r="AE338" s="80" t="str">
        <f>HYPERLINK("https://twitter.com/chatguruoficial/status/1634162311836344325")</f>
        <v>https://twitter.com/chatguruoficial/status/1634162311836344325</v>
      </c>
      <c r="AF338" s="79">
        <v>44995.500358796293</v>
      </c>
      <c r="AG338" s="85">
        <v>44995</v>
      </c>
      <c r="AH338" s="82" t="s">
        <v>2979</v>
      </c>
      <c r="AI338" s="77" t="b">
        <v>0</v>
      </c>
      <c r="AJ338" s="77"/>
      <c r="AK338" s="77"/>
      <c r="AL338" s="77"/>
      <c r="AM338" s="77"/>
      <c r="AN338" s="77"/>
      <c r="AO338" s="77"/>
      <c r="AP338" s="77"/>
      <c r="AQ338" s="77" t="s">
        <v>3630</v>
      </c>
      <c r="AR338" s="77"/>
      <c r="AS338" s="77"/>
      <c r="AT338" s="77"/>
      <c r="AU338" s="77"/>
      <c r="AV338" s="80" t="str">
        <f>HYPERLINK("https://pbs.twimg.com/media/Fq219mSXgAAh1Go.jpg")</f>
        <v>https://pbs.twimg.com/media/Fq219mSXgAAh1Go.jpg</v>
      </c>
      <c r="AW338" s="82" t="s">
        <v>4393</v>
      </c>
      <c r="AX338" s="82" t="s">
        <v>4393</v>
      </c>
      <c r="AY338" s="77"/>
      <c r="AZ338" s="82" t="s">
        <v>5075</v>
      </c>
      <c r="BA338" s="82" t="s">
        <v>5075</v>
      </c>
      <c r="BB338" s="82" t="s">
        <v>5075</v>
      </c>
      <c r="BC338" s="82" t="s">
        <v>4393</v>
      </c>
      <c r="BD338" s="82" t="s">
        <v>5199</v>
      </c>
      <c r="BE338" s="77"/>
      <c r="BF338" s="77"/>
      <c r="BG338" s="77"/>
      <c r="BH338" s="77"/>
      <c r="BI338" s="77"/>
    </row>
    <row r="339" spans="1:61" x14ac:dyDescent="0.25">
      <c r="A339" s="62" t="s">
        <v>368</v>
      </c>
      <c r="B339" s="62" t="s">
        <v>368</v>
      </c>
      <c r="C339" s="63"/>
      <c r="D339" s="64"/>
      <c r="E339" s="65"/>
      <c r="F339" s="66"/>
      <c r="G339" s="63"/>
      <c r="H339" s="67"/>
      <c r="I339" s="68"/>
      <c r="J339" s="68"/>
      <c r="K339" s="32"/>
      <c r="L339" s="75">
        <v>339</v>
      </c>
      <c r="M339" s="75"/>
      <c r="N339" s="70"/>
      <c r="O339" s="77" t="s">
        <v>179</v>
      </c>
      <c r="P339" s="79">
        <v>45081.69425925926</v>
      </c>
      <c r="Q339" s="77" t="s">
        <v>872</v>
      </c>
      <c r="R339" s="77">
        <v>0</v>
      </c>
      <c r="S339" s="77">
        <v>0</v>
      </c>
      <c r="T339" s="77">
        <v>0</v>
      </c>
      <c r="U339" s="77">
        <v>0</v>
      </c>
      <c r="V339" s="77">
        <v>21</v>
      </c>
      <c r="W339" s="82" t="s">
        <v>1698</v>
      </c>
      <c r="X339" s="77"/>
      <c r="Y339" s="77"/>
      <c r="Z339" s="77"/>
      <c r="AA339" s="77"/>
      <c r="AB339" s="77"/>
      <c r="AC339" s="82" t="s">
        <v>2639</v>
      </c>
      <c r="AD339" s="77" t="s">
        <v>2670</v>
      </c>
      <c r="AE339" s="80" t="str">
        <f>HYPERLINK("https://twitter.com/rsloureiro_/status/1665397939269783554")</f>
        <v>https://twitter.com/rsloureiro_/status/1665397939269783554</v>
      </c>
      <c r="AF339" s="79">
        <v>45081.69425925926</v>
      </c>
      <c r="AG339" s="85">
        <v>45081</v>
      </c>
      <c r="AH339" s="82" t="s">
        <v>2980</v>
      </c>
      <c r="AI339" s="77"/>
      <c r="AJ339" s="77"/>
      <c r="AK339" s="77"/>
      <c r="AL339" s="77"/>
      <c r="AM339" s="77"/>
      <c r="AN339" s="77"/>
      <c r="AO339" s="77"/>
      <c r="AP339" s="77"/>
      <c r="AQ339" s="77"/>
      <c r="AR339" s="77"/>
      <c r="AS339" s="77"/>
      <c r="AT339" s="77"/>
      <c r="AU339" s="77"/>
      <c r="AV339" s="80" t="str">
        <f>HYPERLINK("https://pbs.twimg.com/profile_images/1256698403502862336/DHsHV06g_normal.jpg")</f>
        <v>https://pbs.twimg.com/profile_images/1256698403502862336/DHsHV06g_normal.jpg</v>
      </c>
      <c r="AW339" s="82" t="s">
        <v>4394</v>
      </c>
      <c r="AX339" s="82" t="s">
        <v>4394</v>
      </c>
      <c r="AY339" s="77"/>
      <c r="AZ339" s="82" t="s">
        <v>5075</v>
      </c>
      <c r="BA339" s="82" t="s">
        <v>5075</v>
      </c>
      <c r="BB339" s="82" t="s">
        <v>5075</v>
      </c>
      <c r="BC339" s="82" t="s">
        <v>4394</v>
      </c>
      <c r="BD339" s="77">
        <v>44055402</v>
      </c>
      <c r="BE339" s="77"/>
      <c r="BF339" s="77"/>
      <c r="BG339" s="77"/>
      <c r="BH339" s="77"/>
      <c r="BI339" s="77"/>
    </row>
    <row r="340" spans="1:61" x14ac:dyDescent="0.25">
      <c r="A340" s="62" t="s">
        <v>369</v>
      </c>
      <c r="B340" s="62" t="s">
        <v>369</v>
      </c>
      <c r="C340" s="63"/>
      <c r="D340" s="64"/>
      <c r="E340" s="65"/>
      <c r="F340" s="66"/>
      <c r="G340" s="63"/>
      <c r="H340" s="67"/>
      <c r="I340" s="68"/>
      <c r="J340" s="68"/>
      <c r="K340" s="32"/>
      <c r="L340" s="75">
        <v>340</v>
      </c>
      <c r="M340" s="75"/>
      <c r="N340" s="70"/>
      <c r="O340" s="77" t="s">
        <v>536</v>
      </c>
      <c r="P340" s="79">
        <v>44956.628819444442</v>
      </c>
      <c r="Q340" s="77" t="s">
        <v>873</v>
      </c>
      <c r="R340" s="77">
        <v>0</v>
      </c>
      <c r="S340" s="77">
        <v>0</v>
      </c>
      <c r="T340" s="77">
        <v>0</v>
      </c>
      <c r="U340" s="77">
        <v>0</v>
      </c>
      <c r="V340" s="77">
        <v>3</v>
      </c>
      <c r="W340" s="82" t="s">
        <v>1699</v>
      </c>
      <c r="X340" s="77"/>
      <c r="Y340" s="77"/>
      <c r="Z340" s="77"/>
      <c r="AA340" s="77"/>
      <c r="AB340" s="77"/>
      <c r="AC340" s="82" t="s">
        <v>2639</v>
      </c>
      <c r="AD340" s="77" t="s">
        <v>2670</v>
      </c>
      <c r="AE340" s="80" t="str">
        <f>HYPERLINK("https://twitter.com/bravacapital/status/1620075738472026113")</f>
        <v>https://twitter.com/bravacapital/status/1620075738472026113</v>
      </c>
      <c r="AF340" s="79">
        <v>44956.628819444442</v>
      </c>
      <c r="AG340" s="85">
        <v>44956</v>
      </c>
      <c r="AH340" s="82" t="s">
        <v>2981</v>
      </c>
      <c r="AI340" s="77"/>
      <c r="AJ340" s="77"/>
      <c r="AK340" s="77"/>
      <c r="AL340" s="77"/>
      <c r="AM340" s="77"/>
      <c r="AN340" s="77"/>
      <c r="AO340" s="77"/>
      <c r="AP340" s="77"/>
      <c r="AQ340" s="77"/>
      <c r="AR340" s="77"/>
      <c r="AS340" s="77"/>
      <c r="AT340" s="77"/>
      <c r="AU340" s="77"/>
      <c r="AV340" s="80" t="str">
        <f>HYPERLINK("https://pbs.twimg.com/profile_images/1298975014939774977/iMbZTqwR_normal.jpg")</f>
        <v>https://pbs.twimg.com/profile_images/1298975014939774977/iMbZTqwR_normal.jpg</v>
      </c>
      <c r="AW340" s="82" t="s">
        <v>4395</v>
      </c>
      <c r="AX340" s="82" t="s">
        <v>4988</v>
      </c>
      <c r="AY340" s="82" t="s">
        <v>5049</v>
      </c>
      <c r="AZ340" s="82" t="s">
        <v>4988</v>
      </c>
      <c r="BA340" s="82" t="s">
        <v>5075</v>
      </c>
      <c r="BB340" s="82" t="s">
        <v>5075</v>
      </c>
      <c r="BC340" s="82" t="s">
        <v>4988</v>
      </c>
      <c r="BD340" s="77">
        <v>209578308</v>
      </c>
      <c r="BE340" s="77"/>
      <c r="BF340" s="77"/>
      <c r="BG340" s="77"/>
      <c r="BH340" s="77"/>
      <c r="BI340" s="77"/>
    </row>
    <row r="341" spans="1:61" x14ac:dyDescent="0.25">
      <c r="A341" s="62" t="s">
        <v>369</v>
      </c>
      <c r="B341" s="62" t="s">
        <v>369</v>
      </c>
      <c r="C341" s="63"/>
      <c r="D341" s="64"/>
      <c r="E341" s="65"/>
      <c r="F341" s="66"/>
      <c r="G341" s="63"/>
      <c r="H341" s="67"/>
      <c r="I341" s="68"/>
      <c r="J341" s="68"/>
      <c r="K341" s="32"/>
      <c r="L341" s="75">
        <v>341</v>
      </c>
      <c r="M341" s="75"/>
      <c r="N341" s="70"/>
      <c r="O341" s="77" t="s">
        <v>536</v>
      </c>
      <c r="P341" s="79">
        <v>44949.610439814816</v>
      </c>
      <c r="Q341" s="77" t="s">
        <v>874</v>
      </c>
      <c r="R341" s="77">
        <v>0</v>
      </c>
      <c r="S341" s="77">
        <v>0</v>
      </c>
      <c r="T341" s="77">
        <v>0</v>
      </c>
      <c r="U341" s="77">
        <v>0</v>
      </c>
      <c r="V341" s="77">
        <v>2</v>
      </c>
      <c r="W341" s="82" t="s">
        <v>1700</v>
      </c>
      <c r="X341" s="77"/>
      <c r="Y341" s="77"/>
      <c r="Z341" s="77"/>
      <c r="AA341" s="77"/>
      <c r="AB341" s="77"/>
      <c r="AC341" s="82" t="s">
        <v>2639</v>
      </c>
      <c r="AD341" s="77" t="s">
        <v>2670</v>
      </c>
      <c r="AE341" s="80" t="str">
        <f>HYPERLINK("https://twitter.com/bravacapital/status/1617532365387223040")</f>
        <v>https://twitter.com/bravacapital/status/1617532365387223040</v>
      </c>
      <c r="AF341" s="79">
        <v>44949.610439814816</v>
      </c>
      <c r="AG341" s="85">
        <v>44949</v>
      </c>
      <c r="AH341" s="82" t="s">
        <v>2982</v>
      </c>
      <c r="AI341" s="77"/>
      <c r="AJ341" s="77"/>
      <c r="AK341" s="77"/>
      <c r="AL341" s="77"/>
      <c r="AM341" s="77"/>
      <c r="AN341" s="77"/>
      <c r="AO341" s="77"/>
      <c r="AP341" s="77"/>
      <c r="AQ341" s="77"/>
      <c r="AR341" s="77"/>
      <c r="AS341" s="77"/>
      <c r="AT341" s="77"/>
      <c r="AU341" s="77"/>
      <c r="AV341" s="80" t="str">
        <f>HYPERLINK("https://pbs.twimg.com/profile_images/1298975014939774977/iMbZTqwR_normal.jpg")</f>
        <v>https://pbs.twimg.com/profile_images/1298975014939774977/iMbZTqwR_normal.jpg</v>
      </c>
      <c r="AW341" s="82" t="s">
        <v>4396</v>
      </c>
      <c r="AX341" s="82" t="s">
        <v>4989</v>
      </c>
      <c r="AY341" s="82" t="s">
        <v>5049</v>
      </c>
      <c r="AZ341" s="82" t="s">
        <v>4989</v>
      </c>
      <c r="BA341" s="82" t="s">
        <v>5075</v>
      </c>
      <c r="BB341" s="82" t="s">
        <v>5075</v>
      </c>
      <c r="BC341" s="82" t="s">
        <v>4989</v>
      </c>
      <c r="BD341" s="77">
        <v>209578308</v>
      </c>
      <c r="BE341" s="77"/>
      <c r="BF341" s="77"/>
      <c r="BG341" s="77"/>
      <c r="BH341" s="77"/>
      <c r="BI341" s="77"/>
    </row>
    <row r="342" spans="1:61" x14ac:dyDescent="0.25">
      <c r="A342" s="62" t="s">
        <v>369</v>
      </c>
      <c r="B342" s="62" t="s">
        <v>369</v>
      </c>
      <c r="C342" s="63"/>
      <c r="D342" s="64"/>
      <c r="E342" s="65"/>
      <c r="F342" s="66"/>
      <c r="G342" s="63"/>
      <c r="H342" s="67"/>
      <c r="I342" s="68"/>
      <c r="J342" s="68"/>
      <c r="K342" s="32"/>
      <c r="L342" s="75">
        <v>342</v>
      </c>
      <c r="M342" s="75"/>
      <c r="N342" s="70"/>
      <c r="O342" s="77" t="s">
        <v>536</v>
      </c>
      <c r="P342" s="79">
        <v>44979.711018518516</v>
      </c>
      <c r="Q342" s="77" t="s">
        <v>875</v>
      </c>
      <c r="R342" s="77">
        <v>0</v>
      </c>
      <c r="S342" s="77">
        <v>0</v>
      </c>
      <c r="T342" s="77">
        <v>0</v>
      </c>
      <c r="U342" s="77">
        <v>0</v>
      </c>
      <c r="V342" s="77"/>
      <c r="W342" s="82" t="s">
        <v>1701</v>
      </c>
      <c r="X342" s="77"/>
      <c r="Y342" s="77"/>
      <c r="Z342" s="77"/>
      <c r="AA342" s="77"/>
      <c r="AB342" s="77"/>
      <c r="AC342" s="82" t="s">
        <v>2639</v>
      </c>
      <c r="AD342" s="77" t="s">
        <v>2675</v>
      </c>
      <c r="AE342" s="80" t="str">
        <f>HYPERLINK("https://twitter.com/bravacapital/status/1628440447990243329")</f>
        <v>https://twitter.com/bravacapital/status/1628440447990243329</v>
      </c>
      <c r="AF342" s="79">
        <v>44979.711018518516</v>
      </c>
      <c r="AG342" s="85">
        <v>44979</v>
      </c>
      <c r="AH342" s="82" t="s">
        <v>2983</v>
      </c>
      <c r="AI342" s="77"/>
      <c r="AJ342" s="77"/>
      <c r="AK342" s="77"/>
      <c r="AL342" s="77"/>
      <c r="AM342" s="77"/>
      <c r="AN342" s="77"/>
      <c r="AO342" s="77"/>
      <c r="AP342" s="77"/>
      <c r="AQ342" s="77"/>
      <c r="AR342" s="77"/>
      <c r="AS342" s="77"/>
      <c r="AT342" s="77"/>
      <c r="AU342" s="77"/>
      <c r="AV342" s="80" t="str">
        <f>HYPERLINK("https://pbs.twimg.com/profile_images/1298975014939774977/iMbZTqwR_normal.jpg")</f>
        <v>https://pbs.twimg.com/profile_images/1298975014939774977/iMbZTqwR_normal.jpg</v>
      </c>
      <c r="AW342" s="82" t="s">
        <v>4397</v>
      </c>
      <c r="AX342" s="82" t="s">
        <v>4990</v>
      </c>
      <c r="AY342" s="82" t="s">
        <v>5049</v>
      </c>
      <c r="AZ342" s="82" t="s">
        <v>5102</v>
      </c>
      <c r="BA342" s="82" t="s">
        <v>5075</v>
      </c>
      <c r="BB342" s="82" t="s">
        <v>5075</v>
      </c>
      <c r="BC342" s="82" t="s">
        <v>5102</v>
      </c>
      <c r="BD342" s="77">
        <v>209578308</v>
      </c>
      <c r="BE342" s="77"/>
      <c r="BF342" s="77"/>
      <c r="BG342" s="77"/>
      <c r="BH342" s="77"/>
      <c r="BI342" s="77"/>
    </row>
    <row r="343" spans="1:61" x14ac:dyDescent="0.25">
      <c r="A343" s="62" t="s">
        <v>369</v>
      </c>
      <c r="B343" s="62" t="s">
        <v>369</v>
      </c>
      <c r="C343" s="63"/>
      <c r="D343" s="64"/>
      <c r="E343" s="65"/>
      <c r="F343" s="66"/>
      <c r="G343" s="63"/>
      <c r="H343" s="67"/>
      <c r="I343" s="68"/>
      <c r="J343" s="68"/>
      <c r="K343" s="32"/>
      <c r="L343" s="75">
        <v>343</v>
      </c>
      <c r="M343" s="75"/>
      <c r="N343" s="70"/>
      <c r="O343" s="77" t="s">
        <v>536</v>
      </c>
      <c r="P343" s="79">
        <v>45075.820347222223</v>
      </c>
      <c r="Q343" s="77" t="s">
        <v>876</v>
      </c>
      <c r="R343" s="77">
        <v>0</v>
      </c>
      <c r="S343" s="77">
        <v>0</v>
      </c>
      <c r="T343" s="77">
        <v>0</v>
      </c>
      <c r="U343" s="77">
        <v>0</v>
      </c>
      <c r="V343" s="77">
        <v>5</v>
      </c>
      <c r="W343" s="82" t="s">
        <v>1702</v>
      </c>
      <c r="X343" s="77"/>
      <c r="Y343" s="77"/>
      <c r="Z343" s="77"/>
      <c r="AA343" s="77"/>
      <c r="AB343" s="77"/>
      <c r="AC343" s="82" t="s">
        <v>2639</v>
      </c>
      <c r="AD343" s="77" t="s">
        <v>2670</v>
      </c>
      <c r="AE343" s="80" t="str">
        <f>HYPERLINK("https://twitter.com/bravacapital/status/1663269304836542465")</f>
        <v>https://twitter.com/bravacapital/status/1663269304836542465</v>
      </c>
      <c r="AF343" s="79">
        <v>45075.820347222223</v>
      </c>
      <c r="AG343" s="85">
        <v>45075</v>
      </c>
      <c r="AH343" s="82" t="s">
        <v>2984</v>
      </c>
      <c r="AI343" s="77"/>
      <c r="AJ343" s="77"/>
      <c r="AK343" s="77"/>
      <c r="AL343" s="77"/>
      <c r="AM343" s="77"/>
      <c r="AN343" s="77"/>
      <c r="AO343" s="77"/>
      <c r="AP343" s="77"/>
      <c r="AQ343" s="77"/>
      <c r="AR343" s="77"/>
      <c r="AS343" s="77"/>
      <c r="AT343" s="77"/>
      <c r="AU343" s="77"/>
      <c r="AV343" s="80" t="str">
        <f>HYPERLINK("https://pbs.twimg.com/profile_images/1298975014939774977/iMbZTqwR_normal.jpg")</f>
        <v>https://pbs.twimg.com/profile_images/1298975014939774977/iMbZTqwR_normal.jpg</v>
      </c>
      <c r="AW343" s="82" t="s">
        <v>4398</v>
      </c>
      <c r="AX343" s="82" t="s">
        <v>4991</v>
      </c>
      <c r="AY343" s="82" t="s">
        <v>5049</v>
      </c>
      <c r="AZ343" s="82" t="s">
        <v>4991</v>
      </c>
      <c r="BA343" s="82" t="s">
        <v>5075</v>
      </c>
      <c r="BB343" s="82" t="s">
        <v>5075</v>
      </c>
      <c r="BC343" s="82" t="s">
        <v>4991</v>
      </c>
      <c r="BD343" s="77">
        <v>209578308</v>
      </c>
      <c r="BE343" s="77"/>
      <c r="BF343" s="77"/>
      <c r="BG343" s="77"/>
      <c r="BH343" s="77"/>
      <c r="BI343" s="77"/>
    </row>
    <row r="344" spans="1:61" x14ac:dyDescent="0.25">
      <c r="A344" s="62" t="s">
        <v>369</v>
      </c>
      <c r="B344" s="62" t="s">
        <v>369</v>
      </c>
      <c r="C344" s="63"/>
      <c r="D344" s="64"/>
      <c r="E344" s="65"/>
      <c r="F344" s="66"/>
      <c r="G344" s="63"/>
      <c r="H344" s="67"/>
      <c r="I344" s="68"/>
      <c r="J344" s="68"/>
      <c r="K344" s="32"/>
      <c r="L344" s="75">
        <v>344</v>
      </c>
      <c r="M344" s="75"/>
      <c r="N344" s="70"/>
      <c r="O344" s="77" t="s">
        <v>536</v>
      </c>
      <c r="P344" s="79">
        <v>44942.645127314812</v>
      </c>
      <c r="Q344" s="77" t="s">
        <v>877</v>
      </c>
      <c r="R344" s="77">
        <v>0</v>
      </c>
      <c r="S344" s="77">
        <v>0</v>
      </c>
      <c r="T344" s="77">
        <v>0</v>
      </c>
      <c r="U344" s="77">
        <v>0</v>
      </c>
      <c r="V344" s="77">
        <v>10</v>
      </c>
      <c r="W344" s="82" t="s">
        <v>1703</v>
      </c>
      <c r="X344" s="77"/>
      <c r="Y344" s="77"/>
      <c r="Z344" s="77"/>
      <c r="AA344" s="77"/>
      <c r="AB344" s="77"/>
      <c r="AC344" s="82" t="s">
        <v>2639</v>
      </c>
      <c r="AD344" s="77" t="s">
        <v>2670</v>
      </c>
      <c r="AE344" s="80" t="str">
        <f>HYPERLINK("https://twitter.com/bravacapital/status/1615008217280708608")</f>
        <v>https://twitter.com/bravacapital/status/1615008217280708608</v>
      </c>
      <c r="AF344" s="79">
        <v>44942.645127314812</v>
      </c>
      <c r="AG344" s="85">
        <v>44942</v>
      </c>
      <c r="AH344" s="82" t="s">
        <v>2985</v>
      </c>
      <c r="AI344" s="77"/>
      <c r="AJ344" s="77"/>
      <c r="AK344" s="77"/>
      <c r="AL344" s="77"/>
      <c r="AM344" s="77"/>
      <c r="AN344" s="77"/>
      <c r="AO344" s="77"/>
      <c r="AP344" s="77"/>
      <c r="AQ344" s="77"/>
      <c r="AR344" s="77"/>
      <c r="AS344" s="77"/>
      <c r="AT344" s="77"/>
      <c r="AU344" s="77"/>
      <c r="AV344" s="80" t="str">
        <f>HYPERLINK("https://pbs.twimg.com/profile_images/1298975014939774977/iMbZTqwR_normal.jpg")</f>
        <v>https://pbs.twimg.com/profile_images/1298975014939774977/iMbZTqwR_normal.jpg</v>
      </c>
      <c r="AW344" s="82" t="s">
        <v>4399</v>
      </c>
      <c r="AX344" s="82" t="s">
        <v>4992</v>
      </c>
      <c r="AY344" s="82" t="s">
        <v>5049</v>
      </c>
      <c r="AZ344" s="82" t="s">
        <v>5103</v>
      </c>
      <c r="BA344" s="82" t="s">
        <v>5075</v>
      </c>
      <c r="BB344" s="82" t="s">
        <v>5075</v>
      </c>
      <c r="BC344" s="82" t="s">
        <v>5103</v>
      </c>
      <c r="BD344" s="77">
        <v>209578308</v>
      </c>
      <c r="BE344" s="77"/>
      <c r="BF344" s="77"/>
      <c r="BG344" s="77"/>
      <c r="BH344" s="77"/>
      <c r="BI344" s="77"/>
    </row>
    <row r="345" spans="1:61" x14ac:dyDescent="0.25">
      <c r="A345" s="62" t="s">
        <v>369</v>
      </c>
      <c r="B345" s="62" t="s">
        <v>369</v>
      </c>
      <c r="C345" s="63"/>
      <c r="D345" s="64"/>
      <c r="E345" s="65"/>
      <c r="F345" s="66"/>
      <c r="G345" s="63"/>
      <c r="H345" s="67"/>
      <c r="I345" s="68"/>
      <c r="J345" s="68"/>
      <c r="K345" s="32"/>
      <c r="L345" s="75">
        <v>345</v>
      </c>
      <c r="M345" s="75"/>
      <c r="N345" s="70"/>
      <c r="O345" s="77" t="s">
        <v>536</v>
      </c>
      <c r="P345" s="79">
        <v>45096.764502314814</v>
      </c>
      <c r="Q345" s="77" t="s">
        <v>878</v>
      </c>
      <c r="R345" s="77">
        <v>0</v>
      </c>
      <c r="S345" s="77">
        <v>0</v>
      </c>
      <c r="T345" s="77">
        <v>0</v>
      </c>
      <c r="U345" s="77">
        <v>0</v>
      </c>
      <c r="V345" s="77">
        <v>6</v>
      </c>
      <c r="W345" s="82" t="s">
        <v>1704</v>
      </c>
      <c r="X345" s="77"/>
      <c r="Y345" s="77"/>
      <c r="Z345" s="77"/>
      <c r="AA345" s="77"/>
      <c r="AB345" s="77"/>
      <c r="AC345" s="82" t="s">
        <v>2639</v>
      </c>
      <c r="AD345" s="77" t="s">
        <v>2670</v>
      </c>
      <c r="AE345" s="80" t="str">
        <f>HYPERLINK("https://twitter.com/bravacapital/status/1670859211180331010")</f>
        <v>https://twitter.com/bravacapital/status/1670859211180331010</v>
      </c>
      <c r="AF345" s="79">
        <v>45096.764502314814</v>
      </c>
      <c r="AG345" s="85">
        <v>45096</v>
      </c>
      <c r="AH345" s="82" t="s">
        <v>2986</v>
      </c>
      <c r="AI345" s="77"/>
      <c r="AJ345" s="77"/>
      <c r="AK345" s="77"/>
      <c r="AL345" s="77"/>
      <c r="AM345" s="77"/>
      <c r="AN345" s="77"/>
      <c r="AO345" s="77"/>
      <c r="AP345" s="77"/>
      <c r="AQ345" s="77"/>
      <c r="AR345" s="77"/>
      <c r="AS345" s="77"/>
      <c r="AT345" s="77"/>
      <c r="AU345" s="77"/>
      <c r="AV345" s="80" t="str">
        <f>HYPERLINK("https://pbs.twimg.com/profile_images/1298975014939774977/iMbZTqwR_normal.jpg")</f>
        <v>https://pbs.twimg.com/profile_images/1298975014939774977/iMbZTqwR_normal.jpg</v>
      </c>
      <c r="AW345" s="82" t="s">
        <v>4400</v>
      </c>
      <c r="AX345" s="82" t="s">
        <v>4993</v>
      </c>
      <c r="AY345" s="82" t="s">
        <v>5049</v>
      </c>
      <c r="AZ345" s="82" t="s">
        <v>4993</v>
      </c>
      <c r="BA345" s="82" t="s">
        <v>5075</v>
      </c>
      <c r="BB345" s="82" t="s">
        <v>5075</v>
      </c>
      <c r="BC345" s="82" t="s">
        <v>4993</v>
      </c>
      <c r="BD345" s="77">
        <v>209578308</v>
      </c>
      <c r="BE345" s="77"/>
      <c r="BF345" s="77"/>
      <c r="BG345" s="77"/>
      <c r="BH345" s="77"/>
      <c r="BI345" s="77"/>
    </row>
    <row r="346" spans="1:61" x14ac:dyDescent="0.25">
      <c r="A346" s="62" t="s">
        <v>369</v>
      </c>
      <c r="B346" s="62" t="s">
        <v>369</v>
      </c>
      <c r="C346" s="63"/>
      <c r="D346" s="64"/>
      <c r="E346" s="65"/>
      <c r="F346" s="66"/>
      <c r="G346" s="63"/>
      <c r="H346" s="67"/>
      <c r="I346" s="68"/>
      <c r="J346" s="68"/>
      <c r="K346" s="32"/>
      <c r="L346" s="75">
        <v>346</v>
      </c>
      <c r="M346" s="75"/>
      <c r="N346" s="70"/>
      <c r="O346" s="77" t="s">
        <v>536</v>
      </c>
      <c r="P346" s="79">
        <v>44963.717326388891</v>
      </c>
      <c r="Q346" s="77" t="s">
        <v>879</v>
      </c>
      <c r="R346" s="77">
        <v>0</v>
      </c>
      <c r="S346" s="77">
        <v>0</v>
      </c>
      <c r="T346" s="77">
        <v>0</v>
      </c>
      <c r="U346" s="77">
        <v>0</v>
      </c>
      <c r="V346" s="77">
        <v>4</v>
      </c>
      <c r="W346" s="82" t="s">
        <v>1705</v>
      </c>
      <c r="X346" s="77"/>
      <c r="Y346" s="77"/>
      <c r="Z346" s="77"/>
      <c r="AA346" s="77"/>
      <c r="AB346" s="77"/>
      <c r="AC346" s="82" t="s">
        <v>2639</v>
      </c>
      <c r="AD346" s="77" t="s">
        <v>2670</v>
      </c>
      <c r="AE346" s="80" t="str">
        <f>HYPERLINK("https://twitter.com/bravacapital/status/1622644530016026626")</f>
        <v>https://twitter.com/bravacapital/status/1622644530016026626</v>
      </c>
      <c r="AF346" s="79">
        <v>44963.717326388891</v>
      </c>
      <c r="AG346" s="85">
        <v>44963</v>
      </c>
      <c r="AH346" s="82" t="s">
        <v>2987</v>
      </c>
      <c r="AI346" s="77"/>
      <c r="AJ346" s="77"/>
      <c r="AK346" s="77"/>
      <c r="AL346" s="77"/>
      <c r="AM346" s="77"/>
      <c r="AN346" s="77"/>
      <c r="AO346" s="77"/>
      <c r="AP346" s="77"/>
      <c r="AQ346" s="77"/>
      <c r="AR346" s="77"/>
      <c r="AS346" s="77"/>
      <c r="AT346" s="77"/>
      <c r="AU346" s="77"/>
      <c r="AV346" s="80" t="str">
        <f>HYPERLINK("https://pbs.twimg.com/profile_images/1298975014939774977/iMbZTqwR_normal.jpg")</f>
        <v>https://pbs.twimg.com/profile_images/1298975014939774977/iMbZTqwR_normal.jpg</v>
      </c>
      <c r="AW346" s="82" t="s">
        <v>4401</v>
      </c>
      <c r="AX346" s="82" t="s">
        <v>4994</v>
      </c>
      <c r="AY346" s="82" t="s">
        <v>5049</v>
      </c>
      <c r="AZ346" s="82" t="s">
        <v>5104</v>
      </c>
      <c r="BA346" s="82" t="s">
        <v>5075</v>
      </c>
      <c r="BB346" s="82" t="s">
        <v>5075</v>
      </c>
      <c r="BC346" s="82" t="s">
        <v>5104</v>
      </c>
      <c r="BD346" s="77">
        <v>209578308</v>
      </c>
      <c r="BE346" s="77"/>
      <c r="BF346" s="77"/>
      <c r="BG346" s="77"/>
      <c r="BH346" s="77"/>
      <c r="BI346" s="77"/>
    </row>
    <row r="347" spans="1:61" x14ac:dyDescent="0.25">
      <c r="A347" s="62" t="s">
        <v>370</v>
      </c>
      <c r="B347" s="62" t="s">
        <v>370</v>
      </c>
      <c r="C347" s="63"/>
      <c r="D347" s="64"/>
      <c r="E347" s="65"/>
      <c r="F347" s="66"/>
      <c r="G347" s="63"/>
      <c r="H347" s="67"/>
      <c r="I347" s="68"/>
      <c r="J347" s="68"/>
      <c r="K347" s="32"/>
      <c r="L347" s="75">
        <v>347</v>
      </c>
      <c r="M347" s="75"/>
      <c r="N347" s="70"/>
      <c r="O347" s="77" t="s">
        <v>179</v>
      </c>
      <c r="P347" s="79">
        <v>45125.460625</v>
      </c>
      <c r="Q347" s="77" t="s">
        <v>880</v>
      </c>
      <c r="R347" s="77">
        <v>0</v>
      </c>
      <c r="S347" s="77">
        <v>0</v>
      </c>
      <c r="T347" s="77">
        <v>0</v>
      </c>
      <c r="U347" s="77">
        <v>0</v>
      </c>
      <c r="V347" s="77">
        <v>22</v>
      </c>
      <c r="W347" s="82" t="s">
        <v>1546</v>
      </c>
      <c r="X347" s="77"/>
      <c r="Y347" s="77"/>
      <c r="Z347" s="77"/>
      <c r="AA347" s="77"/>
      <c r="AB347" s="77"/>
      <c r="AC347" s="82" t="s">
        <v>2639</v>
      </c>
      <c r="AD347" s="77" t="s">
        <v>2670</v>
      </c>
      <c r="AE347" s="80" t="str">
        <f>HYPERLINK("https://twitter.com/andrenegociosbr/status/1681258336333844480")</f>
        <v>https://twitter.com/andrenegociosbr/status/1681258336333844480</v>
      </c>
      <c r="AF347" s="79">
        <v>45125.460625</v>
      </c>
      <c r="AG347" s="85">
        <v>45125</v>
      </c>
      <c r="AH347" s="82" t="s">
        <v>2988</v>
      </c>
      <c r="AI347" s="77"/>
      <c r="AJ347" s="77"/>
      <c r="AK347" s="77"/>
      <c r="AL347" s="77"/>
      <c r="AM347" s="77"/>
      <c r="AN347" s="77"/>
      <c r="AO347" s="77"/>
      <c r="AP347" s="77"/>
      <c r="AQ347" s="77"/>
      <c r="AR347" s="77"/>
      <c r="AS347" s="77"/>
      <c r="AT347" s="77"/>
      <c r="AU347" s="77"/>
      <c r="AV347" s="80" t="str">
        <f>HYPERLINK("https://pbs.twimg.com/profile_images/1665669594776780809/oBKSQn5I_normal.jpg")</f>
        <v>https://pbs.twimg.com/profile_images/1665669594776780809/oBKSQn5I_normal.jpg</v>
      </c>
      <c r="AW347" s="82" t="s">
        <v>4402</v>
      </c>
      <c r="AX347" s="82" t="s">
        <v>4402</v>
      </c>
      <c r="AY347" s="77"/>
      <c r="AZ347" s="82" t="s">
        <v>5075</v>
      </c>
      <c r="BA347" s="82" t="s">
        <v>5075</v>
      </c>
      <c r="BB347" s="82" t="s">
        <v>5075</v>
      </c>
      <c r="BC347" s="82" t="s">
        <v>4402</v>
      </c>
      <c r="BD347" s="82" t="s">
        <v>5200</v>
      </c>
      <c r="BE347" s="77"/>
      <c r="BF347" s="77"/>
      <c r="BG347" s="77"/>
      <c r="BH347" s="77"/>
      <c r="BI347" s="77"/>
    </row>
    <row r="348" spans="1:61" x14ac:dyDescent="0.25">
      <c r="A348" s="62" t="s">
        <v>371</v>
      </c>
      <c r="B348" s="62" t="s">
        <v>371</v>
      </c>
      <c r="C348" s="63"/>
      <c r="D348" s="64"/>
      <c r="E348" s="65"/>
      <c r="F348" s="66"/>
      <c r="G348" s="63"/>
      <c r="H348" s="67"/>
      <c r="I348" s="68"/>
      <c r="J348" s="68"/>
      <c r="K348" s="32"/>
      <c r="L348" s="75">
        <v>348</v>
      </c>
      <c r="M348" s="75"/>
      <c r="N348" s="70"/>
      <c r="O348" s="77" t="s">
        <v>179</v>
      </c>
      <c r="P348" s="79">
        <v>45040.841064814813</v>
      </c>
      <c r="Q348" s="77" t="s">
        <v>881</v>
      </c>
      <c r="R348" s="77">
        <v>0</v>
      </c>
      <c r="S348" s="77">
        <v>0</v>
      </c>
      <c r="T348" s="77">
        <v>0</v>
      </c>
      <c r="U348" s="77">
        <v>0</v>
      </c>
      <c r="V348" s="77">
        <v>14</v>
      </c>
      <c r="W348" s="82" t="s">
        <v>1706</v>
      </c>
      <c r="X348" s="77"/>
      <c r="Y348" s="77"/>
      <c r="Z348" s="77"/>
      <c r="AA348" s="77" t="s">
        <v>2202</v>
      </c>
      <c r="AB348" s="77" t="s">
        <v>2632</v>
      </c>
      <c r="AC348" s="82" t="s">
        <v>2659</v>
      </c>
      <c r="AD348" s="77" t="s">
        <v>2670</v>
      </c>
      <c r="AE348" s="80" t="str">
        <f>HYPERLINK("https://twitter.com/kedmus_club/status/1650593233750073363")</f>
        <v>https://twitter.com/kedmus_club/status/1650593233750073363</v>
      </c>
      <c r="AF348" s="79">
        <v>45040.841064814813</v>
      </c>
      <c r="AG348" s="85">
        <v>45040</v>
      </c>
      <c r="AH348" s="82" t="s">
        <v>2989</v>
      </c>
      <c r="AI348" s="77" t="b">
        <v>0</v>
      </c>
      <c r="AJ348" s="77"/>
      <c r="AK348" s="77"/>
      <c r="AL348" s="77"/>
      <c r="AM348" s="77"/>
      <c r="AN348" s="77"/>
      <c r="AO348" s="77"/>
      <c r="AP348" s="77"/>
      <c r="AQ348" s="77" t="s">
        <v>3631</v>
      </c>
      <c r="AR348" s="77"/>
      <c r="AS348" s="77"/>
      <c r="AT348" s="77"/>
      <c r="AU348" s="77"/>
      <c r="AV348" s="80" t="str">
        <f>HYPERLINK("https://pbs.twimg.com/media/FugVzDQWIA4ut6g.jpg")</f>
        <v>https://pbs.twimg.com/media/FugVzDQWIA4ut6g.jpg</v>
      </c>
      <c r="AW348" s="82" t="s">
        <v>4403</v>
      </c>
      <c r="AX348" s="82" t="s">
        <v>4403</v>
      </c>
      <c r="AY348" s="77"/>
      <c r="AZ348" s="82" t="s">
        <v>5075</v>
      </c>
      <c r="BA348" s="82" t="s">
        <v>5075</v>
      </c>
      <c r="BB348" s="82" t="s">
        <v>5075</v>
      </c>
      <c r="BC348" s="82" t="s">
        <v>4403</v>
      </c>
      <c r="BD348" s="82" t="s">
        <v>5201</v>
      </c>
      <c r="BE348" s="77"/>
      <c r="BF348" s="77"/>
      <c r="BG348" s="77"/>
      <c r="BH348" s="77"/>
      <c r="BI348" s="77"/>
    </row>
    <row r="349" spans="1:61" x14ac:dyDescent="0.25">
      <c r="A349" s="62" t="s">
        <v>372</v>
      </c>
      <c r="B349" s="62" t="s">
        <v>372</v>
      </c>
      <c r="C349" s="63"/>
      <c r="D349" s="64"/>
      <c r="E349" s="65"/>
      <c r="F349" s="66"/>
      <c r="G349" s="63"/>
      <c r="H349" s="67"/>
      <c r="I349" s="68"/>
      <c r="J349" s="68"/>
      <c r="K349" s="32"/>
      <c r="L349" s="75">
        <v>349</v>
      </c>
      <c r="M349" s="75"/>
      <c r="N349" s="70"/>
      <c r="O349" s="77" t="s">
        <v>179</v>
      </c>
      <c r="P349" s="79">
        <v>45086.520868055559</v>
      </c>
      <c r="Q349" s="77" t="s">
        <v>882</v>
      </c>
      <c r="R349" s="77">
        <v>0</v>
      </c>
      <c r="S349" s="77">
        <v>0</v>
      </c>
      <c r="T349" s="77">
        <v>0</v>
      </c>
      <c r="U349" s="77">
        <v>0</v>
      </c>
      <c r="V349" s="77">
        <v>14</v>
      </c>
      <c r="W349" s="82" t="s">
        <v>1707</v>
      </c>
      <c r="X349" s="80" t="str">
        <f>HYPERLINK("https://wp.me/p5JI4H-4dQ")</f>
        <v>https://wp.me/p5JI4H-4dQ</v>
      </c>
      <c r="Y349" s="77" t="s">
        <v>1993</v>
      </c>
      <c r="Z349" s="77"/>
      <c r="AA349" s="77"/>
      <c r="AB349" s="77"/>
      <c r="AC349" s="82" t="s">
        <v>2660</v>
      </c>
      <c r="AD349" s="77" t="s">
        <v>2670</v>
      </c>
      <c r="AE349" s="80" t="str">
        <f>HYPERLINK("https://twitter.com/aulaplusbr/status/1667147042655817731")</f>
        <v>https://twitter.com/aulaplusbr/status/1667147042655817731</v>
      </c>
      <c r="AF349" s="79">
        <v>45086.520868055559</v>
      </c>
      <c r="AG349" s="85">
        <v>45086</v>
      </c>
      <c r="AH349" s="82" t="s">
        <v>2990</v>
      </c>
      <c r="AI349" s="77" t="b">
        <v>0</v>
      </c>
      <c r="AJ349" s="77"/>
      <c r="AK349" s="77"/>
      <c r="AL349" s="77"/>
      <c r="AM349" s="77"/>
      <c r="AN349" s="77"/>
      <c r="AO349" s="77"/>
      <c r="AP349" s="77"/>
      <c r="AQ349" s="77"/>
      <c r="AR349" s="77"/>
      <c r="AS349" s="77"/>
      <c r="AT349" s="77"/>
      <c r="AU349" s="77"/>
      <c r="AV349" s="80" t="str">
        <f>HYPERLINK("https://pbs.twimg.com/profile_images/1621996204325277699/phtn6C0w_normal.jpg")</f>
        <v>https://pbs.twimg.com/profile_images/1621996204325277699/phtn6C0w_normal.jpg</v>
      </c>
      <c r="AW349" s="82" t="s">
        <v>4404</v>
      </c>
      <c r="AX349" s="82" t="s">
        <v>4404</v>
      </c>
      <c r="AY349" s="77"/>
      <c r="AZ349" s="82" t="s">
        <v>5075</v>
      </c>
      <c r="BA349" s="82" t="s">
        <v>5075</v>
      </c>
      <c r="BB349" s="82" t="s">
        <v>5075</v>
      </c>
      <c r="BC349" s="82" t="s">
        <v>4404</v>
      </c>
      <c r="BD349" s="77">
        <v>37329759</v>
      </c>
      <c r="BE349" s="77"/>
      <c r="BF349" s="77"/>
      <c r="BG349" s="77"/>
      <c r="BH349" s="77"/>
      <c r="BI349" s="77"/>
    </row>
    <row r="350" spans="1:61" x14ac:dyDescent="0.25">
      <c r="A350" s="62" t="s">
        <v>372</v>
      </c>
      <c r="B350" s="62" t="s">
        <v>372</v>
      </c>
      <c r="C350" s="63"/>
      <c r="D350" s="64"/>
      <c r="E350" s="65"/>
      <c r="F350" s="66"/>
      <c r="G350" s="63"/>
      <c r="H350" s="67"/>
      <c r="I350" s="68"/>
      <c r="J350" s="68"/>
      <c r="K350" s="32"/>
      <c r="L350" s="75">
        <v>350</v>
      </c>
      <c r="M350" s="75"/>
      <c r="N350" s="70"/>
      <c r="O350" s="77" t="s">
        <v>179</v>
      </c>
      <c r="P350" s="79">
        <v>45095.187534722223</v>
      </c>
      <c r="Q350" s="77" t="s">
        <v>882</v>
      </c>
      <c r="R350" s="77">
        <v>0</v>
      </c>
      <c r="S350" s="77">
        <v>0</v>
      </c>
      <c r="T350" s="77">
        <v>0</v>
      </c>
      <c r="U350" s="77">
        <v>0</v>
      </c>
      <c r="V350" s="77">
        <v>10</v>
      </c>
      <c r="W350" s="82" t="s">
        <v>1707</v>
      </c>
      <c r="X350" s="80" t="str">
        <f>HYPERLINK("https://wp.me/p5JI4H-4dQ")</f>
        <v>https://wp.me/p5JI4H-4dQ</v>
      </c>
      <c r="Y350" s="77" t="s">
        <v>1993</v>
      </c>
      <c r="Z350" s="77"/>
      <c r="AA350" s="77"/>
      <c r="AB350" s="77"/>
      <c r="AC350" s="82" t="s">
        <v>2660</v>
      </c>
      <c r="AD350" s="77" t="s">
        <v>2670</v>
      </c>
      <c r="AE350" s="80" t="str">
        <f>HYPERLINK("https://twitter.com/aulaplusbr/status/1670287737415512065")</f>
        <v>https://twitter.com/aulaplusbr/status/1670287737415512065</v>
      </c>
      <c r="AF350" s="79">
        <v>45095.187534722223</v>
      </c>
      <c r="AG350" s="85">
        <v>45095</v>
      </c>
      <c r="AH350" s="82" t="s">
        <v>2991</v>
      </c>
      <c r="AI350" s="77" t="b">
        <v>0</v>
      </c>
      <c r="AJ350" s="77"/>
      <c r="AK350" s="77"/>
      <c r="AL350" s="77"/>
      <c r="AM350" s="77"/>
      <c r="AN350" s="77"/>
      <c r="AO350" s="77"/>
      <c r="AP350" s="77"/>
      <c r="AQ350" s="77"/>
      <c r="AR350" s="77"/>
      <c r="AS350" s="77"/>
      <c r="AT350" s="77"/>
      <c r="AU350" s="77"/>
      <c r="AV350" s="80" t="str">
        <f>HYPERLINK("https://pbs.twimg.com/profile_images/1621996204325277699/phtn6C0w_normal.jpg")</f>
        <v>https://pbs.twimg.com/profile_images/1621996204325277699/phtn6C0w_normal.jpg</v>
      </c>
      <c r="AW350" s="82" t="s">
        <v>4405</v>
      </c>
      <c r="AX350" s="82" t="s">
        <v>4405</v>
      </c>
      <c r="AY350" s="77"/>
      <c r="AZ350" s="82" t="s">
        <v>5075</v>
      </c>
      <c r="BA350" s="82" t="s">
        <v>5075</v>
      </c>
      <c r="BB350" s="82" t="s">
        <v>5075</v>
      </c>
      <c r="BC350" s="82" t="s">
        <v>4405</v>
      </c>
      <c r="BD350" s="77">
        <v>37329759</v>
      </c>
      <c r="BE350" s="77"/>
      <c r="BF350" s="77"/>
      <c r="BG350" s="77"/>
      <c r="BH350" s="77"/>
      <c r="BI350" s="77"/>
    </row>
    <row r="351" spans="1:61" x14ac:dyDescent="0.25">
      <c r="A351" s="62" t="s">
        <v>373</v>
      </c>
      <c r="B351" s="62" t="s">
        <v>373</v>
      </c>
      <c r="C351" s="63"/>
      <c r="D351" s="64"/>
      <c r="E351" s="65"/>
      <c r="F351" s="66"/>
      <c r="G351" s="63"/>
      <c r="H351" s="67"/>
      <c r="I351" s="68"/>
      <c r="J351" s="68"/>
      <c r="K351" s="32"/>
      <c r="L351" s="75">
        <v>351</v>
      </c>
      <c r="M351" s="75"/>
      <c r="N351" s="70"/>
      <c r="O351" s="77" t="s">
        <v>536</v>
      </c>
      <c r="P351" s="79">
        <v>45052.881041666667</v>
      </c>
      <c r="Q351" s="77" t="s">
        <v>883</v>
      </c>
      <c r="R351" s="77">
        <v>0</v>
      </c>
      <c r="S351" s="77">
        <v>0</v>
      </c>
      <c r="T351" s="77">
        <v>0</v>
      </c>
      <c r="U351" s="77">
        <v>0</v>
      </c>
      <c r="V351" s="77">
        <v>90</v>
      </c>
      <c r="W351" s="82" t="s">
        <v>1708</v>
      </c>
      <c r="X351" s="80" t="str">
        <f>HYPERLINK("https://sincronizze.com/controle-de-gastos-como-otimizar-suas-financas-empresariais/")</f>
        <v>https://sincronizze.com/controle-de-gastos-como-otimizar-suas-financas-empresariais/</v>
      </c>
      <c r="Y351" s="77" t="s">
        <v>1994</v>
      </c>
      <c r="Z351" s="77"/>
      <c r="AA351" s="77"/>
      <c r="AB351" s="77"/>
      <c r="AC351" s="82" t="s">
        <v>2638</v>
      </c>
      <c r="AD351" s="77" t="s">
        <v>2673</v>
      </c>
      <c r="AE351" s="80" t="str">
        <f>HYPERLINK("https://twitter.com/tai_follmann/status/1654956378430029824")</f>
        <v>https://twitter.com/tai_follmann/status/1654956378430029824</v>
      </c>
      <c r="AF351" s="79">
        <v>45052.881041666667</v>
      </c>
      <c r="AG351" s="85">
        <v>45052</v>
      </c>
      <c r="AH351" s="82" t="s">
        <v>2992</v>
      </c>
      <c r="AI351" s="77" t="b">
        <v>0</v>
      </c>
      <c r="AJ351" s="77"/>
      <c r="AK351" s="77"/>
      <c r="AL351" s="77"/>
      <c r="AM351" s="77"/>
      <c r="AN351" s="77"/>
      <c r="AO351" s="77"/>
      <c r="AP351" s="77"/>
      <c r="AQ351" s="77"/>
      <c r="AR351" s="77"/>
      <c r="AS351" s="77"/>
      <c r="AT351" s="77"/>
      <c r="AU351" s="77"/>
      <c r="AV351" s="80" t="str">
        <f>HYPERLINK("https://pbs.twimg.com/profile_images/1295806876777619458/1-scEtFi_normal.jpg")</f>
        <v>https://pbs.twimg.com/profile_images/1295806876777619458/1-scEtFi_normal.jpg</v>
      </c>
      <c r="AW351" s="82" t="s">
        <v>4406</v>
      </c>
      <c r="AX351" s="82" t="s">
        <v>4995</v>
      </c>
      <c r="AY351" s="82" t="s">
        <v>5050</v>
      </c>
      <c r="AZ351" s="82" t="s">
        <v>4995</v>
      </c>
      <c r="BA351" s="82" t="s">
        <v>5075</v>
      </c>
      <c r="BB351" s="82" t="s">
        <v>5075</v>
      </c>
      <c r="BC351" s="82" t="s">
        <v>4995</v>
      </c>
      <c r="BD351" s="77">
        <v>508075094</v>
      </c>
      <c r="BE351" s="77"/>
      <c r="BF351" s="77"/>
      <c r="BG351" s="77"/>
      <c r="BH351" s="77"/>
      <c r="BI351" s="77"/>
    </row>
    <row r="352" spans="1:61" x14ac:dyDescent="0.25">
      <c r="A352" s="62" t="s">
        <v>373</v>
      </c>
      <c r="B352" s="62" t="s">
        <v>373</v>
      </c>
      <c r="C352" s="63"/>
      <c r="D352" s="64"/>
      <c r="E352" s="65"/>
      <c r="F352" s="66"/>
      <c r="G352" s="63"/>
      <c r="H352" s="67"/>
      <c r="I352" s="68"/>
      <c r="J352" s="68"/>
      <c r="K352" s="32"/>
      <c r="L352" s="75">
        <v>352</v>
      </c>
      <c r="M352" s="75"/>
      <c r="N352" s="70"/>
      <c r="O352" s="77" t="s">
        <v>536</v>
      </c>
      <c r="P352" s="79">
        <v>45092.754837962966</v>
      </c>
      <c r="Q352" s="77" t="s">
        <v>884</v>
      </c>
      <c r="R352" s="77">
        <v>1</v>
      </c>
      <c r="S352" s="77">
        <v>2</v>
      </c>
      <c r="T352" s="77">
        <v>0</v>
      </c>
      <c r="U352" s="77">
        <v>0</v>
      </c>
      <c r="V352" s="77">
        <v>104</v>
      </c>
      <c r="W352" s="82" t="s">
        <v>1709</v>
      </c>
      <c r="X352" s="80" t="str">
        <f>HYPERLINK("https://sincronizze.com/orcamento-pessoal-gerencie-suas-financas-de-forma-eficiente/")</f>
        <v>https://sincronizze.com/orcamento-pessoal-gerencie-suas-financas-de-forma-eficiente/</v>
      </c>
      <c r="Y352" s="77" t="s">
        <v>1994</v>
      </c>
      <c r="Z352" s="77"/>
      <c r="AA352" s="77"/>
      <c r="AB352" s="77"/>
      <c r="AC352" s="82" t="s">
        <v>2638</v>
      </c>
      <c r="AD352" s="77" t="s">
        <v>2670</v>
      </c>
      <c r="AE352" s="80" t="str">
        <f>HYPERLINK("https://twitter.com/tai_follmann/status/1669406158711410689")</f>
        <v>https://twitter.com/tai_follmann/status/1669406158711410689</v>
      </c>
      <c r="AF352" s="79">
        <v>45092.754837962966</v>
      </c>
      <c r="AG352" s="85">
        <v>45092</v>
      </c>
      <c r="AH352" s="82" t="s">
        <v>2993</v>
      </c>
      <c r="AI352" s="77" t="b">
        <v>0</v>
      </c>
      <c r="AJ352" s="77"/>
      <c r="AK352" s="77"/>
      <c r="AL352" s="77"/>
      <c r="AM352" s="77"/>
      <c r="AN352" s="77"/>
      <c r="AO352" s="77"/>
      <c r="AP352" s="77"/>
      <c r="AQ352" s="77"/>
      <c r="AR352" s="77"/>
      <c r="AS352" s="77"/>
      <c r="AT352" s="77"/>
      <c r="AU352" s="77"/>
      <c r="AV352" s="80" t="str">
        <f>HYPERLINK("https://pbs.twimg.com/profile_images/1295806876777619458/1-scEtFi_normal.jpg")</f>
        <v>https://pbs.twimg.com/profile_images/1295806876777619458/1-scEtFi_normal.jpg</v>
      </c>
      <c r="AW352" s="82" t="s">
        <v>4407</v>
      </c>
      <c r="AX352" s="82" t="s">
        <v>4996</v>
      </c>
      <c r="AY352" s="82" t="s">
        <v>5050</v>
      </c>
      <c r="AZ352" s="82" t="s">
        <v>4996</v>
      </c>
      <c r="BA352" s="82" t="s">
        <v>5075</v>
      </c>
      <c r="BB352" s="82" t="s">
        <v>5075</v>
      </c>
      <c r="BC352" s="82" t="s">
        <v>4996</v>
      </c>
      <c r="BD352" s="77">
        <v>508075094</v>
      </c>
      <c r="BE352" s="77"/>
      <c r="BF352" s="77"/>
      <c r="BG352" s="77"/>
      <c r="BH352" s="77"/>
      <c r="BI352" s="77"/>
    </row>
    <row r="353" spans="1:61" x14ac:dyDescent="0.25">
      <c r="A353" s="62" t="s">
        <v>374</v>
      </c>
      <c r="B353" s="62" t="s">
        <v>374</v>
      </c>
      <c r="C353" s="63"/>
      <c r="D353" s="64"/>
      <c r="E353" s="65"/>
      <c r="F353" s="66"/>
      <c r="G353" s="63"/>
      <c r="H353" s="67"/>
      <c r="I353" s="68"/>
      <c r="J353" s="68"/>
      <c r="K353" s="32"/>
      <c r="L353" s="75">
        <v>353</v>
      </c>
      <c r="M353" s="75"/>
      <c r="N353" s="70"/>
      <c r="O353" s="77" t="s">
        <v>179</v>
      </c>
      <c r="P353" s="79">
        <v>44983.127395833333</v>
      </c>
      <c r="Q353" s="77" t="s">
        <v>885</v>
      </c>
      <c r="R353" s="77">
        <v>0</v>
      </c>
      <c r="S353" s="77">
        <v>0</v>
      </c>
      <c r="T353" s="77">
        <v>0</v>
      </c>
      <c r="U353" s="77">
        <v>0</v>
      </c>
      <c r="V353" s="77">
        <v>29</v>
      </c>
      <c r="W353" s="82" t="s">
        <v>1710</v>
      </c>
      <c r="X353" s="77"/>
      <c r="Y353" s="77"/>
      <c r="Z353" s="77"/>
      <c r="AA353" s="77" t="s">
        <v>2203</v>
      </c>
      <c r="AB353" s="77" t="s">
        <v>2632</v>
      </c>
      <c r="AC353" s="82" t="s">
        <v>2639</v>
      </c>
      <c r="AD353" s="77" t="s">
        <v>2670</v>
      </c>
      <c r="AE353" s="80" t="str">
        <f>HYPERLINK("https://twitter.com/grupodank/status/1629678501467914240")</f>
        <v>https://twitter.com/grupodank/status/1629678501467914240</v>
      </c>
      <c r="AF353" s="79">
        <v>44983.127395833333</v>
      </c>
      <c r="AG353" s="85">
        <v>44983</v>
      </c>
      <c r="AH353" s="82" t="s">
        <v>2994</v>
      </c>
      <c r="AI353" s="77" t="b">
        <v>0</v>
      </c>
      <c r="AJ353" s="77"/>
      <c r="AK353" s="77"/>
      <c r="AL353" s="77"/>
      <c r="AM353" s="77"/>
      <c r="AN353" s="77"/>
      <c r="AO353" s="77"/>
      <c r="AP353" s="77"/>
      <c r="AQ353" s="77" t="s">
        <v>3632</v>
      </c>
      <c r="AR353" s="77"/>
      <c r="AS353" s="77"/>
      <c r="AT353" s="77"/>
      <c r="AU353" s="77"/>
      <c r="AV353" s="80" t="str">
        <f>HYPERLINK("https://pbs.twimg.com/media/Fp3H6pyWcAUjIUj.jpg")</f>
        <v>https://pbs.twimg.com/media/Fp3H6pyWcAUjIUj.jpg</v>
      </c>
      <c r="AW353" s="82" t="s">
        <v>4408</v>
      </c>
      <c r="AX353" s="82" t="s">
        <v>4408</v>
      </c>
      <c r="AY353" s="77"/>
      <c r="AZ353" s="82" t="s">
        <v>5075</v>
      </c>
      <c r="BA353" s="82" t="s">
        <v>5075</v>
      </c>
      <c r="BB353" s="82" t="s">
        <v>5075</v>
      </c>
      <c r="BC353" s="82" t="s">
        <v>4408</v>
      </c>
      <c r="BD353" s="82" t="s">
        <v>5202</v>
      </c>
      <c r="BE353" s="77"/>
      <c r="BF353" s="77"/>
      <c r="BG353" s="77"/>
      <c r="BH353" s="77"/>
      <c r="BI353" s="77"/>
    </row>
    <row r="354" spans="1:61" x14ac:dyDescent="0.25">
      <c r="A354" s="62" t="s">
        <v>374</v>
      </c>
      <c r="B354" s="62" t="s">
        <v>374</v>
      </c>
      <c r="C354" s="63"/>
      <c r="D354" s="64"/>
      <c r="E354" s="65"/>
      <c r="F354" s="66"/>
      <c r="G354" s="63"/>
      <c r="H354" s="67"/>
      <c r="I354" s="68"/>
      <c r="J354" s="68"/>
      <c r="K354" s="32"/>
      <c r="L354" s="75">
        <v>354</v>
      </c>
      <c r="M354" s="75"/>
      <c r="N354" s="70"/>
      <c r="O354" s="77" t="s">
        <v>179</v>
      </c>
      <c r="P354" s="79">
        <v>44983.126481481479</v>
      </c>
      <c r="Q354" s="77" t="s">
        <v>886</v>
      </c>
      <c r="R354" s="77">
        <v>0</v>
      </c>
      <c r="S354" s="77">
        <v>0</v>
      </c>
      <c r="T354" s="77">
        <v>0</v>
      </c>
      <c r="U354" s="77">
        <v>0</v>
      </c>
      <c r="V354" s="77">
        <v>21</v>
      </c>
      <c r="W354" s="82" t="s">
        <v>1711</v>
      </c>
      <c r="X354" s="77"/>
      <c r="Y354" s="77"/>
      <c r="Z354" s="77"/>
      <c r="AA354" s="77" t="s">
        <v>2204</v>
      </c>
      <c r="AB354" s="77" t="s">
        <v>2632</v>
      </c>
      <c r="AC354" s="82" t="s">
        <v>2639</v>
      </c>
      <c r="AD354" s="77" t="s">
        <v>2670</v>
      </c>
      <c r="AE354" s="80" t="str">
        <f>HYPERLINK("https://twitter.com/grupodank/status/1629678169367126016")</f>
        <v>https://twitter.com/grupodank/status/1629678169367126016</v>
      </c>
      <c r="AF354" s="79">
        <v>44983.126481481479</v>
      </c>
      <c r="AG354" s="85">
        <v>44983</v>
      </c>
      <c r="AH354" s="82" t="s">
        <v>2995</v>
      </c>
      <c r="AI354" s="77" t="b">
        <v>0</v>
      </c>
      <c r="AJ354" s="77"/>
      <c r="AK354" s="77"/>
      <c r="AL354" s="77"/>
      <c r="AM354" s="77"/>
      <c r="AN354" s="77"/>
      <c r="AO354" s="77"/>
      <c r="AP354" s="77"/>
      <c r="AQ354" s="77" t="s">
        <v>3633</v>
      </c>
      <c r="AR354" s="77"/>
      <c r="AS354" s="77"/>
      <c r="AT354" s="77"/>
      <c r="AU354" s="77"/>
      <c r="AV354" s="80" t="str">
        <f>HYPERLINK("https://pbs.twimg.com/media/Fp3HoeKWwAIeUpP.jpg")</f>
        <v>https://pbs.twimg.com/media/Fp3HoeKWwAIeUpP.jpg</v>
      </c>
      <c r="AW354" s="82" t="s">
        <v>4409</v>
      </c>
      <c r="AX354" s="82" t="s">
        <v>4409</v>
      </c>
      <c r="AY354" s="77"/>
      <c r="AZ354" s="82" t="s">
        <v>5075</v>
      </c>
      <c r="BA354" s="82" t="s">
        <v>5075</v>
      </c>
      <c r="BB354" s="82" t="s">
        <v>5075</v>
      </c>
      <c r="BC354" s="82" t="s">
        <v>4409</v>
      </c>
      <c r="BD354" s="82" t="s">
        <v>5202</v>
      </c>
      <c r="BE354" s="77"/>
      <c r="BF354" s="77"/>
      <c r="BG354" s="77"/>
      <c r="BH354" s="77"/>
      <c r="BI354" s="77"/>
    </row>
    <row r="355" spans="1:61" x14ac:dyDescent="0.25">
      <c r="A355" s="62" t="s">
        <v>374</v>
      </c>
      <c r="B355" s="62" t="s">
        <v>374</v>
      </c>
      <c r="C355" s="63"/>
      <c r="D355" s="64"/>
      <c r="E355" s="65"/>
      <c r="F355" s="66"/>
      <c r="G355" s="63"/>
      <c r="H355" s="67"/>
      <c r="I355" s="68"/>
      <c r="J355" s="68"/>
      <c r="K355" s="32"/>
      <c r="L355" s="75">
        <v>355</v>
      </c>
      <c r="M355" s="75"/>
      <c r="N355" s="70"/>
      <c r="O355" s="77" t="s">
        <v>179</v>
      </c>
      <c r="P355" s="79">
        <v>44983.126226851855</v>
      </c>
      <c r="Q355" s="77" t="s">
        <v>887</v>
      </c>
      <c r="R355" s="77">
        <v>0</v>
      </c>
      <c r="S355" s="77">
        <v>0</v>
      </c>
      <c r="T355" s="77">
        <v>0</v>
      </c>
      <c r="U355" s="77">
        <v>0</v>
      </c>
      <c r="V355" s="77">
        <v>53</v>
      </c>
      <c r="W355" s="82" t="s">
        <v>1712</v>
      </c>
      <c r="X355" s="77"/>
      <c r="Y355" s="77"/>
      <c r="Z355" s="77"/>
      <c r="AA355" s="77" t="s">
        <v>2205</v>
      </c>
      <c r="AB355" s="77" t="s">
        <v>2632</v>
      </c>
      <c r="AC355" s="82" t="s">
        <v>2639</v>
      </c>
      <c r="AD355" s="77" t="s">
        <v>2670</v>
      </c>
      <c r="AE355" s="80" t="str">
        <f>HYPERLINK("https://twitter.com/grupodank/status/1629678079474900992")</f>
        <v>https://twitter.com/grupodank/status/1629678079474900992</v>
      </c>
      <c r="AF355" s="79">
        <v>44983.126226851855</v>
      </c>
      <c r="AG355" s="85">
        <v>44983</v>
      </c>
      <c r="AH355" s="82" t="s">
        <v>2996</v>
      </c>
      <c r="AI355" s="77" t="b">
        <v>0</v>
      </c>
      <c r="AJ355" s="77"/>
      <c r="AK355" s="77"/>
      <c r="AL355" s="77"/>
      <c r="AM355" s="77"/>
      <c r="AN355" s="77"/>
      <c r="AO355" s="77"/>
      <c r="AP355" s="77"/>
      <c r="AQ355" s="77" t="s">
        <v>3634</v>
      </c>
      <c r="AR355" s="77"/>
      <c r="AS355" s="77"/>
      <c r="AT355" s="77"/>
      <c r="AU355" s="77"/>
      <c r="AV355" s="80" t="str">
        <f>HYPERLINK("https://pbs.twimg.com/media/Fp3HipRWIAIdJhf.jpg")</f>
        <v>https://pbs.twimg.com/media/Fp3HipRWIAIdJhf.jpg</v>
      </c>
      <c r="AW355" s="82" t="s">
        <v>4410</v>
      </c>
      <c r="AX355" s="82" t="s">
        <v>4410</v>
      </c>
      <c r="AY355" s="77"/>
      <c r="AZ355" s="82" t="s">
        <v>5075</v>
      </c>
      <c r="BA355" s="82" t="s">
        <v>5075</v>
      </c>
      <c r="BB355" s="82" t="s">
        <v>5075</v>
      </c>
      <c r="BC355" s="82" t="s">
        <v>4410</v>
      </c>
      <c r="BD355" s="82" t="s">
        <v>5202</v>
      </c>
      <c r="BE355" s="77"/>
      <c r="BF355" s="77"/>
      <c r="BG355" s="77"/>
      <c r="BH355" s="77"/>
      <c r="BI355" s="77"/>
    </row>
    <row r="356" spans="1:61" x14ac:dyDescent="0.25">
      <c r="A356" s="62" t="s">
        <v>375</v>
      </c>
      <c r="B356" s="62" t="s">
        <v>375</v>
      </c>
      <c r="C356" s="63"/>
      <c r="D356" s="64"/>
      <c r="E356" s="65"/>
      <c r="F356" s="66"/>
      <c r="G356" s="63"/>
      <c r="H356" s="67"/>
      <c r="I356" s="68"/>
      <c r="J356" s="68"/>
      <c r="K356" s="32"/>
      <c r="L356" s="75">
        <v>356</v>
      </c>
      <c r="M356" s="75"/>
      <c r="N356" s="70"/>
      <c r="O356" s="77" t="s">
        <v>179</v>
      </c>
      <c r="P356" s="79">
        <v>45036.763692129629</v>
      </c>
      <c r="Q356" s="77" t="s">
        <v>888</v>
      </c>
      <c r="R356" s="77">
        <v>0</v>
      </c>
      <c r="S356" s="77">
        <v>0</v>
      </c>
      <c r="T356" s="77">
        <v>0</v>
      </c>
      <c r="U356" s="77">
        <v>0</v>
      </c>
      <c r="V356" s="77">
        <v>8</v>
      </c>
      <c r="W356" s="82" t="s">
        <v>1713</v>
      </c>
      <c r="X356" s="80" t="str">
        <f>HYPERLINK("https://lnkd.in/dnnTnWtK")</f>
        <v>https://lnkd.in/dnnTnWtK</v>
      </c>
      <c r="Y356" s="77" t="s">
        <v>1986</v>
      </c>
      <c r="Z356" s="77"/>
      <c r="AA356" s="77"/>
      <c r="AB356" s="77"/>
      <c r="AC356" s="82" t="s">
        <v>2661</v>
      </c>
      <c r="AD356" s="77" t="s">
        <v>2674</v>
      </c>
      <c r="AE356" s="80" t="str">
        <f>HYPERLINK("https://twitter.com/_joseamaral/status/1649115643965210635")</f>
        <v>https://twitter.com/_joseamaral/status/1649115643965210635</v>
      </c>
      <c r="AF356" s="79">
        <v>45036.763692129629</v>
      </c>
      <c r="AG356" s="85">
        <v>45036</v>
      </c>
      <c r="AH356" s="82" t="s">
        <v>2997</v>
      </c>
      <c r="AI356" s="77" t="b">
        <v>0</v>
      </c>
      <c r="AJ356" s="77"/>
      <c r="AK356" s="77"/>
      <c r="AL356" s="77"/>
      <c r="AM356" s="77"/>
      <c r="AN356" s="77"/>
      <c r="AO356" s="77"/>
      <c r="AP356" s="77"/>
      <c r="AQ356" s="77"/>
      <c r="AR356" s="77"/>
      <c r="AS356" s="77"/>
      <c r="AT356" s="77"/>
      <c r="AU356" s="77"/>
      <c r="AV356" s="80" t="str">
        <f>HYPERLINK("https://pbs.twimg.com/profile_images/1698703805238390784/jJXHaGT1_normal.jpg")</f>
        <v>https://pbs.twimg.com/profile_images/1698703805238390784/jJXHaGT1_normal.jpg</v>
      </c>
      <c r="AW356" s="82" t="s">
        <v>4411</v>
      </c>
      <c r="AX356" s="82" t="s">
        <v>4411</v>
      </c>
      <c r="AY356" s="77"/>
      <c r="AZ356" s="82" t="s">
        <v>5075</v>
      </c>
      <c r="BA356" s="82" t="s">
        <v>5075</v>
      </c>
      <c r="BB356" s="82" t="s">
        <v>5075</v>
      </c>
      <c r="BC356" s="82" t="s">
        <v>4411</v>
      </c>
      <c r="BD356" s="77">
        <v>49599520</v>
      </c>
      <c r="BE356" s="77"/>
      <c r="BF356" s="77"/>
      <c r="BG356" s="77"/>
      <c r="BH356" s="77"/>
      <c r="BI356" s="77"/>
    </row>
    <row r="357" spans="1:61" x14ac:dyDescent="0.25">
      <c r="A357" s="62" t="s">
        <v>376</v>
      </c>
      <c r="B357" s="62" t="s">
        <v>376</v>
      </c>
      <c r="C357" s="63"/>
      <c r="D357" s="64"/>
      <c r="E357" s="65"/>
      <c r="F357" s="66"/>
      <c r="G357" s="63"/>
      <c r="H357" s="67"/>
      <c r="I357" s="68"/>
      <c r="J357" s="68"/>
      <c r="K357" s="32"/>
      <c r="L357" s="75">
        <v>357</v>
      </c>
      <c r="M357" s="75"/>
      <c r="N357" s="70"/>
      <c r="O357" s="77" t="s">
        <v>179</v>
      </c>
      <c r="P357" s="79">
        <v>45033.518622685187</v>
      </c>
      <c r="Q357" s="77" t="s">
        <v>889</v>
      </c>
      <c r="R357" s="77">
        <v>0</v>
      </c>
      <c r="S357" s="77">
        <v>0</v>
      </c>
      <c r="T357" s="77">
        <v>0</v>
      </c>
      <c r="U357" s="77">
        <v>0</v>
      </c>
      <c r="V357" s="77">
        <v>11</v>
      </c>
      <c r="W357" s="82" t="s">
        <v>1714</v>
      </c>
      <c r="X357" s="80" t="str">
        <f>HYPERLINK("https://portalfinancaspessoais.com.br/?p=1285")</f>
        <v>https://portalfinancaspessoais.com.br/?p=1285</v>
      </c>
      <c r="Y357" s="77" t="s">
        <v>1978</v>
      </c>
      <c r="Z357" s="77"/>
      <c r="AA357" s="77" t="s">
        <v>2206</v>
      </c>
      <c r="AB357" s="77" t="s">
        <v>2632</v>
      </c>
      <c r="AC357" s="82" t="s">
        <v>2652</v>
      </c>
      <c r="AD357" s="77" t="s">
        <v>2670</v>
      </c>
      <c r="AE357" s="80" t="str">
        <f>HYPERLINK("https://twitter.com/financasportal/status/1647939669944946688")</f>
        <v>https://twitter.com/financasportal/status/1647939669944946688</v>
      </c>
      <c r="AF357" s="79">
        <v>45033.518622685187</v>
      </c>
      <c r="AG357" s="85">
        <v>45033</v>
      </c>
      <c r="AH357" s="82" t="s">
        <v>2998</v>
      </c>
      <c r="AI357" s="77" t="b">
        <v>0</v>
      </c>
      <c r="AJ357" s="77"/>
      <c r="AK357" s="77"/>
      <c r="AL357" s="77"/>
      <c r="AM357" s="77"/>
      <c r="AN357" s="77"/>
      <c r="AO357" s="77"/>
      <c r="AP357" s="77"/>
      <c r="AQ357" s="77" t="s">
        <v>3635</v>
      </c>
      <c r="AR357" s="77"/>
      <c r="AS357" s="77"/>
      <c r="AT357" s="77"/>
      <c r="AU357" s="77"/>
      <c r="AV357" s="80" t="str">
        <f>HYPERLINK("https://pbs.twimg.com/media/Ft6oZbgWIAEACUf.jpg")</f>
        <v>https://pbs.twimg.com/media/Ft6oZbgWIAEACUf.jpg</v>
      </c>
      <c r="AW357" s="82" t="s">
        <v>4412</v>
      </c>
      <c r="AX357" s="82" t="s">
        <v>4412</v>
      </c>
      <c r="AY357" s="77"/>
      <c r="AZ357" s="82" t="s">
        <v>5075</v>
      </c>
      <c r="BA357" s="82" t="s">
        <v>5075</v>
      </c>
      <c r="BB357" s="82" t="s">
        <v>5075</v>
      </c>
      <c r="BC357" s="82" t="s">
        <v>4412</v>
      </c>
      <c r="BD357" s="82" t="s">
        <v>5203</v>
      </c>
      <c r="BE357" s="77"/>
      <c r="BF357" s="77"/>
      <c r="BG357" s="77"/>
      <c r="BH357" s="77"/>
      <c r="BI357" s="77"/>
    </row>
    <row r="358" spans="1:61" x14ac:dyDescent="0.25">
      <c r="A358" s="62" t="s">
        <v>376</v>
      </c>
      <c r="B358" s="62" t="s">
        <v>376</v>
      </c>
      <c r="C358" s="63"/>
      <c r="D358" s="64"/>
      <c r="E358" s="65"/>
      <c r="F358" s="66"/>
      <c r="G358" s="63"/>
      <c r="H358" s="67"/>
      <c r="I358" s="68"/>
      <c r="J358" s="68"/>
      <c r="K358" s="32"/>
      <c r="L358" s="75">
        <v>358</v>
      </c>
      <c r="M358" s="75"/>
      <c r="N358" s="70"/>
      <c r="O358" s="77" t="s">
        <v>179</v>
      </c>
      <c r="P358" s="79">
        <v>45030.512928240743</v>
      </c>
      <c r="Q358" s="77" t="s">
        <v>890</v>
      </c>
      <c r="R358" s="77">
        <v>0</v>
      </c>
      <c r="S358" s="77">
        <v>0</v>
      </c>
      <c r="T358" s="77">
        <v>0</v>
      </c>
      <c r="U358" s="77">
        <v>0</v>
      </c>
      <c r="V358" s="77">
        <v>3</v>
      </c>
      <c r="W358" s="82" t="s">
        <v>1715</v>
      </c>
      <c r="X358" s="80" t="str">
        <f>HYPERLINK("https://portalfinancaspessoais.com.br/a-importancia-da-seguranca-financeira-e-como-alcanca-la/")</f>
        <v>https://portalfinancaspessoais.com.br/a-importancia-da-seguranca-financeira-e-como-alcanca-la/</v>
      </c>
      <c r="Y358" s="77" t="s">
        <v>1978</v>
      </c>
      <c r="Z358" s="77"/>
      <c r="AA358" s="77" t="s">
        <v>2207</v>
      </c>
      <c r="AB358" s="77" t="s">
        <v>2632</v>
      </c>
      <c r="AC358" s="82" t="s">
        <v>2652</v>
      </c>
      <c r="AD358" s="77" t="s">
        <v>2670</v>
      </c>
      <c r="AE358" s="80" t="str">
        <f>HYPERLINK("https://twitter.com/financasportal/status/1646850442960199680")</f>
        <v>https://twitter.com/financasportal/status/1646850442960199680</v>
      </c>
      <c r="AF358" s="79">
        <v>45030.512928240743</v>
      </c>
      <c r="AG358" s="85">
        <v>45030</v>
      </c>
      <c r="AH358" s="82" t="s">
        <v>2999</v>
      </c>
      <c r="AI358" s="77" t="b">
        <v>0</v>
      </c>
      <c r="AJ358" s="77"/>
      <c r="AK358" s="77"/>
      <c r="AL358" s="77"/>
      <c r="AM358" s="77"/>
      <c r="AN358" s="77"/>
      <c r="AO358" s="77"/>
      <c r="AP358" s="77"/>
      <c r="AQ358" s="77" t="s">
        <v>3636</v>
      </c>
      <c r="AR358" s="77"/>
      <c r="AS358" s="77"/>
      <c r="AT358" s="77"/>
      <c r="AU358" s="77"/>
      <c r="AV358" s="80" t="str">
        <f>HYPERLINK("https://pbs.twimg.com/media/FtrJwCHXsAEhVRs.jpg")</f>
        <v>https://pbs.twimg.com/media/FtrJwCHXsAEhVRs.jpg</v>
      </c>
      <c r="AW358" s="82" t="s">
        <v>4413</v>
      </c>
      <c r="AX358" s="82" t="s">
        <v>4413</v>
      </c>
      <c r="AY358" s="77"/>
      <c r="AZ358" s="82" t="s">
        <v>5075</v>
      </c>
      <c r="BA358" s="82" t="s">
        <v>5075</v>
      </c>
      <c r="BB358" s="82" t="s">
        <v>5075</v>
      </c>
      <c r="BC358" s="82" t="s">
        <v>4413</v>
      </c>
      <c r="BD358" s="82" t="s">
        <v>5203</v>
      </c>
      <c r="BE358" s="77"/>
      <c r="BF358" s="77"/>
      <c r="BG358" s="77"/>
      <c r="BH358" s="77"/>
      <c r="BI358" s="77"/>
    </row>
    <row r="359" spans="1:61" x14ac:dyDescent="0.25">
      <c r="A359" s="62" t="s">
        <v>376</v>
      </c>
      <c r="B359" s="62" t="s">
        <v>376</v>
      </c>
      <c r="C359" s="63"/>
      <c r="D359" s="64"/>
      <c r="E359" s="65"/>
      <c r="F359" s="66"/>
      <c r="G359" s="63"/>
      <c r="H359" s="67"/>
      <c r="I359" s="68"/>
      <c r="J359" s="68"/>
      <c r="K359" s="32"/>
      <c r="L359" s="75">
        <v>359</v>
      </c>
      <c r="M359" s="75"/>
      <c r="N359" s="70"/>
      <c r="O359" s="77" t="s">
        <v>179</v>
      </c>
      <c r="P359" s="79">
        <v>45029.747673611113</v>
      </c>
      <c r="Q359" s="77" t="s">
        <v>891</v>
      </c>
      <c r="R359" s="77">
        <v>0</v>
      </c>
      <c r="S359" s="77">
        <v>0</v>
      </c>
      <c r="T359" s="77">
        <v>0</v>
      </c>
      <c r="U359" s="77">
        <v>0</v>
      </c>
      <c r="V359" s="77">
        <v>14</v>
      </c>
      <c r="W359" s="82" t="s">
        <v>1716</v>
      </c>
      <c r="X359" s="80" t="str">
        <f>HYPERLINK("https://portalfinancaspessoais.com.br/evolucao-das-taxas-de-juros-em-contas-de-poupanca/")</f>
        <v>https://portalfinancaspessoais.com.br/evolucao-das-taxas-de-juros-em-contas-de-poupanca/</v>
      </c>
      <c r="Y359" s="77" t="s">
        <v>1978</v>
      </c>
      <c r="Z359" s="77"/>
      <c r="AA359" s="77" t="s">
        <v>2208</v>
      </c>
      <c r="AB359" s="77" t="s">
        <v>2632</v>
      </c>
      <c r="AC359" s="82" t="s">
        <v>2652</v>
      </c>
      <c r="AD359" s="77" t="s">
        <v>2670</v>
      </c>
      <c r="AE359" s="80" t="str">
        <f>HYPERLINK("https://twitter.com/financasportal/status/1646573123561553936")</f>
        <v>https://twitter.com/financasportal/status/1646573123561553936</v>
      </c>
      <c r="AF359" s="79">
        <v>45029.747673611113</v>
      </c>
      <c r="AG359" s="85">
        <v>45029</v>
      </c>
      <c r="AH359" s="82" t="s">
        <v>3000</v>
      </c>
      <c r="AI359" s="77" t="b">
        <v>0</v>
      </c>
      <c r="AJ359" s="77"/>
      <c r="AK359" s="77"/>
      <c r="AL359" s="77"/>
      <c r="AM359" s="77"/>
      <c r="AN359" s="77"/>
      <c r="AO359" s="77"/>
      <c r="AP359" s="77"/>
      <c r="AQ359" s="77" t="s">
        <v>3637</v>
      </c>
      <c r="AR359" s="77"/>
      <c r="AS359" s="77"/>
      <c r="AT359" s="77"/>
      <c r="AU359" s="77"/>
      <c r="AV359" s="80" t="str">
        <f>HYPERLINK("https://pbs.twimg.com/media/FtnNh8rWAAAN9nq.jpg")</f>
        <v>https://pbs.twimg.com/media/FtnNh8rWAAAN9nq.jpg</v>
      </c>
      <c r="AW359" s="82" t="s">
        <v>4414</v>
      </c>
      <c r="AX359" s="82" t="s">
        <v>4414</v>
      </c>
      <c r="AY359" s="77"/>
      <c r="AZ359" s="82" t="s">
        <v>5075</v>
      </c>
      <c r="BA359" s="82" t="s">
        <v>5075</v>
      </c>
      <c r="BB359" s="82" t="s">
        <v>5075</v>
      </c>
      <c r="BC359" s="82" t="s">
        <v>4414</v>
      </c>
      <c r="BD359" s="82" t="s">
        <v>5203</v>
      </c>
      <c r="BE359" s="77"/>
      <c r="BF359" s="77"/>
      <c r="BG359" s="77"/>
      <c r="BH359" s="77"/>
      <c r="BI359" s="77"/>
    </row>
    <row r="360" spans="1:61" x14ac:dyDescent="0.25">
      <c r="A360" s="62" t="s">
        <v>376</v>
      </c>
      <c r="B360" s="62" t="s">
        <v>376</v>
      </c>
      <c r="C360" s="63"/>
      <c r="D360" s="64"/>
      <c r="E360" s="65"/>
      <c r="F360" s="66"/>
      <c r="G360" s="63"/>
      <c r="H360" s="67"/>
      <c r="I360" s="68"/>
      <c r="J360" s="68"/>
      <c r="K360" s="32"/>
      <c r="L360" s="75">
        <v>360</v>
      </c>
      <c r="M360" s="75"/>
      <c r="N360" s="70"/>
      <c r="O360" s="77" t="s">
        <v>179</v>
      </c>
      <c r="P360" s="79">
        <v>45068.511817129627</v>
      </c>
      <c r="Q360" s="77" t="s">
        <v>892</v>
      </c>
      <c r="R360" s="77">
        <v>0</v>
      </c>
      <c r="S360" s="77">
        <v>0</v>
      </c>
      <c r="T360" s="77">
        <v>0</v>
      </c>
      <c r="U360" s="77">
        <v>0</v>
      </c>
      <c r="V360" s="77">
        <v>15</v>
      </c>
      <c r="W360" s="82" t="s">
        <v>1715</v>
      </c>
      <c r="X360" s="80" t="str">
        <f>HYPERLINK("https://portalfinancaspessoais.com.br/?p=1609")</f>
        <v>https://portalfinancaspessoais.com.br/?p=1609</v>
      </c>
      <c r="Y360" s="77" t="s">
        <v>1978</v>
      </c>
      <c r="Z360" s="77"/>
      <c r="AA360" s="77" t="s">
        <v>2209</v>
      </c>
      <c r="AB360" s="77" t="s">
        <v>2632</v>
      </c>
      <c r="AC360" s="82" t="s">
        <v>2652</v>
      </c>
      <c r="AD360" s="77" t="s">
        <v>2670</v>
      </c>
      <c r="AE360" s="80" t="str">
        <f>HYPERLINK("https://twitter.com/financasportal/status/1660620781951365120")</f>
        <v>https://twitter.com/financasportal/status/1660620781951365120</v>
      </c>
      <c r="AF360" s="79">
        <v>45068.511817129627</v>
      </c>
      <c r="AG360" s="85">
        <v>45068</v>
      </c>
      <c r="AH360" s="82" t="s">
        <v>3001</v>
      </c>
      <c r="AI360" s="77" t="b">
        <v>0</v>
      </c>
      <c r="AJ360" s="77"/>
      <c r="AK360" s="77"/>
      <c r="AL360" s="77"/>
      <c r="AM360" s="77"/>
      <c r="AN360" s="77"/>
      <c r="AO360" s="77"/>
      <c r="AP360" s="77"/>
      <c r="AQ360" s="77" t="s">
        <v>3638</v>
      </c>
      <c r="AR360" s="77"/>
      <c r="AS360" s="77"/>
      <c r="AT360" s="77"/>
      <c r="AU360" s="77"/>
      <c r="AV360" s="80" t="str">
        <f>HYPERLINK("https://pbs.twimg.com/media/Fwu1zSQWIAEUXgp.jpg")</f>
        <v>https://pbs.twimg.com/media/Fwu1zSQWIAEUXgp.jpg</v>
      </c>
      <c r="AW360" s="82" t="s">
        <v>4415</v>
      </c>
      <c r="AX360" s="82" t="s">
        <v>4415</v>
      </c>
      <c r="AY360" s="77"/>
      <c r="AZ360" s="82" t="s">
        <v>5075</v>
      </c>
      <c r="BA360" s="82" t="s">
        <v>5075</v>
      </c>
      <c r="BB360" s="82" t="s">
        <v>5075</v>
      </c>
      <c r="BC360" s="82" t="s">
        <v>4415</v>
      </c>
      <c r="BD360" s="82" t="s">
        <v>5203</v>
      </c>
      <c r="BE360" s="77"/>
      <c r="BF360" s="77"/>
      <c r="BG360" s="77"/>
      <c r="BH360" s="77"/>
      <c r="BI360" s="77"/>
    </row>
    <row r="361" spans="1:61" x14ac:dyDescent="0.25">
      <c r="A361" s="62" t="s">
        <v>376</v>
      </c>
      <c r="B361" s="62" t="s">
        <v>376</v>
      </c>
      <c r="C361" s="63"/>
      <c r="D361" s="64"/>
      <c r="E361" s="65"/>
      <c r="F361" s="66"/>
      <c r="G361" s="63"/>
      <c r="H361" s="67"/>
      <c r="I361" s="68"/>
      <c r="J361" s="68"/>
      <c r="K361" s="32"/>
      <c r="L361" s="75">
        <v>361</v>
      </c>
      <c r="M361" s="75"/>
      <c r="N361" s="70"/>
      <c r="O361" s="77" t="s">
        <v>179</v>
      </c>
      <c r="P361" s="79">
        <v>45082.528877314813</v>
      </c>
      <c r="Q361" s="77" t="s">
        <v>893</v>
      </c>
      <c r="R361" s="77">
        <v>0</v>
      </c>
      <c r="S361" s="77">
        <v>0</v>
      </c>
      <c r="T361" s="77">
        <v>0</v>
      </c>
      <c r="U361" s="77">
        <v>0</v>
      </c>
      <c r="V361" s="77">
        <v>7</v>
      </c>
      <c r="W361" s="82" t="s">
        <v>1714</v>
      </c>
      <c r="X361" s="80" t="str">
        <f>HYPERLINK("https://portalfinancaspessoais.com.br/?p=1722")</f>
        <v>https://portalfinancaspessoais.com.br/?p=1722</v>
      </c>
      <c r="Y361" s="77" t="s">
        <v>1978</v>
      </c>
      <c r="Z361" s="77"/>
      <c r="AA361" s="77" t="s">
        <v>2210</v>
      </c>
      <c r="AB361" s="77" t="s">
        <v>2632</v>
      </c>
      <c r="AC361" s="82" t="s">
        <v>2652</v>
      </c>
      <c r="AD361" s="77" t="s">
        <v>2670</v>
      </c>
      <c r="AE361" s="80" t="str">
        <f>HYPERLINK("https://twitter.com/financasportal/status/1665700394092118016")</f>
        <v>https://twitter.com/financasportal/status/1665700394092118016</v>
      </c>
      <c r="AF361" s="79">
        <v>45082.528877314813</v>
      </c>
      <c r="AG361" s="85">
        <v>45082</v>
      </c>
      <c r="AH361" s="82" t="s">
        <v>3002</v>
      </c>
      <c r="AI361" s="77" t="b">
        <v>0</v>
      </c>
      <c r="AJ361" s="77"/>
      <c r="AK361" s="77"/>
      <c r="AL361" s="77"/>
      <c r="AM361" s="77"/>
      <c r="AN361" s="77"/>
      <c r="AO361" s="77"/>
      <c r="AP361" s="77"/>
      <c r="AQ361" s="77" t="s">
        <v>3639</v>
      </c>
      <c r="AR361" s="77"/>
      <c r="AS361" s="77"/>
      <c r="AT361" s="77"/>
      <c r="AU361" s="77"/>
      <c r="AV361" s="80" t="str">
        <f>HYPERLINK("https://pbs.twimg.com/media/Fx3Brm7WcAIOSrZ.jpg")</f>
        <v>https://pbs.twimg.com/media/Fx3Brm7WcAIOSrZ.jpg</v>
      </c>
      <c r="AW361" s="82" t="s">
        <v>4416</v>
      </c>
      <c r="AX361" s="82" t="s">
        <v>4416</v>
      </c>
      <c r="AY361" s="77"/>
      <c r="AZ361" s="82" t="s">
        <v>5075</v>
      </c>
      <c r="BA361" s="82" t="s">
        <v>5075</v>
      </c>
      <c r="BB361" s="82" t="s">
        <v>5075</v>
      </c>
      <c r="BC361" s="82" t="s">
        <v>4416</v>
      </c>
      <c r="BD361" s="82" t="s">
        <v>5203</v>
      </c>
      <c r="BE361" s="77"/>
      <c r="BF361" s="77"/>
      <c r="BG361" s="77"/>
      <c r="BH361" s="77"/>
      <c r="BI361" s="77"/>
    </row>
    <row r="362" spans="1:61" x14ac:dyDescent="0.25">
      <c r="A362" s="62" t="s">
        <v>376</v>
      </c>
      <c r="B362" s="62" t="s">
        <v>376</v>
      </c>
      <c r="C362" s="63"/>
      <c r="D362" s="64"/>
      <c r="E362" s="65"/>
      <c r="F362" s="66"/>
      <c r="G362" s="63"/>
      <c r="H362" s="67"/>
      <c r="I362" s="68"/>
      <c r="J362" s="68"/>
      <c r="K362" s="32"/>
      <c r="L362" s="75">
        <v>362</v>
      </c>
      <c r="M362" s="75"/>
      <c r="N362" s="70"/>
      <c r="O362" s="77" t="s">
        <v>179</v>
      </c>
      <c r="P362" s="79">
        <v>45080.859803240739</v>
      </c>
      <c r="Q362" s="77" t="s">
        <v>894</v>
      </c>
      <c r="R362" s="77">
        <v>0</v>
      </c>
      <c r="S362" s="77">
        <v>0</v>
      </c>
      <c r="T362" s="77">
        <v>0</v>
      </c>
      <c r="U362" s="77">
        <v>0</v>
      </c>
      <c r="V362" s="77">
        <v>25</v>
      </c>
      <c r="W362" s="82" t="s">
        <v>1715</v>
      </c>
      <c r="X362" s="80" t="str">
        <f>HYPERLINK("https://portalfinancaspessoais.com.br/?p=2008")</f>
        <v>https://portalfinancaspessoais.com.br/?p=2008</v>
      </c>
      <c r="Y362" s="77" t="s">
        <v>1978</v>
      </c>
      <c r="Z362" s="77"/>
      <c r="AA362" s="77" t="s">
        <v>2211</v>
      </c>
      <c r="AB362" s="77" t="s">
        <v>2632</v>
      </c>
      <c r="AC362" s="82" t="s">
        <v>2652</v>
      </c>
      <c r="AD362" s="77" t="s">
        <v>2670</v>
      </c>
      <c r="AE362" s="80" t="str">
        <f>HYPERLINK("https://twitter.com/financasportal/status/1665095538717466624")</f>
        <v>https://twitter.com/financasportal/status/1665095538717466624</v>
      </c>
      <c r="AF362" s="79">
        <v>45080.859803240739</v>
      </c>
      <c r="AG362" s="85">
        <v>45080</v>
      </c>
      <c r="AH362" s="82" t="s">
        <v>3003</v>
      </c>
      <c r="AI362" s="77" t="b">
        <v>0</v>
      </c>
      <c r="AJ362" s="77"/>
      <c r="AK362" s="77"/>
      <c r="AL362" s="77"/>
      <c r="AM362" s="77"/>
      <c r="AN362" s="77"/>
      <c r="AO362" s="77"/>
      <c r="AP362" s="77"/>
      <c r="AQ362" s="77" t="s">
        <v>3640</v>
      </c>
      <c r="AR362" s="77"/>
      <c r="AS362" s="77"/>
      <c r="AT362" s="77"/>
      <c r="AU362" s="77"/>
      <c r="AV362" s="80" t="str">
        <f>HYPERLINK("https://pbs.twimg.com/media/FxubkaKWAAAVdGi.jpg")</f>
        <v>https://pbs.twimg.com/media/FxubkaKWAAAVdGi.jpg</v>
      </c>
      <c r="AW362" s="82" t="s">
        <v>4417</v>
      </c>
      <c r="AX362" s="82" t="s">
        <v>4417</v>
      </c>
      <c r="AY362" s="77"/>
      <c r="AZ362" s="82" t="s">
        <v>5075</v>
      </c>
      <c r="BA362" s="82" t="s">
        <v>5075</v>
      </c>
      <c r="BB362" s="82" t="s">
        <v>5075</v>
      </c>
      <c r="BC362" s="82" t="s">
        <v>4417</v>
      </c>
      <c r="BD362" s="82" t="s">
        <v>5203</v>
      </c>
      <c r="BE362" s="77"/>
      <c r="BF362" s="77"/>
      <c r="BG362" s="77"/>
      <c r="BH362" s="77"/>
      <c r="BI362" s="77"/>
    </row>
    <row r="363" spans="1:61" x14ac:dyDescent="0.25">
      <c r="A363" s="62" t="s">
        <v>376</v>
      </c>
      <c r="B363" s="62" t="s">
        <v>376</v>
      </c>
      <c r="C363" s="63"/>
      <c r="D363" s="64"/>
      <c r="E363" s="65"/>
      <c r="F363" s="66"/>
      <c r="G363" s="63"/>
      <c r="H363" s="67"/>
      <c r="I363" s="68"/>
      <c r="J363" s="68"/>
      <c r="K363" s="32"/>
      <c r="L363" s="75">
        <v>363</v>
      </c>
      <c r="M363" s="75"/>
      <c r="N363" s="70"/>
      <c r="O363" s="77" t="s">
        <v>179</v>
      </c>
      <c r="P363" s="79">
        <v>45048.505682870367</v>
      </c>
      <c r="Q363" s="77" t="s">
        <v>895</v>
      </c>
      <c r="R363" s="77">
        <v>0</v>
      </c>
      <c r="S363" s="77">
        <v>0</v>
      </c>
      <c r="T363" s="77">
        <v>0</v>
      </c>
      <c r="U363" s="77">
        <v>0</v>
      </c>
      <c r="V363" s="77">
        <v>15</v>
      </c>
      <c r="W363" s="82" t="s">
        <v>1715</v>
      </c>
      <c r="X363" s="80" t="str">
        <f>HYPERLINK("https://portalfinancaspessoais.com.br/?p=1419")</f>
        <v>https://portalfinancaspessoais.com.br/?p=1419</v>
      </c>
      <c r="Y363" s="77" t="s">
        <v>1978</v>
      </c>
      <c r="Z363" s="77"/>
      <c r="AA363" s="77" t="s">
        <v>2212</v>
      </c>
      <c r="AB363" s="77" t="s">
        <v>2632</v>
      </c>
      <c r="AC363" s="82" t="s">
        <v>2652</v>
      </c>
      <c r="AD363" s="77" t="s">
        <v>2670</v>
      </c>
      <c r="AE363" s="80" t="str">
        <f>HYPERLINK("https://twitter.com/financasportal/status/1653370800198565892")</f>
        <v>https://twitter.com/financasportal/status/1653370800198565892</v>
      </c>
      <c r="AF363" s="79">
        <v>45048.505682870367</v>
      </c>
      <c r="AG363" s="85">
        <v>45048</v>
      </c>
      <c r="AH363" s="82" t="s">
        <v>3004</v>
      </c>
      <c r="AI363" s="77" t="b">
        <v>0</v>
      </c>
      <c r="AJ363" s="77"/>
      <c r="AK363" s="77"/>
      <c r="AL363" s="77"/>
      <c r="AM363" s="77"/>
      <c r="AN363" s="77"/>
      <c r="AO363" s="77"/>
      <c r="AP363" s="77"/>
      <c r="AQ363" s="77" t="s">
        <v>3641</v>
      </c>
      <c r="AR363" s="77"/>
      <c r="AS363" s="77"/>
      <c r="AT363" s="77"/>
      <c r="AU363" s="77"/>
      <c r="AV363" s="80" t="str">
        <f>HYPERLINK("https://pbs.twimg.com/media/FvHz-0FXgAE_BYh.jpg")</f>
        <v>https://pbs.twimg.com/media/FvHz-0FXgAE_BYh.jpg</v>
      </c>
      <c r="AW363" s="82" t="s">
        <v>4418</v>
      </c>
      <c r="AX363" s="82" t="s">
        <v>4418</v>
      </c>
      <c r="AY363" s="77"/>
      <c r="AZ363" s="82" t="s">
        <v>5075</v>
      </c>
      <c r="BA363" s="82" t="s">
        <v>5075</v>
      </c>
      <c r="BB363" s="82" t="s">
        <v>5075</v>
      </c>
      <c r="BC363" s="82" t="s">
        <v>4418</v>
      </c>
      <c r="BD363" s="82" t="s">
        <v>5203</v>
      </c>
      <c r="BE363" s="77"/>
      <c r="BF363" s="77"/>
      <c r="BG363" s="77"/>
      <c r="BH363" s="77"/>
      <c r="BI363" s="77"/>
    </row>
    <row r="364" spans="1:61" x14ac:dyDescent="0.25">
      <c r="A364" s="62" t="s">
        <v>376</v>
      </c>
      <c r="B364" s="62" t="s">
        <v>376</v>
      </c>
      <c r="C364" s="63"/>
      <c r="D364" s="64"/>
      <c r="E364" s="65"/>
      <c r="F364" s="66"/>
      <c r="G364" s="63"/>
      <c r="H364" s="67"/>
      <c r="I364" s="68"/>
      <c r="J364" s="68"/>
      <c r="K364" s="32"/>
      <c r="L364" s="75">
        <v>364</v>
      </c>
      <c r="M364" s="75"/>
      <c r="N364" s="70"/>
      <c r="O364" s="77" t="s">
        <v>179</v>
      </c>
      <c r="P364" s="79">
        <v>45044.52034722222</v>
      </c>
      <c r="Q364" s="77" t="s">
        <v>896</v>
      </c>
      <c r="R364" s="77">
        <v>0</v>
      </c>
      <c r="S364" s="77">
        <v>0</v>
      </c>
      <c r="T364" s="77">
        <v>0</v>
      </c>
      <c r="U364" s="77">
        <v>0</v>
      </c>
      <c r="V364" s="77">
        <v>12</v>
      </c>
      <c r="W364" s="82" t="s">
        <v>1714</v>
      </c>
      <c r="X364" s="80" t="str">
        <f>HYPERLINK("https://portalfinancaspessoais.com.br/?p=1177")</f>
        <v>https://portalfinancaspessoais.com.br/?p=1177</v>
      </c>
      <c r="Y364" s="77" t="s">
        <v>1978</v>
      </c>
      <c r="Z364" s="77"/>
      <c r="AA364" s="77" t="s">
        <v>2213</v>
      </c>
      <c r="AB364" s="77" t="s">
        <v>2632</v>
      </c>
      <c r="AC364" s="82" t="s">
        <v>2652</v>
      </c>
      <c r="AD364" s="77" t="s">
        <v>2670</v>
      </c>
      <c r="AE364" s="80" t="str">
        <f>HYPERLINK("https://twitter.com/financasportal/status/1651926563363995650")</f>
        <v>https://twitter.com/financasportal/status/1651926563363995650</v>
      </c>
      <c r="AF364" s="79">
        <v>45044.52034722222</v>
      </c>
      <c r="AG364" s="85">
        <v>45044</v>
      </c>
      <c r="AH364" s="82" t="s">
        <v>3005</v>
      </c>
      <c r="AI364" s="77" t="b">
        <v>0</v>
      </c>
      <c r="AJ364" s="77"/>
      <c r="AK364" s="77"/>
      <c r="AL364" s="77"/>
      <c r="AM364" s="77"/>
      <c r="AN364" s="77"/>
      <c r="AO364" s="77"/>
      <c r="AP364" s="77"/>
      <c r="AQ364" s="77" t="s">
        <v>3642</v>
      </c>
      <c r="AR364" s="77"/>
      <c r="AS364" s="77"/>
      <c r="AT364" s="77"/>
      <c r="AU364" s="77"/>
      <c r="AV364" s="80" t="str">
        <f>HYPERLINK("https://pbs.twimg.com/media/FuzSdKXWAAAyqdI.jpg")</f>
        <v>https://pbs.twimg.com/media/FuzSdKXWAAAyqdI.jpg</v>
      </c>
      <c r="AW364" s="82" t="s">
        <v>4419</v>
      </c>
      <c r="AX364" s="82" t="s">
        <v>4419</v>
      </c>
      <c r="AY364" s="77"/>
      <c r="AZ364" s="82" t="s">
        <v>5075</v>
      </c>
      <c r="BA364" s="82" t="s">
        <v>5075</v>
      </c>
      <c r="BB364" s="82" t="s">
        <v>5075</v>
      </c>
      <c r="BC364" s="82" t="s">
        <v>4419</v>
      </c>
      <c r="BD364" s="82" t="s">
        <v>5203</v>
      </c>
      <c r="BE364" s="77"/>
      <c r="BF364" s="77"/>
      <c r="BG364" s="77"/>
      <c r="BH364" s="77"/>
      <c r="BI364" s="77"/>
    </row>
    <row r="365" spans="1:61" x14ac:dyDescent="0.25">
      <c r="A365" s="62" t="s">
        <v>376</v>
      </c>
      <c r="B365" s="62" t="s">
        <v>376</v>
      </c>
      <c r="C365" s="63"/>
      <c r="D365" s="64"/>
      <c r="E365" s="65"/>
      <c r="F365" s="66"/>
      <c r="G365" s="63"/>
      <c r="H365" s="67"/>
      <c r="I365" s="68"/>
      <c r="J365" s="68"/>
      <c r="K365" s="32"/>
      <c r="L365" s="75">
        <v>365</v>
      </c>
      <c r="M365" s="75"/>
      <c r="N365" s="70"/>
      <c r="O365" s="77" t="s">
        <v>179</v>
      </c>
      <c r="P365" s="79">
        <v>45086.524907407409</v>
      </c>
      <c r="Q365" s="77" t="s">
        <v>897</v>
      </c>
      <c r="R365" s="77">
        <v>0</v>
      </c>
      <c r="S365" s="77">
        <v>0</v>
      </c>
      <c r="T365" s="77">
        <v>0</v>
      </c>
      <c r="U365" s="77">
        <v>0</v>
      </c>
      <c r="V365" s="77">
        <v>11</v>
      </c>
      <c r="W365" s="82" t="s">
        <v>1717</v>
      </c>
      <c r="X365" s="80" t="str">
        <f>HYPERLINK("https://portalfinancaspessoais.com.br/?p=1461")</f>
        <v>https://portalfinancaspessoais.com.br/?p=1461</v>
      </c>
      <c r="Y365" s="77" t="s">
        <v>1978</v>
      </c>
      <c r="Z365" s="77"/>
      <c r="AA365" s="77" t="s">
        <v>2214</v>
      </c>
      <c r="AB365" s="77" t="s">
        <v>2632</v>
      </c>
      <c r="AC365" s="82" t="s">
        <v>2652</v>
      </c>
      <c r="AD365" s="77" t="s">
        <v>2670</v>
      </c>
      <c r="AE365" s="80" t="str">
        <f>HYPERLINK("https://twitter.com/financasportal/status/1667148505494831104")</f>
        <v>https://twitter.com/financasportal/status/1667148505494831104</v>
      </c>
      <c r="AF365" s="79">
        <v>45086.524907407409</v>
      </c>
      <c r="AG365" s="85">
        <v>45086</v>
      </c>
      <c r="AH365" s="82" t="s">
        <v>3006</v>
      </c>
      <c r="AI365" s="77" t="b">
        <v>0</v>
      </c>
      <c r="AJ365" s="77"/>
      <c r="AK365" s="77"/>
      <c r="AL365" s="77"/>
      <c r="AM365" s="77"/>
      <c r="AN365" s="77"/>
      <c r="AO365" s="77"/>
      <c r="AP365" s="77"/>
      <c r="AQ365" s="77" t="s">
        <v>3643</v>
      </c>
      <c r="AR365" s="77"/>
      <c r="AS365" s="77"/>
      <c r="AT365" s="77"/>
      <c r="AU365" s="77"/>
      <c r="AV365" s="80" t="str">
        <f>HYPERLINK("https://pbs.twimg.com/media/FyLmuv5WAAIgfey.jpg")</f>
        <v>https://pbs.twimg.com/media/FyLmuv5WAAIgfey.jpg</v>
      </c>
      <c r="AW365" s="82" t="s">
        <v>4420</v>
      </c>
      <c r="AX365" s="82" t="s">
        <v>4420</v>
      </c>
      <c r="AY365" s="77"/>
      <c r="AZ365" s="82" t="s">
        <v>5075</v>
      </c>
      <c r="BA365" s="82" t="s">
        <v>5075</v>
      </c>
      <c r="BB365" s="82" t="s">
        <v>5075</v>
      </c>
      <c r="BC365" s="82" t="s">
        <v>4420</v>
      </c>
      <c r="BD365" s="82" t="s">
        <v>5203</v>
      </c>
      <c r="BE365" s="77"/>
      <c r="BF365" s="77"/>
      <c r="BG365" s="77"/>
      <c r="BH365" s="77"/>
      <c r="BI365" s="77"/>
    </row>
    <row r="366" spans="1:61" x14ac:dyDescent="0.25">
      <c r="A366" s="62" t="s">
        <v>376</v>
      </c>
      <c r="B366" s="62" t="s">
        <v>376</v>
      </c>
      <c r="C366" s="63"/>
      <c r="D366" s="64"/>
      <c r="E366" s="65"/>
      <c r="F366" s="66"/>
      <c r="G366" s="63"/>
      <c r="H366" s="67"/>
      <c r="I366" s="68"/>
      <c r="J366" s="68"/>
      <c r="K366" s="32"/>
      <c r="L366" s="75">
        <v>366</v>
      </c>
      <c r="M366" s="75"/>
      <c r="N366" s="70"/>
      <c r="O366" s="77" t="s">
        <v>179</v>
      </c>
      <c r="P366" s="79">
        <v>45085.525405092594</v>
      </c>
      <c r="Q366" s="77" t="s">
        <v>898</v>
      </c>
      <c r="R366" s="77">
        <v>0</v>
      </c>
      <c r="S366" s="77">
        <v>1</v>
      </c>
      <c r="T366" s="77">
        <v>0</v>
      </c>
      <c r="U366" s="77">
        <v>0</v>
      </c>
      <c r="V366" s="77">
        <v>17</v>
      </c>
      <c r="W366" s="82" t="s">
        <v>1714</v>
      </c>
      <c r="X366" s="80" t="str">
        <f>HYPERLINK("https://portalfinancaspessoais.com.br/?p=1476")</f>
        <v>https://portalfinancaspessoais.com.br/?p=1476</v>
      </c>
      <c r="Y366" s="77" t="s">
        <v>1978</v>
      </c>
      <c r="Z366" s="77"/>
      <c r="AA366" s="77" t="s">
        <v>2215</v>
      </c>
      <c r="AB366" s="77" t="s">
        <v>2632</v>
      </c>
      <c r="AC366" s="82" t="s">
        <v>2652</v>
      </c>
      <c r="AD366" s="77" t="s">
        <v>2670</v>
      </c>
      <c r="AE366" s="80" t="str">
        <f>HYPERLINK("https://twitter.com/financasportal/status/1666786298277900292")</f>
        <v>https://twitter.com/financasportal/status/1666786298277900292</v>
      </c>
      <c r="AF366" s="79">
        <v>45085.525405092594</v>
      </c>
      <c r="AG366" s="85">
        <v>45085</v>
      </c>
      <c r="AH366" s="82" t="s">
        <v>3007</v>
      </c>
      <c r="AI366" s="77" t="b">
        <v>0</v>
      </c>
      <c r="AJ366" s="77"/>
      <c r="AK366" s="77"/>
      <c r="AL366" s="77"/>
      <c r="AM366" s="77"/>
      <c r="AN366" s="77"/>
      <c r="AO366" s="77"/>
      <c r="AP366" s="77"/>
      <c r="AQ366" s="77" t="s">
        <v>3644</v>
      </c>
      <c r="AR366" s="77"/>
      <c r="AS366" s="77"/>
      <c r="AT366" s="77"/>
      <c r="AU366" s="77"/>
      <c r="AV366" s="80" t="str">
        <f>HYPERLINK("https://pbs.twimg.com/media/FyGdTkbWYAI6HPY.jpg")</f>
        <v>https://pbs.twimg.com/media/FyGdTkbWYAI6HPY.jpg</v>
      </c>
      <c r="AW366" s="82" t="s">
        <v>4421</v>
      </c>
      <c r="AX366" s="82" t="s">
        <v>4421</v>
      </c>
      <c r="AY366" s="77"/>
      <c r="AZ366" s="82" t="s">
        <v>5075</v>
      </c>
      <c r="BA366" s="82" t="s">
        <v>5075</v>
      </c>
      <c r="BB366" s="82" t="s">
        <v>5075</v>
      </c>
      <c r="BC366" s="82" t="s">
        <v>4421</v>
      </c>
      <c r="BD366" s="82" t="s">
        <v>5203</v>
      </c>
      <c r="BE366" s="77"/>
      <c r="BF366" s="77"/>
      <c r="BG366" s="77"/>
      <c r="BH366" s="77"/>
      <c r="BI366" s="77"/>
    </row>
    <row r="367" spans="1:61" x14ac:dyDescent="0.25">
      <c r="A367" s="62" t="s">
        <v>376</v>
      </c>
      <c r="B367" s="62" t="s">
        <v>376</v>
      </c>
      <c r="C367" s="63"/>
      <c r="D367" s="64"/>
      <c r="E367" s="65"/>
      <c r="F367" s="66"/>
      <c r="G367" s="63"/>
      <c r="H367" s="67"/>
      <c r="I367" s="68"/>
      <c r="J367" s="68"/>
      <c r="K367" s="32"/>
      <c r="L367" s="75">
        <v>367</v>
      </c>
      <c r="M367" s="75"/>
      <c r="N367" s="70"/>
      <c r="O367" s="77" t="s">
        <v>179</v>
      </c>
      <c r="P367" s="79">
        <v>45084.505949074075</v>
      </c>
      <c r="Q367" s="77" t="s">
        <v>899</v>
      </c>
      <c r="R367" s="77">
        <v>0</v>
      </c>
      <c r="S367" s="77">
        <v>0</v>
      </c>
      <c r="T367" s="77">
        <v>0</v>
      </c>
      <c r="U367" s="77">
        <v>0</v>
      </c>
      <c r="V367" s="77">
        <v>15</v>
      </c>
      <c r="W367" s="82" t="s">
        <v>1714</v>
      </c>
      <c r="X367" s="80" t="str">
        <f>HYPERLINK("https://portalfinancaspessoais.com.br/?p=1736")</f>
        <v>https://portalfinancaspessoais.com.br/?p=1736</v>
      </c>
      <c r="Y367" s="77" t="s">
        <v>1978</v>
      </c>
      <c r="Z367" s="77"/>
      <c r="AA367" s="77" t="s">
        <v>2216</v>
      </c>
      <c r="AB367" s="77" t="s">
        <v>2632</v>
      </c>
      <c r="AC367" s="82" t="s">
        <v>2652</v>
      </c>
      <c r="AD367" s="77" t="s">
        <v>2670</v>
      </c>
      <c r="AE367" s="80" t="str">
        <f>HYPERLINK("https://twitter.com/financasportal/status/1666416860059803648")</f>
        <v>https://twitter.com/financasportal/status/1666416860059803648</v>
      </c>
      <c r="AF367" s="79">
        <v>45084.505949074075</v>
      </c>
      <c r="AG367" s="85">
        <v>45084</v>
      </c>
      <c r="AH367" s="82" t="s">
        <v>3008</v>
      </c>
      <c r="AI367" s="77" t="b">
        <v>0</v>
      </c>
      <c r="AJ367" s="77"/>
      <c r="AK367" s="77"/>
      <c r="AL367" s="77"/>
      <c r="AM367" s="77"/>
      <c r="AN367" s="77"/>
      <c r="AO367" s="77"/>
      <c r="AP367" s="77"/>
      <c r="AQ367" s="77" t="s">
        <v>3645</v>
      </c>
      <c r="AR367" s="77"/>
      <c r="AS367" s="77"/>
      <c r="AT367" s="77"/>
      <c r="AU367" s="77"/>
      <c r="AV367" s="80" t="str">
        <f>HYPERLINK("https://pbs.twimg.com/media/FyBNTbTXoAA6JGE.jpg")</f>
        <v>https://pbs.twimg.com/media/FyBNTbTXoAA6JGE.jpg</v>
      </c>
      <c r="AW367" s="82" t="s">
        <v>4422</v>
      </c>
      <c r="AX367" s="82" t="s">
        <v>4422</v>
      </c>
      <c r="AY367" s="77"/>
      <c r="AZ367" s="82" t="s">
        <v>5075</v>
      </c>
      <c r="BA367" s="82" t="s">
        <v>5075</v>
      </c>
      <c r="BB367" s="82" t="s">
        <v>5075</v>
      </c>
      <c r="BC367" s="82" t="s">
        <v>4422</v>
      </c>
      <c r="BD367" s="82" t="s">
        <v>5203</v>
      </c>
      <c r="BE367" s="77"/>
      <c r="BF367" s="77"/>
      <c r="BG367" s="77"/>
      <c r="BH367" s="77"/>
      <c r="BI367" s="77"/>
    </row>
    <row r="368" spans="1:61" x14ac:dyDescent="0.25">
      <c r="A368" s="62" t="s">
        <v>376</v>
      </c>
      <c r="B368" s="62" t="s">
        <v>376</v>
      </c>
      <c r="C368" s="63"/>
      <c r="D368" s="64"/>
      <c r="E368" s="65"/>
      <c r="F368" s="66"/>
      <c r="G368" s="63"/>
      <c r="H368" s="67"/>
      <c r="I368" s="68"/>
      <c r="J368" s="68"/>
      <c r="K368" s="32"/>
      <c r="L368" s="75">
        <v>368</v>
      </c>
      <c r="M368" s="75"/>
      <c r="N368" s="70"/>
      <c r="O368" s="77" t="s">
        <v>179</v>
      </c>
      <c r="P368" s="79">
        <v>45120.50571759259</v>
      </c>
      <c r="Q368" s="77" t="s">
        <v>900</v>
      </c>
      <c r="R368" s="77">
        <v>0</v>
      </c>
      <c r="S368" s="77">
        <v>0</v>
      </c>
      <c r="T368" s="77">
        <v>0</v>
      </c>
      <c r="U368" s="77">
        <v>0</v>
      </c>
      <c r="V368" s="77">
        <v>18</v>
      </c>
      <c r="W368" s="82" t="s">
        <v>1715</v>
      </c>
      <c r="X368" s="80" t="str">
        <f>HYPERLINK("https://portalfinancaspessoais.com.br/?p=2131")</f>
        <v>https://portalfinancaspessoais.com.br/?p=2131</v>
      </c>
      <c r="Y368" s="77" t="s">
        <v>1978</v>
      </c>
      <c r="Z368" s="77"/>
      <c r="AA368" s="77" t="s">
        <v>2217</v>
      </c>
      <c r="AB368" s="77" t="s">
        <v>2632</v>
      </c>
      <c r="AC368" s="82" t="s">
        <v>2652</v>
      </c>
      <c r="AD368" s="77" t="s">
        <v>2670</v>
      </c>
      <c r="AE368" s="80" t="str">
        <f>HYPERLINK("https://twitter.com/financasportal/status/1679462738496561159")</f>
        <v>https://twitter.com/financasportal/status/1679462738496561159</v>
      </c>
      <c r="AF368" s="79">
        <v>45120.50571759259</v>
      </c>
      <c r="AG368" s="85">
        <v>45120</v>
      </c>
      <c r="AH368" s="82" t="s">
        <v>3009</v>
      </c>
      <c r="AI368" s="77" t="b">
        <v>0</v>
      </c>
      <c r="AJ368" s="77"/>
      <c r="AK368" s="77"/>
      <c r="AL368" s="77"/>
      <c r="AM368" s="77"/>
      <c r="AN368" s="77"/>
      <c r="AO368" s="77"/>
      <c r="AP368" s="77"/>
      <c r="AQ368" s="77" t="s">
        <v>3646</v>
      </c>
      <c r="AR368" s="77"/>
      <c r="AS368" s="77"/>
      <c r="AT368" s="77"/>
      <c r="AU368" s="77"/>
      <c r="AV368" s="80" t="str">
        <f>HYPERLINK("https://pbs.twimg.com/media/F06mdf3WAAEVS7W.jpg")</f>
        <v>https://pbs.twimg.com/media/F06mdf3WAAEVS7W.jpg</v>
      </c>
      <c r="AW368" s="82" t="s">
        <v>4423</v>
      </c>
      <c r="AX368" s="82" t="s">
        <v>4423</v>
      </c>
      <c r="AY368" s="77"/>
      <c r="AZ368" s="82" t="s">
        <v>5075</v>
      </c>
      <c r="BA368" s="82" t="s">
        <v>5075</v>
      </c>
      <c r="BB368" s="82" t="s">
        <v>5075</v>
      </c>
      <c r="BC368" s="82" t="s">
        <v>4423</v>
      </c>
      <c r="BD368" s="82" t="s">
        <v>5203</v>
      </c>
      <c r="BE368" s="77"/>
      <c r="BF368" s="77"/>
      <c r="BG368" s="77"/>
      <c r="BH368" s="77"/>
      <c r="BI368" s="77"/>
    </row>
    <row r="369" spans="1:61" x14ac:dyDescent="0.25">
      <c r="A369" s="62" t="s">
        <v>376</v>
      </c>
      <c r="B369" s="62" t="s">
        <v>376</v>
      </c>
      <c r="C369" s="63"/>
      <c r="D369" s="64"/>
      <c r="E369" s="65"/>
      <c r="F369" s="66"/>
      <c r="G369" s="63"/>
      <c r="H369" s="67"/>
      <c r="I369" s="68"/>
      <c r="J369" s="68"/>
      <c r="K369" s="32"/>
      <c r="L369" s="75">
        <v>369</v>
      </c>
      <c r="M369" s="75"/>
      <c r="N369" s="70"/>
      <c r="O369" s="77" t="s">
        <v>179</v>
      </c>
      <c r="P369" s="79">
        <v>45093.504386574074</v>
      </c>
      <c r="Q369" s="77" t="s">
        <v>901</v>
      </c>
      <c r="R369" s="77">
        <v>0</v>
      </c>
      <c r="S369" s="77">
        <v>0</v>
      </c>
      <c r="T369" s="77">
        <v>0</v>
      </c>
      <c r="U369" s="77">
        <v>0</v>
      </c>
      <c r="V369" s="77">
        <v>9</v>
      </c>
      <c r="W369" s="82" t="s">
        <v>1715</v>
      </c>
      <c r="X369" s="80" t="str">
        <f>HYPERLINK("https://portalfinancaspessoais.com.br/?p=2056")</f>
        <v>https://portalfinancaspessoais.com.br/?p=2056</v>
      </c>
      <c r="Y369" s="77" t="s">
        <v>1978</v>
      </c>
      <c r="Z369" s="77"/>
      <c r="AA369" s="77" t="s">
        <v>2218</v>
      </c>
      <c r="AB369" s="77" t="s">
        <v>2632</v>
      </c>
      <c r="AC369" s="82" t="s">
        <v>2652</v>
      </c>
      <c r="AD369" s="77" t="s">
        <v>2670</v>
      </c>
      <c r="AE369" s="80" t="str">
        <f>HYPERLINK("https://twitter.com/financasportal/status/1669677783230947329")</f>
        <v>https://twitter.com/financasportal/status/1669677783230947329</v>
      </c>
      <c r="AF369" s="79">
        <v>45093.504386574074</v>
      </c>
      <c r="AG369" s="85">
        <v>45093</v>
      </c>
      <c r="AH369" s="82" t="s">
        <v>3010</v>
      </c>
      <c r="AI369" s="77" t="b">
        <v>0</v>
      </c>
      <c r="AJ369" s="77"/>
      <c r="AK369" s="77"/>
      <c r="AL369" s="77"/>
      <c r="AM369" s="77"/>
      <c r="AN369" s="77"/>
      <c r="AO369" s="77"/>
      <c r="AP369" s="77"/>
      <c r="AQ369" s="77" t="s">
        <v>3647</v>
      </c>
      <c r="AR369" s="77"/>
      <c r="AS369" s="77"/>
      <c r="AT369" s="77"/>
      <c r="AU369" s="77"/>
      <c r="AV369" s="80" t="str">
        <f>HYPERLINK("https://pbs.twimg.com/media/FyvjGHaWYAIpjRl.jpg")</f>
        <v>https://pbs.twimg.com/media/FyvjGHaWYAIpjRl.jpg</v>
      </c>
      <c r="AW369" s="82" t="s">
        <v>4424</v>
      </c>
      <c r="AX369" s="82" t="s">
        <v>4424</v>
      </c>
      <c r="AY369" s="77"/>
      <c r="AZ369" s="82" t="s">
        <v>5075</v>
      </c>
      <c r="BA369" s="82" t="s">
        <v>5075</v>
      </c>
      <c r="BB369" s="82" t="s">
        <v>5075</v>
      </c>
      <c r="BC369" s="82" t="s">
        <v>4424</v>
      </c>
      <c r="BD369" s="82" t="s">
        <v>5203</v>
      </c>
      <c r="BE369" s="77"/>
      <c r="BF369" s="77"/>
      <c r="BG369" s="77"/>
      <c r="BH369" s="77"/>
      <c r="BI369" s="77"/>
    </row>
    <row r="370" spans="1:61" x14ac:dyDescent="0.25">
      <c r="A370" s="62" t="s">
        <v>376</v>
      </c>
      <c r="B370" s="62" t="s">
        <v>376</v>
      </c>
      <c r="C370" s="63"/>
      <c r="D370" s="64"/>
      <c r="E370" s="65"/>
      <c r="F370" s="66"/>
      <c r="G370" s="63"/>
      <c r="H370" s="67"/>
      <c r="I370" s="68"/>
      <c r="J370" s="68"/>
      <c r="K370" s="32"/>
      <c r="L370" s="75">
        <v>370</v>
      </c>
      <c r="M370" s="75"/>
      <c r="N370" s="70"/>
      <c r="O370" s="77" t="s">
        <v>179</v>
      </c>
      <c r="P370" s="79">
        <v>45072.530428240738</v>
      </c>
      <c r="Q370" s="77" t="s">
        <v>902</v>
      </c>
      <c r="R370" s="77">
        <v>0</v>
      </c>
      <c r="S370" s="77">
        <v>0</v>
      </c>
      <c r="T370" s="77">
        <v>0</v>
      </c>
      <c r="U370" s="77">
        <v>0</v>
      </c>
      <c r="V370" s="77">
        <v>18</v>
      </c>
      <c r="W370" s="82" t="s">
        <v>1715</v>
      </c>
      <c r="X370" s="80" t="str">
        <f>HYPERLINK("https://portalfinancaspessoais.com.br/?p=1618")</f>
        <v>https://portalfinancaspessoais.com.br/?p=1618</v>
      </c>
      <c r="Y370" s="77" t="s">
        <v>1978</v>
      </c>
      <c r="Z370" s="77"/>
      <c r="AA370" s="77" t="s">
        <v>2219</v>
      </c>
      <c r="AB370" s="77" t="s">
        <v>2632</v>
      </c>
      <c r="AC370" s="82" t="s">
        <v>2652</v>
      </c>
      <c r="AD370" s="77" t="s">
        <v>2670</v>
      </c>
      <c r="AE370" s="80" t="str">
        <f>HYPERLINK("https://twitter.com/financasportal/status/1662077074704674819")</f>
        <v>https://twitter.com/financasportal/status/1662077074704674819</v>
      </c>
      <c r="AF370" s="79">
        <v>45072.530428240738</v>
      </c>
      <c r="AG370" s="85">
        <v>45072</v>
      </c>
      <c r="AH370" s="82" t="s">
        <v>3011</v>
      </c>
      <c r="AI370" s="77" t="b">
        <v>0</v>
      </c>
      <c r="AJ370" s="77"/>
      <c r="AK370" s="77"/>
      <c r="AL370" s="77"/>
      <c r="AM370" s="77"/>
      <c r="AN370" s="77"/>
      <c r="AO370" s="77"/>
      <c r="AP370" s="77"/>
      <c r="AQ370" s="77" t="s">
        <v>3648</v>
      </c>
      <c r="AR370" s="77"/>
      <c r="AS370" s="77"/>
      <c r="AT370" s="77"/>
      <c r="AU370" s="77"/>
      <c r="AV370" s="80" t="str">
        <f>HYPERLINK("https://pbs.twimg.com/media/FxDiSmpXsAADGJv.jpg")</f>
        <v>https://pbs.twimg.com/media/FxDiSmpXsAADGJv.jpg</v>
      </c>
      <c r="AW370" s="82" t="s">
        <v>4425</v>
      </c>
      <c r="AX370" s="82" t="s">
        <v>4425</v>
      </c>
      <c r="AY370" s="77"/>
      <c r="AZ370" s="82" t="s">
        <v>5075</v>
      </c>
      <c r="BA370" s="82" t="s">
        <v>5075</v>
      </c>
      <c r="BB370" s="82" t="s">
        <v>5075</v>
      </c>
      <c r="BC370" s="82" t="s">
        <v>4425</v>
      </c>
      <c r="BD370" s="82" t="s">
        <v>5203</v>
      </c>
      <c r="BE370" s="77"/>
      <c r="BF370" s="77"/>
      <c r="BG370" s="77"/>
      <c r="BH370" s="77"/>
      <c r="BI370" s="77"/>
    </row>
    <row r="371" spans="1:61" x14ac:dyDescent="0.25">
      <c r="A371" s="62" t="s">
        <v>376</v>
      </c>
      <c r="B371" s="62" t="s">
        <v>376</v>
      </c>
      <c r="C371" s="63"/>
      <c r="D371" s="64"/>
      <c r="E371" s="65"/>
      <c r="F371" s="66"/>
      <c r="G371" s="63"/>
      <c r="H371" s="67"/>
      <c r="I371" s="68"/>
      <c r="J371" s="68"/>
      <c r="K371" s="32"/>
      <c r="L371" s="75">
        <v>371</v>
      </c>
      <c r="M371" s="75"/>
      <c r="N371" s="70"/>
      <c r="O371" s="77" t="s">
        <v>179</v>
      </c>
      <c r="P371" s="79">
        <v>45029.741041666668</v>
      </c>
      <c r="Q371" s="77" t="s">
        <v>903</v>
      </c>
      <c r="R371" s="77">
        <v>0</v>
      </c>
      <c r="S371" s="77">
        <v>0</v>
      </c>
      <c r="T371" s="77">
        <v>0</v>
      </c>
      <c r="U371" s="77">
        <v>0</v>
      </c>
      <c r="V371" s="77">
        <v>7</v>
      </c>
      <c r="W371" s="82" t="s">
        <v>1718</v>
      </c>
      <c r="X371" s="80" t="str">
        <f>HYPERLINK("https://portalfinancaspessoais.com.br/truques-para-economizar-dinheiro-para-uma-vida-frugal/")</f>
        <v>https://portalfinancaspessoais.com.br/truques-para-economizar-dinheiro-para-uma-vida-frugal/</v>
      </c>
      <c r="Y371" s="77" t="s">
        <v>1978</v>
      </c>
      <c r="Z371" s="77"/>
      <c r="AA371" s="77" t="s">
        <v>2220</v>
      </c>
      <c r="AB371" s="77" t="s">
        <v>2632</v>
      </c>
      <c r="AC371" s="82" t="s">
        <v>2652</v>
      </c>
      <c r="AD371" s="77" t="s">
        <v>2670</v>
      </c>
      <c r="AE371" s="80" t="str">
        <f>HYPERLINK("https://twitter.com/financasportal/status/1646570721013891072")</f>
        <v>https://twitter.com/financasportal/status/1646570721013891072</v>
      </c>
      <c r="AF371" s="79">
        <v>45029.741041666668</v>
      </c>
      <c r="AG371" s="85">
        <v>45029</v>
      </c>
      <c r="AH371" s="82" t="s">
        <v>3012</v>
      </c>
      <c r="AI371" s="77" t="b">
        <v>0</v>
      </c>
      <c r="AJ371" s="77"/>
      <c r="AK371" s="77"/>
      <c r="AL371" s="77"/>
      <c r="AM371" s="77"/>
      <c r="AN371" s="77"/>
      <c r="AO371" s="77"/>
      <c r="AP371" s="77"/>
      <c r="AQ371" s="77" t="s">
        <v>3649</v>
      </c>
      <c r="AR371" s="77"/>
      <c r="AS371" s="77"/>
      <c r="AT371" s="77"/>
      <c r="AU371" s="77"/>
      <c r="AV371" s="80" t="str">
        <f>HYPERLINK("https://pbs.twimg.com/media/FtnLWDUXoAERTxV.jpg")</f>
        <v>https://pbs.twimg.com/media/FtnLWDUXoAERTxV.jpg</v>
      </c>
      <c r="AW371" s="82" t="s">
        <v>4426</v>
      </c>
      <c r="AX371" s="82" t="s">
        <v>4426</v>
      </c>
      <c r="AY371" s="77"/>
      <c r="AZ371" s="82" t="s">
        <v>5075</v>
      </c>
      <c r="BA371" s="82" t="s">
        <v>5075</v>
      </c>
      <c r="BB371" s="82" t="s">
        <v>5075</v>
      </c>
      <c r="BC371" s="82" t="s">
        <v>4426</v>
      </c>
      <c r="BD371" s="82" t="s">
        <v>5203</v>
      </c>
      <c r="BE371" s="77"/>
      <c r="BF371" s="77"/>
      <c r="BG371" s="77"/>
      <c r="BH371" s="77"/>
      <c r="BI371" s="77"/>
    </row>
    <row r="372" spans="1:61" x14ac:dyDescent="0.25">
      <c r="A372" s="62" t="s">
        <v>376</v>
      </c>
      <c r="B372" s="62" t="s">
        <v>376</v>
      </c>
      <c r="C372" s="63"/>
      <c r="D372" s="64"/>
      <c r="E372" s="65"/>
      <c r="F372" s="66"/>
      <c r="G372" s="63"/>
      <c r="H372" s="67"/>
      <c r="I372" s="68"/>
      <c r="J372" s="68"/>
      <c r="K372" s="32"/>
      <c r="L372" s="75">
        <v>372</v>
      </c>
      <c r="M372" s="75"/>
      <c r="N372" s="70"/>
      <c r="O372" s="77" t="s">
        <v>179</v>
      </c>
      <c r="P372" s="79">
        <v>45029.691134259258</v>
      </c>
      <c r="Q372" s="77" t="s">
        <v>904</v>
      </c>
      <c r="R372" s="77">
        <v>0</v>
      </c>
      <c r="S372" s="77">
        <v>0</v>
      </c>
      <c r="T372" s="77">
        <v>0</v>
      </c>
      <c r="U372" s="77">
        <v>0</v>
      </c>
      <c r="V372" s="77">
        <v>2</v>
      </c>
      <c r="W372" s="82" t="s">
        <v>1718</v>
      </c>
      <c r="X372" s="80" t="str">
        <f>HYPERLINK("https://portalfinancaspessoais.com.br/truques-para-economizar-dinheiro-para-uma-vida-frugal/")</f>
        <v>https://portalfinancaspessoais.com.br/truques-para-economizar-dinheiro-para-uma-vida-frugal/</v>
      </c>
      <c r="Y372" s="77" t="s">
        <v>1978</v>
      </c>
      <c r="Z372" s="77"/>
      <c r="AA372" s="77" t="s">
        <v>2221</v>
      </c>
      <c r="AB372" s="77" t="s">
        <v>2632</v>
      </c>
      <c r="AC372" s="82" t="s">
        <v>2652</v>
      </c>
      <c r="AD372" s="77" t="s">
        <v>2670</v>
      </c>
      <c r="AE372" s="80" t="str">
        <f>HYPERLINK("https://twitter.com/financasportal/status/1646552636810723354")</f>
        <v>https://twitter.com/financasportal/status/1646552636810723354</v>
      </c>
      <c r="AF372" s="79">
        <v>45029.691134259258</v>
      </c>
      <c r="AG372" s="85">
        <v>45029</v>
      </c>
      <c r="AH372" s="82" t="s">
        <v>3013</v>
      </c>
      <c r="AI372" s="77" t="b">
        <v>0</v>
      </c>
      <c r="AJ372" s="77"/>
      <c r="AK372" s="77"/>
      <c r="AL372" s="77"/>
      <c r="AM372" s="77"/>
      <c r="AN372" s="77"/>
      <c r="AO372" s="77"/>
      <c r="AP372" s="77"/>
      <c r="AQ372" s="77" t="s">
        <v>3650</v>
      </c>
      <c r="AR372" s="77"/>
      <c r="AS372" s="77"/>
      <c r="AT372" s="77"/>
      <c r="AU372" s="77"/>
      <c r="AV372" s="80" t="str">
        <f>HYPERLINK("https://pbs.twimg.com/media/Ftm65aJX0AAxadJ.jpg")</f>
        <v>https://pbs.twimg.com/media/Ftm65aJX0AAxadJ.jpg</v>
      </c>
      <c r="AW372" s="82" t="s">
        <v>4427</v>
      </c>
      <c r="AX372" s="82" t="s">
        <v>4427</v>
      </c>
      <c r="AY372" s="77"/>
      <c r="AZ372" s="82" t="s">
        <v>5075</v>
      </c>
      <c r="BA372" s="82" t="s">
        <v>5075</v>
      </c>
      <c r="BB372" s="82" t="s">
        <v>5075</v>
      </c>
      <c r="BC372" s="82" t="s">
        <v>4427</v>
      </c>
      <c r="BD372" s="82" t="s">
        <v>5203</v>
      </c>
      <c r="BE372" s="77"/>
      <c r="BF372" s="77"/>
      <c r="BG372" s="77"/>
      <c r="BH372" s="77"/>
      <c r="BI372" s="77"/>
    </row>
    <row r="373" spans="1:61" x14ac:dyDescent="0.25">
      <c r="A373" s="62" t="s">
        <v>376</v>
      </c>
      <c r="B373" s="62" t="s">
        <v>376</v>
      </c>
      <c r="C373" s="63"/>
      <c r="D373" s="64"/>
      <c r="E373" s="65"/>
      <c r="F373" s="66"/>
      <c r="G373" s="63"/>
      <c r="H373" s="67"/>
      <c r="I373" s="68"/>
      <c r="J373" s="68"/>
      <c r="K373" s="32"/>
      <c r="L373" s="75">
        <v>373</v>
      </c>
      <c r="M373" s="75"/>
      <c r="N373" s="70"/>
      <c r="O373" s="77" t="s">
        <v>179</v>
      </c>
      <c r="P373" s="79">
        <v>45028.764745370368</v>
      </c>
      <c r="Q373" s="77" t="s">
        <v>905</v>
      </c>
      <c r="R373" s="77">
        <v>0</v>
      </c>
      <c r="S373" s="77">
        <v>0</v>
      </c>
      <c r="T373" s="77">
        <v>0</v>
      </c>
      <c r="U373" s="77">
        <v>0</v>
      </c>
      <c r="V373" s="77">
        <v>8</v>
      </c>
      <c r="W373" s="82" t="s">
        <v>1716</v>
      </c>
      <c r="X373" s="80" t="str">
        <f>HYPERLINK("https://portalfinancaspessoais.com.br/?p=1217")</f>
        <v>https://portalfinancaspessoais.com.br/?p=1217</v>
      </c>
      <c r="Y373" s="77" t="s">
        <v>1978</v>
      </c>
      <c r="Z373" s="77"/>
      <c r="AA373" s="77" t="s">
        <v>2222</v>
      </c>
      <c r="AB373" s="77" t="s">
        <v>2632</v>
      </c>
      <c r="AC373" s="82" t="s">
        <v>2652</v>
      </c>
      <c r="AD373" s="77" t="s">
        <v>2670</v>
      </c>
      <c r="AE373" s="80" t="str">
        <f>HYPERLINK("https://twitter.com/financasportal/status/1646216924341100573")</f>
        <v>https://twitter.com/financasportal/status/1646216924341100573</v>
      </c>
      <c r="AF373" s="79">
        <v>45028.764745370368</v>
      </c>
      <c r="AG373" s="85">
        <v>45028</v>
      </c>
      <c r="AH373" s="82" t="s">
        <v>3014</v>
      </c>
      <c r="AI373" s="77" t="b">
        <v>0</v>
      </c>
      <c r="AJ373" s="77"/>
      <c r="AK373" s="77"/>
      <c r="AL373" s="77"/>
      <c r="AM373" s="77"/>
      <c r="AN373" s="77"/>
      <c r="AO373" s="77"/>
      <c r="AP373" s="77"/>
      <c r="AQ373" s="77" t="s">
        <v>3651</v>
      </c>
      <c r="AR373" s="77"/>
      <c r="AS373" s="77"/>
      <c r="AT373" s="77"/>
      <c r="AU373" s="77"/>
      <c r="AV373" s="80" t="str">
        <f>HYPERLINK("https://pbs.twimg.com/media/FtiJkagXgAAntg7.jpg")</f>
        <v>https://pbs.twimg.com/media/FtiJkagXgAAntg7.jpg</v>
      </c>
      <c r="AW373" s="82" t="s">
        <v>4428</v>
      </c>
      <c r="AX373" s="82" t="s">
        <v>4428</v>
      </c>
      <c r="AY373" s="77"/>
      <c r="AZ373" s="82" t="s">
        <v>5075</v>
      </c>
      <c r="BA373" s="82" t="s">
        <v>5075</v>
      </c>
      <c r="BB373" s="82" t="s">
        <v>5075</v>
      </c>
      <c r="BC373" s="82" t="s">
        <v>4428</v>
      </c>
      <c r="BD373" s="82" t="s">
        <v>5203</v>
      </c>
      <c r="BE373" s="77"/>
      <c r="BF373" s="77"/>
      <c r="BG373" s="77"/>
      <c r="BH373" s="77"/>
      <c r="BI373" s="77"/>
    </row>
    <row r="374" spans="1:61" x14ac:dyDescent="0.25">
      <c r="A374" s="62" t="s">
        <v>376</v>
      </c>
      <c r="B374" s="62" t="s">
        <v>376</v>
      </c>
      <c r="C374" s="63"/>
      <c r="D374" s="64"/>
      <c r="E374" s="65"/>
      <c r="F374" s="66"/>
      <c r="G374" s="63"/>
      <c r="H374" s="67"/>
      <c r="I374" s="68"/>
      <c r="J374" s="68"/>
      <c r="K374" s="32"/>
      <c r="L374" s="75">
        <v>374</v>
      </c>
      <c r="M374" s="75"/>
      <c r="N374" s="70"/>
      <c r="O374" s="77" t="s">
        <v>179</v>
      </c>
      <c r="P374" s="79">
        <v>45118.539513888885</v>
      </c>
      <c r="Q374" s="77" t="s">
        <v>906</v>
      </c>
      <c r="R374" s="77">
        <v>0</v>
      </c>
      <c r="S374" s="77">
        <v>0</v>
      </c>
      <c r="T374" s="77">
        <v>0</v>
      </c>
      <c r="U374" s="77">
        <v>0</v>
      </c>
      <c r="V374" s="77">
        <v>8</v>
      </c>
      <c r="W374" s="82" t="s">
        <v>1715</v>
      </c>
      <c r="X374" s="80" t="str">
        <f>HYPERLINK("https://portalfinancaspessoais.com.br/?p=2122")</f>
        <v>https://portalfinancaspessoais.com.br/?p=2122</v>
      </c>
      <c r="Y374" s="77" t="s">
        <v>1978</v>
      </c>
      <c r="Z374" s="77"/>
      <c r="AA374" s="77" t="s">
        <v>2223</v>
      </c>
      <c r="AB374" s="77" t="s">
        <v>2632</v>
      </c>
      <c r="AC374" s="82" t="s">
        <v>2652</v>
      </c>
      <c r="AD374" s="77" t="s">
        <v>2670</v>
      </c>
      <c r="AE374" s="80" t="str">
        <f>HYPERLINK("https://twitter.com/financasportal/status/1678750208811778050")</f>
        <v>https://twitter.com/financasportal/status/1678750208811778050</v>
      </c>
      <c r="AF374" s="79">
        <v>45118.539513888885</v>
      </c>
      <c r="AG374" s="85">
        <v>45118</v>
      </c>
      <c r="AH374" s="82" t="s">
        <v>3015</v>
      </c>
      <c r="AI374" s="77" t="b">
        <v>0</v>
      </c>
      <c r="AJ374" s="77"/>
      <c r="AK374" s="77"/>
      <c r="AL374" s="77"/>
      <c r="AM374" s="77"/>
      <c r="AN374" s="77"/>
      <c r="AO374" s="77"/>
      <c r="AP374" s="77"/>
      <c r="AQ374" s="77" t="s">
        <v>3652</v>
      </c>
      <c r="AR374" s="77"/>
      <c r="AS374" s="77"/>
      <c r="AT374" s="77"/>
      <c r="AU374" s="77"/>
      <c r="AV374" s="80" t="str">
        <f>HYPERLINK("https://pbs.twimg.com/media/F0weavkWIAAKZoM.jpg")</f>
        <v>https://pbs.twimg.com/media/F0weavkWIAAKZoM.jpg</v>
      </c>
      <c r="AW374" s="82" t="s">
        <v>4429</v>
      </c>
      <c r="AX374" s="82" t="s">
        <v>4429</v>
      </c>
      <c r="AY374" s="77"/>
      <c r="AZ374" s="82" t="s">
        <v>5075</v>
      </c>
      <c r="BA374" s="82" t="s">
        <v>5075</v>
      </c>
      <c r="BB374" s="82" t="s">
        <v>5075</v>
      </c>
      <c r="BC374" s="82" t="s">
        <v>4429</v>
      </c>
      <c r="BD374" s="82" t="s">
        <v>5203</v>
      </c>
      <c r="BE374" s="77"/>
      <c r="BF374" s="77"/>
      <c r="BG374" s="77"/>
      <c r="BH374" s="77"/>
      <c r="BI374" s="77"/>
    </row>
    <row r="375" spans="1:61" x14ac:dyDescent="0.25">
      <c r="A375" s="62" t="s">
        <v>376</v>
      </c>
      <c r="B375" s="62" t="s">
        <v>376</v>
      </c>
      <c r="C375" s="63"/>
      <c r="D375" s="64"/>
      <c r="E375" s="65"/>
      <c r="F375" s="66"/>
      <c r="G375" s="63"/>
      <c r="H375" s="67"/>
      <c r="I375" s="68"/>
      <c r="J375" s="68"/>
      <c r="K375" s="32"/>
      <c r="L375" s="75">
        <v>375</v>
      </c>
      <c r="M375" s="75"/>
      <c r="N375" s="70"/>
      <c r="O375" s="77" t="s">
        <v>179</v>
      </c>
      <c r="P375" s="79">
        <v>45107.518333333333</v>
      </c>
      <c r="Q375" s="77" t="s">
        <v>907</v>
      </c>
      <c r="R375" s="77">
        <v>0</v>
      </c>
      <c r="S375" s="77">
        <v>0</v>
      </c>
      <c r="T375" s="77">
        <v>0</v>
      </c>
      <c r="U375" s="77">
        <v>0</v>
      </c>
      <c r="V375" s="77">
        <v>24</v>
      </c>
      <c r="W375" s="82" t="s">
        <v>1715</v>
      </c>
      <c r="X375" s="80" t="str">
        <f>HYPERLINK("https://portalfinancaspessoais.com.br/?p=2083")</f>
        <v>https://portalfinancaspessoais.com.br/?p=2083</v>
      </c>
      <c r="Y375" s="77" t="s">
        <v>1978</v>
      </c>
      <c r="Z375" s="77"/>
      <c r="AA375" s="77" t="s">
        <v>2224</v>
      </c>
      <c r="AB375" s="77" t="s">
        <v>2632</v>
      </c>
      <c r="AC375" s="82" t="s">
        <v>2652</v>
      </c>
      <c r="AD375" s="77" t="s">
        <v>2670</v>
      </c>
      <c r="AE375" s="80" t="str">
        <f>HYPERLINK("https://twitter.com/financasportal/status/1674756266286039042")</f>
        <v>https://twitter.com/financasportal/status/1674756266286039042</v>
      </c>
      <c r="AF375" s="79">
        <v>45107.518333333333</v>
      </c>
      <c r="AG375" s="85">
        <v>45107</v>
      </c>
      <c r="AH375" s="82" t="s">
        <v>3016</v>
      </c>
      <c r="AI375" s="77" t="b">
        <v>0</v>
      </c>
      <c r="AJ375" s="77"/>
      <c r="AK375" s="77"/>
      <c r="AL375" s="77"/>
      <c r="AM375" s="77"/>
      <c r="AN375" s="77"/>
      <c r="AO375" s="77"/>
      <c r="AP375" s="77"/>
      <c r="AQ375" s="77" t="s">
        <v>3653</v>
      </c>
      <c r="AR375" s="77"/>
      <c r="AS375" s="77"/>
      <c r="AT375" s="77"/>
      <c r="AU375" s="77"/>
      <c r="AV375" s="80" t="str">
        <f>HYPERLINK("https://pbs.twimg.com/media/Fz3t8wcXgAAXYDX.jpg")</f>
        <v>https://pbs.twimg.com/media/Fz3t8wcXgAAXYDX.jpg</v>
      </c>
      <c r="AW375" s="82" t="s">
        <v>4430</v>
      </c>
      <c r="AX375" s="82" t="s">
        <v>4430</v>
      </c>
      <c r="AY375" s="77"/>
      <c r="AZ375" s="82" t="s">
        <v>5075</v>
      </c>
      <c r="BA375" s="82" t="s">
        <v>5075</v>
      </c>
      <c r="BB375" s="82" t="s">
        <v>5075</v>
      </c>
      <c r="BC375" s="82" t="s">
        <v>4430</v>
      </c>
      <c r="BD375" s="82" t="s">
        <v>5203</v>
      </c>
      <c r="BE375" s="77"/>
      <c r="BF375" s="77"/>
      <c r="BG375" s="77"/>
      <c r="BH375" s="77"/>
      <c r="BI375" s="77"/>
    </row>
    <row r="376" spans="1:61" x14ac:dyDescent="0.25">
      <c r="A376" s="62" t="s">
        <v>376</v>
      </c>
      <c r="B376" s="62" t="s">
        <v>376</v>
      </c>
      <c r="C376" s="63"/>
      <c r="D376" s="64"/>
      <c r="E376" s="65"/>
      <c r="F376" s="66"/>
      <c r="G376" s="63"/>
      <c r="H376" s="67"/>
      <c r="I376" s="68"/>
      <c r="J376" s="68"/>
      <c r="K376" s="32"/>
      <c r="L376" s="75">
        <v>376</v>
      </c>
      <c r="M376" s="75"/>
      <c r="N376" s="70"/>
      <c r="O376" s="77" t="s">
        <v>179</v>
      </c>
      <c r="P376" s="79">
        <v>45090.542037037034</v>
      </c>
      <c r="Q376" s="77" t="s">
        <v>908</v>
      </c>
      <c r="R376" s="77">
        <v>0</v>
      </c>
      <c r="S376" s="77">
        <v>0</v>
      </c>
      <c r="T376" s="77">
        <v>0</v>
      </c>
      <c r="U376" s="77">
        <v>0</v>
      </c>
      <c r="V376" s="77">
        <v>4</v>
      </c>
      <c r="W376" s="82" t="s">
        <v>1719</v>
      </c>
      <c r="X376" s="80" t="str">
        <f>HYPERLINK("https://portalfinancaspessoais.com.br/?p=1462")</f>
        <v>https://portalfinancaspessoais.com.br/?p=1462</v>
      </c>
      <c r="Y376" s="77" t="s">
        <v>1978</v>
      </c>
      <c r="Z376" s="77"/>
      <c r="AA376" s="77" t="s">
        <v>2225</v>
      </c>
      <c r="AB376" s="77" t="s">
        <v>2632</v>
      </c>
      <c r="AC376" s="82" t="s">
        <v>2652</v>
      </c>
      <c r="AD376" s="77" t="s">
        <v>2670</v>
      </c>
      <c r="AE376" s="80" t="str">
        <f>HYPERLINK("https://twitter.com/financasportal/status/1668604264023826432")</f>
        <v>https://twitter.com/financasportal/status/1668604264023826432</v>
      </c>
      <c r="AF376" s="79">
        <v>45090.542037037034</v>
      </c>
      <c r="AG376" s="85">
        <v>45090</v>
      </c>
      <c r="AH376" s="82" t="s">
        <v>3017</v>
      </c>
      <c r="AI376" s="77" t="b">
        <v>0</v>
      </c>
      <c r="AJ376" s="77"/>
      <c r="AK376" s="77"/>
      <c r="AL376" s="77"/>
      <c r="AM376" s="77"/>
      <c r="AN376" s="77"/>
      <c r="AO376" s="77"/>
      <c r="AP376" s="77"/>
      <c r="AQ376" s="77" t="s">
        <v>3654</v>
      </c>
      <c r="AR376" s="77"/>
      <c r="AS376" s="77"/>
      <c r="AT376" s="77"/>
      <c r="AU376" s="77"/>
      <c r="AV376" s="80" t="str">
        <f>HYPERLINK("https://pbs.twimg.com/media/FygSvCiWAAA-Quu.jpg")</f>
        <v>https://pbs.twimg.com/media/FygSvCiWAAA-Quu.jpg</v>
      </c>
      <c r="AW376" s="82" t="s">
        <v>4431</v>
      </c>
      <c r="AX376" s="82" t="s">
        <v>4431</v>
      </c>
      <c r="AY376" s="77"/>
      <c r="AZ376" s="82" t="s">
        <v>5075</v>
      </c>
      <c r="BA376" s="82" t="s">
        <v>5075</v>
      </c>
      <c r="BB376" s="82" t="s">
        <v>5075</v>
      </c>
      <c r="BC376" s="82" t="s">
        <v>4431</v>
      </c>
      <c r="BD376" s="82" t="s">
        <v>5203</v>
      </c>
      <c r="BE376" s="77"/>
      <c r="BF376" s="77"/>
      <c r="BG376" s="77"/>
      <c r="BH376" s="77"/>
      <c r="BI376" s="77"/>
    </row>
    <row r="377" spans="1:61" x14ac:dyDescent="0.25">
      <c r="A377" s="62" t="s">
        <v>376</v>
      </c>
      <c r="B377" s="62" t="s">
        <v>376</v>
      </c>
      <c r="C377" s="63"/>
      <c r="D377" s="64"/>
      <c r="E377" s="65"/>
      <c r="F377" s="66"/>
      <c r="G377" s="63"/>
      <c r="H377" s="67"/>
      <c r="I377" s="68"/>
      <c r="J377" s="68"/>
      <c r="K377" s="32"/>
      <c r="L377" s="75">
        <v>377</v>
      </c>
      <c r="M377" s="75"/>
      <c r="N377" s="70"/>
      <c r="O377" s="77" t="s">
        <v>179</v>
      </c>
      <c r="P377" s="79">
        <v>45089.525034722225</v>
      </c>
      <c r="Q377" s="77" t="s">
        <v>909</v>
      </c>
      <c r="R377" s="77">
        <v>0</v>
      </c>
      <c r="S377" s="77">
        <v>0</v>
      </c>
      <c r="T377" s="77">
        <v>0</v>
      </c>
      <c r="U377" s="77">
        <v>0</v>
      </c>
      <c r="V377" s="77">
        <v>7</v>
      </c>
      <c r="W377" s="82" t="s">
        <v>1715</v>
      </c>
      <c r="X377" s="80" t="str">
        <f>HYPERLINK("https://portalfinancaspessoais.com.br/?p=2026")</f>
        <v>https://portalfinancaspessoais.com.br/?p=2026</v>
      </c>
      <c r="Y377" s="77" t="s">
        <v>1978</v>
      </c>
      <c r="Z377" s="77"/>
      <c r="AA377" s="77" t="s">
        <v>2226</v>
      </c>
      <c r="AB377" s="77" t="s">
        <v>2632</v>
      </c>
      <c r="AC377" s="82" t="s">
        <v>2652</v>
      </c>
      <c r="AD377" s="77" t="s">
        <v>2670</v>
      </c>
      <c r="AE377" s="80" t="str">
        <f>HYPERLINK("https://twitter.com/financasportal/status/1668235716877230080")</f>
        <v>https://twitter.com/financasportal/status/1668235716877230080</v>
      </c>
      <c r="AF377" s="79">
        <v>45089.525034722225</v>
      </c>
      <c r="AG377" s="85">
        <v>45089</v>
      </c>
      <c r="AH377" s="82" t="s">
        <v>3018</v>
      </c>
      <c r="AI377" s="77" t="b">
        <v>0</v>
      </c>
      <c r="AJ377" s="77"/>
      <c r="AK377" s="77"/>
      <c r="AL377" s="77"/>
      <c r="AM377" s="77"/>
      <c r="AN377" s="77"/>
      <c r="AO377" s="77"/>
      <c r="AP377" s="77"/>
      <c r="AQ377" s="77" t="s">
        <v>3655</v>
      </c>
      <c r="AR377" s="77"/>
      <c r="AS377" s="77"/>
      <c r="AT377" s="77"/>
      <c r="AU377" s="77"/>
      <c r="AV377" s="80" t="str">
        <f>HYPERLINK("https://pbs.twimg.com/media/FybDi0tWYAEuumf.jpg")</f>
        <v>https://pbs.twimg.com/media/FybDi0tWYAEuumf.jpg</v>
      </c>
      <c r="AW377" s="82" t="s">
        <v>4432</v>
      </c>
      <c r="AX377" s="82" t="s">
        <v>4432</v>
      </c>
      <c r="AY377" s="77"/>
      <c r="AZ377" s="82" t="s">
        <v>5075</v>
      </c>
      <c r="BA377" s="82" t="s">
        <v>5075</v>
      </c>
      <c r="BB377" s="82" t="s">
        <v>5075</v>
      </c>
      <c r="BC377" s="82" t="s">
        <v>4432</v>
      </c>
      <c r="BD377" s="82" t="s">
        <v>5203</v>
      </c>
      <c r="BE377" s="77"/>
      <c r="BF377" s="77"/>
      <c r="BG377" s="77"/>
      <c r="BH377" s="77"/>
      <c r="BI377" s="77"/>
    </row>
    <row r="378" spans="1:61" x14ac:dyDescent="0.25">
      <c r="A378" s="62" t="s">
        <v>377</v>
      </c>
      <c r="B378" s="62" t="s">
        <v>527</v>
      </c>
      <c r="C378" s="63"/>
      <c r="D378" s="64"/>
      <c r="E378" s="65"/>
      <c r="F378" s="66"/>
      <c r="G378" s="63"/>
      <c r="H378" s="67"/>
      <c r="I378" s="68"/>
      <c r="J378" s="68"/>
      <c r="K378" s="32"/>
      <c r="L378" s="75">
        <v>378</v>
      </c>
      <c r="M378" s="75"/>
      <c r="N378" s="70"/>
      <c r="O378" s="77" t="s">
        <v>539</v>
      </c>
      <c r="P378" s="79">
        <v>45135.456828703704</v>
      </c>
      <c r="Q378" s="77" t="s">
        <v>910</v>
      </c>
      <c r="R378" s="77">
        <v>0</v>
      </c>
      <c r="S378" s="77">
        <v>0</v>
      </c>
      <c r="T378" s="77">
        <v>0</v>
      </c>
      <c r="U378" s="77">
        <v>0</v>
      </c>
      <c r="V378" s="77">
        <v>52</v>
      </c>
      <c r="W378" s="82" t="s">
        <v>1720</v>
      </c>
      <c r="X378" s="77"/>
      <c r="Y378" s="77"/>
      <c r="Z378" s="77" t="s">
        <v>2009</v>
      </c>
      <c r="AA378" s="77" t="s">
        <v>2227</v>
      </c>
      <c r="AB378" s="77" t="s">
        <v>2632</v>
      </c>
      <c r="AC378" s="82" t="s">
        <v>2638</v>
      </c>
      <c r="AD378" s="77" t="s">
        <v>2670</v>
      </c>
      <c r="AE378" s="80" t="str">
        <f>HYPERLINK("https://twitter.com/workshopdantas/status/1684880840432721920")</f>
        <v>https://twitter.com/workshopdantas/status/1684880840432721920</v>
      </c>
      <c r="AF378" s="79">
        <v>45135.456828703704</v>
      </c>
      <c r="AG378" s="85">
        <v>45135</v>
      </c>
      <c r="AH378" s="82" t="s">
        <v>3019</v>
      </c>
      <c r="AI378" s="77" t="b">
        <v>0</v>
      </c>
      <c r="AJ378" s="77"/>
      <c r="AK378" s="77"/>
      <c r="AL378" s="77"/>
      <c r="AM378" s="77"/>
      <c r="AN378" s="77"/>
      <c r="AO378" s="77"/>
      <c r="AP378" s="77"/>
      <c r="AQ378" s="77" t="s">
        <v>3656</v>
      </c>
      <c r="AR378" s="77"/>
      <c r="AS378" s="77"/>
      <c r="AT378" s="77"/>
      <c r="AU378" s="77"/>
      <c r="AV378" s="80" t="str">
        <f>HYPERLINK("https://pbs.twimg.com/media/F2HmMekbcAAuTpe.jpg")</f>
        <v>https://pbs.twimg.com/media/F2HmMekbcAAuTpe.jpg</v>
      </c>
      <c r="AW378" s="82" t="s">
        <v>4433</v>
      </c>
      <c r="AX378" s="82" t="s">
        <v>4433</v>
      </c>
      <c r="AY378" s="77"/>
      <c r="AZ378" s="82" t="s">
        <v>5075</v>
      </c>
      <c r="BA378" s="82" t="s">
        <v>5075</v>
      </c>
      <c r="BB378" s="82" t="s">
        <v>5075</v>
      </c>
      <c r="BC378" s="82" t="s">
        <v>4433</v>
      </c>
      <c r="BD378" s="82" t="s">
        <v>5204</v>
      </c>
      <c r="BE378" s="77"/>
      <c r="BF378" s="77"/>
      <c r="BG378" s="77"/>
      <c r="BH378" s="77"/>
      <c r="BI378" s="77"/>
    </row>
    <row r="379" spans="1:61" x14ac:dyDescent="0.25">
      <c r="A379" s="62" t="s">
        <v>377</v>
      </c>
      <c r="B379" s="62" t="s">
        <v>528</v>
      </c>
      <c r="C379" s="63"/>
      <c r="D379" s="64"/>
      <c r="E379" s="65"/>
      <c r="F379" s="66"/>
      <c r="G379" s="63"/>
      <c r="H379" s="67"/>
      <c r="I379" s="68"/>
      <c r="J379" s="68"/>
      <c r="K379" s="32"/>
      <c r="L379" s="75">
        <v>379</v>
      </c>
      <c r="M379" s="75"/>
      <c r="N379" s="70"/>
      <c r="O379" s="77" t="s">
        <v>539</v>
      </c>
      <c r="P379" s="79">
        <v>45130.933113425926</v>
      </c>
      <c r="Q379" s="77" t="s">
        <v>911</v>
      </c>
      <c r="R379" s="77">
        <v>0</v>
      </c>
      <c r="S379" s="77">
        <v>0</v>
      </c>
      <c r="T379" s="77">
        <v>2</v>
      </c>
      <c r="U379" s="77">
        <v>0</v>
      </c>
      <c r="V379" s="77">
        <v>181</v>
      </c>
      <c r="W379" s="82" t="s">
        <v>1721</v>
      </c>
      <c r="X379" s="77"/>
      <c r="Y379" s="77"/>
      <c r="Z379" s="77" t="s">
        <v>2010</v>
      </c>
      <c r="AA379" s="77" t="s">
        <v>2228</v>
      </c>
      <c r="AB379" s="77" t="s">
        <v>2632</v>
      </c>
      <c r="AC379" s="82" t="s">
        <v>2638</v>
      </c>
      <c r="AD379" s="77" t="s">
        <v>2670</v>
      </c>
      <c r="AE379" s="80" t="str">
        <f>HYPERLINK("https://twitter.com/workshopdantas/status/1683241500468019200")</f>
        <v>https://twitter.com/workshopdantas/status/1683241500468019200</v>
      </c>
      <c r="AF379" s="79">
        <v>45130.933113425926</v>
      </c>
      <c r="AG379" s="85">
        <v>45130</v>
      </c>
      <c r="AH379" s="82" t="s">
        <v>3020</v>
      </c>
      <c r="AI379" s="77" t="b">
        <v>0</v>
      </c>
      <c r="AJ379" s="77"/>
      <c r="AK379" s="77"/>
      <c r="AL379" s="77"/>
      <c r="AM379" s="77"/>
      <c r="AN379" s="77"/>
      <c r="AO379" s="77"/>
      <c r="AP379" s="77"/>
      <c r="AQ379" s="77" t="s">
        <v>3657</v>
      </c>
      <c r="AR379" s="77"/>
      <c r="AS379" s="77"/>
      <c r="AT379" s="77"/>
      <c r="AU379" s="77"/>
      <c r="AV379" s="80" t="str">
        <f>HYPERLINK("https://pbs.twimg.com/media/F1wTODlXgAMFYga.jpg")</f>
        <v>https://pbs.twimg.com/media/F1wTODlXgAMFYga.jpg</v>
      </c>
      <c r="AW379" s="82" t="s">
        <v>4434</v>
      </c>
      <c r="AX379" s="82" t="s">
        <v>4434</v>
      </c>
      <c r="AY379" s="77"/>
      <c r="AZ379" s="82" t="s">
        <v>5075</v>
      </c>
      <c r="BA379" s="82" t="s">
        <v>5075</v>
      </c>
      <c r="BB379" s="82" t="s">
        <v>5075</v>
      </c>
      <c r="BC379" s="82" t="s">
        <v>4434</v>
      </c>
      <c r="BD379" s="82" t="s">
        <v>5204</v>
      </c>
      <c r="BE379" s="77"/>
      <c r="BF379" s="77"/>
      <c r="BG379" s="77"/>
      <c r="BH379" s="77"/>
      <c r="BI379" s="77"/>
    </row>
    <row r="380" spans="1:61" x14ac:dyDescent="0.25">
      <c r="A380" s="62" t="s">
        <v>377</v>
      </c>
      <c r="B380" s="62" t="s">
        <v>529</v>
      </c>
      <c r="C380" s="63"/>
      <c r="D380" s="64"/>
      <c r="E380" s="65"/>
      <c r="F380" s="66"/>
      <c r="G380" s="63"/>
      <c r="H380" s="67"/>
      <c r="I380" s="68"/>
      <c r="J380" s="68"/>
      <c r="K380" s="32"/>
      <c r="L380" s="75">
        <v>380</v>
      </c>
      <c r="M380" s="75"/>
      <c r="N380" s="70"/>
      <c r="O380" s="77" t="s">
        <v>539</v>
      </c>
      <c r="P380" s="79">
        <v>45119.478668981479</v>
      </c>
      <c r="Q380" s="77" t="s">
        <v>912</v>
      </c>
      <c r="R380" s="77">
        <v>0</v>
      </c>
      <c r="S380" s="77">
        <v>2</v>
      </c>
      <c r="T380" s="77">
        <v>1</v>
      </c>
      <c r="U380" s="77">
        <v>0</v>
      </c>
      <c r="V380" s="77">
        <v>47</v>
      </c>
      <c r="W380" s="82" t="s">
        <v>1720</v>
      </c>
      <c r="X380" s="77"/>
      <c r="Y380" s="77"/>
      <c r="Z380" s="77" t="s">
        <v>2011</v>
      </c>
      <c r="AA380" s="77" t="s">
        <v>2229</v>
      </c>
      <c r="AB380" s="77" t="s">
        <v>2632</v>
      </c>
      <c r="AC380" s="82" t="s">
        <v>2638</v>
      </c>
      <c r="AD380" s="77" t="s">
        <v>2670</v>
      </c>
      <c r="AE380" s="80" t="str">
        <f>HYPERLINK("https://twitter.com/workshopdantas/status/1679090549804900352")</f>
        <v>https://twitter.com/workshopdantas/status/1679090549804900352</v>
      </c>
      <c r="AF380" s="79">
        <v>45119.478668981479</v>
      </c>
      <c r="AG380" s="85">
        <v>45119</v>
      </c>
      <c r="AH380" s="82" t="s">
        <v>3021</v>
      </c>
      <c r="AI380" s="77" t="b">
        <v>0</v>
      </c>
      <c r="AJ380" s="77"/>
      <c r="AK380" s="77"/>
      <c r="AL380" s="77"/>
      <c r="AM380" s="77"/>
      <c r="AN380" s="77"/>
      <c r="AO380" s="77"/>
      <c r="AP380" s="77"/>
      <c r="AQ380" s="77" t="s">
        <v>3658</v>
      </c>
      <c r="AR380" s="77"/>
      <c r="AS380" s="77"/>
      <c r="AT380" s="77"/>
      <c r="AU380" s="77"/>
      <c r="AV380" s="80" t="str">
        <f>HYPERLINK("https://pbs.twimg.com/media/F01T9MnWYAAqxnf.jpg")</f>
        <v>https://pbs.twimg.com/media/F01T9MnWYAAqxnf.jpg</v>
      </c>
      <c r="AW380" s="82" t="s">
        <v>4435</v>
      </c>
      <c r="AX380" s="82" t="s">
        <v>4435</v>
      </c>
      <c r="AY380" s="77"/>
      <c r="AZ380" s="82" t="s">
        <v>5075</v>
      </c>
      <c r="BA380" s="82" t="s">
        <v>5075</v>
      </c>
      <c r="BB380" s="82" t="s">
        <v>5075</v>
      </c>
      <c r="BC380" s="82" t="s">
        <v>4435</v>
      </c>
      <c r="BD380" s="82" t="s">
        <v>5204</v>
      </c>
      <c r="BE380" s="77"/>
      <c r="BF380" s="77"/>
      <c r="BG380" s="77"/>
      <c r="BH380" s="77"/>
      <c r="BI380" s="77"/>
    </row>
    <row r="381" spans="1:61" x14ac:dyDescent="0.25">
      <c r="A381" s="62" t="s">
        <v>377</v>
      </c>
      <c r="B381" s="62" t="s">
        <v>530</v>
      </c>
      <c r="C381" s="63"/>
      <c r="D381" s="64"/>
      <c r="E381" s="65"/>
      <c r="F381" s="66"/>
      <c r="G381" s="63"/>
      <c r="H381" s="67"/>
      <c r="I381" s="68"/>
      <c r="J381" s="68"/>
      <c r="K381" s="32"/>
      <c r="L381" s="75">
        <v>381</v>
      </c>
      <c r="M381" s="75"/>
      <c r="N381" s="70"/>
      <c r="O381" s="77" t="s">
        <v>539</v>
      </c>
      <c r="P381" s="79">
        <v>45098.578055555554</v>
      </c>
      <c r="Q381" s="77" t="s">
        <v>913</v>
      </c>
      <c r="R381" s="77">
        <v>0</v>
      </c>
      <c r="S381" s="77">
        <v>0</v>
      </c>
      <c r="T381" s="77">
        <v>0</v>
      </c>
      <c r="U381" s="77">
        <v>0</v>
      </c>
      <c r="V381" s="77">
        <v>47</v>
      </c>
      <c r="W381" s="82" t="s">
        <v>1722</v>
      </c>
      <c r="X381" s="77"/>
      <c r="Y381" s="77"/>
      <c r="Z381" s="77" t="s">
        <v>2012</v>
      </c>
      <c r="AA381" s="77" t="s">
        <v>2230</v>
      </c>
      <c r="AB381" s="77" t="s">
        <v>2632</v>
      </c>
      <c r="AC381" s="82" t="s">
        <v>2638</v>
      </c>
      <c r="AD381" s="77" t="s">
        <v>2670</v>
      </c>
      <c r="AE381" s="80" t="str">
        <f>HYPERLINK("https://twitter.com/workshopdantas/status/1671516419391889408")</f>
        <v>https://twitter.com/workshopdantas/status/1671516419391889408</v>
      </c>
      <c r="AF381" s="79">
        <v>45098.578055555554</v>
      </c>
      <c r="AG381" s="85">
        <v>45098</v>
      </c>
      <c r="AH381" s="82" t="s">
        <v>3022</v>
      </c>
      <c r="AI381" s="77" t="b">
        <v>0</v>
      </c>
      <c r="AJ381" s="77"/>
      <c r="AK381" s="77"/>
      <c r="AL381" s="77"/>
      <c r="AM381" s="77"/>
      <c r="AN381" s="77"/>
      <c r="AO381" s="77"/>
      <c r="AP381" s="77"/>
      <c r="AQ381" s="77" t="s">
        <v>3659</v>
      </c>
      <c r="AR381" s="77"/>
      <c r="AS381" s="77"/>
      <c r="AT381" s="77"/>
      <c r="AU381" s="77"/>
      <c r="AV381" s="80" t="str">
        <f>HYPERLINK("https://pbs.twimg.com/media/FzJrUt3WwAMaeyJ.jpg")</f>
        <v>https://pbs.twimg.com/media/FzJrUt3WwAMaeyJ.jpg</v>
      </c>
      <c r="AW381" s="82" t="s">
        <v>4436</v>
      </c>
      <c r="AX381" s="82" t="s">
        <v>4436</v>
      </c>
      <c r="AY381" s="77"/>
      <c r="AZ381" s="82" t="s">
        <v>5075</v>
      </c>
      <c r="BA381" s="82" t="s">
        <v>5075</v>
      </c>
      <c r="BB381" s="82" t="s">
        <v>5075</v>
      </c>
      <c r="BC381" s="82" t="s">
        <v>4436</v>
      </c>
      <c r="BD381" s="82" t="s">
        <v>5204</v>
      </c>
      <c r="BE381" s="77"/>
      <c r="BF381" s="77"/>
      <c r="BG381" s="77"/>
      <c r="BH381" s="77"/>
      <c r="BI381" s="77"/>
    </row>
    <row r="382" spans="1:61" x14ac:dyDescent="0.25">
      <c r="A382" s="62" t="s">
        <v>377</v>
      </c>
      <c r="B382" s="62" t="s">
        <v>377</v>
      </c>
      <c r="C382" s="63"/>
      <c r="D382" s="64"/>
      <c r="E382" s="65"/>
      <c r="F382" s="66"/>
      <c r="G382" s="63"/>
      <c r="H382" s="67"/>
      <c r="I382" s="68"/>
      <c r="J382" s="68"/>
      <c r="K382" s="32"/>
      <c r="L382" s="75">
        <v>382</v>
      </c>
      <c r="M382" s="75"/>
      <c r="N382" s="70"/>
      <c r="O382" s="77" t="s">
        <v>539</v>
      </c>
      <c r="P382" s="79">
        <v>45130.479224537034</v>
      </c>
      <c r="Q382" s="77" t="s">
        <v>914</v>
      </c>
      <c r="R382" s="77">
        <v>0</v>
      </c>
      <c r="S382" s="77">
        <v>1</v>
      </c>
      <c r="T382" s="77">
        <v>1</v>
      </c>
      <c r="U382" s="77">
        <v>0</v>
      </c>
      <c r="V382" s="77">
        <v>57</v>
      </c>
      <c r="W382" s="82" t="s">
        <v>1723</v>
      </c>
      <c r="X382" s="77"/>
      <c r="Y382" s="77"/>
      <c r="Z382" s="77" t="s">
        <v>377</v>
      </c>
      <c r="AA382" s="77" t="s">
        <v>2231</v>
      </c>
      <c r="AB382" s="77" t="s">
        <v>2632</v>
      </c>
      <c r="AC382" s="82" t="s">
        <v>2638</v>
      </c>
      <c r="AD382" s="77" t="s">
        <v>2670</v>
      </c>
      <c r="AE382" s="80" t="str">
        <f>HYPERLINK("https://twitter.com/workshopdantas/status/1683077017497919488")</f>
        <v>https://twitter.com/workshopdantas/status/1683077017497919488</v>
      </c>
      <c r="AF382" s="79">
        <v>45130.479224537034</v>
      </c>
      <c r="AG382" s="85">
        <v>45130</v>
      </c>
      <c r="AH382" s="82" t="s">
        <v>3023</v>
      </c>
      <c r="AI382" s="77" t="b">
        <v>0</v>
      </c>
      <c r="AJ382" s="77"/>
      <c r="AK382" s="77"/>
      <c r="AL382" s="77"/>
      <c r="AM382" s="77"/>
      <c r="AN382" s="77"/>
      <c r="AO382" s="77"/>
      <c r="AP382" s="77"/>
      <c r="AQ382" s="77" t="s">
        <v>3660</v>
      </c>
      <c r="AR382" s="77"/>
      <c r="AS382" s="77"/>
      <c r="AT382" s="77"/>
      <c r="AU382" s="77"/>
      <c r="AV382" s="80" t="str">
        <f>HYPERLINK("https://pbs.twimg.com/media/F1t9oKRX0AE6DHn.jpg")</f>
        <v>https://pbs.twimg.com/media/F1t9oKRX0AE6DHn.jpg</v>
      </c>
      <c r="AW382" s="82" t="s">
        <v>4437</v>
      </c>
      <c r="AX382" s="82" t="s">
        <v>4437</v>
      </c>
      <c r="AY382" s="77"/>
      <c r="AZ382" s="82" t="s">
        <v>5075</v>
      </c>
      <c r="BA382" s="82" t="s">
        <v>5075</v>
      </c>
      <c r="BB382" s="82" t="s">
        <v>5075</v>
      </c>
      <c r="BC382" s="82" t="s">
        <v>4437</v>
      </c>
      <c r="BD382" s="82" t="s">
        <v>5204</v>
      </c>
      <c r="BE382" s="77"/>
      <c r="BF382" s="77"/>
      <c r="BG382" s="77"/>
      <c r="BH382" s="77"/>
      <c r="BI382" s="77"/>
    </row>
    <row r="383" spans="1:61" x14ac:dyDescent="0.25">
      <c r="A383" s="62" t="s">
        <v>377</v>
      </c>
      <c r="B383" s="62" t="s">
        <v>377</v>
      </c>
      <c r="C383" s="63"/>
      <c r="D383" s="64"/>
      <c r="E383" s="65"/>
      <c r="F383" s="66"/>
      <c r="G383" s="63"/>
      <c r="H383" s="67"/>
      <c r="I383" s="68"/>
      <c r="J383" s="68"/>
      <c r="K383" s="32"/>
      <c r="L383" s="75">
        <v>383</v>
      </c>
      <c r="M383" s="75"/>
      <c r="N383" s="70"/>
      <c r="O383" s="77" t="s">
        <v>539</v>
      </c>
      <c r="P383" s="79">
        <v>45127.475925925923</v>
      </c>
      <c r="Q383" s="77" t="s">
        <v>915</v>
      </c>
      <c r="R383" s="77">
        <v>0</v>
      </c>
      <c r="S383" s="77">
        <v>1</v>
      </c>
      <c r="T383" s="77">
        <v>0</v>
      </c>
      <c r="U383" s="77">
        <v>0</v>
      </c>
      <c r="V383" s="77">
        <v>64</v>
      </c>
      <c r="W383" s="82" t="s">
        <v>1724</v>
      </c>
      <c r="X383" s="77"/>
      <c r="Y383" s="77"/>
      <c r="Z383" s="77" t="s">
        <v>377</v>
      </c>
      <c r="AA383" s="77" t="s">
        <v>2232</v>
      </c>
      <c r="AB383" s="77" t="s">
        <v>2632</v>
      </c>
      <c r="AC383" s="82" t="s">
        <v>2638</v>
      </c>
      <c r="AD383" s="77" t="s">
        <v>2670</v>
      </c>
      <c r="AE383" s="80" t="str">
        <f>HYPERLINK("https://twitter.com/workshopdantas/status/1681988659334004736")</f>
        <v>https://twitter.com/workshopdantas/status/1681988659334004736</v>
      </c>
      <c r="AF383" s="79">
        <v>45127.475925925923</v>
      </c>
      <c r="AG383" s="85">
        <v>45127</v>
      </c>
      <c r="AH383" s="82" t="s">
        <v>3024</v>
      </c>
      <c r="AI383" s="77" t="b">
        <v>0</v>
      </c>
      <c r="AJ383" s="77"/>
      <c r="AK383" s="77"/>
      <c r="AL383" s="77"/>
      <c r="AM383" s="77"/>
      <c r="AN383" s="77"/>
      <c r="AO383" s="77"/>
      <c r="AP383" s="77"/>
      <c r="AQ383" s="77" t="s">
        <v>3661</v>
      </c>
      <c r="AR383" s="77"/>
      <c r="AS383" s="77"/>
      <c r="AT383" s="77"/>
      <c r="AU383" s="77"/>
      <c r="AV383" s="80" t="str">
        <f>HYPERLINK("https://pbs.twimg.com/media/F1efxZDXoAErfdA.jpg")</f>
        <v>https://pbs.twimg.com/media/F1efxZDXoAErfdA.jpg</v>
      </c>
      <c r="AW383" s="82" t="s">
        <v>4438</v>
      </c>
      <c r="AX383" s="82" t="s">
        <v>4438</v>
      </c>
      <c r="AY383" s="77"/>
      <c r="AZ383" s="82" t="s">
        <v>5075</v>
      </c>
      <c r="BA383" s="82" t="s">
        <v>5075</v>
      </c>
      <c r="BB383" s="82" t="s">
        <v>5075</v>
      </c>
      <c r="BC383" s="82" t="s">
        <v>4438</v>
      </c>
      <c r="BD383" s="82" t="s">
        <v>5204</v>
      </c>
      <c r="BE383" s="77"/>
      <c r="BF383" s="77"/>
      <c r="BG383" s="77"/>
      <c r="BH383" s="77"/>
      <c r="BI383" s="77"/>
    </row>
    <row r="384" spans="1:61" x14ac:dyDescent="0.25">
      <c r="A384" s="62" t="s">
        <v>377</v>
      </c>
      <c r="B384" s="62" t="s">
        <v>377</v>
      </c>
      <c r="C384" s="63"/>
      <c r="D384" s="64"/>
      <c r="E384" s="65"/>
      <c r="F384" s="66"/>
      <c r="G384" s="63"/>
      <c r="H384" s="67"/>
      <c r="I384" s="68"/>
      <c r="J384" s="68"/>
      <c r="K384" s="32"/>
      <c r="L384" s="75">
        <v>384</v>
      </c>
      <c r="M384" s="75"/>
      <c r="N384" s="70"/>
      <c r="O384" s="77" t="s">
        <v>539</v>
      </c>
      <c r="P384" s="79">
        <v>45127.426018518519</v>
      </c>
      <c r="Q384" s="77" t="s">
        <v>916</v>
      </c>
      <c r="R384" s="77">
        <v>0</v>
      </c>
      <c r="S384" s="77">
        <v>2</v>
      </c>
      <c r="T384" s="77">
        <v>1</v>
      </c>
      <c r="U384" s="77">
        <v>0</v>
      </c>
      <c r="V384" s="77">
        <v>76</v>
      </c>
      <c r="W384" s="82" t="s">
        <v>1725</v>
      </c>
      <c r="X384" s="77"/>
      <c r="Y384" s="77"/>
      <c r="Z384" s="77" t="s">
        <v>377</v>
      </c>
      <c r="AA384" s="77" t="s">
        <v>2233</v>
      </c>
      <c r="AB384" s="77" t="s">
        <v>2632</v>
      </c>
      <c r="AC384" s="82" t="s">
        <v>2638</v>
      </c>
      <c r="AD384" s="77" t="s">
        <v>2670</v>
      </c>
      <c r="AE384" s="80" t="str">
        <f>HYPERLINK("https://twitter.com/workshopdantas/status/1681970572429803520")</f>
        <v>https://twitter.com/workshopdantas/status/1681970572429803520</v>
      </c>
      <c r="AF384" s="79">
        <v>45127.426018518519</v>
      </c>
      <c r="AG384" s="85">
        <v>45127</v>
      </c>
      <c r="AH384" s="82" t="s">
        <v>3025</v>
      </c>
      <c r="AI384" s="77" t="b">
        <v>0</v>
      </c>
      <c r="AJ384" s="77"/>
      <c r="AK384" s="77"/>
      <c r="AL384" s="77"/>
      <c r="AM384" s="77"/>
      <c r="AN384" s="77"/>
      <c r="AO384" s="77"/>
      <c r="AP384" s="77"/>
      <c r="AQ384" s="77" t="s">
        <v>3662</v>
      </c>
      <c r="AR384" s="77"/>
      <c r="AS384" s="77"/>
      <c r="AT384" s="77"/>
      <c r="AU384" s="77"/>
      <c r="AV384" s="80" t="str">
        <f>HYPERLINK("https://pbs.twimg.com/media/F1ePUiIXgAANAOY.jpg")</f>
        <v>https://pbs.twimg.com/media/F1ePUiIXgAANAOY.jpg</v>
      </c>
      <c r="AW384" s="82" t="s">
        <v>4439</v>
      </c>
      <c r="AX384" s="82" t="s">
        <v>4439</v>
      </c>
      <c r="AY384" s="77"/>
      <c r="AZ384" s="82" t="s">
        <v>5075</v>
      </c>
      <c r="BA384" s="82" t="s">
        <v>5075</v>
      </c>
      <c r="BB384" s="82" t="s">
        <v>5075</v>
      </c>
      <c r="BC384" s="82" t="s">
        <v>4439</v>
      </c>
      <c r="BD384" s="82" t="s">
        <v>5204</v>
      </c>
      <c r="BE384" s="77"/>
      <c r="BF384" s="77"/>
      <c r="BG384" s="77"/>
      <c r="BH384" s="77"/>
      <c r="BI384" s="77"/>
    </row>
    <row r="385" spans="1:61" x14ac:dyDescent="0.25">
      <c r="A385" s="62" t="s">
        <v>377</v>
      </c>
      <c r="B385" s="62" t="s">
        <v>377</v>
      </c>
      <c r="C385" s="63"/>
      <c r="D385" s="64"/>
      <c r="E385" s="65"/>
      <c r="F385" s="66"/>
      <c r="G385" s="63"/>
      <c r="H385" s="67"/>
      <c r="I385" s="68"/>
      <c r="J385" s="68"/>
      <c r="K385" s="32"/>
      <c r="L385" s="75">
        <v>385</v>
      </c>
      <c r="M385" s="75"/>
      <c r="N385" s="70"/>
      <c r="O385" s="77" t="s">
        <v>539</v>
      </c>
      <c r="P385" s="79">
        <v>45125.134826388887</v>
      </c>
      <c r="Q385" s="77" t="s">
        <v>917</v>
      </c>
      <c r="R385" s="77">
        <v>0</v>
      </c>
      <c r="S385" s="77">
        <v>0</v>
      </c>
      <c r="T385" s="77">
        <v>0</v>
      </c>
      <c r="U385" s="77">
        <v>0</v>
      </c>
      <c r="V385" s="77">
        <v>32</v>
      </c>
      <c r="W385" s="82" t="s">
        <v>1726</v>
      </c>
      <c r="X385" s="77"/>
      <c r="Y385" s="77"/>
      <c r="Z385" s="77" t="s">
        <v>377</v>
      </c>
      <c r="AA385" s="77" t="s">
        <v>2234</v>
      </c>
      <c r="AB385" s="77" t="s">
        <v>2632</v>
      </c>
      <c r="AC385" s="82" t="s">
        <v>2638</v>
      </c>
      <c r="AD385" s="77" t="s">
        <v>2670</v>
      </c>
      <c r="AE385" s="80" t="str">
        <f>HYPERLINK("https://twitter.com/workshopdantas/status/1681140271373754370")</f>
        <v>https://twitter.com/workshopdantas/status/1681140271373754370</v>
      </c>
      <c r="AF385" s="79">
        <v>45125.134826388887</v>
      </c>
      <c r="AG385" s="85">
        <v>45125</v>
      </c>
      <c r="AH385" s="82" t="s">
        <v>3026</v>
      </c>
      <c r="AI385" s="77" t="b">
        <v>0</v>
      </c>
      <c r="AJ385" s="77"/>
      <c r="AK385" s="77"/>
      <c r="AL385" s="77"/>
      <c r="AM385" s="77"/>
      <c r="AN385" s="77"/>
      <c r="AO385" s="77"/>
      <c r="AP385" s="77"/>
      <c r="AQ385" s="77" t="s">
        <v>3663</v>
      </c>
      <c r="AR385" s="77"/>
      <c r="AS385" s="77"/>
      <c r="AT385" s="77"/>
      <c r="AU385" s="77"/>
      <c r="AV385" s="80" t="str">
        <f>HYPERLINK("https://pbs.twimg.com/media/F1ScKvvWAAArolX.jpg")</f>
        <v>https://pbs.twimg.com/media/F1ScKvvWAAArolX.jpg</v>
      </c>
      <c r="AW385" s="82" t="s">
        <v>4440</v>
      </c>
      <c r="AX385" s="82" t="s">
        <v>4440</v>
      </c>
      <c r="AY385" s="77"/>
      <c r="AZ385" s="82" t="s">
        <v>5075</v>
      </c>
      <c r="BA385" s="82" t="s">
        <v>5075</v>
      </c>
      <c r="BB385" s="82" t="s">
        <v>5075</v>
      </c>
      <c r="BC385" s="82" t="s">
        <v>4440</v>
      </c>
      <c r="BD385" s="82" t="s">
        <v>5204</v>
      </c>
      <c r="BE385" s="77"/>
      <c r="BF385" s="77"/>
      <c r="BG385" s="77"/>
      <c r="BH385" s="77"/>
      <c r="BI385" s="77"/>
    </row>
    <row r="386" spans="1:61" x14ac:dyDescent="0.25">
      <c r="A386" s="62" t="s">
        <v>377</v>
      </c>
      <c r="B386" s="62" t="s">
        <v>377</v>
      </c>
      <c r="C386" s="63"/>
      <c r="D386" s="64"/>
      <c r="E386" s="65"/>
      <c r="F386" s="66"/>
      <c r="G386" s="63"/>
      <c r="H386" s="67"/>
      <c r="I386" s="68"/>
      <c r="J386" s="68"/>
      <c r="K386" s="32"/>
      <c r="L386" s="75">
        <v>386</v>
      </c>
      <c r="M386" s="75"/>
      <c r="N386" s="70"/>
      <c r="O386" s="77" t="s">
        <v>539</v>
      </c>
      <c r="P386" s="79">
        <v>45117.702488425923</v>
      </c>
      <c r="Q386" s="77" t="s">
        <v>918</v>
      </c>
      <c r="R386" s="77">
        <v>1</v>
      </c>
      <c r="S386" s="77">
        <v>4</v>
      </c>
      <c r="T386" s="77">
        <v>2</v>
      </c>
      <c r="U386" s="77">
        <v>0</v>
      </c>
      <c r="V386" s="77">
        <v>735</v>
      </c>
      <c r="W386" s="82" t="s">
        <v>1727</v>
      </c>
      <c r="X386" s="77"/>
      <c r="Y386" s="77"/>
      <c r="Z386" s="77" t="s">
        <v>377</v>
      </c>
      <c r="AA386" s="77" t="s">
        <v>2235</v>
      </c>
      <c r="AB386" s="77" t="s">
        <v>2632</v>
      </c>
      <c r="AC386" s="82" t="s">
        <v>2638</v>
      </c>
      <c r="AD386" s="77" t="s">
        <v>2670</v>
      </c>
      <c r="AE386" s="80" t="str">
        <f>HYPERLINK("https://twitter.com/workshopdantas/status/1678446881465147429")</f>
        <v>https://twitter.com/workshopdantas/status/1678446881465147429</v>
      </c>
      <c r="AF386" s="79">
        <v>45117.702488425923</v>
      </c>
      <c r="AG386" s="85">
        <v>45117</v>
      </c>
      <c r="AH386" s="82" t="s">
        <v>3027</v>
      </c>
      <c r="AI386" s="77" t="b">
        <v>0</v>
      </c>
      <c r="AJ386" s="77"/>
      <c r="AK386" s="77"/>
      <c r="AL386" s="77"/>
      <c r="AM386" s="77"/>
      <c r="AN386" s="77"/>
      <c r="AO386" s="77"/>
      <c r="AP386" s="77"/>
      <c r="AQ386" s="77" t="s">
        <v>3664</v>
      </c>
      <c r="AR386" s="77"/>
      <c r="AS386" s="77"/>
      <c r="AT386" s="77"/>
      <c r="AU386" s="77"/>
      <c r="AV386" s="80" t="str">
        <f>HYPERLINK("https://pbs.twimg.com/media/F0sKijNXoAATLUe.jpg")</f>
        <v>https://pbs.twimg.com/media/F0sKijNXoAATLUe.jpg</v>
      </c>
      <c r="AW386" s="82" t="s">
        <v>4441</v>
      </c>
      <c r="AX386" s="82" t="s">
        <v>4441</v>
      </c>
      <c r="AY386" s="77"/>
      <c r="AZ386" s="82" t="s">
        <v>5075</v>
      </c>
      <c r="BA386" s="82" t="s">
        <v>5075</v>
      </c>
      <c r="BB386" s="82" t="s">
        <v>5075</v>
      </c>
      <c r="BC386" s="82" t="s">
        <v>4441</v>
      </c>
      <c r="BD386" s="82" t="s">
        <v>5204</v>
      </c>
      <c r="BE386" s="77"/>
      <c r="BF386" s="77"/>
      <c r="BG386" s="77"/>
      <c r="BH386" s="77"/>
      <c r="BI386" s="77"/>
    </row>
    <row r="387" spans="1:61" x14ac:dyDescent="0.25">
      <c r="A387" s="62" t="s">
        <v>377</v>
      </c>
      <c r="B387" s="62" t="s">
        <v>377</v>
      </c>
      <c r="C387" s="63"/>
      <c r="D387" s="64"/>
      <c r="E387" s="65"/>
      <c r="F387" s="66"/>
      <c r="G387" s="63"/>
      <c r="H387" s="67"/>
      <c r="I387" s="68"/>
      <c r="J387" s="68"/>
      <c r="K387" s="32"/>
      <c r="L387" s="75">
        <v>387</v>
      </c>
      <c r="M387" s="75"/>
      <c r="N387" s="70"/>
      <c r="O387" s="77" t="s">
        <v>539</v>
      </c>
      <c r="P387" s="79">
        <v>45106.501655092594</v>
      </c>
      <c r="Q387" s="77" t="s">
        <v>919</v>
      </c>
      <c r="R387" s="77">
        <v>0</v>
      </c>
      <c r="S387" s="77">
        <v>1</v>
      </c>
      <c r="T387" s="77">
        <v>0</v>
      </c>
      <c r="U387" s="77">
        <v>0</v>
      </c>
      <c r="V387" s="77">
        <v>31</v>
      </c>
      <c r="W387" s="82" t="s">
        <v>1728</v>
      </c>
      <c r="X387" s="77"/>
      <c r="Y387" s="77"/>
      <c r="Z387" s="77" t="s">
        <v>377</v>
      </c>
      <c r="AA387" s="77" t="s">
        <v>2236</v>
      </c>
      <c r="AB387" s="77" t="s">
        <v>2632</v>
      </c>
      <c r="AC387" s="82" t="s">
        <v>2638</v>
      </c>
      <c r="AD387" s="77" t="s">
        <v>2670</v>
      </c>
      <c r="AE387" s="80" t="str">
        <f>HYPERLINK("https://twitter.com/workshopdantas/status/1674387837980999686")</f>
        <v>https://twitter.com/workshopdantas/status/1674387837980999686</v>
      </c>
      <c r="AF387" s="79">
        <v>45106.501655092594</v>
      </c>
      <c r="AG387" s="85">
        <v>45106</v>
      </c>
      <c r="AH387" s="82" t="s">
        <v>3028</v>
      </c>
      <c r="AI387" s="77" t="b">
        <v>0</v>
      </c>
      <c r="AJ387" s="77"/>
      <c r="AK387" s="77"/>
      <c r="AL387" s="77"/>
      <c r="AM387" s="77"/>
      <c r="AN387" s="77"/>
      <c r="AO387" s="77"/>
      <c r="AP387" s="77"/>
      <c r="AQ387" s="77" t="s">
        <v>3665</v>
      </c>
      <c r="AR387" s="77"/>
      <c r="AS387" s="77"/>
      <c r="AT387" s="77"/>
      <c r="AU387" s="77"/>
      <c r="AV387" s="80" t="str">
        <f>HYPERLINK("https://pbs.twimg.com/media/Fzye3WCX0AE_wN-.jpg")</f>
        <v>https://pbs.twimg.com/media/Fzye3WCX0AE_wN-.jpg</v>
      </c>
      <c r="AW387" s="82" t="s">
        <v>4442</v>
      </c>
      <c r="AX387" s="82" t="s">
        <v>4442</v>
      </c>
      <c r="AY387" s="77"/>
      <c r="AZ387" s="82" t="s">
        <v>5075</v>
      </c>
      <c r="BA387" s="82" t="s">
        <v>5075</v>
      </c>
      <c r="BB387" s="82" t="s">
        <v>5075</v>
      </c>
      <c r="BC387" s="82" t="s">
        <v>4442</v>
      </c>
      <c r="BD387" s="82" t="s">
        <v>5204</v>
      </c>
      <c r="BE387" s="77"/>
      <c r="BF387" s="77"/>
      <c r="BG387" s="77"/>
      <c r="BH387" s="77"/>
      <c r="BI387" s="77"/>
    </row>
    <row r="388" spans="1:61" x14ac:dyDescent="0.25">
      <c r="A388" s="62" t="s">
        <v>377</v>
      </c>
      <c r="B388" s="62" t="s">
        <v>377</v>
      </c>
      <c r="C388" s="63"/>
      <c r="D388" s="64"/>
      <c r="E388" s="65"/>
      <c r="F388" s="66"/>
      <c r="G388" s="63"/>
      <c r="H388" s="67"/>
      <c r="I388" s="68"/>
      <c r="J388" s="68"/>
      <c r="K388" s="32"/>
      <c r="L388" s="75">
        <v>388</v>
      </c>
      <c r="M388" s="75"/>
      <c r="N388" s="70"/>
      <c r="O388" s="77" t="s">
        <v>539</v>
      </c>
      <c r="P388" s="79">
        <v>45105.856134259258</v>
      </c>
      <c r="Q388" s="77" t="s">
        <v>920</v>
      </c>
      <c r="R388" s="77">
        <v>0</v>
      </c>
      <c r="S388" s="77">
        <v>0</v>
      </c>
      <c r="T388" s="77">
        <v>0</v>
      </c>
      <c r="U388" s="77">
        <v>0</v>
      </c>
      <c r="V388" s="77">
        <v>56</v>
      </c>
      <c r="W388" s="82" t="s">
        <v>1729</v>
      </c>
      <c r="X388" s="77"/>
      <c r="Y388" s="77"/>
      <c r="Z388" s="77" t="s">
        <v>377</v>
      </c>
      <c r="AA388" s="77" t="s">
        <v>2237</v>
      </c>
      <c r="AB388" s="77" t="s">
        <v>2633</v>
      </c>
      <c r="AC388" s="82" t="s">
        <v>2638</v>
      </c>
      <c r="AD388" s="77" t="s">
        <v>2670</v>
      </c>
      <c r="AE388" s="80" t="str">
        <f>HYPERLINK("https://twitter.com/workshopdantas/status/1674153907747008512")</f>
        <v>https://twitter.com/workshopdantas/status/1674153907747008512</v>
      </c>
      <c r="AF388" s="79">
        <v>45105.856134259258</v>
      </c>
      <c r="AG388" s="85">
        <v>45105</v>
      </c>
      <c r="AH388" s="82" t="s">
        <v>3029</v>
      </c>
      <c r="AI388" s="77" t="b">
        <v>0</v>
      </c>
      <c r="AJ388" s="77"/>
      <c r="AK388" s="77"/>
      <c r="AL388" s="77"/>
      <c r="AM388" s="77"/>
      <c r="AN388" s="77"/>
      <c r="AO388" s="77"/>
      <c r="AP388" s="77"/>
      <c r="AQ388" s="77" t="s">
        <v>3666</v>
      </c>
      <c r="AR388" s="77">
        <v>9833</v>
      </c>
      <c r="AS388" s="77"/>
      <c r="AT388" s="77"/>
      <c r="AU388" s="77"/>
      <c r="AV388" s="80" t="str">
        <f>HYPERLINK("https://pbs.twimg.com/ext_tw_video_thumb/1674153873194229760/pu/img/JblQkNM2jhDEjpFw.jpg")</f>
        <v>https://pbs.twimg.com/ext_tw_video_thumb/1674153873194229760/pu/img/JblQkNM2jhDEjpFw.jpg</v>
      </c>
      <c r="AW388" s="82" t="s">
        <v>4443</v>
      </c>
      <c r="AX388" s="82" t="s">
        <v>4443</v>
      </c>
      <c r="AY388" s="77"/>
      <c r="AZ388" s="82" t="s">
        <v>5075</v>
      </c>
      <c r="BA388" s="82" t="s">
        <v>5075</v>
      </c>
      <c r="BB388" s="82" t="s">
        <v>5075</v>
      </c>
      <c r="BC388" s="82" t="s">
        <v>4443</v>
      </c>
      <c r="BD388" s="82" t="s">
        <v>5204</v>
      </c>
      <c r="BE388" s="77"/>
      <c r="BF388" s="77"/>
      <c r="BG388" s="77"/>
      <c r="BH388" s="77"/>
      <c r="BI388" s="77"/>
    </row>
    <row r="389" spans="1:61" x14ac:dyDescent="0.25">
      <c r="A389" s="62" t="s">
        <v>377</v>
      </c>
      <c r="B389" s="62" t="s">
        <v>377</v>
      </c>
      <c r="C389" s="63"/>
      <c r="D389" s="64"/>
      <c r="E389" s="65"/>
      <c r="F389" s="66"/>
      <c r="G389" s="63"/>
      <c r="H389" s="67"/>
      <c r="I389" s="68"/>
      <c r="J389" s="68"/>
      <c r="K389" s="32"/>
      <c r="L389" s="75">
        <v>389</v>
      </c>
      <c r="M389" s="75"/>
      <c r="N389" s="70"/>
      <c r="O389" s="77" t="s">
        <v>539</v>
      </c>
      <c r="P389" s="79">
        <v>45096.53334490741</v>
      </c>
      <c r="Q389" s="77" t="s">
        <v>921</v>
      </c>
      <c r="R389" s="77">
        <v>0</v>
      </c>
      <c r="S389" s="77">
        <v>0</v>
      </c>
      <c r="T389" s="77">
        <v>0</v>
      </c>
      <c r="U389" s="77">
        <v>0</v>
      </c>
      <c r="V389" s="77">
        <v>641</v>
      </c>
      <c r="W389" s="82" t="s">
        <v>1730</v>
      </c>
      <c r="X389" s="77"/>
      <c r="Y389" s="77"/>
      <c r="Z389" s="77" t="s">
        <v>377</v>
      </c>
      <c r="AA389" s="77" t="s">
        <v>2238</v>
      </c>
      <c r="AB389" s="77" t="s">
        <v>2632</v>
      </c>
      <c r="AC389" s="82" t="s">
        <v>2638</v>
      </c>
      <c r="AD389" s="77" t="s">
        <v>2670</v>
      </c>
      <c r="AE389" s="80" t="str">
        <f>HYPERLINK("https://twitter.com/workshopdantas/status/1670775441102184449")</f>
        <v>https://twitter.com/workshopdantas/status/1670775441102184449</v>
      </c>
      <c r="AF389" s="79">
        <v>45096.53334490741</v>
      </c>
      <c r="AG389" s="85">
        <v>45096</v>
      </c>
      <c r="AH389" s="82" t="s">
        <v>3030</v>
      </c>
      <c r="AI389" s="77" t="b">
        <v>0</v>
      </c>
      <c r="AJ389" s="77"/>
      <c r="AK389" s="77"/>
      <c r="AL389" s="77"/>
      <c r="AM389" s="77"/>
      <c r="AN389" s="77"/>
      <c r="AO389" s="77"/>
      <c r="AP389" s="77"/>
      <c r="AQ389" s="77" t="s">
        <v>3667</v>
      </c>
      <c r="AR389" s="77"/>
      <c r="AS389" s="77"/>
      <c r="AT389" s="77"/>
      <c r="AU389" s="77"/>
      <c r="AV389" s="80" t="str">
        <f>HYPERLINK("https://pbs.twimg.com/media/Fy_JaLFWcAAWGjX.jpg")</f>
        <v>https://pbs.twimg.com/media/Fy_JaLFWcAAWGjX.jpg</v>
      </c>
      <c r="AW389" s="82" t="s">
        <v>4444</v>
      </c>
      <c r="AX389" s="82" t="s">
        <v>4444</v>
      </c>
      <c r="AY389" s="77"/>
      <c r="AZ389" s="82" t="s">
        <v>5075</v>
      </c>
      <c r="BA389" s="82" t="s">
        <v>5075</v>
      </c>
      <c r="BB389" s="82" t="s">
        <v>5075</v>
      </c>
      <c r="BC389" s="82" t="s">
        <v>4444</v>
      </c>
      <c r="BD389" s="82" t="s">
        <v>5204</v>
      </c>
      <c r="BE389" s="77"/>
      <c r="BF389" s="77"/>
      <c r="BG389" s="77"/>
      <c r="BH389" s="77"/>
      <c r="BI389" s="77"/>
    </row>
    <row r="390" spans="1:61" x14ac:dyDescent="0.25">
      <c r="A390" s="62" t="s">
        <v>377</v>
      </c>
      <c r="B390" s="62" t="s">
        <v>377</v>
      </c>
      <c r="C390" s="63"/>
      <c r="D390" s="64"/>
      <c r="E390" s="65"/>
      <c r="F390" s="66"/>
      <c r="G390" s="63"/>
      <c r="H390" s="67"/>
      <c r="I390" s="68"/>
      <c r="J390" s="68"/>
      <c r="K390" s="32"/>
      <c r="L390" s="75">
        <v>390</v>
      </c>
      <c r="M390" s="75"/>
      <c r="N390" s="70"/>
      <c r="O390" s="77" t="s">
        <v>539</v>
      </c>
      <c r="P390" s="79">
        <v>45155.472708333335</v>
      </c>
      <c r="Q390" s="77" t="s">
        <v>922</v>
      </c>
      <c r="R390" s="77">
        <v>0</v>
      </c>
      <c r="S390" s="77">
        <v>0</v>
      </c>
      <c r="T390" s="77">
        <v>0</v>
      </c>
      <c r="U390" s="77">
        <v>0</v>
      </c>
      <c r="V390" s="77">
        <v>118</v>
      </c>
      <c r="W390" s="82" t="s">
        <v>1731</v>
      </c>
      <c r="X390" s="77"/>
      <c r="Y390" s="77"/>
      <c r="Z390" s="77" t="s">
        <v>377</v>
      </c>
      <c r="AA390" s="77" t="s">
        <v>2239</v>
      </c>
      <c r="AB390" s="77" t="s">
        <v>2632</v>
      </c>
      <c r="AC390" s="82" t="s">
        <v>2638</v>
      </c>
      <c r="AD390" s="77" t="s">
        <v>2670</v>
      </c>
      <c r="AE390" s="80" t="str">
        <f>HYPERLINK("https://twitter.com/workshopdantas/status/1692134352119894211")</f>
        <v>https://twitter.com/workshopdantas/status/1692134352119894211</v>
      </c>
      <c r="AF390" s="79">
        <v>45155.472708333335</v>
      </c>
      <c r="AG390" s="85">
        <v>45155</v>
      </c>
      <c r="AH390" s="82" t="s">
        <v>3031</v>
      </c>
      <c r="AI390" s="77" t="b">
        <v>0</v>
      </c>
      <c r="AJ390" s="77"/>
      <c r="AK390" s="77"/>
      <c r="AL390" s="77"/>
      <c r="AM390" s="77"/>
      <c r="AN390" s="77"/>
      <c r="AO390" s="77"/>
      <c r="AP390" s="77"/>
      <c r="AQ390" s="77" t="s">
        <v>3668</v>
      </c>
      <c r="AR390" s="77"/>
      <c r="AS390" s="77"/>
      <c r="AT390" s="77"/>
      <c r="AU390" s="77"/>
      <c r="AV390" s="80" t="str">
        <f>HYPERLINK("https://pbs.twimg.com/media/F3urOcmW8AAv6ne.jpg")</f>
        <v>https://pbs.twimg.com/media/F3urOcmW8AAv6ne.jpg</v>
      </c>
      <c r="AW390" s="82" t="s">
        <v>4445</v>
      </c>
      <c r="AX390" s="82" t="s">
        <v>4445</v>
      </c>
      <c r="AY390" s="77"/>
      <c r="AZ390" s="82" t="s">
        <v>5075</v>
      </c>
      <c r="BA390" s="82" t="s">
        <v>5075</v>
      </c>
      <c r="BB390" s="82" t="s">
        <v>5075</v>
      </c>
      <c r="BC390" s="82" t="s">
        <v>4445</v>
      </c>
      <c r="BD390" s="82" t="s">
        <v>5204</v>
      </c>
      <c r="BE390" s="77"/>
      <c r="BF390" s="77"/>
      <c r="BG390" s="77"/>
      <c r="BH390" s="77"/>
      <c r="BI390" s="77"/>
    </row>
    <row r="391" spans="1:61" x14ac:dyDescent="0.25">
      <c r="A391" s="62" t="s">
        <v>377</v>
      </c>
      <c r="B391" s="62" t="s">
        <v>377</v>
      </c>
      <c r="C391" s="63"/>
      <c r="D391" s="64"/>
      <c r="E391" s="65"/>
      <c r="F391" s="66"/>
      <c r="G391" s="63"/>
      <c r="H391" s="67"/>
      <c r="I391" s="68"/>
      <c r="J391" s="68"/>
      <c r="K391" s="32"/>
      <c r="L391" s="75">
        <v>391</v>
      </c>
      <c r="M391" s="75"/>
      <c r="N391" s="70"/>
      <c r="O391" s="77" t="s">
        <v>539</v>
      </c>
      <c r="P391" s="79">
        <v>45140.39130787037</v>
      </c>
      <c r="Q391" s="77" t="s">
        <v>923</v>
      </c>
      <c r="R391" s="77">
        <v>0</v>
      </c>
      <c r="S391" s="77">
        <v>0</v>
      </c>
      <c r="T391" s="77">
        <v>0</v>
      </c>
      <c r="U391" s="77">
        <v>0</v>
      </c>
      <c r="V391" s="77">
        <v>43</v>
      </c>
      <c r="W391" s="82" t="s">
        <v>1732</v>
      </c>
      <c r="X391" s="77"/>
      <c r="Y391" s="77"/>
      <c r="Z391" s="77" t="s">
        <v>377</v>
      </c>
      <c r="AA391" s="77" t="s">
        <v>2240</v>
      </c>
      <c r="AB391" s="77" t="s">
        <v>2632</v>
      </c>
      <c r="AC391" s="82" t="s">
        <v>2638</v>
      </c>
      <c r="AD391" s="77" t="s">
        <v>2670</v>
      </c>
      <c r="AE391" s="80" t="str">
        <f>HYPERLINK("https://twitter.com/workshopdantas/status/1686669033364418560")</f>
        <v>https://twitter.com/workshopdantas/status/1686669033364418560</v>
      </c>
      <c r="AF391" s="79">
        <v>45140.39130787037</v>
      </c>
      <c r="AG391" s="85">
        <v>45140</v>
      </c>
      <c r="AH391" s="82" t="s">
        <v>3032</v>
      </c>
      <c r="AI391" s="77" t="b">
        <v>0</v>
      </c>
      <c r="AJ391" s="77"/>
      <c r="AK391" s="77"/>
      <c r="AL391" s="77"/>
      <c r="AM391" s="77"/>
      <c r="AN391" s="77"/>
      <c r="AO391" s="77"/>
      <c r="AP391" s="77"/>
      <c r="AQ391" s="77" t="s">
        <v>3669</v>
      </c>
      <c r="AR391" s="77"/>
      <c r="AS391" s="77"/>
      <c r="AT391" s="77"/>
      <c r="AU391" s="77"/>
      <c r="AV391" s="80" t="str">
        <f>HYPERLINK("https://pbs.twimg.com/media/F2hAjCnXwAAM6pR.jpg")</f>
        <v>https://pbs.twimg.com/media/F2hAjCnXwAAM6pR.jpg</v>
      </c>
      <c r="AW391" s="82" t="s">
        <v>4446</v>
      </c>
      <c r="AX391" s="82" t="s">
        <v>4446</v>
      </c>
      <c r="AY391" s="77"/>
      <c r="AZ391" s="82" t="s">
        <v>5075</v>
      </c>
      <c r="BA391" s="82" t="s">
        <v>5075</v>
      </c>
      <c r="BB391" s="82" t="s">
        <v>5075</v>
      </c>
      <c r="BC391" s="82" t="s">
        <v>4446</v>
      </c>
      <c r="BD391" s="82" t="s">
        <v>5204</v>
      </c>
      <c r="BE391" s="77"/>
      <c r="BF391" s="77"/>
      <c r="BG391" s="77"/>
      <c r="BH391" s="77"/>
      <c r="BI391" s="77"/>
    </row>
    <row r="392" spans="1:61" x14ac:dyDescent="0.25">
      <c r="A392" s="62" t="s">
        <v>377</v>
      </c>
      <c r="B392" s="62" t="s">
        <v>377</v>
      </c>
      <c r="C392" s="63"/>
      <c r="D392" s="64"/>
      <c r="E392" s="65"/>
      <c r="F392" s="66"/>
      <c r="G392" s="63"/>
      <c r="H392" s="67"/>
      <c r="I392" s="68"/>
      <c r="J392" s="68"/>
      <c r="K392" s="32"/>
      <c r="L392" s="75">
        <v>392</v>
      </c>
      <c r="M392" s="75"/>
      <c r="N392" s="70"/>
      <c r="O392" s="77" t="s">
        <v>539</v>
      </c>
      <c r="P392" s="79">
        <v>45136.471944444442</v>
      </c>
      <c r="Q392" s="77" t="s">
        <v>924</v>
      </c>
      <c r="R392" s="77">
        <v>0</v>
      </c>
      <c r="S392" s="77">
        <v>0</v>
      </c>
      <c r="T392" s="77">
        <v>1</v>
      </c>
      <c r="U392" s="77">
        <v>0</v>
      </c>
      <c r="V392" s="77">
        <v>81</v>
      </c>
      <c r="W392" s="82" t="s">
        <v>1733</v>
      </c>
      <c r="X392" s="77"/>
      <c r="Y392" s="77"/>
      <c r="Z392" s="77" t="s">
        <v>377</v>
      </c>
      <c r="AA392" s="77" t="s">
        <v>2241</v>
      </c>
      <c r="AB392" s="77" t="s">
        <v>2632</v>
      </c>
      <c r="AC392" s="82" t="s">
        <v>2638</v>
      </c>
      <c r="AD392" s="77" t="s">
        <v>2670</v>
      </c>
      <c r="AE392" s="80" t="str">
        <f>HYPERLINK("https://twitter.com/workshopdantas/status/1685248705039904769")</f>
        <v>https://twitter.com/workshopdantas/status/1685248705039904769</v>
      </c>
      <c r="AF392" s="79">
        <v>45136.471944444442</v>
      </c>
      <c r="AG392" s="85">
        <v>45136</v>
      </c>
      <c r="AH392" s="82" t="s">
        <v>3033</v>
      </c>
      <c r="AI392" s="77" t="b">
        <v>0</v>
      </c>
      <c r="AJ392" s="77"/>
      <c r="AK392" s="77"/>
      <c r="AL392" s="77"/>
      <c r="AM392" s="77"/>
      <c r="AN392" s="77"/>
      <c r="AO392" s="77"/>
      <c r="AP392" s="77"/>
      <c r="AQ392" s="77" t="s">
        <v>3670</v>
      </c>
      <c r="AR392" s="77"/>
      <c r="AS392" s="77"/>
      <c r="AT392" s="77"/>
      <c r="AU392" s="77"/>
      <c r="AV392" s="80" t="str">
        <f>HYPERLINK("https://pbs.twimg.com/media/F2M0xBNW4AAMNrh.jpg")</f>
        <v>https://pbs.twimg.com/media/F2M0xBNW4AAMNrh.jpg</v>
      </c>
      <c r="AW392" s="82" t="s">
        <v>4447</v>
      </c>
      <c r="AX392" s="82" t="s">
        <v>4447</v>
      </c>
      <c r="AY392" s="77"/>
      <c r="AZ392" s="82" t="s">
        <v>5075</v>
      </c>
      <c r="BA392" s="82" t="s">
        <v>5075</v>
      </c>
      <c r="BB392" s="82" t="s">
        <v>5075</v>
      </c>
      <c r="BC392" s="82" t="s">
        <v>4447</v>
      </c>
      <c r="BD392" s="82" t="s">
        <v>5204</v>
      </c>
      <c r="BE392" s="77"/>
      <c r="BF392" s="77"/>
      <c r="BG392" s="77"/>
      <c r="BH392" s="77"/>
      <c r="BI392" s="77"/>
    </row>
    <row r="393" spans="1:61" x14ac:dyDescent="0.25">
      <c r="A393" s="62" t="s">
        <v>377</v>
      </c>
      <c r="B393" s="62" t="s">
        <v>377</v>
      </c>
      <c r="C393" s="63"/>
      <c r="D393" s="64"/>
      <c r="E393" s="65"/>
      <c r="F393" s="66"/>
      <c r="G393" s="63"/>
      <c r="H393" s="67"/>
      <c r="I393" s="68"/>
      <c r="J393" s="68"/>
      <c r="K393" s="32"/>
      <c r="L393" s="75">
        <v>393</v>
      </c>
      <c r="M393" s="75"/>
      <c r="N393" s="70"/>
      <c r="O393" s="77" t="s">
        <v>539</v>
      </c>
      <c r="P393" s="79">
        <v>45136.110717592594</v>
      </c>
      <c r="Q393" s="77" t="s">
        <v>925</v>
      </c>
      <c r="R393" s="77">
        <v>0</v>
      </c>
      <c r="S393" s="77">
        <v>0</v>
      </c>
      <c r="T393" s="77">
        <v>0</v>
      </c>
      <c r="U393" s="77">
        <v>0</v>
      </c>
      <c r="V393" s="77">
        <v>60</v>
      </c>
      <c r="W393" s="82" t="s">
        <v>1734</v>
      </c>
      <c r="X393" s="77"/>
      <c r="Y393" s="77"/>
      <c r="Z393" s="77" t="s">
        <v>377</v>
      </c>
      <c r="AA393" s="77" t="s">
        <v>2242</v>
      </c>
      <c r="AB393" s="77" t="s">
        <v>2633</v>
      </c>
      <c r="AC393" s="82" t="s">
        <v>2638</v>
      </c>
      <c r="AD393" s="77" t="s">
        <v>2670</v>
      </c>
      <c r="AE393" s="80" t="str">
        <f>HYPERLINK("https://twitter.com/workshopdantas/status/1685117801311162369")</f>
        <v>https://twitter.com/workshopdantas/status/1685117801311162369</v>
      </c>
      <c r="AF393" s="79">
        <v>45136.110717592594</v>
      </c>
      <c r="AG393" s="85">
        <v>45136</v>
      </c>
      <c r="AH393" s="82" t="s">
        <v>3034</v>
      </c>
      <c r="AI393" s="77" t="b">
        <v>0</v>
      </c>
      <c r="AJ393" s="77"/>
      <c r="AK393" s="77"/>
      <c r="AL393" s="77"/>
      <c r="AM393" s="77"/>
      <c r="AN393" s="77"/>
      <c r="AO393" s="77"/>
      <c r="AP393" s="77"/>
      <c r="AQ393" s="77" t="s">
        <v>3671</v>
      </c>
      <c r="AR393" s="77">
        <v>25912</v>
      </c>
      <c r="AS393" s="77"/>
      <c r="AT393" s="77"/>
      <c r="AU393" s="77"/>
      <c r="AV393" s="80" t="str">
        <f>HYPERLINK("https://pbs.twimg.com/ext_tw_video_thumb/1685117722953179136/pu/img/XBpb-CvjoiirR5pg.jpg")</f>
        <v>https://pbs.twimg.com/ext_tw_video_thumb/1685117722953179136/pu/img/XBpb-CvjoiirR5pg.jpg</v>
      </c>
      <c r="AW393" s="82" t="s">
        <v>4448</v>
      </c>
      <c r="AX393" s="82" t="s">
        <v>4448</v>
      </c>
      <c r="AY393" s="77"/>
      <c r="AZ393" s="82" t="s">
        <v>5075</v>
      </c>
      <c r="BA393" s="82" t="s">
        <v>5075</v>
      </c>
      <c r="BB393" s="82" t="s">
        <v>5075</v>
      </c>
      <c r="BC393" s="82" t="s">
        <v>4448</v>
      </c>
      <c r="BD393" s="82" t="s">
        <v>5204</v>
      </c>
      <c r="BE393" s="77"/>
      <c r="BF393" s="77"/>
      <c r="BG393" s="77"/>
      <c r="BH393" s="77"/>
      <c r="BI393" s="77"/>
    </row>
    <row r="394" spans="1:61" x14ac:dyDescent="0.25">
      <c r="A394" s="62" t="s">
        <v>377</v>
      </c>
      <c r="B394" s="62" t="s">
        <v>377</v>
      </c>
      <c r="C394" s="63"/>
      <c r="D394" s="64"/>
      <c r="E394" s="65"/>
      <c r="F394" s="66"/>
      <c r="G394" s="63"/>
      <c r="H394" s="67"/>
      <c r="I394" s="68"/>
      <c r="J394" s="68"/>
      <c r="K394" s="32"/>
      <c r="L394" s="75">
        <v>394</v>
      </c>
      <c r="M394" s="75"/>
      <c r="N394" s="70"/>
      <c r="O394" s="77" t="s">
        <v>539</v>
      </c>
      <c r="P394" s="79">
        <v>45135.683229166665</v>
      </c>
      <c r="Q394" s="77" t="s">
        <v>926</v>
      </c>
      <c r="R394" s="77">
        <v>0</v>
      </c>
      <c r="S394" s="77">
        <v>0</v>
      </c>
      <c r="T394" s="77">
        <v>0</v>
      </c>
      <c r="U394" s="77">
        <v>0</v>
      </c>
      <c r="V394" s="77">
        <v>51</v>
      </c>
      <c r="W394" s="82" t="s">
        <v>1735</v>
      </c>
      <c r="X394" s="77"/>
      <c r="Y394" s="77"/>
      <c r="Z394" s="77" t="s">
        <v>377</v>
      </c>
      <c r="AA394" s="77" t="s">
        <v>2243</v>
      </c>
      <c r="AB394" s="77" t="s">
        <v>2632</v>
      </c>
      <c r="AC394" s="82" t="s">
        <v>2638</v>
      </c>
      <c r="AD394" s="77" t="s">
        <v>2670</v>
      </c>
      <c r="AE394" s="80" t="str">
        <f>HYPERLINK("https://twitter.com/workshopdantas/status/1684962886668492814")</f>
        <v>https://twitter.com/workshopdantas/status/1684962886668492814</v>
      </c>
      <c r="AF394" s="79">
        <v>45135.683229166665</v>
      </c>
      <c r="AG394" s="85">
        <v>45135</v>
      </c>
      <c r="AH394" s="82" t="s">
        <v>3035</v>
      </c>
      <c r="AI394" s="77" t="b">
        <v>0</v>
      </c>
      <c r="AJ394" s="77"/>
      <c r="AK394" s="77"/>
      <c r="AL394" s="77"/>
      <c r="AM394" s="77"/>
      <c r="AN394" s="77"/>
      <c r="AO394" s="77"/>
      <c r="AP394" s="77"/>
      <c r="AQ394" s="77" t="s">
        <v>3672</v>
      </c>
      <c r="AR394" s="77"/>
      <c r="AS394" s="77"/>
      <c r="AT394" s="77"/>
      <c r="AU394" s="77"/>
      <c r="AV394" s="80" t="str">
        <f>HYPERLINK("https://pbs.twimg.com/media/F2Iwz7cXoAkzpzv.jpg")</f>
        <v>https://pbs.twimg.com/media/F2Iwz7cXoAkzpzv.jpg</v>
      </c>
      <c r="AW394" s="82" t="s">
        <v>4449</v>
      </c>
      <c r="AX394" s="82" t="s">
        <v>4449</v>
      </c>
      <c r="AY394" s="77"/>
      <c r="AZ394" s="82" t="s">
        <v>5075</v>
      </c>
      <c r="BA394" s="82" t="s">
        <v>5075</v>
      </c>
      <c r="BB394" s="82" t="s">
        <v>5075</v>
      </c>
      <c r="BC394" s="82" t="s">
        <v>4449</v>
      </c>
      <c r="BD394" s="82" t="s">
        <v>5204</v>
      </c>
      <c r="BE394" s="77"/>
      <c r="BF394" s="77"/>
      <c r="BG394" s="77"/>
      <c r="BH394" s="77"/>
      <c r="BI394" s="77"/>
    </row>
    <row r="395" spans="1:61" x14ac:dyDescent="0.25">
      <c r="A395" s="62" t="s">
        <v>377</v>
      </c>
      <c r="B395" s="62" t="s">
        <v>377</v>
      </c>
      <c r="C395" s="63"/>
      <c r="D395" s="64"/>
      <c r="E395" s="65"/>
      <c r="F395" s="66"/>
      <c r="G395" s="63"/>
      <c r="H395" s="67"/>
      <c r="I395" s="68"/>
      <c r="J395" s="68"/>
      <c r="K395" s="32"/>
      <c r="L395" s="75">
        <v>395</v>
      </c>
      <c r="M395" s="75"/>
      <c r="N395" s="70"/>
      <c r="O395" s="77" t="s">
        <v>539</v>
      </c>
      <c r="P395" s="79">
        <v>45135.456828703704</v>
      </c>
      <c r="Q395" s="77" t="s">
        <v>910</v>
      </c>
      <c r="R395" s="77">
        <v>0</v>
      </c>
      <c r="S395" s="77">
        <v>0</v>
      </c>
      <c r="T395" s="77">
        <v>0</v>
      </c>
      <c r="U395" s="77">
        <v>0</v>
      </c>
      <c r="V395" s="77">
        <v>52</v>
      </c>
      <c r="W395" s="82" t="s">
        <v>1720</v>
      </c>
      <c r="X395" s="77"/>
      <c r="Y395" s="77"/>
      <c r="Z395" s="77" t="s">
        <v>2009</v>
      </c>
      <c r="AA395" s="77" t="s">
        <v>2227</v>
      </c>
      <c r="AB395" s="77" t="s">
        <v>2632</v>
      </c>
      <c r="AC395" s="82" t="s">
        <v>2638</v>
      </c>
      <c r="AD395" s="77" t="s">
        <v>2670</v>
      </c>
      <c r="AE395" s="80" t="str">
        <f>HYPERLINK("https://twitter.com/workshopdantas/status/1684880840432721920")</f>
        <v>https://twitter.com/workshopdantas/status/1684880840432721920</v>
      </c>
      <c r="AF395" s="79">
        <v>45135.456828703704</v>
      </c>
      <c r="AG395" s="85">
        <v>45135</v>
      </c>
      <c r="AH395" s="82" t="s">
        <v>3019</v>
      </c>
      <c r="AI395" s="77" t="b">
        <v>0</v>
      </c>
      <c r="AJ395" s="77"/>
      <c r="AK395" s="77"/>
      <c r="AL395" s="77"/>
      <c r="AM395" s="77"/>
      <c r="AN395" s="77"/>
      <c r="AO395" s="77"/>
      <c r="AP395" s="77"/>
      <c r="AQ395" s="77" t="s">
        <v>3656</v>
      </c>
      <c r="AR395" s="77"/>
      <c r="AS395" s="77"/>
      <c r="AT395" s="77"/>
      <c r="AU395" s="77"/>
      <c r="AV395" s="80" t="str">
        <f>HYPERLINK("https://pbs.twimg.com/media/F2HmMekbcAAuTpe.jpg")</f>
        <v>https://pbs.twimg.com/media/F2HmMekbcAAuTpe.jpg</v>
      </c>
      <c r="AW395" s="82" t="s">
        <v>4433</v>
      </c>
      <c r="AX395" s="82" t="s">
        <v>4433</v>
      </c>
      <c r="AY395" s="77"/>
      <c r="AZ395" s="82" t="s">
        <v>5075</v>
      </c>
      <c r="BA395" s="82" t="s">
        <v>5075</v>
      </c>
      <c r="BB395" s="82" t="s">
        <v>5075</v>
      </c>
      <c r="BC395" s="82" t="s">
        <v>4433</v>
      </c>
      <c r="BD395" s="82" t="s">
        <v>5204</v>
      </c>
      <c r="BE395" s="77"/>
      <c r="BF395" s="77"/>
      <c r="BG395" s="77"/>
      <c r="BH395" s="77"/>
      <c r="BI395" s="77"/>
    </row>
    <row r="396" spans="1:61" x14ac:dyDescent="0.25">
      <c r="A396" s="62" t="s">
        <v>377</v>
      </c>
      <c r="B396" s="62" t="s">
        <v>377</v>
      </c>
      <c r="C396" s="63"/>
      <c r="D396" s="64"/>
      <c r="E396" s="65"/>
      <c r="F396" s="66"/>
      <c r="G396" s="63"/>
      <c r="H396" s="67"/>
      <c r="I396" s="68"/>
      <c r="J396" s="68"/>
      <c r="K396" s="32"/>
      <c r="L396" s="75">
        <v>396</v>
      </c>
      <c r="M396" s="75"/>
      <c r="N396" s="70"/>
      <c r="O396" s="77" t="s">
        <v>539</v>
      </c>
      <c r="P396" s="79">
        <v>45134.741898148146</v>
      </c>
      <c r="Q396" s="77" t="s">
        <v>927</v>
      </c>
      <c r="R396" s="77">
        <v>0</v>
      </c>
      <c r="S396" s="77">
        <v>0</v>
      </c>
      <c r="T396" s="77">
        <v>1</v>
      </c>
      <c r="U396" s="77">
        <v>1</v>
      </c>
      <c r="V396" s="77">
        <v>233</v>
      </c>
      <c r="W396" s="82" t="s">
        <v>1736</v>
      </c>
      <c r="X396" s="77"/>
      <c r="Y396" s="77"/>
      <c r="Z396" s="77" t="s">
        <v>377</v>
      </c>
      <c r="AA396" s="77" t="s">
        <v>2244</v>
      </c>
      <c r="AB396" s="77" t="s">
        <v>2633</v>
      </c>
      <c r="AC396" s="82" t="s">
        <v>2638</v>
      </c>
      <c r="AD396" s="77" t="s">
        <v>2670</v>
      </c>
      <c r="AE396" s="80" t="str">
        <f>HYPERLINK("https://twitter.com/workshopdantas/status/1684621756609236992")</f>
        <v>https://twitter.com/workshopdantas/status/1684621756609236992</v>
      </c>
      <c r="AF396" s="79">
        <v>45134.741898148146</v>
      </c>
      <c r="AG396" s="85">
        <v>45134</v>
      </c>
      <c r="AH396" s="82" t="s">
        <v>3036</v>
      </c>
      <c r="AI396" s="77" t="b">
        <v>0</v>
      </c>
      <c r="AJ396" s="77"/>
      <c r="AK396" s="77"/>
      <c r="AL396" s="77"/>
      <c r="AM396" s="77"/>
      <c r="AN396" s="77"/>
      <c r="AO396" s="77"/>
      <c r="AP396" s="77"/>
      <c r="AQ396" s="77" t="s">
        <v>3673</v>
      </c>
      <c r="AR396" s="77">
        <v>40517</v>
      </c>
      <c r="AS396" s="77"/>
      <c r="AT396" s="77"/>
      <c r="AU396" s="77"/>
      <c r="AV396" s="80" t="str">
        <f>HYPERLINK("https://pbs.twimg.com/ext_tw_video_thumb/1684621704830586880/pu/img/9DW4swX3XfeDqdNM.jpg")</f>
        <v>https://pbs.twimg.com/ext_tw_video_thumb/1684621704830586880/pu/img/9DW4swX3XfeDqdNM.jpg</v>
      </c>
      <c r="AW396" s="82" t="s">
        <v>4450</v>
      </c>
      <c r="AX396" s="82" t="s">
        <v>4450</v>
      </c>
      <c r="AY396" s="77"/>
      <c r="AZ396" s="82" t="s">
        <v>5075</v>
      </c>
      <c r="BA396" s="82" t="s">
        <v>5075</v>
      </c>
      <c r="BB396" s="82" t="s">
        <v>5075</v>
      </c>
      <c r="BC396" s="82" t="s">
        <v>4450</v>
      </c>
      <c r="BD396" s="82" t="s">
        <v>5204</v>
      </c>
      <c r="BE396" s="77"/>
      <c r="BF396" s="77"/>
      <c r="BG396" s="77"/>
      <c r="BH396" s="77"/>
      <c r="BI396" s="77"/>
    </row>
    <row r="397" spans="1:61" x14ac:dyDescent="0.25">
      <c r="A397" s="62" t="s">
        <v>377</v>
      </c>
      <c r="B397" s="62" t="s">
        <v>377</v>
      </c>
      <c r="C397" s="63"/>
      <c r="D397" s="64"/>
      <c r="E397" s="65"/>
      <c r="F397" s="66"/>
      <c r="G397" s="63"/>
      <c r="H397" s="67"/>
      <c r="I397" s="68"/>
      <c r="J397" s="68"/>
      <c r="K397" s="32"/>
      <c r="L397" s="75">
        <v>397</v>
      </c>
      <c r="M397" s="75"/>
      <c r="N397" s="70"/>
      <c r="O397" s="77" t="s">
        <v>539</v>
      </c>
      <c r="P397" s="79">
        <v>45124.491261574076</v>
      </c>
      <c r="Q397" s="77" t="s">
        <v>928</v>
      </c>
      <c r="R397" s="77">
        <v>0</v>
      </c>
      <c r="S397" s="77">
        <v>1</v>
      </c>
      <c r="T397" s="77">
        <v>0</v>
      </c>
      <c r="U397" s="77">
        <v>0</v>
      </c>
      <c r="V397" s="77">
        <v>51</v>
      </c>
      <c r="W397" s="82" t="s">
        <v>1737</v>
      </c>
      <c r="X397" s="77"/>
      <c r="Y397" s="77"/>
      <c r="Z397" s="77" t="s">
        <v>377</v>
      </c>
      <c r="AA397" s="77" t="s">
        <v>2245</v>
      </c>
      <c r="AB397" s="77" t="s">
        <v>2632</v>
      </c>
      <c r="AC397" s="82" t="s">
        <v>2638</v>
      </c>
      <c r="AD397" s="77" t="s">
        <v>2670</v>
      </c>
      <c r="AE397" s="80" t="str">
        <f>HYPERLINK("https://twitter.com/workshopdantas/status/1680907050107252739")</f>
        <v>https://twitter.com/workshopdantas/status/1680907050107252739</v>
      </c>
      <c r="AF397" s="79">
        <v>45124.491261574076</v>
      </c>
      <c r="AG397" s="85">
        <v>45124</v>
      </c>
      <c r="AH397" s="82" t="s">
        <v>3037</v>
      </c>
      <c r="AI397" s="77" t="b">
        <v>0</v>
      </c>
      <c r="AJ397" s="77"/>
      <c r="AK397" s="77"/>
      <c r="AL397" s="77"/>
      <c r="AM397" s="77"/>
      <c r="AN397" s="77"/>
      <c r="AO397" s="77"/>
      <c r="AP397" s="77"/>
      <c r="AQ397" s="77" t="s">
        <v>3674</v>
      </c>
      <c r="AR397" s="77"/>
      <c r="AS397" s="77"/>
      <c r="AT397" s="77"/>
      <c r="AU397" s="77"/>
      <c r="AV397" s="80" t="str">
        <f>HYPERLINK("https://pbs.twimg.com/media/F1PIDcPXwAAgzmT.jpg")</f>
        <v>https://pbs.twimg.com/media/F1PIDcPXwAAgzmT.jpg</v>
      </c>
      <c r="AW397" s="82" t="s">
        <v>4451</v>
      </c>
      <c r="AX397" s="82" t="s">
        <v>4451</v>
      </c>
      <c r="AY397" s="77"/>
      <c r="AZ397" s="82" t="s">
        <v>5075</v>
      </c>
      <c r="BA397" s="82" t="s">
        <v>5075</v>
      </c>
      <c r="BB397" s="82" t="s">
        <v>5075</v>
      </c>
      <c r="BC397" s="82" t="s">
        <v>4451</v>
      </c>
      <c r="BD397" s="82" t="s">
        <v>5204</v>
      </c>
      <c r="BE397" s="77"/>
      <c r="BF397" s="77"/>
      <c r="BG397" s="77"/>
      <c r="BH397" s="77"/>
      <c r="BI397" s="77"/>
    </row>
    <row r="398" spans="1:61" x14ac:dyDescent="0.25">
      <c r="A398" s="62" t="s">
        <v>377</v>
      </c>
      <c r="B398" s="62" t="s">
        <v>377</v>
      </c>
      <c r="C398" s="63"/>
      <c r="D398" s="64"/>
      <c r="E398" s="65"/>
      <c r="F398" s="66"/>
      <c r="G398" s="63"/>
      <c r="H398" s="67"/>
      <c r="I398" s="68"/>
      <c r="J398" s="68"/>
      <c r="K398" s="32"/>
      <c r="L398" s="75">
        <v>398</v>
      </c>
      <c r="M398" s="75"/>
      <c r="N398" s="70"/>
      <c r="O398" s="77" t="s">
        <v>539</v>
      </c>
      <c r="P398" s="79">
        <v>45123.955347222225</v>
      </c>
      <c r="Q398" s="77" t="s">
        <v>929</v>
      </c>
      <c r="R398" s="77">
        <v>0</v>
      </c>
      <c r="S398" s="77">
        <v>0</v>
      </c>
      <c r="T398" s="77">
        <v>0</v>
      </c>
      <c r="U398" s="77">
        <v>0</v>
      </c>
      <c r="V398" s="77">
        <v>72</v>
      </c>
      <c r="W398" s="82" t="s">
        <v>1738</v>
      </c>
      <c r="X398" s="77"/>
      <c r="Y398" s="77"/>
      <c r="Z398" s="77" t="s">
        <v>377</v>
      </c>
      <c r="AA398" s="77" t="s">
        <v>2246</v>
      </c>
      <c r="AB398" s="77" t="s">
        <v>2632</v>
      </c>
      <c r="AC398" s="82" t="s">
        <v>2638</v>
      </c>
      <c r="AD398" s="77" t="s">
        <v>2670</v>
      </c>
      <c r="AE398" s="80" t="str">
        <f>HYPERLINK("https://twitter.com/workshopdantas/status/1680712842121494528")</f>
        <v>https://twitter.com/workshopdantas/status/1680712842121494528</v>
      </c>
      <c r="AF398" s="79">
        <v>45123.955347222225</v>
      </c>
      <c r="AG398" s="85">
        <v>45123</v>
      </c>
      <c r="AH398" s="82" t="s">
        <v>3038</v>
      </c>
      <c r="AI398" s="77" t="b">
        <v>0</v>
      </c>
      <c r="AJ398" s="77"/>
      <c r="AK398" s="77"/>
      <c r="AL398" s="77"/>
      <c r="AM398" s="77"/>
      <c r="AN398" s="77"/>
      <c r="AO398" s="77"/>
      <c r="AP398" s="77"/>
      <c r="AQ398" s="77" t="s">
        <v>3675</v>
      </c>
      <c r="AR398" s="77"/>
      <c r="AS398" s="77"/>
      <c r="AT398" s="77"/>
      <c r="AU398" s="77"/>
      <c r="AV398" s="80" t="str">
        <f>HYPERLINK("https://pbs.twimg.com/media/F1MXbF0XsAEWAGV.jpg")</f>
        <v>https://pbs.twimg.com/media/F1MXbF0XsAEWAGV.jpg</v>
      </c>
      <c r="AW398" s="82" t="s">
        <v>4452</v>
      </c>
      <c r="AX398" s="82" t="s">
        <v>4452</v>
      </c>
      <c r="AY398" s="77"/>
      <c r="AZ398" s="82" t="s">
        <v>5075</v>
      </c>
      <c r="BA398" s="82" t="s">
        <v>5075</v>
      </c>
      <c r="BB398" s="82" t="s">
        <v>5075</v>
      </c>
      <c r="BC398" s="82" t="s">
        <v>4452</v>
      </c>
      <c r="BD398" s="82" t="s">
        <v>5204</v>
      </c>
      <c r="BE398" s="77"/>
      <c r="BF398" s="77"/>
      <c r="BG398" s="77"/>
      <c r="BH398" s="77"/>
      <c r="BI398" s="77"/>
    </row>
    <row r="399" spans="1:61" x14ac:dyDescent="0.25">
      <c r="A399" s="62" t="s">
        <v>377</v>
      </c>
      <c r="B399" s="62" t="s">
        <v>377</v>
      </c>
      <c r="C399" s="63"/>
      <c r="D399" s="64"/>
      <c r="E399" s="65"/>
      <c r="F399" s="66"/>
      <c r="G399" s="63"/>
      <c r="H399" s="67"/>
      <c r="I399" s="68"/>
      <c r="J399" s="68"/>
      <c r="K399" s="32"/>
      <c r="L399" s="75">
        <v>399</v>
      </c>
      <c r="M399" s="75"/>
      <c r="N399" s="70"/>
      <c r="O399" s="77" t="s">
        <v>539</v>
      </c>
      <c r="P399" s="79">
        <v>45123.434953703705</v>
      </c>
      <c r="Q399" s="77" t="s">
        <v>930</v>
      </c>
      <c r="R399" s="77">
        <v>0</v>
      </c>
      <c r="S399" s="77">
        <v>0</v>
      </c>
      <c r="T399" s="77">
        <v>0</v>
      </c>
      <c r="U399" s="77">
        <v>0</v>
      </c>
      <c r="V399" s="77">
        <v>78</v>
      </c>
      <c r="W399" s="82" t="s">
        <v>1739</v>
      </c>
      <c r="X399" s="77"/>
      <c r="Y399" s="77"/>
      <c r="Z399" s="77" t="s">
        <v>377</v>
      </c>
      <c r="AA399" s="77" t="s">
        <v>2247</v>
      </c>
      <c r="AB399" s="77" t="s">
        <v>2632</v>
      </c>
      <c r="AC399" s="82" t="s">
        <v>2638</v>
      </c>
      <c r="AD399" s="77" t="s">
        <v>2670</v>
      </c>
      <c r="AE399" s="80" t="str">
        <f>HYPERLINK("https://twitter.com/workshopdantas/status/1680524257506336768")</f>
        <v>https://twitter.com/workshopdantas/status/1680524257506336768</v>
      </c>
      <c r="AF399" s="79">
        <v>45123.434953703705</v>
      </c>
      <c r="AG399" s="85">
        <v>45123</v>
      </c>
      <c r="AH399" s="82" t="s">
        <v>3039</v>
      </c>
      <c r="AI399" s="77" t="b">
        <v>0</v>
      </c>
      <c r="AJ399" s="77"/>
      <c r="AK399" s="77"/>
      <c r="AL399" s="77"/>
      <c r="AM399" s="77"/>
      <c r="AN399" s="77"/>
      <c r="AO399" s="77"/>
      <c r="AP399" s="77"/>
      <c r="AQ399" s="77" t="s">
        <v>3676</v>
      </c>
      <c r="AR399" s="77"/>
      <c r="AS399" s="77"/>
      <c r="AT399" s="77"/>
      <c r="AU399" s="77"/>
      <c r="AV399" s="80" t="str">
        <f>HYPERLINK("https://pbs.twimg.com/media/F1Jr5-1XsAESfrn.jpg")</f>
        <v>https://pbs.twimg.com/media/F1Jr5-1XsAESfrn.jpg</v>
      </c>
      <c r="AW399" s="82" t="s">
        <v>4453</v>
      </c>
      <c r="AX399" s="82" t="s">
        <v>4453</v>
      </c>
      <c r="AY399" s="77"/>
      <c r="AZ399" s="82" t="s">
        <v>5075</v>
      </c>
      <c r="BA399" s="82" t="s">
        <v>5075</v>
      </c>
      <c r="BB399" s="82" t="s">
        <v>5075</v>
      </c>
      <c r="BC399" s="82" t="s">
        <v>4453</v>
      </c>
      <c r="BD399" s="82" t="s">
        <v>5204</v>
      </c>
      <c r="BE399" s="77"/>
      <c r="BF399" s="77"/>
      <c r="BG399" s="77"/>
      <c r="BH399" s="77"/>
      <c r="BI399" s="77"/>
    </row>
    <row r="400" spans="1:61" x14ac:dyDescent="0.25">
      <c r="A400" s="62" t="s">
        <v>377</v>
      </c>
      <c r="B400" s="62" t="s">
        <v>377</v>
      </c>
      <c r="C400" s="63"/>
      <c r="D400" s="64"/>
      <c r="E400" s="65"/>
      <c r="F400" s="66"/>
      <c r="G400" s="63"/>
      <c r="H400" s="67"/>
      <c r="I400" s="68"/>
      <c r="J400" s="68"/>
      <c r="K400" s="32"/>
      <c r="L400" s="75">
        <v>400</v>
      </c>
      <c r="M400" s="75"/>
      <c r="N400" s="70"/>
      <c r="O400" s="77" t="s">
        <v>539</v>
      </c>
      <c r="P400" s="79">
        <v>45122.379606481481</v>
      </c>
      <c r="Q400" s="77" t="s">
        <v>931</v>
      </c>
      <c r="R400" s="77">
        <v>0</v>
      </c>
      <c r="S400" s="77">
        <v>0</v>
      </c>
      <c r="T400" s="77">
        <v>0</v>
      </c>
      <c r="U400" s="77">
        <v>0</v>
      </c>
      <c r="V400" s="77">
        <v>180</v>
      </c>
      <c r="W400" s="82" t="s">
        <v>1740</v>
      </c>
      <c r="X400" s="77"/>
      <c r="Y400" s="77"/>
      <c r="Z400" s="77" t="s">
        <v>377</v>
      </c>
      <c r="AA400" s="77" t="s">
        <v>2248</v>
      </c>
      <c r="AB400" s="77" t="s">
        <v>2632</v>
      </c>
      <c r="AC400" s="82" t="s">
        <v>2638</v>
      </c>
      <c r="AD400" s="77" t="s">
        <v>2670</v>
      </c>
      <c r="AE400" s="80" t="str">
        <f>HYPERLINK("https://twitter.com/workshopdantas/status/1680141813133213697")</f>
        <v>https://twitter.com/workshopdantas/status/1680141813133213697</v>
      </c>
      <c r="AF400" s="79">
        <v>45122.379606481481</v>
      </c>
      <c r="AG400" s="85">
        <v>45122</v>
      </c>
      <c r="AH400" s="82" t="s">
        <v>3040</v>
      </c>
      <c r="AI400" s="77" t="b">
        <v>0</v>
      </c>
      <c r="AJ400" s="77"/>
      <c r="AK400" s="77"/>
      <c r="AL400" s="77"/>
      <c r="AM400" s="77"/>
      <c r="AN400" s="77"/>
      <c r="AO400" s="77"/>
      <c r="AP400" s="77"/>
      <c r="AQ400" s="77" t="s">
        <v>3677</v>
      </c>
      <c r="AR400" s="77"/>
      <c r="AS400" s="77"/>
      <c r="AT400" s="77"/>
      <c r="AU400" s="77"/>
      <c r="AV400" s="80" t="str">
        <f>HYPERLINK("https://pbs.twimg.com/media/F1EQExvX0AAVqQo.jpg")</f>
        <v>https://pbs.twimg.com/media/F1EQExvX0AAVqQo.jpg</v>
      </c>
      <c r="AW400" s="82" t="s">
        <v>4454</v>
      </c>
      <c r="AX400" s="82" t="s">
        <v>4454</v>
      </c>
      <c r="AY400" s="77"/>
      <c r="AZ400" s="82" t="s">
        <v>5075</v>
      </c>
      <c r="BA400" s="82" t="s">
        <v>5075</v>
      </c>
      <c r="BB400" s="82" t="s">
        <v>5075</v>
      </c>
      <c r="BC400" s="82" t="s">
        <v>4454</v>
      </c>
      <c r="BD400" s="82" t="s">
        <v>5204</v>
      </c>
      <c r="BE400" s="77"/>
      <c r="BF400" s="77"/>
      <c r="BG400" s="77"/>
      <c r="BH400" s="77"/>
      <c r="BI400" s="77"/>
    </row>
    <row r="401" spans="1:61" x14ac:dyDescent="0.25">
      <c r="A401" s="62" t="s">
        <v>377</v>
      </c>
      <c r="B401" s="62" t="s">
        <v>377</v>
      </c>
      <c r="C401" s="63"/>
      <c r="D401" s="64"/>
      <c r="E401" s="65"/>
      <c r="F401" s="66"/>
      <c r="G401" s="63"/>
      <c r="H401" s="67"/>
      <c r="I401" s="68"/>
      <c r="J401" s="68"/>
      <c r="K401" s="32"/>
      <c r="L401" s="75">
        <v>401</v>
      </c>
      <c r="M401" s="75"/>
      <c r="N401" s="70"/>
      <c r="O401" s="77" t="s">
        <v>539</v>
      </c>
      <c r="P401" s="79">
        <v>45113.495937500003</v>
      </c>
      <c r="Q401" s="77" t="s">
        <v>932</v>
      </c>
      <c r="R401" s="77">
        <v>0</v>
      </c>
      <c r="S401" s="77">
        <v>0</v>
      </c>
      <c r="T401" s="77">
        <v>0</v>
      </c>
      <c r="U401" s="77">
        <v>0</v>
      </c>
      <c r="V401" s="77">
        <v>53</v>
      </c>
      <c r="W401" s="82" t="s">
        <v>1741</v>
      </c>
      <c r="X401" s="77"/>
      <c r="Y401" s="77"/>
      <c r="Z401" s="77" t="s">
        <v>377</v>
      </c>
      <c r="AA401" s="77" t="s">
        <v>2249</v>
      </c>
      <c r="AB401" s="77" t="s">
        <v>2632</v>
      </c>
      <c r="AC401" s="82" t="s">
        <v>2638</v>
      </c>
      <c r="AD401" s="77" t="s">
        <v>2670</v>
      </c>
      <c r="AE401" s="80" t="str">
        <f>HYPERLINK("https://twitter.com/workshopdantas/status/1676922480592666626")</f>
        <v>https://twitter.com/workshopdantas/status/1676922480592666626</v>
      </c>
      <c r="AF401" s="79">
        <v>45113.495937500003</v>
      </c>
      <c r="AG401" s="85">
        <v>45113</v>
      </c>
      <c r="AH401" s="82" t="s">
        <v>3041</v>
      </c>
      <c r="AI401" s="77" t="b">
        <v>0</v>
      </c>
      <c r="AJ401" s="77"/>
      <c r="AK401" s="77"/>
      <c r="AL401" s="77"/>
      <c r="AM401" s="77"/>
      <c r="AN401" s="77"/>
      <c r="AO401" s="77"/>
      <c r="AP401" s="77"/>
      <c r="AQ401" s="77" t="s">
        <v>3678</v>
      </c>
      <c r="AR401" s="77"/>
      <c r="AS401" s="77"/>
      <c r="AT401" s="77"/>
      <c r="AU401" s="77"/>
      <c r="AV401" s="80" t="str">
        <f>HYPERLINK("https://pbs.twimg.com/media/F0WgG-YX0AApQpp.jpg")</f>
        <v>https://pbs.twimg.com/media/F0WgG-YX0AApQpp.jpg</v>
      </c>
      <c r="AW401" s="82" t="s">
        <v>4455</v>
      </c>
      <c r="AX401" s="82" t="s">
        <v>4455</v>
      </c>
      <c r="AY401" s="77"/>
      <c r="AZ401" s="82" t="s">
        <v>5075</v>
      </c>
      <c r="BA401" s="82" t="s">
        <v>5075</v>
      </c>
      <c r="BB401" s="82" t="s">
        <v>5075</v>
      </c>
      <c r="BC401" s="82" t="s">
        <v>4455</v>
      </c>
      <c r="BD401" s="82" t="s">
        <v>5204</v>
      </c>
      <c r="BE401" s="77"/>
      <c r="BF401" s="77"/>
      <c r="BG401" s="77"/>
      <c r="BH401" s="77"/>
      <c r="BI401" s="77"/>
    </row>
    <row r="402" spans="1:61" x14ac:dyDescent="0.25">
      <c r="A402" s="62" t="s">
        <v>377</v>
      </c>
      <c r="B402" s="62" t="s">
        <v>377</v>
      </c>
      <c r="C402" s="63"/>
      <c r="D402" s="64"/>
      <c r="E402" s="65"/>
      <c r="F402" s="66"/>
      <c r="G402" s="63"/>
      <c r="H402" s="67"/>
      <c r="I402" s="68"/>
      <c r="J402" s="68"/>
      <c r="K402" s="32"/>
      <c r="L402" s="75">
        <v>402</v>
      </c>
      <c r="M402" s="75"/>
      <c r="N402" s="70"/>
      <c r="O402" s="77" t="s">
        <v>539</v>
      </c>
      <c r="P402" s="79">
        <v>45112.477175925924</v>
      </c>
      <c r="Q402" s="77" t="s">
        <v>933</v>
      </c>
      <c r="R402" s="77">
        <v>0</v>
      </c>
      <c r="S402" s="77">
        <v>0</v>
      </c>
      <c r="T402" s="77">
        <v>0</v>
      </c>
      <c r="U402" s="77">
        <v>0</v>
      </c>
      <c r="V402" s="77">
        <v>59</v>
      </c>
      <c r="W402" s="82" t="s">
        <v>1742</v>
      </c>
      <c r="X402" s="77"/>
      <c r="Y402" s="77"/>
      <c r="Z402" s="77" t="s">
        <v>377</v>
      </c>
      <c r="AA402" s="77" t="s">
        <v>2250</v>
      </c>
      <c r="AB402" s="77" t="s">
        <v>2632</v>
      </c>
      <c r="AC402" s="82" t="s">
        <v>2638</v>
      </c>
      <c r="AD402" s="77" t="s">
        <v>2670</v>
      </c>
      <c r="AE402" s="80" t="str">
        <f>HYPERLINK("https://twitter.com/workshopdantas/status/1676553292044705794")</f>
        <v>https://twitter.com/workshopdantas/status/1676553292044705794</v>
      </c>
      <c r="AF402" s="79">
        <v>45112.477175925924</v>
      </c>
      <c r="AG402" s="85">
        <v>45112</v>
      </c>
      <c r="AH402" s="82" t="s">
        <v>3042</v>
      </c>
      <c r="AI402" s="77" t="b">
        <v>0</v>
      </c>
      <c r="AJ402" s="77"/>
      <c r="AK402" s="77"/>
      <c r="AL402" s="77"/>
      <c r="AM402" s="77"/>
      <c r="AN402" s="77"/>
      <c r="AO402" s="77"/>
      <c r="AP402" s="77"/>
      <c r="AQ402" s="77" t="s">
        <v>3679</v>
      </c>
      <c r="AR402" s="77"/>
      <c r="AS402" s="77"/>
      <c r="AT402" s="77"/>
      <c r="AU402" s="77"/>
      <c r="AV402" s="80" t="str">
        <f>HYPERLINK("https://pbs.twimg.com/media/F0RQVXnWcAIZOSy.jpg")</f>
        <v>https://pbs.twimg.com/media/F0RQVXnWcAIZOSy.jpg</v>
      </c>
      <c r="AW402" s="82" t="s">
        <v>4456</v>
      </c>
      <c r="AX402" s="82" t="s">
        <v>4456</v>
      </c>
      <c r="AY402" s="77"/>
      <c r="AZ402" s="82" t="s">
        <v>5075</v>
      </c>
      <c r="BA402" s="82" t="s">
        <v>5075</v>
      </c>
      <c r="BB402" s="82" t="s">
        <v>5075</v>
      </c>
      <c r="BC402" s="82" t="s">
        <v>4456</v>
      </c>
      <c r="BD402" s="82" t="s">
        <v>5204</v>
      </c>
      <c r="BE402" s="77"/>
      <c r="BF402" s="77"/>
      <c r="BG402" s="77"/>
      <c r="BH402" s="77"/>
      <c r="BI402" s="77"/>
    </row>
    <row r="403" spans="1:61" x14ac:dyDescent="0.25">
      <c r="A403" s="62" t="s">
        <v>377</v>
      </c>
      <c r="B403" s="62" t="s">
        <v>377</v>
      </c>
      <c r="C403" s="63"/>
      <c r="D403" s="64"/>
      <c r="E403" s="65"/>
      <c r="F403" s="66"/>
      <c r="G403" s="63"/>
      <c r="H403" s="67"/>
      <c r="I403" s="68"/>
      <c r="J403" s="68"/>
      <c r="K403" s="32"/>
      <c r="L403" s="75">
        <v>403</v>
      </c>
      <c r="M403" s="75"/>
      <c r="N403" s="70"/>
      <c r="O403" s="77" t="s">
        <v>539</v>
      </c>
      <c r="P403" s="79">
        <v>45103.489027777781</v>
      </c>
      <c r="Q403" s="77" t="s">
        <v>934</v>
      </c>
      <c r="R403" s="77">
        <v>0</v>
      </c>
      <c r="S403" s="77">
        <v>0</v>
      </c>
      <c r="T403" s="77">
        <v>0</v>
      </c>
      <c r="U403" s="77">
        <v>0</v>
      </c>
      <c r="V403" s="77">
        <v>96</v>
      </c>
      <c r="W403" s="82" t="s">
        <v>1743</v>
      </c>
      <c r="X403" s="77"/>
      <c r="Y403" s="77"/>
      <c r="Z403" s="77" t="s">
        <v>377</v>
      </c>
      <c r="AA403" s="77" t="s">
        <v>2251</v>
      </c>
      <c r="AB403" s="77" t="s">
        <v>2632</v>
      </c>
      <c r="AC403" s="82" t="s">
        <v>2638</v>
      </c>
      <c r="AD403" s="77" t="s">
        <v>2670</v>
      </c>
      <c r="AE403" s="80" t="str">
        <f>HYPERLINK("https://twitter.com/workshopdantas/status/1673296097576361989")</f>
        <v>https://twitter.com/workshopdantas/status/1673296097576361989</v>
      </c>
      <c r="AF403" s="79">
        <v>45103.489027777781</v>
      </c>
      <c r="AG403" s="85">
        <v>45103</v>
      </c>
      <c r="AH403" s="82" t="s">
        <v>3043</v>
      </c>
      <c r="AI403" s="77" t="b">
        <v>0</v>
      </c>
      <c r="AJ403" s="77"/>
      <c r="AK403" s="77"/>
      <c r="AL403" s="77"/>
      <c r="AM403" s="77"/>
      <c r="AN403" s="77"/>
      <c r="AO403" s="77"/>
      <c r="AP403" s="77"/>
      <c r="AQ403" s="77" t="s">
        <v>3680</v>
      </c>
      <c r="AR403" s="77"/>
      <c r="AS403" s="77"/>
      <c r="AT403" s="77"/>
      <c r="AU403" s="77"/>
      <c r="AV403" s="80" t="str">
        <f>HYPERLINK("https://pbs.twimg.com/media/Fzi97ssXoAExEo1.jpg")</f>
        <v>https://pbs.twimg.com/media/Fzi97ssXoAExEo1.jpg</v>
      </c>
      <c r="AW403" s="82" t="s">
        <v>4457</v>
      </c>
      <c r="AX403" s="82" t="s">
        <v>4457</v>
      </c>
      <c r="AY403" s="77"/>
      <c r="AZ403" s="82" t="s">
        <v>5075</v>
      </c>
      <c r="BA403" s="82" t="s">
        <v>5075</v>
      </c>
      <c r="BB403" s="82" t="s">
        <v>5075</v>
      </c>
      <c r="BC403" s="82" t="s">
        <v>4457</v>
      </c>
      <c r="BD403" s="82" t="s">
        <v>5204</v>
      </c>
      <c r="BE403" s="77"/>
      <c r="BF403" s="77"/>
      <c r="BG403" s="77"/>
      <c r="BH403" s="77"/>
      <c r="BI403" s="77"/>
    </row>
    <row r="404" spans="1:61" x14ac:dyDescent="0.25">
      <c r="A404" s="62" t="s">
        <v>377</v>
      </c>
      <c r="B404" s="62" t="s">
        <v>377</v>
      </c>
      <c r="C404" s="63"/>
      <c r="D404" s="64"/>
      <c r="E404" s="65"/>
      <c r="F404" s="66"/>
      <c r="G404" s="63"/>
      <c r="H404" s="67"/>
      <c r="I404" s="68"/>
      <c r="J404" s="68"/>
      <c r="K404" s="32"/>
      <c r="L404" s="75">
        <v>404</v>
      </c>
      <c r="M404" s="75"/>
      <c r="N404" s="70"/>
      <c r="O404" s="77" t="s">
        <v>539</v>
      </c>
      <c r="P404" s="79">
        <v>45102.657141203701</v>
      </c>
      <c r="Q404" s="77" t="s">
        <v>935</v>
      </c>
      <c r="R404" s="77">
        <v>0</v>
      </c>
      <c r="S404" s="77">
        <v>0</v>
      </c>
      <c r="T404" s="77">
        <v>0</v>
      </c>
      <c r="U404" s="77">
        <v>0</v>
      </c>
      <c r="V404" s="77">
        <v>66</v>
      </c>
      <c r="W404" s="82" t="s">
        <v>1744</v>
      </c>
      <c r="X404" s="77"/>
      <c r="Y404" s="77"/>
      <c r="Z404" s="77" t="s">
        <v>377</v>
      </c>
      <c r="AA404" s="77" t="s">
        <v>2252</v>
      </c>
      <c r="AB404" s="77" t="s">
        <v>2632</v>
      </c>
      <c r="AC404" s="82" t="s">
        <v>2638</v>
      </c>
      <c r="AD404" s="77" t="s">
        <v>2670</v>
      </c>
      <c r="AE404" s="80" t="str">
        <f>HYPERLINK("https://twitter.com/workshopdantas/status/1672994633058582528")</f>
        <v>https://twitter.com/workshopdantas/status/1672994633058582528</v>
      </c>
      <c r="AF404" s="79">
        <v>45102.657141203701</v>
      </c>
      <c r="AG404" s="85">
        <v>45102</v>
      </c>
      <c r="AH404" s="82" t="s">
        <v>2826</v>
      </c>
      <c r="AI404" s="77" t="b">
        <v>0</v>
      </c>
      <c r="AJ404" s="77"/>
      <c r="AK404" s="77"/>
      <c r="AL404" s="77"/>
      <c r="AM404" s="77"/>
      <c r="AN404" s="77"/>
      <c r="AO404" s="77"/>
      <c r="AP404" s="77"/>
      <c r="AQ404" s="77" t="s">
        <v>3681</v>
      </c>
      <c r="AR404" s="77"/>
      <c r="AS404" s="77"/>
      <c r="AT404" s="77"/>
      <c r="AU404" s="77"/>
      <c r="AV404" s="80" t="str">
        <f>HYPERLINK("https://pbs.twimg.com/media/FzerwLJWcAApsxs.jpg")</f>
        <v>https://pbs.twimg.com/media/FzerwLJWcAApsxs.jpg</v>
      </c>
      <c r="AW404" s="82" t="s">
        <v>4458</v>
      </c>
      <c r="AX404" s="82" t="s">
        <v>4458</v>
      </c>
      <c r="AY404" s="77"/>
      <c r="AZ404" s="82" t="s">
        <v>5075</v>
      </c>
      <c r="BA404" s="82" t="s">
        <v>5075</v>
      </c>
      <c r="BB404" s="82" t="s">
        <v>5075</v>
      </c>
      <c r="BC404" s="82" t="s">
        <v>4458</v>
      </c>
      <c r="BD404" s="82" t="s">
        <v>5204</v>
      </c>
      <c r="BE404" s="77"/>
      <c r="BF404" s="77"/>
      <c r="BG404" s="77"/>
      <c r="BH404" s="77"/>
      <c r="BI404" s="77"/>
    </row>
    <row r="405" spans="1:61" x14ac:dyDescent="0.25">
      <c r="A405" s="62" t="s">
        <v>377</v>
      </c>
      <c r="B405" s="62" t="s">
        <v>377</v>
      </c>
      <c r="C405" s="63"/>
      <c r="D405" s="64"/>
      <c r="E405" s="65"/>
      <c r="F405" s="66"/>
      <c r="G405" s="63"/>
      <c r="H405" s="67"/>
      <c r="I405" s="68"/>
      <c r="J405" s="68"/>
      <c r="K405" s="32"/>
      <c r="L405" s="75">
        <v>405</v>
      </c>
      <c r="M405" s="75"/>
      <c r="N405" s="70"/>
      <c r="O405" s="77" t="s">
        <v>539</v>
      </c>
      <c r="P405" s="79">
        <v>45101.567719907405</v>
      </c>
      <c r="Q405" s="77" t="s">
        <v>936</v>
      </c>
      <c r="R405" s="77">
        <v>0</v>
      </c>
      <c r="S405" s="77">
        <v>0</v>
      </c>
      <c r="T405" s="77">
        <v>0</v>
      </c>
      <c r="U405" s="77">
        <v>0</v>
      </c>
      <c r="V405" s="77">
        <v>58</v>
      </c>
      <c r="W405" s="82" t="s">
        <v>1745</v>
      </c>
      <c r="X405" s="77"/>
      <c r="Y405" s="77"/>
      <c r="Z405" s="77" t="s">
        <v>377</v>
      </c>
      <c r="AA405" s="77" t="s">
        <v>2253</v>
      </c>
      <c r="AB405" s="77" t="s">
        <v>2632</v>
      </c>
      <c r="AC405" s="82" t="s">
        <v>2638</v>
      </c>
      <c r="AD405" s="77" t="s">
        <v>2670</v>
      </c>
      <c r="AE405" s="80" t="str">
        <f>HYPERLINK("https://twitter.com/workshopdantas/status/1672599837085249539")</f>
        <v>https://twitter.com/workshopdantas/status/1672599837085249539</v>
      </c>
      <c r="AF405" s="79">
        <v>45101.567719907405</v>
      </c>
      <c r="AG405" s="85">
        <v>45101</v>
      </c>
      <c r="AH405" s="82" t="s">
        <v>3044</v>
      </c>
      <c r="AI405" s="77" t="b">
        <v>0</v>
      </c>
      <c r="AJ405" s="77"/>
      <c r="AK405" s="77"/>
      <c r="AL405" s="77"/>
      <c r="AM405" s="77"/>
      <c r="AN405" s="77"/>
      <c r="AO405" s="77"/>
      <c r="AP405" s="77"/>
      <c r="AQ405" s="77" t="s">
        <v>3682</v>
      </c>
      <c r="AR405" s="77"/>
      <c r="AS405" s="77"/>
      <c r="AT405" s="77"/>
      <c r="AU405" s="77"/>
      <c r="AV405" s="80" t="str">
        <f>HYPERLINK("https://pbs.twimg.com/media/FzZEsBZWwAcBJoJ.jpg")</f>
        <v>https://pbs.twimg.com/media/FzZEsBZWwAcBJoJ.jpg</v>
      </c>
      <c r="AW405" s="82" t="s">
        <v>4459</v>
      </c>
      <c r="AX405" s="82" t="s">
        <v>4459</v>
      </c>
      <c r="AY405" s="77"/>
      <c r="AZ405" s="82" t="s">
        <v>5075</v>
      </c>
      <c r="BA405" s="82" t="s">
        <v>5075</v>
      </c>
      <c r="BB405" s="82" t="s">
        <v>5075</v>
      </c>
      <c r="BC405" s="82" t="s">
        <v>4459</v>
      </c>
      <c r="BD405" s="82" t="s">
        <v>5204</v>
      </c>
      <c r="BE405" s="77"/>
      <c r="BF405" s="77"/>
      <c r="BG405" s="77"/>
      <c r="BH405" s="77"/>
      <c r="BI405" s="77"/>
    </row>
    <row r="406" spans="1:61" x14ac:dyDescent="0.25">
      <c r="A406" s="62" t="s">
        <v>377</v>
      </c>
      <c r="B406" s="62" t="s">
        <v>377</v>
      </c>
      <c r="C406" s="63"/>
      <c r="D406" s="64"/>
      <c r="E406" s="65"/>
      <c r="F406" s="66"/>
      <c r="G406" s="63"/>
      <c r="H406" s="67"/>
      <c r="I406" s="68"/>
      <c r="J406" s="68"/>
      <c r="K406" s="32"/>
      <c r="L406" s="75">
        <v>406</v>
      </c>
      <c r="M406" s="75"/>
      <c r="N406" s="70"/>
      <c r="O406" s="77" t="s">
        <v>539</v>
      </c>
      <c r="P406" s="79">
        <v>45099.715011574073</v>
      </c>
      <c r="Q406" s="77" t="s">
        <v>937</v>
      </c>
      <c r="R406" s="77">
        <v>0</v>
      </c>
      <c r="S406" s="77">
        <v>0</v>
      </c>
      <c r="T406" s="77">
        <v>0</v>
      </c>
      <c r="U406" s="77">
        <v>0</v>
      </c>
      <c r="V406" s="77">
        <v>31</v>
      </c>
      <c r="W406" s="82" t="s">
        <v>1746</v>
      </c>
      <c r="X406" s="77"/>
      <c r="Y406" s="77"/>
      <c r="Z406" s="77" t="s">
        <v>377</v>
      </c>
      <c r="AA406" s="77" t="s">
        <v>2254</v>
      </c>
      <c r="AB406" s="77" t="s">
        <v>2632</v>
      </c>
      <c r="AC406" s="82" t="s">
        <v>2638</v>
      </c>
      <c r="AD406" s="77" t="s">
        <v>2670</v>
      </c>
      <c r="AE406" s="80" t="str">
        <f>HYPERLINK("https://twitter.com/workshopdantas/status/1671928440008720395")</f>
        <v>https://twitter.com/workshopdantas/status/1671928440008720395</v>
      </c>
      <c r="AF406" s="79">
        <v>45099.715011574073</v>
      </c>
      <c r="AG406" s="85">
        <v>45099</v>
      </c>
      <c r="AH406" s="82" t="s">
        <v>3045</v>
      </c>
      <c r="AI406" s="77" t="b">
        <v>0</v>
      </c>
      <c r="AJ406" s="77"/>
      <c r="AK406" s="77"/>
      <c r="AL406" s="77"/>
      <c r="AM406" s="77"/>
      <c r="AN406" s="77"/>
      <c r="AO406" s="77"/>
      <c r="AP406" s="77"/>
      <c r="AQ406" s="77" t="s">
        <v>3683</v>
      </c>
      <c r="AR406" s="77"/>
      <c r="AS406" s="77"/>
      <c r="AT406" s="77"/>
      <c r="AU406" s="77"/>
      <c r="AV406" s="80" t="str">
        <f>HYPERLINK("https://pbs.twimg.com/media/FzPiDMeXwBsPfbe.jpg")</f>
        <v>https://pbs.twimg.com/media/FzPiDMeXwBsPfbe.jpg</v>
      </c>
      <c r="AW406" s="82" t="s">
        <v>4460</v>
      </c>
      <c r="AX406" s="82" t="s">
        <v>4460</v>
      </c>
      <c r="AY406" s="77"/>
      <c r="AZ406" s="82" t="s">
        <v>5075</v>
      </c>
      <c r="BA406" s="82" t="s">
        <v>5075</v>
      </c>
      <c r="BB406" s="82" t="s">
        <v>5075</v>
      </c>
      <c r="BC406" s="82" t="s">
        <v>4460</v>
      </c>
      <c r="BD406" s="82" t="s">
        <v>5204</v>
      </c>
      <c r="BE406" s="77"/>
      <c r="BF406" s="77"/>
      <c r="BG406" s="77"/>
      <c r="BH406" s="77"/>
      <c r="BI406" s="77"/>
    </row>
    <row r="407" spans="1:61" x14ac:dyDescent="0.25">
      <c r="A407" s="62" t="s">
        <v>377</v>
      </c>
      <c r="B407" s="62" t="s">
        <v>377</v>
      </c>
      <c r="C407" s="63"/>
      <c r="D407" s="64"/>
      <c r="E407" s="65"/>
      <c r="F407" s="66"/>
      <c r="G407" s="63"/>
      <c r="H407" s="67"/>
      <c r="I407" s="68"/>
      <c r="J407" s="68"/>
      <c r="K407" s="32"/>
      <c r="L407" s="75">
        <v>407</v>
      </c>
      <c r="M407" s="75"/>
      <c r="N407" s="70"/>
      <c r="O407" s="77" t="s">
        <v>539</v>
      </c>
      <c r="P407" s="79">
        <v>45153.462916666664</v>
      </c>
      <c r="Q407" s="77" t="s">
        <v>938</v>
      </c>
      <c r="R407" s="77">
        <v>0</v>
      </c>
      <c r="S407" s="77">
        <v>0</v>
      </c>
      <c r="T407" s="77">
        <v>0</v>
      </c>
      <c r="U407" s="77">
        <v>0</v>
      </c>
      <c r="V407" s="77">
        <v>68</v>
      </c>
      <c r="W407" s="82" t="s">
        <v>1747</v>
      </c>
      <c r="X407" s="77"/>
      <c r="Y407" s="77"/>
      <c r="Z407" s="77" t="s">
        <v>377</v>
      </c>
      <c r="AA407" s="77" t="s">
        <v>2255</v>
      </c>
      <c r="AB407" s="77" t="s">
        <v>2632</v>
      </c>
      <c r="AC407" s="82" t="s">
        <v>2638</v>
      </c>
      <c r="AD407" s="77" t="s">
        <v>2670</v>
      </c>
      <c r="AE407" s="80" t="str">
        <f>HYPERLINK("https://twitter.com/workshopdantas/status/1691406026443046912")</f>
        <v>https://twitter.com/workshopdantas/status/1691406026443046912</v>
      </c>
      <c r="AF407" s="79">
        <v>45153.462916666664</v>
      </c>
      <c r="AG407" s="85">
        <v>45153</v>
      </c>
      <c r="AH407" s="82" t="s">
        <v>3046</v>
      </c>
      <c r="AI407" s="77" t="b">
        <v>0</v>
      </c>
      <c r="AJ407" s="77"/>
      <c r="AK407" s="77"/>
      <c r="AL407" s="77"/>
      <c r="AM407" s="77"/>
      <c r="AN407" s="77"/>
      <c r="AO407" s="77"/>
      <c r="AP407" s="77"/>
      <c r="AQ407" s="77" t="s">
        <v>3684</v>
      </c>
      <c r="AR407" s="77"/>
      <c r="AS407" s="77"/>
      <c r="AT407" s="77"/>
      <c r="AU407" s="77"/>
      <c r="AV407" s="80" t="str">
        <f>HYPERLINK("https://pbs.twimg.com/media/F3kU0VWWUAA5nDy.jpg")</f>
        <v>https://pbs.twimg.com/media/F3kU0VWWUAA5nDy.jpg</v>
      </c>
      <c r="AW407" s="82" t="s">
        <v>4461</v>
      </c>
      <c r="AX407" s="82" t="s">
        <v>4461</v>
      </c>
      <c r="AY407" s="77"/>
      <c r="AZ407" s="82" t="s">
        <v>5075</v>
      </c>
      <c r="BA407" s="82" t="s">
        <v>5075</v>
      </c>
      <c r="BB407" s="82" t="s">
        <v>5075</v>
      </c>
      <c r="BC407" s="82" t="s">
        <v>4461</v>
      </c>
      <c r="BD407" s="82" t="s">
        <v>5204</v>
      </c>
      <c r="BE407" s="77"/>
      <c r="BF407" s="77"/>
      <c r="BG407" s="77"/>
      <c r="BH407" s="77"/>
      <c r="BI407" s="77"/>
    </row>
    <row r="408" spans="1:61" x14ac:dyDescent="0.25">
      <c r="A408" s="62" t="s">
        <v>377</v>
      </c>
      <c r="B408" s="62" t="s">
        <v>377</v>
      </c>
      <c r="C408" s="63"/>
      <c r="D408" s="64"/>
      <c r="E408" s="65"/>
      <c r="F408" s="66"/>
      <c r="G408" s="63"/>
      <c r="H408" s="67"/>
      <c r="I408" s="68"/>
      <c r="J408" s="68"/>
      <c r="K408" s="32"/>
      <c r="L408" s="75">
        <v>408</v>
      </c>
      <c r="M408" s="75"/>
      <c r="N408" s="70"/>
      <c r="O408" s="77" t="s">
        <v>539</v>
      </c>
      <c r="P408" s="79">
        <v>45152.88616898148</v>
      </c>
      <c r="Q408" s="77" t="s">
        <v>939</v>
      </c>
      <c r="R408" s="77">
        <v>1</v>
      </c>
      <c r="S408" s="77">
        <v>3</v>
      </c>
      <c r="T408" s="77">
        <v>0</v>
      </c>
      <c r="U408" s="77">
        <v>1</v>
      </c>
      <c r="V408" s="77">
        <v>114</v>
      </c>
      <c r="W408" s="82" t="s">
        <v>1748</v>
      </c>
      <c r="X408" s="77"/>
      <c r="Y408" s="77"/>
      <c r="Z408" s="77" t="s">
        <v>377</v>
      </c>
      <c r="AA408" s="77" t="s">
        <v>2256</v>
      </c>
      <c r="AB408" s="77" t="s">
        <v>2632</v>
      </c>
      <c r="AC408" s="82" t="s">
        <v>2638</v>
      </c>
      <c r="AD408" s="77" t="s">
        <v>2670</v>
      </c>
      <c r="AE408" s="80" t="str">
        <f>HYPERLINK("https://twitter.com/workshopdantas/status/1691197020650795009")</f>
        <v>https://twitter.com/workshopdantas/status/1691197020650795009</v>
      </c>
      <c r="AF408" s="79">
        <v>45152.88616898148</v>
      </c>
      <c r="AG408" s="85">
        <v>45152</v>
      </c>
      <c r="AH408" s="82" t="s">
        <v>3047</v>
      </c>
      <c r="AI408" s="77" t="b">
        <v>0</v>
      </c>
      <c r="AJ408" s="77"/>
      <c r="AK408" s="77"/>
      <c r="AL408" s="77"/>
      <c r="AM408" s="77"/>
      <c r="AN408" s="77"/>
      <c r="AO408" s="77"/>
      <c r="AP408" s="77"/>
      <c r="AQ408" s="77" t="s">
        <v>3685</v>
      </c>
      <c r="AR408" s="77"/>
      <c r="AS408" s="77"/>
      <c r="AT408" s="77"/>
      <c r="AU408" s="77"/>
      <c r="AV408" s="80" t="str">
        <f>HYPERLINK("https://pbs.twimg.com/media/F3hWuRAXUAE7LuQ.jpg")</f>
        <v>https://pbs.twimg.com/media/F3hWuRAXUAE7LuQ.jpg</v>
      </c>
      <c r="AW408" s="82" t="s">
        <v>4462</v>
      </c>
      <c r="AX408" s="82" t="s">
        <v>4462</v>
      </c>
      <c r="AY408" s="77"/>
      <c r="AZ408" s="82" t="s">
        <v>5075</v>
      </c>
      <c r="BA408" s="82" t="s">
        <v>5075</v>
      </c>
      <c r="BB408" s="82" t="s">
        <v>5075</v>
      </c>
      <c r="BC408" s="82" t="s">
        <v>4462</v>
      </c>
      <c r="BD408" s="82" t="s">
        <v>5204</v>
      </c>
      <c r="BE408" s="77"/>
      <c r="BF408" s="77"/>
      <c r="BG408" s="77"/>
      <c r="BH408" s="77"/>
      <c r="BI408" s="77"/>
    </row>
    <row r="409" spans="1:61" x14ac:dyDescent="0.25">
      <c r="A409" s="62" t="s">
        <v>377</v>
      </c>
      <c r="B409" s="62" t="s">
        <v>377</v>
      </c>
      <c r="C409" s="63"/>
      <c r="D409" s="64"/>
      <c r="E409" s="65"/>
      <c r="F409" s="66"/>
      <c r="G409" s="63"/>
      <c r="H409" s="67"/>
      <c r="I409" s="68"/>
      <c r="J409" s="68"/>
      <c r="K409" s="32"/>
      <c r="L409" s="75">
        <v>409</v>
      </c>
      <c r="M409" s="75"/>
      <c r="N409" s="70"/>
      <c r="O409" s="77" t="s">
        <v>539</v>
      </c>
      <c r="P409" s="79">
        <v>45151.892476851855</v>
      </c>
      <c r="Q409" s="77" t="s">
        <v>940</v>
      </c>
      <c r="R409" s="77">
        <v>0</v>
      </c>
      <c r="S409" s="77">
        <v>1</v>
      </c>
      <c r="T409" s="77">
        <v>1</v>
      </c>
      <c r="U409" s="77">
        <v>0</v>
      </c>
      <c r="V409" s="77">
        <v>20</v>
      </c>
      <c r="W409" s="82" t="s">
        <v>1720</v>
      </c>
      <c r="X409" s="77"/>
      <c r="Y409" s="77"/>
      <c r="Z409" s="77" t="s">
        <v>377</v>
      </c>
      <c r="AA409" s="77" t="s">
        <v>2257</v>
      </c>
      <c r="AB409" s="77" t="s">
        <v>2632</v>
      </c>
      <c r="AC409" s="82" t="s">
        <v>2638</v>
      </c>
      <c r="AD409" s="77" t="s">
        <v>2670</v>
      </c>
      <c r="AE409" s="80" t="str">
        <f>HYPERLINK("https://twitter.com/workshopdantas/status/1690836920203403264")</f>
        <v>https://twitter.com/workshopdantas/status/1690836920203403264</v>
      </c>
      <c r="AF409" s="79">
        <v>45151.892476851855</v>
      </c>
      <c r="AG409" s="85">
        <v>45151</v>
      </c>
      <c r="AH409" s="82" t="s">
        <v>3048</v>
      </c>
      <c r="AI409" s="77" t="b">
        <v>0</v>
      </c>
      <c r="AJ409" s="77"/>
      <c r="AK409" s="77"/>
      <c r="AL409" s="77"/>
      <c r="AM409" s="77"/>
      <c r="AN409" s="77"/>
      <c r="AO409" s="77"/>
      <c r="AP409" s="77"/>
      <c r="AQ409" s="77" t="s">
        <v>3686</v>
      </c>
      <c r="AR409" s="77"/>
      <c r="AS409" s="77"/>
      <c r="AT409" s="77"/>
      <c r="AU409" s="77"/>
      <c r="AV409" s="80" t="str">
        <f>HYPERLINK("https://pbs.twimg.com/media/F3cPNk_WcAIp2Sm.jpg")</f>
        <v>https://pbs.twimg.com/media/F3cPNk_WcAIp2Sm.jpg</v>
      </c>
      <c r="AW409" s="82" t="s">
        <v>4463</v>
      </c>
      <c r="AX409" s="82" t="s">
        <v>4463</v>
      </c>
      <c r="AY409" s="77"/>
      <c r="AZ409" s="82" t="s">
        <v>5075</v>
      </c>
      <c r="BA409" s="82" t="s">
        <v>5075</v>
      </c>
      <c r="BB409" s="82" t="s">
        <v>5075</v>
      </c>
      <c r="BC409" s="82" t="s">
        <v>4463</v>
      </c>
      <c r="BD409" s="82" t="s">
        <v>5204</v>
      </c>
      <c r="BE409" s="77"/>
      <c r="BF409" s="77"/>
      <c r="BG409" s="77"/>
      <c r="BH409" s="77"/>
      <c r="BI409" s="77"/>
    </row>
    <row r="410" spans="1:61" x14ac:dyDescent="0.25">
      <c r="A410" s="62" t="s">
        <v>377</v>
      </c>
      <c r="B410" s="62" t="s">
        <v>377</v>
      </c>
      <c r="C410" s="63"/>
      <c r="D410" s="64"/>
      <c r="E410" s="65"/>
      <c r="F410" s="66"/>
      <c r="G410" s="63"/>
      <c r="H410" s="67"/>
      <c r="I410" s="68"/>
      <c r="J410" s="68"/>
      <c r="K410" s="32"/>
      <c r="L410" s="75">
        <v>410</v>
      </c>
      <c r="M410" s="75"/>
      <c r="N410" s="70"/>
      <c r="O410" s="77" t="s">
        <v>539</v>
      </c>
      <c r="P410" s="79">
        <v>45146.495069444441</v>
      </c>
      <c r="Q410" s="77" t="s">
        <v>941</v>
      </c>
      <c r="R410" s="77">
        <v>1</v>
      </c>
      <c r="S410" s="77">
        <v>0</v>
      </c>
      <c r="T410" s="77">
        <v>1</v>
      </c>
      <c r="U410" s="77">
        <v>0</v>
      </c>
      <c r="V410" s="77">
        <v>87</v>
      </c>
      <c r="W410" s="82" t="s">
        <v>1749</v>
      </c>
      <c r="X410" s="77"/>
      <c r="Y410" s="77"/>
      <c r="Z410" s="77" t="s">
        <v>377</v>
      </c>
      <c r="AA410" s="77" t="s">
        <v>2258</v>
      </c>
      <c r="AB410" s="77" t="s">
        <v>2632</v>
      </c>
      <c r="AC410" s="82" t="s">
        <v>2638</v>
      </c>
      <c r="AD410" s="77" t="s">
        <v>2670</v>
      </c>
      <c r="AE410" s="80" t="str">
        <f>HYPERLINK("https://twitter.com/workshopdantas/status/1688880965605572610")</f>
        <v>https://twitter.com/workshopdantas/status/1688880965605572610</v>
      </c>
      <c r="AF410" s="79">
        <v>45146.495069444441</v>
      </c>
      <c r="AG410" s="85">
        <v>45146</v>
      </c>
      <c r="AH410" s="82" t="s">
        <v>3049</v>
      </c>
      <c r="AI410" s="77" t="b">
        <v>0</v>
      </c>
      <c r="AJ410" s="77"/>
      <c r="AK410" s="77"/>
      <c r="AL410" s="77"/>
      <c r="AM410" s="77"/>
      <c r="AN410" s="77"/>
      <c r="AO410" s="77"/>
      <c r="AP410" s="77"/>
      <c r="AQ410" s="77" t="s">
        <v>3687</v>
      </c>
      <c r="AR410" s="77"/>
      <c r="AS410" s="77"/>
      <c r="AT410" s="77"/>
      <c r="AU410" s="77"/>
      <c r="AV410" s="80" t="str">
        <f>HYPERLINK("https://pbs.twimg.com/media/F3AcSdrXEAAZwWO.jpg")</f>
        <v>https://pbs.twimg.com/media/F3AcSdrXEAAZwWO.jpg</v>
      </c>
      <c r="AW410" s="82" t="s">
        <v>4464</v>
      </c>
      <c r="AX410" s="82" t="s">
        <v>4464</v>
      </c>
      <c r="AY410" s="77"/>
      <c r="AZ410" s="82" t="s">
        <v>5075</v>
      </c>
      <c r="BA410" s="82" t="s">
        <v>5075</v>
      </c>
      <c r="BB410" s="82" t="s">
        <v>5075</v>
      </c>
      <c r="BC410" s="82" t="s">
        <v>4464</v>
      </c>
      <c r="BD410" s="82" t="s">
        <v>5204</v>
      </c>
      <c r="BE410" s="77"/>
      <c r="BF410" s="77"/>
      <c r="BG410" s="77"/>
      <c r="BH410" s="77"/>
      <c r="BI410" s="77"/>
    </row>
    <row r="411" spans="1:61" x14ac:dyDescent="0.25">
      <c r="A411" s="62" t="s">
        <v>377</v>
      </c>
      <c r="B411" s="62" t="s">
        <v>377</v>
      </c>
      <c r="C411" s="63"/>
      <c r="D411" s="64"/>
      <c r="E411" s="65"/>
      <c r="F411" s="66"/>
      <c r="G411" s="63"/>
      <c r="H411" s="67"/>
      <c r="I411" s="68"/>
      <c r="J411" s="68"/>
      <c r="K411" s="32"/>
      <c r="L411" s="75">
        <v>411</v>
      </c>
      <c r="M411" s="75"/>
      <c r="N411" s="70"/>
      <c r="O411" s="77" t="s">
        <v>539</v>
      </c>
      <c r="P411" s="79">
        <v>45146.423935185187</v>
      </c>
      <c r="Q411" s="77" t="s">
        <v>942</v>
      </c>
      <c r="R411" s="77">
        <v>0</v>
      </c>
      <c r="S411" s="77">
        <v>1</v>
      </c>
      <c r="T411" s="77">
        <v>0</v>
      </c>
      <c r="U411" s="77">
        <v>0</v>
      </c>
      <c r="V411" s="77">
        <v>47</v>
      </c>
      <c r="W411" s="82" t="s">
        <v>1750</v>
      </c>
      <c r="X411" s="77"/>
      <c r="Y411" s="77"/>
      <c r="Z411" s="77" t="s">
        <v>377</v>
      </c>
      <c r="AA411" s="77" t="s">
        <v>2259</v>
      </c>
      <c r="AB411" s="77" t="s">
        <v>2632</v>
      </c>
      <c r="AC411" s="82" t="s">
        <v>2638</v>
      </c>
      <c r="AD411" s="77" t="s">
        <v>2670</v>
      </c>
      <c r="AE411" s="80" t="str">
        <f>HYPERLINK("https://twitter.com/workshopdantas/status/1688855184489771009")</f>
        <v>https://twitter.com/workshopdantas/status/1688855184489771009</v>
      </c>
      <c r="AF411" s="79">
        <v>45146.423935185187</v>
      </c>
      <c r="AG411" s="85">
        <v>45146</v>
      </c>
      <c r="AH411" s="82" t="s">
        <v>3050</v>
      </c>
      <c r="AI411" s="77" t="b">
        <v>0</v>
      </c>
      <c r="AJ411" s="77"/>
      <c r="AK411" s="77"/>
      <c r="AL411" s="77"/>
      <c r="AM411" s="77"/>
      <c r="AN411" s="77"/>
      <c r="AO411" s="77"/>
      <c r="AP411" s="77"/>
      <c r="AQ411" s="77" t="s">
        <v>3688</v>
      </c>
      <c r="AR411" s="77"/>
      <c r="AS411" s="77"/>
      <c r="AT411" s="77"/>
      <c r="AU411" s="77"/>
      <c r="AV411" s="80" t="str">
        <f>HYPERLINK("https://pbs.twimg.com/media/F3AE1xHXYAE8eQv.jpg")</f>
        <v>https://pbs.twimg.com/media/F3AE1xHXYAE8eQv.jpg</v>
      </c>
      <c r="AW411" s="82" t="s">
        <v>4465</v>
      </c>
      <c r="AX411" s="82" t="s">
        <v>4465</v>
      </c>
      <c r="AY411" s="77"/>
      <c r="AZ411" s="82" t="s">
        <v>5075</v>
      </c>
      <c r="BA411" s="82" t="s">
        <v>5075</v>
      </c>
      <c r="BB411" s="82" t="s">
        <v>5075</v>
      </c>
      <c r="BC411" s="82" t="s">
        <v>4465</v>
      </c>
      <c r="BD411" s="82" t="s">
        <v>5204</v>
      </c>
      <c r="BE411" s="77"/>
      <c r="BF411" s="77"/>
      <c r="BG411" s="77"/>
      <c r="BH411" s="77"/>
      <c r="BI411" s="77"/>
    </row>
    <row r="412" spans="1:61" x14ac:dyDescent="0.25">
      <c r="A412" s="62" t="s">
        <v>377</v>
      </c>
      <c r="B412" s="62" t="s">
        <v>377</v>
      </c>
      <c r="C412" s="63"/>
      <c r="D412" s="64"/>
      <c r="E412" s="65"/>
      <c r="F412" s="66"/>
      <c r="G412" s="63"/>
      <c r="H412" s="67"/>
      <c r="I412" s="68"/>
      <c r="J412" s="68"/>
      <c r="K412" s="32"/>
      <c r="L412" s="75">
        <v>412</v>
      </c>
      <c r="M412" s="75"/>
      <c r="N412" s="70"/>
      <c r="O412" s="77" t="s">
        <v>539</v>
      </c>
      <c r="P412" s="79">
        <v>45145.499143518522</v>
      </c>
      <c r="Q412" s="77" t="s">
        <v>943</v>
      </c>
      <c r="R412" s="77">
        <v>0</v>
      </c>
      <c r="S412" s="77">
        <v>1</v>
      </c>
      <c r="T412" s="77">
        <v>0</v>
      </c>
      <c r="U412" s="77">
        <v>0</v>
      </c>
      <c r="V412" s="77">
        <v>43</v>
      </c>
      <c r="W412" s="82" t="s">
        <v>1751</v>
      </c>
      <c r="X412" s="77"/>
      <c r="Y412" s="77"/>
      <c r="Z412" s="77" t="s">
        <v>377</v>
      </c>
      <c r="AA412" s="77" t="s">
        <v>2260</v>
      </c>
      <c r="AB412" s="77" t="s">
        <v>2632</v>
      </c>
      <c r="AC412" s="82" t="s">
        <v>2638</v>
      </c>
      <c r="AD412" s="77" t="s">
        <v>2670</v>
      </c>
      <c r="AE412" s="80" t="str">
        <f>HYPERLINK("https://twitter.com/workshopdantas/status/1688520053862326272")</f>
        <v>https://twitter.com/workshopdantas/status/1688520053862326272</v>
      </c>
      <c r="AF412" s="79">
        <v>45145.499143518522</v>
      </c>
      <c r="AG412" s="85">
        <v>45145</v>
      </c>
      <c r="AH412" s="82" t="s">
        <v>3051</v>
      </c>
      <c r="AI412" s="77" t="b">
        <v>0</v>
      </c>
      <c r="AJ412" s="77"/>
      <c r="AK412" s="77"/>
      <c r="AL412" s="77"/>
      <c r="AM412" s="77"/>
      <c r="AN412" s="77"/>
      <c r="AO412" s="77"/>
      <c r="AP412" s="77"/>
      <c r="AQ412" s="77" t="s">
        <v>3689</v>
      </c>
      <c r="AR412" s="77"/>
      <c r="AS412" s="77"/>
      <c r="AT412" s="77"/>
      <c r="AU412" s="77"/>
      <c r="AV412" s="80" t="str">
        <f>HYPERLINK("https://pbs.twimg.com/media/F27UCmLXsAAGT9W.jpg")</f>
        <v>https://pbs.twimg.com/media/F27UCmLXsAAGT9W.jpg</v>
      </c>
      <c r="AW412" s="82" t="s">
        <v>4466</v>
      </c>
      <c r="AX412" s="82" t="s">
        <v>4466</v>
      </c>
      <c r="AY412" s="77"/>
      <c r="AZ412" s="82" t="s">
        <v>5075</v>
      </c>
      <c r="BA412" s="82" t="s">
        <v>5075</v>
      </c>
      <c r="BB412" s="82" t="s">
        <v>5075</v>
      </c>
      <c r="BC412" s="82" t="s">
        <v>4466</v>
      </c>
      <c r="BD412" s="82" t="s">
        <v>5204</v>
      </c>
      <c r="BE412" s="77"/>
      <c r="BF412" s="77"/>
      <c r="BG412" s="77"/>
      <c r="BH412" s="77"/>
      <c r="BI412" s="77"/>
    </row>
    <row r="413" spans="1:61" x14ac:dyDescent="0.25">
      <c r="A413" s="62" t="s">
        <v>377</v>
      </c>
      <c r="B413" s="62" t="s">
        <v>377</v>
      </c>
      <c r="C413" s="63"/>
      <c r="D413" s="64"/>
      <c r="E413" s="65"/>
      <c r="F413" s="66"/>
      <c r="G413" s="63"/>
      <c r="H413" s="67"/>
      <c r="I413" s="68"/>
      <c r="J413" s="68"/>
      <c r="K413" s="32"/>
      <c r="L413" s="75">
        <v>413</v>
      </c>
      <c r="M413" s="75"/>
      <c r="N413" s="70"/>
      <c r="O413" s="77" t="s">
        <v>539</v>
      </c>
      <c r="P413" s="79">
        <v>45144.644108796296</v>
      </c>
      <c r="Q413" s="77" t="s">
        <v>944</v>
      </c>
      <c r="R413" s="77">
        <v>0</v>
      </c>
      <c r="S413" s="77">
        <v>0</v>
      </c>
      <c r="T413" s="77">
        <v>1</v>
      </c>
      <c r="U413" s="77">
        <v>0</v>
      </c>
      <c r="V413" s="77">
        <v>57</v>
      </c>
      <c r="W413" s="82" t="s">
        <v>1752</v>
      </c>
      <c r="X413" s="77"/>
      <c r="Y413" s="77"/>
      <c r="Z413" s="77" t="s">
        <v>377</v>
      </c>
      <c r="AA413" s="77" t="s">
        <v>2261</v>
      </c>
      <c r="AB413" s="77" t="s">
        <v>2632</v>
      </c>
      <c r="AC413" s="82" t="s">
        <v>2638</v>
      </c>
      <c r="AD413" s="77" t="s">
        <v>2670</v>
      </c>
      <c r="AE413" s="80" t="str">
        <f>HYPERLINK("https://twitter.com/workshopdantas/status/1688210199658602497")</f>
        <v>https://twitter.com/workshopdantas/status/1688210199658602497</v>
      </c>
      <c r="AF413" s="79">
        <v>45144.644108796296</v>
      </c>
      <c r="AG413" s="85">
        <v>45144</v>
      </c>
      <c r="AH413" s="82" t="s">
        <v>3052</v>
      </c>
      <c r="AI413" s="77" t="b">
        <v>0</v>
      </c>
      <c r="AJ413" s="77"/>
      <c r="AK413" s="77"/>
      <c r="AL413" s="77"/>
      <c r="AM413" s="77"/>
      <c r="AN413" s="77"/>
      <c r="AO413" s="77"/>
      <c r="AP413" s="77"/>
      <c r="AQ413" s="77" t="s">
        <v>3690</v>
      </c>
      <c r="AR413" s="77"/>
      <c r="AS413" s="77"/>
      <c r="AT413" s="77"/>
      <c r="AU413" s="77"/>
      <c r="AV413" s="80" t="str">
        <f>HYPERLINK("https://pbs.twimg.com/media/F226OYvWoAEWj6j.jpg")</f>
        <v>https://pbs.twimg.com/media/F226OYvWoAEWj6j.jpg</v>
      </c>
      <c r="AW413" s="82" t="s">
        <v>4467</v>
      </c>
      <c r="AX413" s="82" t="s">
        <v>4467</v>
      </c>
      <c r="AY413" s="77"/>
      <c r="AZ413" s="82" t="s">
        <v>5075</v>
      </c>
      <c r="BA413" s="82" t="s">
        <v>5075</v>
      </c>
      <c r="BB413" s="82" t="s">
        <v>5075</v>
      </c>
      <c r="BC413" s="82" t="s">
        <v>4467</v>
      </c>
      <c r="BD413" s="82" t="s">
        <v>5204</v>
      </c>
      <c r="BE413" s="77"/>
      <c r="BF413" s="77"/>
      <c r="BG413" s="77"/>
      <c r="BH413" s="77"/>
      <c r="BI413" s="77"/>
    </row>
    <row r="414" spans="1:61" x14ac:dyDescent="0.25">
      <c r="A414" s="62" t="s">
        <v>377</v>
      </c>
      <c r="B414" s="62" t="s">
        <v>377</v>
      </c>
      <c r="C414" s="63"/>
      <c r="D414" s="64"/>
      <c r="E414" s="65"/>
      <c r="F414" s="66"/>
      <c r="G414" s="63"/>
      <c r="H414" s="67"/>
      <c r="I414" s="68"/>
      <c r="J414" s="68"/>
      <c r="K414" s="32"/>
      <c r="L414" s="75">
        <v>414</v>
      </c>
      <c r="M414" s="75"/>
      <c r="N414" s="70"/>
      <c r="O414" s="77" t="s">
        <v>539</v>
      </c>
      <c r="P414" s="79">
        <v>45134.490868055553</v>
      </c>
      <c r="Q414" s="77" t="s">
        <v>945</v>
      </c>
      <c r="R414" s="77">
        <v>0</v>
      </c>
      <c r="S414" s="77">
        <v>0</v>
      </c>
      <c r="T414" s="77">
        <v>1</v>
      </c>
      <c r="U414" s="77">
        <v>0</v>
      </c>
      <c r="V414" s="77">
        <v>90</v>
      </c>
      <c r="W414" s="82" t="s">
        <v>1753</v>
      </c>
      <c r="X414" s="77"/>
      <c r="Y414" s="77"/>
      <c r="Z414" s="77" t="s">
        <v>377</v>
      </c>
      <c r="AA414" s="77" t="s">
        <v>2262</v>
      </c>
      <c r="AB414" s="77" t="s">
        <v>2632</v>
      </c>
      <c r="AC414" s="82" t="s">
        <v>2638</v>
      </c>
      <c r="AD414" s="77" t="s">
        <v>2670</v>
      </c>
      <c r="AE414" s="80" t="str">
        <f>HYPERLINK("https://twitter.com/workshopdantas/status/1684530788589600769")</f>
        <v>https://twitter.com/workshopdantas/status/1684530788589600769</v>
      </c>
      <c r="AF414" s="79">
        <v>45134.490868055553</v>
      </c>
      <c r="AG414" s="85">
        <v>45134</v>
      </c>
      <c r="AH414" s="82" t="s">
        <v>3053</v>
      </c>
      <c r="AI414" s="77" t="b">
        <v>0</v>
      </c>
      <c r="AJ414" s="77"/>
      <c r="AK414" s="77"/>
      <c r="AL414" s="77"/>
      <c r="AM414" s="77"/>
      <c r="AN414" s="77"/>
      <c r="AO414" s="77"/>
      <c r="AP414" s="77"/>
      <c r="AQ414" s="77" t="s">
        <v>3691</v>
      </c>
      <c r="AR414" s="77"/>
      <c r="AS414" s="77"/>
      <c r="AT414" s="77"/>
      <c r="AU414" s="77"/>
      <c r="AV414" s="80" t="str">
        <f>HYPERLINK("https://pbs.twimg.com/media/F2Cn0h_WIAAxorE.jpg")</f>
        <v>https://pbs.twimg.com/media/F2Cn0h_WIAAxorE.jpg</v>
      </c>
      <c r="AW414" s="82" t="s">
        <v>4468</v>
      </c>
      <c r="AX414" s="82" t="s">
        <v>4468</v>
      </c>
      <c r="AY414" s="77"/>
      <c r="AZ414" s="82" t="s">
        <v>5075</v>
      </c>
      <c r="BA414" s="82" t="s">
        <v>5075</v>
      </c>
      <c r="BB414" s="82" t="s">
        <v>5075</v>
      </c>
      <c r="BC414" s="82" t="s">
        <v>4468</v>
      </c>
      <c r="BD414" s="82" t="s">
        <v>5204</v>
      </c>
      <c r="BE414" s="77"/>
      <c r="BF414" s="77"/>
      <c r="BG414" s="77"/>
      <c r="BH414" s="77"/>
      <c r="BI414" s="77"/>
    </row>
    <row r="415" spans="1:61" x14ac:dyDescent="0.25">
      <c r="A415" s="62" t="s">
        <v>377</v>
      </c>
      <c r="B415" s="62" t="s">
        <v>377</v>
      </c>
      <c r="C415" s="63"/>
      <c r="D415" s="64"/>
      <c r="E415" s="65"/>
      <c r="F415" s="66"/>
      <c r="G415" s="63"/>
      <c r="H415" s="67"/>
      <c r="I415" s="68"/>
      <c r="J415" s="68"/>
      <c r="K415" s="32"/>
      <c r="L415" s="75">
        <v>415</v>
      </c>
      <c r="M415" s="75"/>
      <c r="N415" s="70"/>
      <c r="O415" s="77" t="s">
        <v>539</v>
      </c>
      <c r="P415" s="79">
        <v>45133.740057870367</v>
      </c>
      <c r="Q415" s="77" t="s">
        <v>946</v>
      </c>
      <c r="R415" s="77">
        <v>0</v>
      </c>
      <c r="S415" s="77">
        <v>1</v>
      </c>
      <c r="T415" s="77">
        <v>0</v>
      </c>
      <c r="U415" s="77">
        <v>0</v>
      </c>
      <c r="V415" s="77">
        <v>110</v>
      </c>
      <c r="W415" s="82" t="s">
        <v>1754</v>
      </c>
      <c r="X415" s="77"/>
      <c r="Y415" s="77"/>
      <c r="Z415" s="77" t="s">
        <v>377</v>
      </c>
      <c r="AA415" s="77" t="s">
        <v>2263</v>
      </c>
      <c r="AB415" s="77" t="s">
        <v>2632</v>
      </c>
      <c r="AC415" s="82" t="s">
        <v>2638</v>
      </c>
      <c r="AD415" s="77" t="s">
        <v>2670</v>
      </c>
      <c r="AE415" s="80" t="str">
        <f>HYPERLINK("https://twitter.com/workshopdantas/status/1684258703216611328")</f>
        <v>https://twitter.com/workshopdantas/status/1684258703216611328</v>
      </c>
      <c r="AF415" s="79">
        <v>45133.740057870367</v>
      </c>
      <c r="AG415" s="85">
        <v>45133</v>
      </c>
      <c r="AH415" s="82" t="s">
        <v>3054</v>
      </c>
      <c r="AI415" s="77" t="b">
        <v>0</v>
      </c>
      <c r="AJ415" s="77"/>
      <c r="AK415" s="77"/>
      <c r="AL415" s="77"/>
      <c r="AM415" s="77"/>
      <c r="AN415" s="77"/>
      <c r="AO415" s="77"/>
      <c r="AP415" s="77"/>
      <c r="AQ415" s="77" t="s">
        <v>3692</v>
      </c>
      <c r="AR415" s="77"/>
      <c r="AS415" s="77"/>
      <c r="AT415" s="77"/>
      <c r="AU415" s="77"/>
      <c r="AV415" s="80" t="str">
        <f>HYPERLINK("https://pbs.twimg.com/media/F1-wXV2XoAUNk18.jpg")</f>
        <v>https://pbs.twimg.com/media/F1-wXV2XoAUNk18.jpg</v>
      </c>
      <c r="AW415" s="82" t="s">
        <v>4469</v>
      </c>
      <c r="AX415" s="82" t="s">
        <v>4469</v>
      </c>
      <c r="AY415" s="77"/>
      <c r="AZ415" s="82" t="s">
        <v>5075</v>
      </c>
      <c r="BA415" s="82" t="s">
        <v>5075</v>
      </c>
      <c r="BB415" s="82" t="s">
        <v>5075</v>
      </c>
      <c r="BC415" s="82" t="s">
        <v>4469</v>
      </c>
      <c r="BD415" s="82" t="s">
        <v>5204</v>
      </c>
      <c r="BE415" s="77"/>
      <c r="BF415" s="77"/>
      <c r="BG415" s="77"/>
      <c r="BH415" s="77"/>
      <c r="BI415" s="77"/>
    </row>
    <row r="416" spans="1:61" x14ac:dyDescent="0.25">
      <c r="A416" s="62" t="s">
        <v>377</v>
      </c>
      <c r="B416" s="62" t="s">
        <v>377</v>
      </c>
      <c r="C416" s="63"/>
      <c r="D416" s="64"/>
      <c r="E416" s="65"/>
      <c r="F416" s="66"/>
      <c r="G416" s="63"/>
      <c r="H416" s="67"/>
      <c r="I416" s="68"/>
      <c r="J416" s="68"/>
      <c r="K416" s="32"/>
      <c r="L416" s="75">
        <v>416</v>
      </c>
      <c r="M416" s="75"/>
      <c r="N416" s="70"/>
      <c r="O416" s="77" t="s">
        <v>539</v>
      </c>
      <c r="P416" s="79">
        <v>45132.958472222221</v>
      </c>
      <c r="Q416" s="77" t="s">
        <v>947</v>
      </c>
      <c r="R416" s="77">
        <v>0</v>
      </c>
      <c r="S416" s="77">
        <v>1</v>
      </c>
      <c r="T416" s="77">
        <v>0</v>
      </c>
      <c r="U416" s="77">
        <v>0</v>
      </c>
      <c r="V416" s="77">
        <v>106</v>
      </c>
      <c r="W416" s="82" t="s">
        <v>1755</v>
      </c>
      <c r="X416" s="77"/>
      <c r="Y416" s="77"/>
      <c r="Z416" s="77" t="s">
        <v>377</v>
      </c>
      <c r="AA416" s="77" t="s">
        <v>2264</v>
      </c>
      <c r="AB416" s="77" t="s">
        <v>2632</v>
      </c>
      <c r="AC416" s="82" t="s">
        <v>2638</v>
      </c>
      <c r="AD416" s="77" t="s">
        <v>2670</v>
      </c>
      <c r="AE416" s="80" t="str">
        <f>HYPERLINK("https://twitter.com/workshopdantas/status/1683975467299217410")</f>
        <v>https://twitter.com/workshopdantas/status/1683975467299217410</v>
      </c>
      <c r="AF416" s="79">
        <v>45132.958472222221</v>
      </c>
      <c r="AG416" s="85">
        <v>45132</v>
      </c>
      <c r="AH416" s="82" t="s">
        <v>3055</v>
      </c>
      <c r="AI416" s="77" t="b">
        <v>0</v>
      </c>
      <c r="AJ416" s="77"/>
      <c r="AK416" s="77"/>
      <c r="AL416" s="77"/>
      <c r="AM416" s="77"/>
      <c r="AN416" s="77"/>
      <c r="AO416" s="77"/>
      <c r="AP416" s="77"/>
      <c r="AQ416" s="77" t="s">
        <v>3693</v>
      </c>
      <c r="AR416" s="77"/>
      <c r="AS416" s="77"/>
      <c r="AT416" s="77"/>
      <c r="AU416" s="77"/>
      <c r="AV416" s="80" t="str">
        <f>HYPERLINK("https://pbs.twimg.com/media/F16uwbPWAAA4hfA.jpg")</f>
        <v>https://pbs.twimg.com/media/F16uwbPWAAA4hfA.jpg</v>
      </c>
      <c r="AW416" s="82" t="s">
        <v>4470</v>
      </c>
      <c r="AX416" s="82" t="s">
        <v>4470</v>
      </c>
      <c r="AY416" s="77"/>
      <c r="AZ416" s="82" t="s">
        <v>5075</v>
      </c>
      <c r="BA416" s="82" t="s">
        <v>5075</v>
      </c>
      <c r="BB416" s="82" t="s">
        <v>5075</v>
      </c>
      <c r="BC416" s="82" t="s">
        <v>4470</v>
      </c>
      <c r="BD416" s="82" t="s">
        <v>5204</v>
      </c>
      <c r="BE416" s="77"/>
      <c r="BF416" s="77"/>
      <c r="BG416" s="77"/>
      <c r="BH416" s="77"/>
      <c r="BI416" s="77"/>
    </row>
    <row r="417" spans="1:61" x14ac:dyDescent="0.25">
      <c r="A417" s="62" t="s">
        <v>377</v>
      </c>
      <c r="B417" s="62" t="s">
        <v>377</v>
      </c>
      <c r="C417" s="63"/>
      <c r="D417" s="64"/>
      <c r="E417" s="65"/>
      <c r="F417" s="66"/>
      <c r="G417" s="63"/>
      <c r="H417" s="67"/>
      <c r="I417" s="68"/>
      <c r="J417" s="68"/>
      <c r="K417" s="32"/>
      <c r="L417" s="75">
        <v>417</v>
      </c>
      <c r="M417" s="75"/>
      <c r="N417" s="70"/>
      <c r="O417" s="77" t="s">
        <v>539</v>
      </c>
      <c r="P417" s="79">
        <v>45132.576354166667</v>
      </c>
      <c r="Q417" s="77" t="s">
        <v>948</v>
      </c>
      <c r="R417" s="77">
        <v>0</v>
      </c>
      <c r="S417" s="77">
        <v>1</v>
      </c>
      <c r="T417" s="77">
        <v>0</v>
      </c>
      <c r="U417" s="77">
        <v>0</v>
      </c>
      <c r="V417" s="77">
        <v>54</v>
      </c>
      <c r="W417" s="82" t="s">
        <v>1756</v>
      </c>
      <c r="X417" s="77"/>
      <c r="Y417" s="77"/>
      <c r="Z417" s="77" t="s">
        <v>377</v>
      </c>
      <c r="AA417" s="77" t="s">
        <v>2265</v>
      </c>
      <c r="AB417" s="77" t="s">
        <v>2632</v>
      </c>
      <c r="AC417" s="82" t="s">
        <v>2638</v>
      </c>
      <c r="AD417" s="77" t="s">
        <v>2670</v>
      </c>
      <c r="AE417" s="80" t="str">
        <f>HYPERLINK("https://twitter.com/workshopdantas/status/1683836991111307266")</f>
        <v>https://twitter.com/workshopdantas/status/1683836991111307266</v>
      </c>
      <c r="AF417" s="79">
        <v>45132.576354166667</v>
      </c>
      <c r="AG417" s="85">
        <v>45132</v>
      </c>
      <c r="AH417" s="82" t="s">
        <v>3056</v>
      </c>
      <c r="AI417" s="77" t="b">
        <v>0</v>
      </c>
      <c r="AJ417" s="77"/>
      <c r="AK417" s="77"/>
      <c r="AL417" s="77"/>
      <c r="AM417" s="77"/>
      <c r="AN417" s="77"/>
      <c r="AO417" s="77"/>
      <c r="AP417" s="77"/>
      <c r="AQ417" s="77" t="s">
        <v>3694</v>
      </c>
      <c r="AR417" s="77"/>
      <c r="AS417" s="77"/>
      <c r="AT417" s="77"/>
      <c r="AU417" s="77"/>
      <c r="AV417" s="80" t="str">
        <f>HYPERLINK("https://pbs.twimg.com/media/F14w0dgaMAANj2-.jpg")</f>
        <v>https://pbs.twimg.com/media/F14w0dgaMAANj2-.jpg</v>
      </c>
      <c r="AW417" s="82" t="s">
        <v>4471</v>
      </c>
      <c r="AX417" s="82" t="s">
        <v>4471</v>
      </c>
      <c r="AY417" s="77"/>
      <c r="AZ417" s="82" t="s">
        <v>5075</v>
      </c>
      <c r="BA417" s="82" t="s">
        <v>5075</v>
      </c>
      <c r="BB417" s="82" t="s">
        <v>5075</v>
      </c>
      <c r="BC417" s="82" t="s">
        <v>4471</v>
      </c>
      <c r="BD417" s="82" t="s">
        <v>5204</v>
      </c>
      <c r="BE417" s="77"/>
      <c r="BF417" s="77"/>
      <c r="BG417" s="77"/>
      <c r="BH417" s="77"/>
      <c r="BI417" s="77"/>
    </row>
    <row r="418" spans="1:61" x14ac:dyDescent="0.25">
      <c r="A418" s="62" t="s">
        <v>377</v>
      </c>
      <c r="B418" s="62" t="s">
        <v>377</v>
      </c>
      <c r="C418" s="63"/>
      <c r="D418" s="64"/>
      <c r="E418" s="65"/>
      <c r="F418" s="66"/>
      <c r="G418" s="63"/>
      <c r="H418" s="67"/>
      <c r="I418" s="68"/>
      <c r="J418" s="68"/>
      <c r="K418" s="32"/>
      <c r="L418" s="75">
        <v>418</v>
      </c>
      <c r="M418" s="75"/>
      <c r="N418" s="70"/>
      <c r="O418" s="77" t="s">
        <v>539</v>
      </c>
      <c r="P418" s="79">
        <v>45132.024594907409</v>
      </c>
      <c r="Q418" s="77" t="s">
        <v>949</v>
      </c>
      <c r="R418" s="77">
        <v>0</v>
      </c>
      <c r="S418" s="77">
        <v>0</v>
      </c>
      <c r="T418" s="77">
        <v>0</v>
      </c>
      <c r="U418" s="77">
        <v>0</v>
      </c>
      <c r="V418" s="77">
        <v>48</v>
      </c>
      <c r="W418" s="82" t="s">
        <v>1757</v>
      </c>
      <c r="X418" s="77"/>
      <c r="Y418" s="77"/>
      <c r="Z418" s="77" t="s">
        <v>377</v>
      </c>
      <c r="AA418" s="77" t="s">
        <v>2266</v>
      </c>
      <c r="AB418" s="77" t="s">
        <v>2632</v>
      </c>
      <c r="AC418" s="82" t="s">
        <v>2638</v>
      </c>
      <c r="AD418" s="77" t="s">
        <v>2670</v>
      </c>
      <c r="AE418" s="80" t="str">
        <f>HYPERLINK("https://twitter.com/workshopdantas/status/1683637039810457603")</f>
        <v>https://twitter.com/workshopdantas/status/1683637039810457603</v>
      </c>
      <c r="AF418" s="79">
        <v>45132.024594907409</v>
      </c>
      <c r="AG418" s="85">
        <v>45132</v>
      </c>
      <c r="AH418" s="82" t="s">
        <v>3057</v>
      </c>
      <c r="AI418" s="77" t="b">
        <v>0</v>
      </c>
      <c r="AJ418" s="77"/>
      <c r="AK418" s="77"/>
      <c r="AL418" s="77"/>
      <c r="AM418" s="77"/>
      <c r="AN418" s="77"/>
      <c r="AO418" s="77"/>
      <c r="AP418" s="77"/>
      <c r="AQ418" s="77" t="s">
        <v>3695</v>
      </c>
      <c r="AR418" s="77"/>
      <c r="AS418" s="77"/>
      <c r="AT418" s="77"/>
      <c r="AU418" s="77"/>
      <c r="AV418" s="80" t="str">
        <f>HYPERLINK("https://pbs.twimg.com/media/F1169YDXgAAyuwc.jpg")</f>
        <v>https://pbs.twimg.com/media/F1169YDXgAAyuwc.jpg</v>
      </c>
      <c r="AW418" s="82" t="s">
        <v>4472</v>
      </c>
      <c r="AX418" s="82" t="s">
        <v>4472</v>
      </c>
      <c r="AY418" s="77"/>
      <c r="AZ418" s="82" t="s">
        <v>5075</v>
      </c>
      <c r="BA418" s="82" t="s">
        <v>5075</v>
      </c>
      <c r="BB418" s="82" t="s">
        <v>5075</v>
      </c>
      <c r="BC418" s="82" t="s">
        <v>4472</v>
      </c>
      <c r="BD418" s="82" t="s">
        <v>5204</v>
      </c>
      <c r="BE418" s="77"/>
      <c r="BF418" s="77"/>
      <c r="BG418" s="77"/>
      <c r="BH418" s="77"/>
      <c r="BI418" s="77"/>
    </row>
    <row r="419" spans="1:61" x14ac:dyDescent="0.25">
      <c r="A419" s="62" t="s">
        <v>377</v>
      </c>
      <c r="B419" s="62" t="s">
        <v>377</v>
      </c>
      <c r="C419" s="63"/>
      <c r="D419" s="64"/>
      <c r="E419" s="65"/>
      <c r="F419" s="66"/>
      <c r="G419" s="63"/>
      <c r="H419" s="67"/>
      <c r="I419" s="68"/>
      <c r="J419" s="68"/>
      <c r="K419" s="32"/>
      <c r="L419" s="75">
        <v>419</v>
      </c>
      <c r="M419" s="75"/>
      <c r="N419" s="70"/>
      <c r="O419" s="77" t="s">
        <v>539</v>
      </c>
      <c r="P419" s="79">
        <v>45121.408101851855</v>
      </c>
      <c r="Q419" s="77" t="s">
        <v>950</v>
      </c>
      <c r="R419" s="77">
        <v>1</v>
      </c>
      <c r="S419" s="77">
        <v>3</v>
      </c>
      <c r="T419" s="77">
        <v>1</v>
      </c>
      <c r="U419" s="77">
        <v>1</v>
      </c>
      <c r="V419" s="77">
        <v>289</v>
      </c>
      <c r="W419" s="82" t="s">
        <v>1758</v>
      </c>
      <c r="X419" s="77"/>
      <c r="Y419" s="77"/>
      <c r="Z419" s="77" t="s">
        <v>377</v>
      </c>
      <c r="AA419" s="77" t="s">
        <v>2267</v>
      </c>
      <c r="AB419" s="77" t="s">
        <v>2632</v>
      </c>
      <c r="AC419" s="82" t="s">
        <v>2638</v>
      </c>
      <c r="AD419" s="77" t="s">
        <v>2670</v>
      </c>
      <c r="AE419" s="80" t="str">
        <f>HYPERLINK("https://twitter.com/workshopdantas/status/1679789753762193410")</f>
        <v>https://twitter.com/workshopdantas/status/1679789753762193410</v>
      </c>
      <c r="AF419" s="79">
        <v>45121.408101851855</v>
      </c>
      <c r="AG419" s="85">
        <v>45121</v>
      </c>
      <c r="AH419" s="82" t="s">
        <v>3058</v>
      </c>
      <c r="AI419" s="77" t="b">
        <v>0</v>
      </c>
      <c r="AJ419" s="77"/>
      <c r="AK419" s="77"/>
      <c r="AL419" s="77"/>
      <c r="AM419" s="77"/>
      <c r="AN419" s="77"/>
      <c r="AO419" s="77"/>
      <c r="AP419" s="77"/>
      <c r="AQ419" s="77" t="s">
        <v>3696</v>
      </c>
      <c r="AR419" s="77"/>
      <c r="AS419" s="77"/>
      <c r="AT419" s="77"/>
      <c r="AU419" s="77"/>
      <c r="AV419" s="80" t="str">
        <f>HYPERLINK("https://pbs.twimg.com/media/F0_P4OVXsAQbkoE.jpg")</f>
        <v>https://pbs.twimg.com/media/F0_P4OVXsAQbkoE.jpg</v>
      </c>
      <c r="AW419" s="82" t="s">
        <v>4473</v>
      </c>
      <c r="AX419" s="82" t="s">
        <v>4473</v>
      </c>
      <c r="AY419" s="77"/>
      <c r="AZ419" s="82" t="s">
        <v>5075</v>
      </c>
      <c r="BA419" s="82" t="s">
        <v>5075</v>
      </c>
      <c r="BB419" s="82" t="s">
        <v>5075</v>
      </c>
      <c r="BC419" s="82" t="s">
        <v>4473</v>
      </c>
      <c r="BD419" s="82" t="s">
        <v>5204</v>
      </c>
      <c r="BE419" s="77"/>
      <c r="BF419" s="77"/>
      <c r="BG419" s="77"/>
      <c r="BH419" s="77"/>
      <c r="BI419" s="77"/>
    </row>
    <row r="420" spans="1:61" x14ac:dyDescent="0.25">
      <c r="A420" s="62" t="s">
        <v>377</v>
      </c>
      <c r="B420" s="62" t="s">
        <v>377</v>
      </c>
      <c r="C420" s="63"/>
      <c r="D420" s="64"/>
      <c r="E420" s="65"/>
      <c r="F420" s="66"/>
      <c r="G420" s="63"/>
      <c r="H420" s="67"/>
      <c r="I420" s="68"/>
      <c r="J420" s="68"/>
      <c r="K420" s="32"/>
      <c r="L420" s="75">
        <v>420</v>
      </c>
      <c r="M420" s="75"/>
      <c r="N420" s="70"/>
      <c r="O420" s="77" t="s">
        <v>539</v>
      </c>
      <c r="P420" s="79">
        <v>45110.439976851849</v>
      </c>
      <c r="Q420" s="77" t="s">
        <v>951</v>
      </c>
      <c r="R420" s="77">
        <v>0</v>
      </c>
      <c r="S420" s="77">
        <v>1</v>
      </c>
      <c r="T420" s="77">
        <v>0</v>
      </c>
      <c r="U420" s="77">
        <v>0</v>
      </c>
      <c r="V420" s="77">
        <v>63</v>
      </c>
      <c r="W420" s="82" t="s">
        <v>1759</v>
      </c>
      <c r="X420" s="77"/>
      <c r="Y420" s="77"/>
      <c r="Z420" s="77" t="s">
        <v>377</v>
      </c>
      <c r="AA420" s="77" t="s">
        <v>2268</v>
      </c>
      <c r="AB420" s="77" t="s">
        <v>2632</v>
      </c>
      <c r="AC420" s="82" t="s">
        <v>2638</v>
      </c>
      <c r="AD420" s="77" t="s">
        <v>2670</v>
      </c>
      <c r="AE420" s="80" t="str">
        <f>HYPERLINK("https://twitter.com/workshopdantas/status/1675815035933786113")</f>
        <v>https://twitter.com/workshopdantas/status/1675815035933786113</v>
      </c>
      <c r="AF420" s="79">
        <v>45110.439976851849</v>
      </c>
      <c r="AG420" s="85">
        <v>45110</v>
      </c>
      <c r="AH420" s="82" t="s">
        <v>3059</v>
      </c>
      <c r="AI420" s="77" t="b">
        <v>0</v>
      </c>
      <c r="AJ420" s="77"/>
      <c r="AK420" s="77"/>
      <c r="AL420" s="77"/>
      <c r="AM420" s="77"/>
      <c r="AN420" s="77"/>
      <c r="AO420" s="77"/>
      <c r="AP420" s="77"/>
      <c r="AQ420" s="77" t="s">
        <v>3697</v>
      </c>
      <c r="AR420" s="77"/>
      <c r="AS420" s="77"/>
      <c r="AT420" s="77"/>
      <c r="AU420" s="77"/>
      <c r="AV420" s="80" t="str">
        <f>HYPERLINK("https://pbs.twimg.com/media/F0Gw5NjX0AAk8vG.jpg")</f>
        <v>https://pbs.twimg.com/media/F0Gw5NjX0AAk8vG.jpg</v>
      </c>
      <c r="AW420" s="82" t="s">
        <v>4474</v>
      </c>
      <c r="AX420" s="82" t="s">
        <v>4474</v>
      </c>
      <c r="AY420" s="77"/>
      <c r="AZ420" s="82" t="s">
        <v>5075</v>
      </c>
      <c r="BA420" s="82" t="s">
        <v>5075</v>
      </c>
      <c r="BB420" s="82" t="s">
        <v>5075</v>
      </c>
      <c r="BC420" s="82" t="s">
        <v>4474</v>
      </c>
      <c r="BD420" s="82" t="s">
        <v>5204</v>
      </c>
      <c r="BE420" s="77"/>
      <c r="BF420" s="77"/>
      <c r="BG420" s="77"/>
      <c r="BH420" s="77"/>
      <c r="BI420" s="77"/>
    </row>
    <row r="421" spans="1:61" x14ac:dyDescent="0.25">
      <c r="A421" s="62" t="s">
        <v>377</v>
      </c>
      <c r="B421" s="62" t="s">
        <v>377</v>
      </c>
      <c r="C421" s="63"/>
      <c r="D421" s="64"/>
      <c r="E421" s="65"/>
      <c r="F421" s="66"/>
      <c r="G421" s="63"/>
      <c r="H421" s="67"/>
      <c r="I421" s="68"/>
      <c r="J421" s="68"/>
      <c r="K421" s="32"/>
      <c r="L421" s="75">
        <v>421</v>
      </c>
      <c r="M421" s="75"/>
      <c r="N421" s="70"/>
      <c r="O421" s="77" t="s">
        <v>539</v>
      </c>
      <c r="P421" s="79">
        <v>45095.434756944444</v>
      </c>
      <c r="Q421" s="77" t="s">
        <v>952</v>
      </c>
      <c r="R421" s="77">
        <v>0</v>
      </c>
      <c r="S421" s="77">
        <v>0</v>
      </c>
      <c r="T421" s="77">
        <v>0</v>
      </c>
      <c r="U421" s="77">
        <v>0</v>
      </c>
      <c r="V421" s="77">
        <v>48</v>
      </c>
      <c r="W421" s="82" t="s">
        <v>1760</v>
      </c>
      <c r="X421" s="77"/>
      <c r="Y421" s="77"/>
      <c r="Z421" s="77" t="s">
        <v>377</v>
      </c>
      <c r="AA421" s="77" t="s">
        <v>2269</v>
      </c>
      <c r="AB421" s="77" t="s">
        <v>2632</v>
      </c>
      <c r="AC421" s="82" t="s">
        <v>2638</v>
      </c>
      <c r="AD421" s="77" t="s">
        <v>2670</v>
      </c>
      <c r="AE421" s="80" t="str">
        <f>HYPERLINK("https://twitter.com/workshopdantas/status/1670377326977388546")</f>
        <v>https://twitter.com/workshopdantas/status/1670377326977388546</v>
      </c>
      <c r="AF421" s="79">
        <v>45095.434756944444</v>
      </c>
      <c r="AG421" s="85">
        <v>45095</v>
      </c>
      <c r="AH421" s="82" t="s">
        <v>3060</v>
      </c>
      <c r="AI421" s="77" t="b">
        <v>0</v>
      </c>
      <c r="AJ421" s="77"/>
      <c r="AK421" s="77"/>
      <c r="AL421" s="77"/>
      <c r="AM421" s="77"/>
      <c r="AN421" s="77"/>
      <c r="AO421" s="77"/>
      <c r="AP421" s="77"/>
      <c r="AQ421" s="77" t="s">
        <v>3698</v>
      </c>
      <c r="AR421" s="77"/>
      <c r="AS421" s="77"/>
      <c r="AT421" s="77"/>
      <c r="AU421" s="77"/>
      <c r="AV421" s="80" t="str">
        <f>HYPERLINK("https://pbs.twimg.com/media/Fy5fU4nXwAIEtjP.jpg")</f>
        <v>https://pbs.twimg.com/media/Fy5fU4nXwAIEtjP.jpg</v>
      </c>
      <c r="AW421" s="82" t="s">
        <v>4475</v>
      </c>
      <c r="AX421" s="82" t="s">
        <v>4475</v>
      </c>
      <c r="AY421" s="77"/>
      <c r="AZ421" s="82" t="s">
        <v>5075</v>
      </c>
      <c r="BA421" s="82" t="s">
        <v>5075</v>
      </c>
      <c r="BB421" s="82" t="s">
        <v>5075</v>
      </c>
      <c r="BC421" s="82" t="s">
        <v>4475</v>
      </c>
      <c r="BD421" s="82" t="s">
        <v>5204</v>
      </c>
      <c r="BE421" s="77"/>
      <c r="BF421" s="77"/>
      <c r="BG421" s="77"/>
      <c r="BH421" s="77"/>
      <c r="BI421" s="77"/>
    </row>
    <row r="422" spans="1:61" x14ac:dyDescent="0.25">
      <c r="A422" s="62" t="s">
        <v>377</v>
      </c>
      <c r="B422" s="62" t="s">
        <v>377</v>
      </c>
      <c r="C422" s="63"/>
      <c r="D422" s="64"/>
      <c r="E422" s="65"/>
      <c r="F422" s="66"/>
      <c r="G422" s="63"/>
      <c r="H422" s="67"/>
      <c r="I422" s="68"/>
      <c r="J422" s="68"/>
      <c r="K422" s="32"/>
      <c r="L422" s="75">
        <v>422</v>
      </c>
      <c r="M422" s="75"/>
      <c r="N422" s="70"/>
      <c r="O422" s="77" t="s">
        <v>539</v>
      </c>
      <c r="P422" s="79">
        <v>45094.748749999999</v>
      </c>
      <c r="Q422" s="77" t="s">
        <v>953</v>
      </c>
      <c r="R422" s="77">
        <v>0</v>
      </c>
      <c r="S422" s="77">
        <v>0</v>
      </c>
      <c r="T422" s="77">
        <v>0</v>
      </c>
      <c r="U422" s="77">
        <v>0</v>
      </c>
      <c r="V422" s="77">
        <v>55</v>
      </c>
      <c r="W422" s="82" t="s">
        <v>1761</v>
      </c>
      <c r="X422" s="77"/>
      <c r="Y422" s="77"/>
      <c r="Z422" s="77" t="s">
        <v>377</v>
      </c>
      <c r="AA422" s="77" t="s">
        <v>2270</v>
      </c>
      <c r="AB422" s="77" t="s">
        <v>2632</v>
      </c>
      <c r="AC422" s="82" t="s">
        <v>2638</v>
      </c>
      <c r="AD422" s="77" t="s">
        <v>2670</v>
      </c>
      <c r="AE422" s="80" t="str">
        <f>HYPERLINK("https://twitter.com/workshopdantas/status/1670128727974346754")</f>
        <v>https://twitter.com/workshopdantas/status/1670128727974346754</v>
      </c>
      <c r="AF422" s="79">
        <v>45094.748749999999</v>
      </c>
      <c r="AG422" s="85">
        <v>45094</v>
      </c>
      <c r="AH422" s="82" t="s">
        <v>3061</v>
      </c>
      <c r="AI422" s="77" t="b">
        <v>0</v>
      </c>
      <c r="AJ422" s="77"/>
      <c r="AK422" s="77"/>
      <c r="AL422" s="77"/>
      <c r="AM422" s="77"/>
      <c r="AN422" s="77"/>
      <c r="AO422" s="77"/>
      <c r="AP422" s="77"/>
      <c r="AQ422" s="77" t="s">
        <v>3699</v>
      </c>
      <c r="AR422" s="77"/>
      <c r="AS422" s="77"/>
      <c r="AT422" s="77"/>
      <c r="AU422" s="77"/>
      <c r="AV422" s="80" t="str">
        <f>HYPERLINK("https://pbs.twimg.com/media/Fy19Oh0XwAEUNxz.jpg")</f>
        <v>https://pbs.twimg.com/media/Fy19Oh0XwAEUNxz.jpg</v>
      </c>
      <c r="AW422" s="82" t="s">
        <v>4476</v>
      </c>
      <c r="AX422" s="82" t="s">
        <v>4476</v>
      </c>
      <c r="AY422" s="77"/>
      <c r="AZ422" s="82" t="s">
        <v>5075</v>
      </c>
      <c r="BA422" s="82" t="s">
        <v>5075</v>
      </c>
      <c r="BB422" s="82" t="s">
        <v>5075</v>
      </c>
      <c r="BC422" s="82" t="s">
        <v>4476</v>
      </c>
      <c r="BD422" s="82" t="s">
        <v>5204</v>
      </c>
      <c r="BE422" s="77"/>
      <c r="BF422" s="77"/>
      <c r="BG422" s="77"/>
      <c r="BH422" s="77"/>
      <c r="BI422" s="77"/>
    </row>
    <row r="423" spans="1:61" x14ac:dyDescent="0.25">
      <c r="A423" s="62" t="s">
        <v>377</v>
      </c>
      <c r="B423" s="62" t="s">
        <v>377</v>
      </c>
      <c r="C423" s="63"/>
      <c r="D423" s="64"/>
      <c r="E423" s="65"/>
      <c r="F423" s="66"/>
      <c r="G423" s="63"/>
      <c r="H423" s="67"/>
      <c r="I423" s="68"/>
      <c r="J423" s="68"/>
      <c r="K423" s="32"/>
      <c r="L423" s="75">
        <v>423</v>
      </c>
      <c r="M423" s="75"/>
      <c r="N423" s="70"/>
      <c r="O423" s="77" t="s">
        <v>539</v>
      </c>
      <c r="P423" s="79">
        <v>45180.637766203705</v>
      </c>
      <c r="Q423" s="77" t="s">
        <v>954</v>
      </c>
      <c r="R423" s="77">
        <v>0</v>
      </c>
      <c r="S423" s="77">
        <v>0</v>
      </c>
      <c r="T423" s="77">
        <v>0</v>
      </c>
      <c r="U423" s="77">
        <v>0</v>
      </c>
      <c r="V423" s="77">
        <v>77</v>
      </c>
      <c r="W423" s="82" t="s">
        <v>1762</v>
      </c>
      <c r="X423" s="77"/>
      <c r="Y423" s="77"/>
      <c r="Z423" s="77" t="s">
        <v>377</v>
      </c>
      <c r="AA423" s="77" t="s">
        <v>2271</v>
      </c>
      <c r="AB423" s="77" t="s">
        <v>2632</v>
      </c>
      <c r="AC423" s="82" t="s">
        <v>2638</v>
      </c>
      <c r="AD423" s="77" t="s">
        <v>2670</v>
      </c>
      <c r="AE423" s="80" t="str">
        <f>HYPERLINK("https://twitter.com/workshopdantas/status/1701253862164681160")</f>
        <v>https://twitter.com/workshopdantas/status/1701253862164681160</v>
      </c>
      <c r="AF423" s="79">
        <v>45180.637766203705</v>
      </c>
      <c r="AG423" s="85">
        <v>45180</v>
      </c>
      <c r="AH423" s="82" t="s">
        <v>3062</v>
      </c>
      <c r="AI423" s="77" t="b">
        <v>0</v>
      </c>
      <c r="AJ423" s="77"/>
      <c r="AK423" s="77"/>
      <c r="AL423" s="77"/>
      <c r="AM423" s="77"/>
      <c r="AN423" s="77"/>
      <c r="AO423" s="77"/>
      <c r="AP423" s="77"/>
      <c r="AQ423" s="77" t="s">
        <v>3700</v>
      </c>
      <c r="AR423" s="77"/>
      <c r="AS423" s="77"/>
      <c r="AT423" s="77"/>
      <c r="AU423" s="77"/>
      <c r="AV423" s="80" t="str">
        <f>HYPERLINK("https://pbs.twimg.com/media/F5wRX0UWUAAzjhO.jpg")</f>
        <v>https://pbs.twimg.com/media/F5wRX0UWUAAzjhO.jpg</v>
      </c>
      <c r="AW423" s="82" t="s">
        <v>4477</v>
      </c>
      <c r="AX423" s="82" t="s">
        <v>4477</v>
      </c>
      <c r="AY423" s="77"/>
      <c r="AZ423" s="82" t="s">
        <v>5075</v>
      </c>
      <c r="BA423" s="82" t="s">
        <v>5075</v>
      </c>
      <c r="BB423" s="82" t="s">
        <v>5075</v>
      </c>
      <c r="BC423" s="82" t="s">
        <v>4477</v>
      </c>
      <c r="BD423" s="82" t="s">
        <v>5204</v>
      </c>
      <c r="BE423" s="77"/>
      <c r="BF423" s="77"/>
      <c r="BG423" s="77"/>
      <c r="BH423" s="77"/>
      <c r="BI423" s="77"/>
    </row>
    <row r="424" spans="1:61" x14ac:dyDescent="0.25">
      <c r="A424" s="62" t="s">
        <v>377</v>
      </c>
      <c r="B424" s="62" t="s">
        <v>377</v>
      </c>
      <c r="C424" s="63"/>
      <c r="D424" s="64"/>
      <c r="E424" s="65"/>
      <c r="F424" s="66"/>
      <c r="G424" s="63"/>
      <c r="H424" s="67"/>
      <c r="I424" s="68"/>
      <c r="J424" s="68"/>
      <c r="K424" s="32"/>
      <c r="L424" s="75">
        <v>424</v>
      </c>
      <c r="M424" s="75"/>
      <c r="N424" s="70"/>
      <c r="O424" s="77" t="s">
        <v>539</v>
      </c>
      <c r="P424" s="79">
        <v>45162.543738425928</v>
      </c>
      <c r="Q424" s="77" t="s">
        <v>955</v>
      </c>
      <c r="R424" s="77">
        <v>0</v>
      </c>
      <c r="S424" s="77">
        <v>0</v>
      </c>
      <c r="T424" s="77">
        <v>0</v>
      </c>
      <c r="U424" s="77">
        <v>0</v>
      </c>
      <c r="V424" s="77">
        <v>195</v>
      </c>
      <c r="W424" s="82" t="s">
        <v>1763</v>
      </c>
      <c r="X424" s="77"/>
      <c r="Y424" s="77"/>
      <c r="Z424" s="77" t="s">
        <v>377</v>
      </c>
      <c r="AA424" s="77" t="s">
        <v>2272</v>
      </c>
      <c r="AB424" s="77" t="s">
        <v>2632</v>
      </c>
      <c r="AC424" s="82" t="s">
        <v>2638</v>
      </c>
      <c r="AD424" s="77" t="s">
        <v>2670</v>
      </c>
      <c r="AE424" s="80" t="str">
        <f>HYPERLINK("https://twitter.com/workshopdantas/status/1694696806636999058")</f>
        <v>https://twitter.com/workshopdantas/status/1694696806636999058</v>
      </c>
      <c r="AF424" s="79">
        <v>45162.543738425928</v>
      </c>
      <c r="AG424" s="85">
        <v>45162</v>
      </c>
      <c r="AH424" s="82" t="s">
        <v>3063</v>
      </c>
      <c r="AI424" s="77" t="b">
        <v>0</v>
      </c>
      <c r="AJ424" s="77"/>
      <c r="AK424" s="77"/>
      <c r="AL424" s="77"/>
      <c r="AM424" s="77"/>
      <c r="AN424" s="77"/>
      <c r="AO424" s="77"/>
      <c r="AP424" s="77"/>
      <c r="AQ424" s="77" t="s">
        <v>3701</v>
      </c>
      <c r="AR424" s="77"/>
      <c r="AS424" s="77"/>
      <c r="AT424" s="77"/>
      <c r="AU424" s="77"/>
      <c r="AV424" s="80" t="str">
        <f>HYPERLINK("https://pbs.twimg.com/media/F4TFw6BWcAAhAvN.jpg")</f>
        <v>https://pbs.twimg.com/media/F4TFw6BWcAAhAvN.jpg</v>
      </c>
      <c r="AW424" s="82" t="s">
        <v>4478</v>
      </c>
      <c r="AX424" s="82" t="s">
        <v>4478</v>
      </c>
      <c r="AY424" s="77"/>
      <c r="AZ424" s="82" t="s">
        <v>5075</v>
      </c>
      <c r="BA424" s="82" t="s">
        <v>5075</v>
      </c>
      <c r="BB424" s="82" t="s">
        <v>5075</v>
      </c>
      <c r="BC424" s="82" t="s">
        <v>4478</v>
      </c>
      <c r="BD424" s="82" t="s">
        <v>5204</v>
      </c>
      <c r="BE424" s="77"/>
      <c r="BF424" s="77"/>
      <c r="BG424" s="77"/>
      <c r="BH424" s="77"/>
      <c r="BI424" s="77"/>
    </row>
    <row r="425" spans="1:61" x14ac:dyDescent="0.25">
      <c r="A425" s="62" t="s">
        <v>377</v>
      </c>
      <c r="B425" s="62" t="s">
        <v>377</v>
      </c>
      <c r="C425" s="63"/>
      <c r="D425" s="64"/>
      <c r="E425" s="65"/>
      <c r="F425" s="66"/>
      <c r="G425" s="63"/>
      <c r="H425" s="67"/>
      <c r="I425" s="68"/>
      <c r="J425" s="68"/>
      <c r="K425" s="32"/>
      <c r="L425" s="75">
        <v>425</v>
      </c>
      <c r="M425" s="75"/>
      <c r="N425" s="70"/>
      <c r="O425" s="77" t="s">
        <v>539</v>
      </c>
      <c r="P425" s="79">
        <v>45150.439062500001</v>
      </c>
      <c r="Q425" s="77" t="s">
        <v>956</v>
      </c>
      <c r="R425" s="77">
        <v>1</v>
      </c>
      <c r="S425" s="77">
        <v>1</v>
      </c>
      <c r="T425" s="77">
        <v>0</v>
      </c>
      <c r="U425" s="77">
        <v>0</v>
      </c>
      <c r="V425" s="77">
        <v>61</v>
      </c>
      <c r="W425" s="82" t="s">
        <v>1764</v>
      </c>
      <c r="X425" s="77"/>
      <c r="Y425" s="77"/>
      <c r="Z425" s="77" t="s">
        <v>377</v>
      </c>
      <c r="AA425" s="77" t="s">
        <v>2273</v>
      </c>
      <c r="AB425" s="77" t="s">
        <v>2632</v>
      </c>
      <c r="AC425" s="82" t="s">
        <v>2638</v>
      </c>
      <c r="AD425" s="77" t="s">
        <v>2670</v>
      </c>
      <c r="AE425" s="80" t="str">
        <f>HYPERLINK("https://twitter.com/workshopdantas/status/1690310218633060352")</f>
        <v>https://twitter.com/workshopdantas/status/1690310218633060352</v>
      </c>
      <c r="AF425" s="79">
        <v>45150.439062500001</v>
      </c>
      <c r="AG425" s="85">
        <v>45150</v>
      </c>
      <c r="AH425" s="82" t="s">
        <v>3064</v>
      </c>
      <c r="AI425" s="77" t="b">
        <v>0</v>
      </c>
      <c r="AJ425" s="77"/>
      <c r="AK425" s="77"/>
      <c r="AL425" s="77"/>
      <c r="AM425" s="77"/>
      <c r="AN425" s="77"/>
      <c r="AO425" s="77"/>
      <c r="AP425" s="77"/>
      <c r="AQ425" s="77" t="s">
        <v>3702</v>
      </c>
      <c r="AR425" s="77"/>
      <c r="AS425" s="77"/>
      <c r="AT425" s="77"/>
      <c r="AU425" s="77"/>
      <c r="AV425" s="80" t="str">
        <f>HYPERLINK("https://pbs.twimg.com/media/F3UwL6kWgAAAQYg.jpg")</f>
        <v>https://pbs.twimg.com/media/F3UwL6kWgAAAQYg.jpg</v>
      </c>
      <c r="AW425" s="82" t="s">
        <v>4479</v>
      </c>
      <c r="AX425" s="82" t="s">
        <v>4479</v>
      </c>
      <c r="AY425" s="77"/>
      <c r="AZ425" s="82" t="s">
        <v>5075</v>
      </c>
      <c r="BA425" s="82" t="s">
        <v>5075</v>
      </c>
      <c r="BB425" s="82" t="s">
        <v>5075</v>
      </c>
      <c r="BC425" s="82" t="s">
        <v>4479</v>
      </c>
      <c r="BD425" s="82" t="s">
        <v>5204</v>
      </c>
      <c r="BE425" s="77"/>
      <c r="BF425" s="77"/>
      <c r="BG425" s="77"/>
      <c r="BH425" s="77"/>
      <c r="BI425" s="77"/>
    </row>
    <row r="426" spans="1:61" x14ac:dyDescent="0.25">
      <c r="A426" s="62" t="s">
        <v>377</v>
      </c>
      <c r="B426" s="62" t="s">
        <v>377</v>
      </c>
      <c r="C426" s="63"/>
      <c r="D426" s="64"/>
      <c r="E426" s="65"/>
      <c r="F426" s="66"/>
      <c r="G426" s="63"/>
      <c r="H426" s="67"/>
      <c r="I426" s="68"/>
      <c r="J426" s="68"/>
      <c r="K426" s="32"/>
      <c r="L426" s="75">
        <v>426</v>
      </c>
      <c r="M426" s="75"/>
      <c r="N426" s="70"/>
      <c r="O426" s="77" t="s">
        <v>539</v>
      </c>
      <c r="P426" s="79">
        <v>45149.447430555556</v>
      </c>
      <c r="Q426" s="77" t="s">
        <v>957</v>
      </c>
      <c r="R426" s="77">
        <v>0</v>
      </c>
      <c r="S426" s="77">
        <v>0</v>
      </c>
      <c r="T426" s="77">
        <v>0</v>
      </c>
      <c r="U426" s="77">
        <v>0</v>
      </c>
      <c r="V426" s="77">
        <v>48</v>
      </c>
      <c r="W426" s="82" t="s">
        <v>1720</v>
      </c>
      <c r="X426" s="77"/>
      <c r="Y426" s="77"/>
      <c r="Z426" s="77" t="s">
        <v>377</v>
      </c>
      <c r="AA426" s="77" t="s">
        <v>2274</v>
      </c>
      <c r="AB426" s="77" t="s">
        <v>2632</v>
      </c>
      <c r="AC426" s="82" t="s">
        <v>2638</v>
      </c>
      <c r="AD426" s="77" t="s">
        <v>2670</v>
      </c>
      <c r="AE426" s="80" t="str">
        <f>HYPERLINK("https://twitter.com/workshopdantas/status/1689950864725692416")</f>
        <v>https://twitter.com/workshopdantas/status/1689950864725692416</v>
      </c>
      <c r="AF426" s="79">
        <v>45149.447430555556</v>
      </c>
      <c r="AG426" s="85">
        <v>45149</v>
      </c>
      <c r="AH426" s="82" t="s">
        <v>3065</v>
      </c>
      <c r="AI426" s="77" t="b">
        <v>0</v>
      </c>
      <c r="AJ426" s="77"/>
      <c r="AK426" s="77"/>
      <c r="AL426" s="77"/>
      <c r="AM426" s="77"/>
      <c r="AN426" s="77"/>
      <c r="AO426" s="77"/>
      <c r="AP426" s="77"/>
      <c r="AQ426" s="77" t="s">
        <v>3703</v>
      </c>
      <c r="AR426" s="77"/>
      <c r="AS426" s="77"/>
      <c r="AT426" s="77"/>
      <c r="AU426" s="77"/>
      <c r="AV426" s="80" t="str">
        <f>HYPERLINK("https://pbs.twimg.com/media/F3PpWvdW4AAeNNE.jpg")</f>
        <v>https://pbs.twimg.com/media/F3PpWvdW4AAeNNE.jpg</v>
      </c>
      <c r="AW426" s="82" t="s">
        <v>4480</v>
      </c>
      <c r="AX426" s="82" t="s">
        <v>4480</v>
      </c>
      <c r="AY426" s="77"/>
      <c r="AZ426" s="82" t="s">
        <v>5075</v>
      </c>
      <c r="BA426" s="82" t="s">
        <v>5075</v>
      </c>
      <c r="BB426" s="82" t="s">
        <v>5075</v>
      </c>
      <c r="BC426" s="82" t="s">
        <v>4480</v>
      </c>
      <c r="BD426" s="82" t="s">
        <v>5204</v>
      </c>
      <c r="BE426" s="77"/>
      <c r="BF426" s="77"/>
      <c r="BG426" s="77"/>
      <c r="BH426" s="77"/>
      <c r="BI426" s="77"/>
    </row>
    <row r="427" spans="1:61" x14ac:dyDescent="0.25">
      <c r="A427" s="62" t="s">
        <v>377</v>
      </c>
      <c r="B427" s="62" t="s">
        <v>377</v>
      </c>
      <c r="C427" s="63"/>
      <c r="D427" s="64"/>
      <c r="E427" s="65"/>
      <c r="F427" s="66"/>
      <c r="G427" s="63"/>
      <c r="H427" s="67"/>
      <c r="I427" s="68"/>
      <c r="J427" s="68"/>
      <c r="K427" s="32"/>
      <c r="L427" s="75">
        <v>427</v>
      </c>
      <c r="M427" s="75"/>
      <c r="N427" s="70"/>
      <c r="O427" s="77" t="s">
        <v>539</v>
      </c>
      <c r="P427" s="79">
        <v>45142.405381944445</v>
      </c>
      <c r="Q427" s="77" t="s">
        <v>958</v>
      </c>
      <c r="R427" s="77">
        <v>0</v>
      </c>
      <c r="S427" s="77">
        <v>1</v>
      </c>
      <c r="T427" s="77">
        <v>0</v>
      </c>
      <c r="U427" s="77">
        <v>0</v>
      </c>
      <c r="V427" s="77">
        <v>49</v>
      </c>
      <c r="W427" s="82" t="s">
        <v>1765</v>
      </c>
      <c r="X427" s="77"/>
      <c r="Y427" s="77"/>
      <c r="Z427" s="77" t="s">
        <v>377</v>
      </c>
      <c r="AA427" s="77" t="s">
        <v>2275</v>
      </c>
      <c r="AB427" s="77" t="s">
        <v>2632</v>
      </c>
      <c r="AC427" s="82" t="s">
        <v>2638</v>
      </c>
      <c r="AD427" s="77" t="s">
        <v>2670</v>
      </c>
      <c r="AE427" s="80" t="str">
        <f>HYPERLINK("https://twitter.com/workshopdantas/status/1687398910950547456")</f>
        <v>https://twitter.com/workshopdantas/status/1687398910950547456</v>
      </c>
      <c r="AF427" s="79">
        <v>45142.405381944445</v>
      </c>
      <c r="AG427" s="85">
        <v>45142</v>
      </c>
      <c r="AH427" s="82" t="s">
        <v>3066</v>
      </c>
      <c r="AI427" s="77" t="b">
        <v>0</v>
      </c>
      <c r="AJ427" s="77"/>
      <c r="AK427" s="77"/>
      <c r="AL427" s="77"/>
      <c r="AM427" s="77"/>
      <c r="AN427" s="77"/>
      <c r="AO427" s="77"/>
      <c r="AP427" s="77"/>
      <c r="AQ427" s="77" t="s">
        <v>3704</v>
      </c>
      <c r="AR427" s="77"/>
      <c r="AS427" s="77"/>
      <c r="AT427" s="77"/>
      <c r="AU427" s="77"/>
      <c r="AV427" s="80" t="str">
        <f>HYPERLINK("https://pbs.twimg.com/media/F2rYXgNX0AATnXw.jpg")</f>
        <v>https://pbs.twimg.com/media/F2rYXgNX0AATnXw.jpg</v>
      </c>
      <c r="AW427" s="82" t="s">
        <v>4481</v>
      </c>
      <c r="AX427" s="82" t="s">
        <v>4481</v>
      </c>
      <c r="AY427" s="77"/>
      <c r="AZ427" s="82" t="s">
        <v>5075</v>
      </c>
      <c r="BA427" s="82" t="s">
        <v>5075</v>
      </c>
      <c r="BB427" s="82" t="s">
        <v>5075</v>
      </c>
      <c r="BC427" s="82" t="s">
        <v>4481</v>
      </c>
      <c r="BD427" s="82" t="s">
        <v>5204</v>
      </c>
      <c r="BE427" s="77"/>
      <c r="BF427" s="77"/>
      <c r="BG427" s="77"/>
      <c r="BH427" s="77"/>
      <c r="BI427" s="77"/>
    </row>
    <row r="428" spans="1:61" x14ac:dyDescent="0.25">
      <c r="A428" s="62" t="s">
        <v>377</v>
      </c>
      <c r="B428" s="62" t="s">
        <v>377</v>
      </c>
      <c r="C428" s="63"/>
      <c r="D428" s="64"/>
      <c r="E428" s="65"/>
      <c r="F428" s="66"/>
      <c r="G428" s="63"/>
      <c r="H428" s="67"/>
      <c r="I428" s="68"/>
      <c r="J428" s="68"/>
      <c r="K428" s="32"/>
      <c r="L428" s="75">
        <v>428</v>
      </c>
      <c r="M428" s="75"/>
      <c r="N428" s="70"/>
      <c r="O428" s="77" t="s">
        <v>539</v>
      </c>
      <c r="P428" s="79">
        <v>45140.621574074074</v>
      </c>
      <c r="Q428" s="77" t="s">
        <v>959</v>
      </c>
      <c r="R428" s="77">
        <v>0</v>
      </c>
      <c r="S428" s="77">
        <v>0</v>
      </c>
      <c r="T428" s="77">
        <v>0</v>
      </c>
      <c r="U428" s="77">
        <v>0</v>
      </c>
      <c r="V428" s="77">
        <v>55</v>
      </c>
      <c r="W428" s="82" t="s">
        <v>1766</v>
      </c>
      <c r="X428" s="77"/>
      <c r="Y428" s="77"/>
      <c r="Z428" s="77" t="s">
        <v>377</v>
      </c>
      <c r="AA428" s="77" t="s">
        <v>2276</v>
      </c>
      <c r="AB428" s="77" t="s">
        <v>2632</v>
      </c>
      <c r="AC428" s="82" t="s">
        <v>2638</v>
      </c>
      <c r="AD428" s="77" t="s">
        <v>2670</v>
      </c>
      <c r="AE428" s="80" t="str">
        <f>HYPERLINK("https://twitter.com/workshopdantas/status/1686752481793994752")</f>
        <v>https://twitter.com/workshopdantas/status/1686752481793994752</v>
      </c>
      <c r="AF428" s="79">
        <v>45140.621574074074</v>
      </c>
      <c r="AG428" s="85">
        <v>45140</v>
      </c>
      <c r="AH428" s="82" t="s">
        <v>3067</v>
      </c>
      <c r="AI428" s="77" t="b">
        <v>0</v>
      </c>
      <c r="AJ428" s="77"/>
      <c r="AK428" s="77"/>
      <c r="AL428" s="77"/>
      <c r="AM428" s="77"/>
      <c r="AN428" s="77"/>
      <c r="AO428" s="77"/>
      <c r="AP428" s="77"/>
      <c r="AQ428" s="77" t="s">
        <v>3705</v>
      </c>
      <c r="AR428" s="77"/>
      <c r="AS428" s="77"/>
      <c r="AT428" s="77"/>
      <c r="AU428" s="77"/>
      <c r="AV428" s="80" t="str">
        <f>HYPERLINK("https://pbs.twimg.com/media/F2iMcENW4AE12lX.jpg")</f>
        <v>https://pbs.twimg.com/media/F2iMcENW4AE12lX.jpg</v>
      </c>
      <c r="AW428" s="82" t="s">
        <v>4482</v>
      </c>
      <c r="AX428" s="82" t="s">
        <v>4482</v>
      </c>
      <c r="AY428" s="77"/>
      <c r="AZ428" s="82" t="s">
        <v>5075</v>
      </c>
      <c r="BA428" s="82" t="s">
        <v>5075</v>
      </c>
      <c r="BB428" s="82" t="s">
        <v>5075</v>
      </c>
      <c r="BC428" s="82" t="s">
        <v>4482</v>
      </c>
      <c r="BD428" s="82" t="s">
        <v>5204</v>
      </c>
      <c r="BE428" s="77"/>
      <c r="BF428" s="77"/>
      <c r="BG428" s="77"/>
      <c r="BH428" s="77"/>
      <c r="BI428" s="77"/>
    </row>
    <row r="429" spans="1:61" x14ac:dyDescent="0.25">
      <c r="A429" s="62" t="s">
        <v>377</v>
      </c>
      <c r="B429" s="62" t="s">
        <v>377</v>
      </c>
      <c r="C429" s="63"/>
      <c r="D429" s="64"/>
      <c r="E429" s="65"/>
      <c r="F429" s="66"/>
      <c r="G429" s="63"/>
      <c r="H429" s="67"/>
      <c r="I429" s="68"/>
      <c r="J429" s="68"/>
      <c r="K429" s="32"/>
      <c r="L429" s="75">
        <v>429</v>
      </c>
      <c r="M429" s="75"/>
      <c r="N429" s="70"/>
      <c r="O429" s="77" t="s">
        <v>539</v>
      </c>
      <c r="P429" s="79">
        <v>45129.51189814815</v>
      </c>
      <c r="Q429" s="77" t="s">
        <v>960</v>
      </c>
      <c r="R429" s="77">
        <v>0</v>
      </c>
      <c r="S429" s="77">
        <v>1</v>
      </c>
      <c r="T429" s="77">
        <v>0</v>
      </c>
      <c r="U429" s="77">
        <v>0</v>
      </c>
      <c r="V429" s="77">
        <v>62</v>
      </c>
      <c r="W429" s="82" t="s">
        <v>1767</v>
      </c>
      <c r="X429" s="77"/>
      <c r="Y429" s="77"/>
      <c r="Z429" s="77" t="s">
        <v>377</v>
      </c>
      <c r="AA429" s="77" t="s">
        <v>2277</v>
      </c>
      <c r="AB429" s="77" t="s">
        <v>2632</v>
      </c>
      <c r="AC429" s="82" t="s">
        <v>2638</v>
      </c>
      <c r="AD429" s="77" t="s">
        <v>2670</v>
      </c>
      <c r="AE429" s="80" t="str">
        <f>HYPERLINK("https://twitter.com/workshopdantas/status/1682726469099745280")</f>
        <v>https://twitter.com/workshopdantas/status/1682726469099745280</v>
      </c>
      <c r="AF429" s="79">
        <v>45129.51189814815</v>
      </c>
      <c r="AG429" s="85">
        <v>45129</v>
      </c>
      <c r="AH429" s="82" t="s">
        <v>3068</v>
      </c>
      <c r="AI429" s="77" t="b">
        <v>0</v>
      </c>
      <c r="AJ429" s="77"/>
      <c r="AK429" s="77"/>
      <c r="AL429" s="77"/>
      <c r="AM429" s="77"/>
      <c r="AN429" s="77"/>
      <c r="AO429" s="77"/>
      <c r="AP429" s="77"/>
      <c r="AQ429" s="77" t="s">
        <v>3706</v>
      </c>
      <c r="AR429" s="77"/>
      <c r="AS429" s="77"/>
      <c r="AT429" s="77"/>
      <c r="AU429" s="77"/>
      <c r="AV429" s="80" t="str">
        <f>HYPERLINK("https://pbs.twimg.com/media/F1o-zhCWcAAz-7f.jpg")</f>
        <v>https://pbs.twimg.com/media/F1o-zhCWcAAz-7f.jpg</v>
      </c>
      <c r="AW429" s="82" t="s">
        <v>4483</v>
      </c>
      <c r="AX429" s="82" t="s">
        <v>4483</v>
      </c>
      <c r="AY429" s="77"/>
      <c r="AZ429" s="82" t="s">
        <v>5075</v>
      </c>
      <c r="BA429" s="82" t="s">
        <v>5075</v>
      </c>
      <c r="BB429" s="82" t="s">
        <v>5075</v>
      </c>
      <c r="BC429" s="82" t="s">
        <v>4483</v>
      </c>
      <c r="BD429" s="82" t="s">
        <v>5204</v>
      </c>
      <c r="BE429" s="77"/>
      <c r="BF429" s="77"/>
      <c r="BG429" s="77"/>
      <c r="BH429" s="77"/>
      <c r="BI429" s="77"/>
    </row>
    <row r="430" spans="1:61" x14ac:dyDescent="0.25">
      <c r="A430" s="62" t="s">
        <v>377</v>
      </c>
      <c r="B430" s="62" t="s">
        <v>377</v>
      </c>
      <c r="C430" s="63"/>
      <c r="D430" s="64"/>
      <c r="E430" s="65"/>
      <c r="F430" s="66"/>
      <c r="G430" s="63"/>
      <c r="H430" s="67"/>
      <c r="I430" s="68"/>
      <c r="J430" s="68"/>
      <c r="K430" s="32"/>
      <c r="L430" s="75">
        <v>430</v>
      </c>
      <c r="M430" s="75"/>
      <c r="N430" s="70"/>
      <c r="O430" s="77" t="s">
        <v>539</v>
      </c>
      <c r="P430" s="79">
        <v>45128.512986111113</v>
      </c>
      <c r="Q430" s="77" t="s">
        <v>961</v>
      </c>
      <c r="R430" s="77">
        <v>0</v>
      </c>
      <c r="S430" s="77">
        <v>0</v>
      </c>
      <c r="T430" s="77">
        <v>0</v>
      </c>
      <c r="U430" s="77">
        <v>0</v>
      </c>
      <c r="V430" s="77">
        <v>42</v>
      </c>
      <c r="W430" s="82" t="s">
        <v>1768</v>
      </c>
      <c r="X430" s="77"/>
      <c r="Y430" s="77"/>
      <c r="Z430" s="77" t="s">
        <v>377</v>
      </c>
      <c r="AA430" s="77" t="s">
        <v>2278</v>
      </c>
      <c r="AB430" s="77" t="s">
        <v>2632</v>
      </c>
      <c r="AC430" s="82" t="s">
        <v>2638</v>
      </c>
      <c r="AD430" s="77" t="s">
        <v>2670</v>
      </c>
      <c r="AE430" s="80" t="str">
        <f>HYPERLINK("https://twitter.com/workshopdantas/status/1682364474139844612")</f>
        <v>https://twitter.com/workshopdantas/status/1682364474139844612</v>
      </c>
      <c r="AF430" s="79">
        <v>45128.512986111113</v>
      </c>
      <c r="AG430" s="85">
        <v>45128</v>
      </c>
      <c r="AH430" s="82" t="s">
        <v>3069</v>
      </c>
      <c r="AI430" s="77" t="b">
        <v>0</v>
      </c>
      <c r="AJ430" s="77"/>
      <c r="AK430" s="77"/>
      <c r="AL430" s="77"/>
      <c r="AM430" s="77"/>
      <c r="AN430" s="77"/>
      <c r="AO430" s="77"/>
      <c r="AP430" s="77"/>
      <c r="AQ430" s="77" t="s">
        <v>3707</v>
      </c>
      <c r="AR430" s="77"/>
      <c r="AS430" s="77"/>
      <c r="AT430" s="77"/>
      <c r="AU430" s="77"/>
      <c r="AV430" s="80" t="str">
        <f>HYPERLINK("https://pbs.twimg.com/media/F1j1kr7XgAAPksI.jpg")</f>
        <v>https://pbs.twimg.com/media/F1j1kr7XgAAPksI.jpg</v>
      </c>
      <c r="AW430" s="82" t="s">
        <v>4484</v>
      </c>
      <c r="AX430" s="82" t="s">
        <v>4484</v>
      </c>
      <c r="AY430" s="77"/>
      <c r="AZ430" s="82" t="s">
        <v>5075</v>
      </c>
      <c r="BA430" s="82" t="s">
        <v>5075</v>
      </c>
      <c r="BB430" s="82" t="s">
        <v>5075</v>
      </c>
      <c r="BC430" s="82" t="s">
        <v>4484</v>
      </c>
      <c r="BD430" s="82" t="s">
        <v>5204</v>
      </c>
      <c r="BE430" s="77"/>
      <c r="BF430" s="77"/>
      <c r="BG430" s="77"/>
      <c r="BH430" s="77"/>
      <c r="BI430" s="77"/>
    </row>
    <row r="431" spans="1:61" x14ac:dyDescent="0.25">
      <c r="A431" s="62" t="s">
        <v>377</v>
      </c>
      <c r="B431" s="62" t="s">
        <v>377</v>
      </c>
      <c r="C431" s="63"/>
      <c r="D431" s="64"/>
      <c r="E431" s="65"/>
      <c r="F431" s="66"/>
      <c r="G431" s="63"/>
      <c r="H431" s="67"/>
      <c r="I431" s="68"/>
      <c r="J431" s="68"/>
      <c r="K431" s="32"/>
      <c r="L431" s="75">
        <v>431</v>
      </c>
      <c r="M431" s="75"/>
      <c r="N431" s="70"/>
      <c r="O431" s="77" t="s">
        <v>539</v>
      </c>
      <c r="P431" s="79">
        <v>45118.489050925928</v>
      </c>
      <c r="Q431" s="77" t="s">
        <v>962</v>
      </c>
      <c r="R431" s="77">
        <v>0</v>
      </c>
      <c r="S431" s="77">
        <v>0</v>
      </c>
      <c r="T431" s="77">
        <v>0</v>
      </c>
      <c r="U431" s="77">
        <v>0</v>
      </c>
      <c r="V431" s="77">
        <v>40</v>
      </c>
      <c r="W431" s="82" t="s">
        <v>1769</v>
      </c>
      <c r="X431" s="77"/>
      <c r="Y431" s="77"/>
      <c r="Z431" s="77" t="s">
        <v>377</v>
      </c>
      <c r="AA431" s="77" t="s">
        <v>2279</v>
      </c>
      <c r="AB431" s="77" t="s">
        <v>2632</v>
      </c>
      <c r="AC431" s="82" t="s">
        <v>2638</v>
      </c>
      <c r="AD431" s="77" t="s">
        <v>2670</v>
      </c>
      <c r="AE431" s="80" t="str">
        <f>HYPERLINK("https://twitter.com/workshopdantas/status/1678731922816499713")</f>
        <v>https://twitter.com/workshopdantas/status/1678731922816499713</v>
      </c>
      <c r="AF431" s="79">
        <v>45118.489050925928</v>
      </c>
      <c r="AG431" s="85">
        <v>45118</v>
      </c>
      <c r="AH431" s="82" t="s">
        <v>3070</v>
      </c>
      <c r="AI431" s="77" t="b">
        <v>0</v>
      </c>
      <c r="AJ431" s="77"/>
      <c r="AK431" s="77"/>
      <c r="AL431" s="77"/>
      <c r="AM431" s="77"/>
      <c r="AN431" s="77"/>
      <c r="AO431" s="77"/>
      <c r="AP431" s="77"/>
      <c r="AQ431" s="77" t="s">
        <v>3708</v>
      </c>
      <c r="AR431" s="77"/>
      <c r="AS431" s="77"/>
      <c r="AT431" s="77"/>
      <c r="AU431" s="77"/>
      <c r="AV431" s="80" t="str">
        <f>HYPERLINK("https://pbs.twimg.com/media/F0wNyURXsAEjUmQ.jpg")</f>
        <v>https://pbs.twimg.com/media/F0wNyURXsAEjUmQ.jpg</v>
      </c>
      <c r="AW431" s="82" t="s">
        <v>4485</v>
      </c>
      <c r="AX431" s="82" t="s">
        <v>4485</v>
      </c>
      <c r="AY431" s="77"/>
      <c r="AZ431" s="82" t="s">
        <v>5075</v>
      </c>
      <c r="BA431" s="82" t="s">
        <v>5075</v>
      </c>
      <c r="BB431" s="82" t="s">
        <v>5075</v>
      </c>
      <c r="BC431" s="82" t="s">
        <v>4485</v>
      </c>
      <c r="BD431" s="82" t="s">
        <v>5204</v>
      </c>
      <c r="BE431" s="77"/>
      <c r="BF431" s="77"/>
      <c r="BG431" s="77"/>
      <c r="BH431" s="77"/>
      <c r="BI431" s="77"/>
    </row>
    <row r="432" spans="1:61" x14ac:dyDescent="0.25">
      <c r="A432" s="62" t="s">
        <v>377</v>
      </c>
      <c r="B432" s="62" t="s">
        <v>377</v>
      </c>
      <c r="C432" s="63"/>
      <c r="D432" s="64"/>
      <c r="E432" s="65"/>
      <c r="F432" s="66"/>
      <c r="G432" s="63"/>
      <c r="H432" s="67"/>
      <c r="I432" s="68"/>
      <c r="J432" s="68"/>
      <c r="K432" s="32"/>
      <c r="L432" s="75">
        <v>432</v>
      </c>
      <c r="M432" s="75"/>
      <c r="N432" s="70"/>
      <c r="O432" s="77" t="s">
        <v>539</v>
      </c>
      <c r="P432" s="79">
        <v>45107.410300925927</v>
      </c>
      <c r="Q432" s="77" t="s">
        <v>963</v>
      </c>
      <c r="R432" s="77">
        <v>0</v>
      </c>
      <c r="S432" s="77">
        <v>0</v>
      </c>
      <c r="T432" s="77">
        <v>0</v>
      </c>
      <c r="U432" s="77">
        <v>0</v>
      </c>
      <c r="V432" s="77">
        <v>34</v>
      </c>
      <c r="W432" s="82" t="s">
        <v>1770</v>
      </c>
      <c r="X432" s="77"/>
      <c r="Y432" s="77"/>
      <c r="Z432" s="77" t="s">
        <v>377</v>
      </c>
      <c r="AA432" s="77" t="s">
        <v>2280</v>
      </c>
      <c r="AB432" s="77" t="s">
        <v>2632</v>
      </c>
      <c r="AC432" s="82" t="s">
        <v>2638</v>
      </c>
      <c r="AD432" s="77" t="s">
        <v>2670</v>
      </c>
      <c r="AE432" s="80" t="str">
        <f>HYPERLINK("https://twitter.com/workshopdantas/status/1674717119257227264")</f>
        <v>https://twitter.com/workshopdantas/status/1674717119257227264</v>
      </c>
      <c r="AF432" s="79">
        <v>45107.410300925927</v>
      </c>
      <c r="AG432" s="85">
        <v>45107</v>
      </c>
      <c r="AH432" s="82" t="s">
        <v>3071</v>
      </c>
      <c r="AI432" s="77" t="b">
        <v>0</v>
      </c>
      <c r="AJ432" s="77"/>
      <c r="AK432" s="77"/>
      <c r="AL432" s="77"/>
      <c r="AM432" s="77"/>
      <c r="AN432" s="77"/>
      <c r="AO432" s="77"/>
      <c r="AP432" s="77"/>
      <c r="AQ432" s="77" t="s">
        <v>3709</v>
      </c>
      <c r="AR432" s="77"/>
      <c r="AS432" s="77"/>
      <c r="AT432" s="77"/>
      <c r="AU432" s="77"/>
      <c r="AV432" s="80" t="str">
        <f>HYPERLINK("https://pbs.twimg.com/media/Fz3KWAtXoAArD1O.jpg")</f>
        <v>https://pbs.twimg.com/media/Fz3KWAtXoAArD1O.jpg</v>
      </c>
      <c r="AW432" s="82" t="s">
        <v>4486</v>
      </c>
      <c r="AX432" s="82" t="s">
        <v>4486</v>
      </c>
      <c r="AY432" s="77"/>
      <c r="AZ432" s="82" t="s">
        <v>5075</v>
      </c>
      <c r="BA432" s="82" t="s">
        <v>5075</v>
      </c>
      <c r="BB432" s="82" t="s">
        <v>5075</v>
      </c>
      <c r="BC432" s="82" t="s">
        <v>4486</v>
      </c>
      <c r="BD432" s="82" t="s">
        <v>5204</v>
      </c>
      <c r="BE432" s="77"/>
      <c r="BF432" s="77"/>
      <c r="BG432" s="77"/>
      <c r="BH432" s="77"/>
      <c r="BI432" s="77"/>
    </row>
    <row r="433" spans="1:61" x14ac:dyDescent="0.25">
      <c r="A433" s="62" t="s">
        <v>377</v>
      </c>
      <c r="B433" s="62" t="s">
        <v>377</v>
      </c>
      <c r="C433" s="63"/>
      <c r="D433" s="64"/>
      <c r="E433" s="65"/>
      <c r="F433" s="66"/>
      <c r="G433" s="63"/>
      <c r="H433" s="67"/>
      <c r="I433" s="68"/>
      <c r="J433" s="68"/>
      <c r="K433" s="32"/>
      <c r="L433" s="75">
        <v>433</v>
      </c>
      <c r="M433" s="75"/>
      <c r="N433" s="70"/>
      <c r="O433" s="77" t="s">
        <v>179</v>
      </c>
      <c r="P433" s="79">
        <v>45183.726840277777</v>
      </c>
      <c r="Q433" s="77" t="s">
        <v>964</v>
      </c>
      <c r="R433" s="77">
        <v>0</v>
      </c>
      <c r="S433" s="77">
        <v>1</v>
      </c>
      <c r="T433" s="77">
        <v>0</v>
      </c>
      <c r="U433" s="77">
        <v>0</v>
      </c>
      <c r="V433" s="77">
        <v>71</v>
      </c>
      <c r="W433" s="82" t="s">
        <v>1771</v>
      </c>
      <c r="X433" s="77"/>
      <c r="Y433" s="77"/>
      <c r="Z433" s="77"/>
      <c r="AA433" s="77" t="s">
        <v>2281</v>
      </c>
      <c r="AB433" s="77" t="s">
        <v>2632</v>
      </c>
      <c r="AC433" s="82" t="s">
        <v>2638</v>
      </c>
      <c r="AD433" s="77" t="s">
        <v>2670</v>
      </c>
      <c r="AE433" s="80" t="str">
        <f>HYPERLINK("https://twitter.com/workshopdantas/status/1702373305867555185")</f>
        <v>https://twitter.com/workshopdantas/status/1702373305867555185</v>
      </c>
      <c r="AF433" s="79">
        <v>45183.726840277777</v>
      </c>
      <c r="AG433" s="85">
        <v>45183</v>
      </c>
      <c r="AH433" s="82" t="s">
        <v>3072</v>
      </c>
      <c r="AI433" s="77" t="b">
        <v>0</v>
      </c>
      <c r="AJ433" s="77"/>
      <c r="AK433" s="77"/>
      <c r="AL433" s="77"/>
      <c r="AM433" s="77"/>
      <c r="AN433" s="77"/>
      <c r="AO433" s="77"/>
      <c r="AP433" s="77"/>
      <c r="AQ433" s="77" t="s">
        <v>3710</v>
      </c>
      <c r="AR433" s="77"/>
      <c r="AS433" s="77"/>
      <c r="AT433" s="77"/>
      <c r="AU433" s="77"/>
      <c r="AV433" s="80" t="str">
        <f>HYPERLINK("https://pbs.twimg.com/media/F6ALf-tXQAArhe7.jpg")</f>
        <v>https://pbs.twimg.com/media/F6ALf-tXQAArhe7.jpg</v>
      </c>
      <c r="AW433" s="82" t="s">
        <v>4487</v>
      </c>
      <c r="AX433" s="82" t="s">
        <v>4487</v>
      </c>
      <c r="AY433" s="77"/>
      <c r="AZ433" s="82" t="s">
        <v>5075</v>
      </c>
      <c r="BA433" s="82" t="s">
        <v>5075</v>
      </c>
      <c r="BB433" s="82" t="s">
        <v>5075</v>
      </c>
      <c r="BC433" s="82" t="s">
        <v>4487</v>
      </c>
      <c r="BD433" s="82" t="s">
        <v>5204</v>
      </c>
      <c r="BE433" s="77"/>
      <c r="BF433" s="77"/>
      <c r="BG433" s="77"/>
      <c r="BH433" s="77"/>
      <c r="BI433" s="77"/>
    </row>
    <row r="434" spans="1:61" x14ac:dyDescent="0.25">
      <c r="A434" s="62" t="s">
        <v>377</v>
      </c>
      <c r="B434" s="62" t="s">
        <v>377</v>
      </c>
      <c r="C434" s="63"/>
      <c r="D434" s="64"/>
      <c r="E434" s="65"/>
      <c r="F434" s="66"/>
      <c r="G434" s="63"/>
      <c r="H434" s="67"/>
      <c r="I434" s="68"/>
      <c r="J434" s="68"/>
      <c r="K434" s="32"/>
      <c r="L434" s="75">
        <v>434</v>
      </c>
      <c r="M434" s="75"/>
      <c r="N434" s="70"/>
      <c r="O434" s="77" t="s">
        <v>539</v>
      </c>
      <c r="P434" s="79">
        <v>45153.883263888885</v>
      </c>
      <c r="Q434" s="77" t="s">
        <v>965</v>
      </c>
      <c r="R434" s="77">
        <v>0</v>
      </c>
      <c r="S434" s="77">
        <v>0</v>
      </c>
      <c r="T434" s="77">
        <v>1</v>
      </c>
      <c r="U434" s="77">
        <v>0</v>
      </c>
      <c r="V434" s="77">
        <v>72</v>
      </c>
      <c r="W434" s="82" t="s">
        <v>1772</v>
      </c>
      <c r="X434" s="77"/>
      <c r="Y434" s="77"/>
      <c r="Z434" s="77" t="s">
        <v>377</v>
      </c>
      <c r="AA434" s="77" t="s">
        <v>2282</v>
      </c>
      <c r="AB434" s="77" t="s">
        <v>2632</v>
      </c>
      <c r="AC434" s="82" t="s">
        <v>2638</v>
      </c>
      <c r="AD434" s="77" t="s">
        <v>2670</v>
      </c>
      <c r="AE434" s="80" t="str">
        <f>HYPERLINK("https://twitter.com/workshopdantas/status/1691558358115865079")</f>
        <v>https://twitter.com/workshopdantas/status/1691558358115865079</v>
      </c>
      <c r="AF434" s="79">
        <v>45153.883263888885</v>
      </c>
      <c r="AG434" s="85">
        <v>45153</v>
      </c>
      <c r="AH434" s="82" t="s">
        <v>3073</v>
      </c>
      <c r="AI434" s="77" t="b">
        <v>0</v>
      </c>
      <c r="AJ434" s="77"/>
      <c r="AK434" s="77"/>
      <c r="AL434" s="77"/>
      <c r="AM434" s="77"/>
      <c r="AN434" s="77"/>
      <c r="AO434" s="77"/>
      <c r="AP434" s="77"/>
      <c r="AQ434" s="77" t="s">
        <v>3711</v>
      </c>
      <c r="AR434" s="77"/>
      <c r="AS434" s="77"/>
      <c r="AT434" s="77"/>
      <c r="AU434" s="77"/>
      <c r="AV434" s="80" t="str">
        <f>HYPERLINK("https://pbs.twimg.com/media/F3mfXLPXsAEEL6x.jpg")</f>
        <v>https://pbs.twimg.com/media/F3mfXLPXsAEEL6x.jpg</v>
      </c>
      <c r="AW434" s="82" t="s">
        <v>4488</v>
      </c>
      <c r="AX434" s="82" t="s">
        <v>4488</v>
      </c>
      <c r="AY434" s="77"/>
      <c r="AZ434" s="82" t="s">
        <v>5075</v>
      </c>
      <c r="BA434" s="82" t="s">
        <v>5075</v>
      </c>
      <c r="BB434" s="82" t="s">
        <v>5075</v>
      </c>
      <c r="BC434" s="82" t="s">
        <v>4488</v>
      </c>
      <c r="BD434" s="82" t="s">
        <v>5204</v>
      </c>
      <c r="BE434" s="77"/>
      <c r="BF434" s="77"/>
      <c r="BG434" s="77"/>
      <c r="BH434" s="77"/>
      <c r="BI434" s="77"/>
    </row>
    <row r="435" spans="1:61" x14ac:dyDescent="0.25">
      <c r="A435" s="62" t="s">
        <v>377</v>
      </c>
      <c r="B435" s="62" t="s">
        <v>377</v>
      </c>
      <c r="C435" s="63"/>
      <c r="D435" s="64"/>
      <c r="E435" s="65"/>
      <c r="F435" s="66"/>
      <c r="G435" s="63"/>
      <c r="H435" s="67"/>
      <c r="I435" s="68"/>
      <c r="J435" s="68"/>
      <c r="K435" s="32"/>
      <c r="L435" s="75">
        <v>435</v>
      </c>
      <c r="M435" s="75"/>
      <c r="N435" s="70"/>
      <c r="O435" s="77" t="s">
        <v>539</v>
      </c>
      <c r="P435" s="79">
        <v>45148.500833333332</v>
      </c>
      <c r="Q435" s="77" t="s">
        <v>966</v>
      </c>
      <c r="R435" s="77">
        <v>0</v>
      </c>
      <c r="S435" s="77">
        <v>0</v>
      </c>
      <c r="T435" s="77">
        <v>0</v>
      </c>
      <c r="U435" s="77">
        <v>0</v>
      </c>
      <c r="V435" s="77">
        <v>43</v>
      </c>
      <c r="W435" s="82" t="s">
        <v>1720</v>
      </c>
      <c r="X435" s="77"/>
      <c r="Y435" s="77"/>
      <c r="Z435" s="77" t="s">
        <v>377</v>
      </c>
      <c r="AA435" s="77" t="s">
        <v>2283</v>
      </c>
      <c r="AB435" s="77" t="s">
        <v>2632</v>
      </c>
      <c r="AC435" s="82" t="s">
        <v>2638</v>
      </c>
      <c r="AD435" s="77" t="s">
        <v>2670</v>
      </c>
      <c r="AE435" s="80" t="str">
        <f>HYPERLINK("https://twitter.com/workshopdantas/status/1689607828128792576")</f>
        <v>https://twitter.com/workshopdantas/status/1689607828128792576</v>
      </c>
      <c r="AF435" s="79">
        <v>45148.500833333332</v>
      </c>
      <c r="AG435" s="85">
        <v>45148</v>
      </c>
      <c r="AH435" s="82" t="s">
        <v>3074</v>
      </c>
      <c r="AI435" s="77" t="b">
        <v>0</v>
      </c>
      <c r="AJ435" s="77"/>
      <c r="AK435" s="77"/>
      <c r="AL435" s="77"/>
      <c r="AM435" s="77"/>
      <c r="AN435" s="77"/>
      <c r="AO435" s="77"/>
      <c r="AP435" s="77"/>
      <c r="AQ435" s="77" t="s">
        <v>3712</v>
      </c>
      <c r="AR435" s="77"/>
      <c r="AS435" s="77"/>
      <c r="AT435" s="77"/>
      <c r="AU435" s="77"/>
      <c r="AV435" s="80" t="str">
        <f>HYPERLINK("https://pbs.twimg.com/media/F3KxXYuWYAEAa0A.jpg")</f>
        <v>https://pbs.twimg.com/media/F3KxXYuWYAEAa0A.jpg</v>
      </c>
      <c r="AW435" s="82" t="s">
        <v>4489</v>
      </c>
      <c r="AX435" s="82" t="s">
        <v>4489</v>
      </c>
      <c r="AY435" s="77"/>
      <c r="AZ435" s="82" t="s">
        <v>5075</v>
      </c>
      <c r="BA435" s="82" t="s">
        <v>5075</v>
      </c>
      <c r="BB435" s="82" t="s">
        <v>5075</v>
      </c>
      <c r="BC435" s="82" t="s">
        <v>4489</v>
      </c>
      <c r="BD435" s="82" t="s">
        <v>5204</v>
      </c>
      <c r="BE435" s="77"/>
      <c r="BF435" s="77"/>
      <c r="BG435" s="77"/>
      <c r="BH435" s="77"/>
      <c r="BI435" s="77"/>
    </row>
    <row r="436" spans="1:61" x14ac:dyDescent="0.25">
      <c r="A436" s="62" t="s">
        <v>377</v>
      </c>
      <c r="B436" s="62" t="s">
        <v>377</v>
      </c>
      <c r="C436" s="63"/>
      <c r="D436" s="64"/>
      <c r="E436" s="65"/>
      <c r="F436" s="66"/>
      <c r="G436" s="63"/>
      <c r="H436" s="67"/>
      <c r="I436" s="68"/>
      <c r="J436" s="68"/>
      <c r="K436" s="32"/>
      <c r="L436" s="75">
        <v>436</v>
      </c>
      <c r="M436" s="75"/>
      <c r="N436" s="70"/>
      <c r="O436" s="77" t="s">
        <v>539</v>
      </c>
      <c r="P436" s="79">
        <v>45147.673136574071</v>
      </c>
      <c r="Q436" s="77" t="s">
        <v>967</v>
      </c>
      <c r="R436" s="77">
        <v>0</v>
      </c>
      <c r="S436" s="77">
        <v>0</v>
      </c>
      <c r="T436" s="77">
        <v>0</v>
      </c>
      <c r="U436" s="77">
        <v>0</v>
      </c>
      <c r="V436" s="77">
        <v>38</v>
      </c>
      <c r="W436" s="82" t="s">
        <v>1720</v>
      </c>
      <c r="X436" s="77"/>
      <c r="Y436" s="77"/>
      <c r="Z436" s="77" t="s">
        <v>377</v>
      </c>
      <c r="AA436" s="77" t="s">
        <v>2284</v>
      </c>
      <c r="AB436" s="77" t="s">
        <v>2632</v>
      </c>
      <c r="AC436" s="82" t="s">
        <v>2638</v>
      </c>
      <c r="AD436" s="77" t="s">
        <v>2670</v>
      </c>
      <c r="AE436" s="80" t="str">
        <f>HYPERLINK("https://twitter.com/workshopdantas/status/1689307883454820353")</f>
        <v>https://twitter.com/workshopdantas/status/1689307883454820353</v>
      </c>
      <c r="AF436" s="79">
        <v>45147.673136574071</v>
      </c>
      <c r="AG436" s="85">
        <v>45147</v>
      </c>
      <c r="AH436" s="82" t="s">
        <v>3075</v>
      </c>
      <c r="AI436" s="77" t="b">
        <v>0</v>
      </c>
      <c r="AJ436" s="77"/>
      <c r="AK436" s="77"/>
      <c r="AL436" s="77"/>
      <c r="AM436" s="77"/>
      <c r="AN436" s="77"/>
      <c r="AO436" s="77"/>
      <c r="AP436" s="77"/>
      <c r="AQ436" s="77" t="s">
        <v>3713</v>
      </c>
      <c r="AR436" s="77"/>
      <c r="AS436" s="77"/>
      <c r="AT436" s="77"/>
      <c r="AU436" s="77"/>
      <c r="AV436" s="80" t="str">
        <f>HYPERLINK("https://pbs.twimg.com/media/F3GgkWGXQAAI-1T.jpg")</f>
        <v>https://pbs.twimg.com/media/F3GgkWGXQAAI-1T.jpg</v>
      </c>
      <c r="AW436" s="82" t="s">
        <v>4490</v>
      </c>
      <c r="AX436" s="82" t="s">
        <v>4490</v>
      </c>
      <c r="AY436" s="77"/>
      <c r="AZ436" s="82" t="s">
        <v>5075</v>
      </c>
      <c r="BA436" s="82" t="s">
        <v>5075</v>
      </c>
      <c r="BB436" s="82" t="s">
        <v>5075</v>
      </c>
      <c r="BC436" s="82" t="s">
        <v>4490</v>
      </c>
      <c r="BD436" s="82" t="s">
        <v>5204</v>
      </c>
      <c r="BE436" s="77"/>
      <c r="BF436" s="77"/>
      <c r="BG436" s="77"/>
      <c r="BH436" s="77"/>
      <c r="BI436" s="77"/>
    </row>
    <row r="437" spans="1:61" x14ac:dyDescent="0.25">
      <c r="A437" s="62" t="s">
        <v>377</v>
      </c>
      <c r="B437" s="62" t="s">
        <v>377</v>
      </c>
      <c r="C437" s="63"/>
      <c r="D437" s="64"/>
      <c r="E437" s="65"/>
      <c r="F437" s="66"/>
      <c r="G437" s="63"/>
      <c r="H437" s="67"/>
      <c r="I437" s="68"/>
      <c r="J437" s="68"/>
      <c r="K437" s="32"/>
      <c r="L437" s="75">
        <v>437</v>
      </c>
      <c r="M437" s="75"/>
      <c r="N437" s="70"/>
      <c r="O437" s="77" t="s">
        <v>539</v>
      </c>
      <c r="P437" s="79">
        <v>45139.490671296298</v>
      </c>
      <c r="Q437" s="77" t="s">
        <v>968</v>
      </c>
      <c r="R437" s="77">
        <v>0</v>
      </c>
      <c r="S437" s="77">
        <v>2</v>
      </c>
      <c r="T437" s="77">
        <v>0</v>
      </c>
      <c r="U437" s="77">
        <v>0</v>
      </c>
      <c r="V437" s="77">
        <v>77</v>
      </c>
      <c r="W437" s="82" t="s">
        <v>1773</v>
      </c>
      <c r="X437" s="77"/>
      <c r="Y437" s="77"/>
      <c r="Z437" s="77" t="s">
        <v>377</v>
      </c>
      <c r="AA437" s="77" t="s">
        <v>2285</v>
      </c>
      <c r="AB437" s="77" t="s">
        <v>2632</v>
      </c>
      <c r="AC437" s="82" t="s">
        <v>2638</v>
      </c>
      <c r="AD437" s="77" t="s">
        <v>2670</v>
      </c>
      <c r="AE437" s="80" t="str">
        <f>HYPERLINK("https://twitter.com/workshopdantas/status/1686342654907334656")</f>
        <v>https://twitter.com/workshopdantas/status/1686342654907334656</v>
      </c>
      <c r="AF437" s="79">
        <v>45139.490671296298</v>
      </c>
      <c r="AG437" s="85">
        <v>45139</v>
      </c>
      <c r="AH437" s="82" t="s">
        <v>3076</v>
      </c>
      <c r="AI437" s="77" t="b">
        <v>0</v>
      </c>
      <c r="AJ437" s="77"/>
      <c r="AK437" s="77"/>
      <c r="AL437" s="77"/>
      <c r="AM437" s="77"/>
      <c r="AN437" s="77"/>
      <c r="AO437" s="77"/>
      <c r="AP437" s="77"/>
      <c r="AQ437" s="77" t="s">
        <v>3714</v>
      </c>
      <c r="AR437" s="77"/>
      <c r="AS437" s="77"/>
      <c r="AT437" s="77"/>
      <c r="AU437" s="77"/>
      <c r="AV437" s="80" t="str">
        <f>HYPERLINK("https://pbs.twimg.com/media/F2cXtRaWUAAhdOr.jpg")</f>
        <v>https://pbs.twimg.com/media/F2cXtRaWUAAhdOr.jpg</v>
      </c>
      <c r="AW437" s="82" t="s">
        <v>4491</v>
      </c>
      <c r="AX437" s="82" t="s">
        <v>4491</v>
      </c>
      <c r="AY437" s="77"/>
      <c r="AZ437" s="82" t="s">
        <v>5075</v>
      </c>
      <c r="BA437" s="82" t="s">
        <v>5075</v>
      </c>
      <c r="BB437" s="82" t="s">
        <v>5075</v>
      </c>
      <c r="BC437" s="82" t="s">
        <v>4491</v>
      </c>
      <c r="BD437" s="82" t="s">
        <v>5204</v>
      </c>
      <c r="BE437" s="77"/>
      <c r="BF437" s="77"/>
      <c r="BG437" s="77"/>
      <c r="BH437" s="77"/>
      <c r="BI437" s="77"/>
    </row>
    <row r="438" spans="1:61" x14ac:dyDescent="0.25">
      <c r="A438" s="62" t="s">
        <v>377</v>
      </c>
      <c r="B438" s="62" t="s">
        <v>377</v>
      </c>
      <c r="C438" s="63"/>
      <c r="D438" s="64"/>
      <c r="E438" s="65"/>
      <c r="F438" s="66"/>
      <c r="G438" s="63"/>
      <c r="H438" s="67"/>
      <c r="I438" s="68"/>
      <c r="J438" s="68"/>
      <c r="K438" s="32"/>
      <c r="L438" s="75">
        <v>438</v>
      </c>
      <c r="M438" s="75"/>
      <c r="N438" s="70"/>
      <c r="O438" s="77" t="s">
        <v>539</v>
      </c>
      <c r="P438" s="79">
        <v>45138.456770833334</v>
      </c>
      <c r="Q438" s="77" t="s">
        <v>969</v>
      </c>
      <c r="R438" s="77">
        <v>0</v>
      </c>
      <c r="S438" s="77">
        <v>0</v>
      </c>
      <c r="T438" s="77">
        <v>0</v>
      </c>
      <c r="U438" s="77">
        <v>0</v>
      </c>
      <c r="V438" s="77">
        <v>47</v>
      </c>
      <c r="W438" s="82" t="s">
        <v>1720</v>
      </c>
      <c r="X438" s="77"/>
      <c r="Y438" s="77"/>
      <c r="Z438" s="77" t="s">
        <v>377</v>
      </c>
      <c r="AA438" s="77" t="s">
        <v>2286</v>
      </c>
      <c r="AB438" s="77" t="s">
        <v>2632</v>
      </c>
      <c r="AC438" s="82" t="s">
        <v>2638</v>
      </c>
      <c r="AD438" s="77" t="s">
        <v>2670</v>
      </c>
      <c r="AE438" s="80" t="str">
        <f>HYPERLINK("https://twitter.com/workshopdantas/status/1685967981170327552")</f>
        <v>https://twitter.com/workshopdantas/status/1685967981170327552</v>
      </c>
      <c r="AF438" s="79">
        <v>45138.456770833334</v>
      </c>
      <c r="AG438" s="85">
        <v>45138</v>
      </c>
      <c r="AH438" s="82" t="s">
        <v>3077</v>
      </c>
      <c r="AI438" s="77" t="b">
        <v>0</v>
      </c>
      <c r="AJ438" s="77"/>
      <c r="AK438" s="77"/>
      <c r="AL438" s="77"/>
      <c r="AM438" s="77"/>
      <c r="AN438" s="77"/>
      <c r="AO438" s="77"/>
      <c r="AP438" s="77"/>
      <c r="AQ438" s="77" t="s">
        <v>3715</v>
      </c>
      <c r="AR438" s="77"/>
      <c r="AS438" s="77"/>
      <c r="AT438" s="77"/>
      <c r="AU438" s="77"/>
      <c r="AV438" s="80" t="str">
        <f>HYPERLINK("https://pbs.twimg.com/media/F2XC8X8XsAAy_l4.jpg")</f>
        <v>https://pbs.twimg.com/media/F2XC8X8XsAAy_l4.jpg</v>
      </c>
      <c r="AW438" s="82" t="s">
        <v>4492</v>
      </c>
      <c r="AX438" s="82" t="s">
        <v>4492</v>
      </c>
      <c r="AY438" s="77"/>
      <c r="AZ438" s="82" t="s">
        <v>5075</v>
      </c>
      <c r="BA438" s="82" t="s">
        <v>5075</v>
      </c>
      <c r="BB438" s="82" t="s">
        <v>5075</v>
      </c>
      <c r="BC438" s="82" t="s">
        <v>4492</v>
      </c>
      <c r="BD438" s="82" t="s">
        <v>5204</v>
      </c>
      <c r="BE438" s="77"/>
      <c r="BF438" s="77"/>
      <c r="BG438" s="77"/>
      <c r="BH438" s="77"/>
      <c r="BI438" s="77"/>
    </row>
    <row r="439" spans="1:61" x14ac:dyDescent="0.25">
      <c r="A439" s="62" t="s">
        <v>377</v>
      </c>
      <c r="B439" s="62" t="s">
        <v>377</v>
      </c>
      <c r="C439" s="63"/>
      <c r="D439" s="64"/>
      <c r="E439" s="65"/>
      <c r="F439" s="66"/>
      <c r="G439" s="63"/>
      <c r="H439" s="67"/>
      <c r="I439" s="68"/>
      <c r="J439" s="68"/>
      <c r="K439" s="32"/>
      <c r="L439" s="75">
        <v>439</v>
      </c>
      <c r="M439" s="75"/>
      <c r="N439" s="70"/>
      <c r="O439" s="77" t="s">
        <v>539</v>
      </c>
      <c r="P439" s="79">
        <v>45126.485706018517</v>
      </c>
      <c r="Q439" s="77" t="s">
        <v>970</v>
      </c>
      <c r="R439" s="77">
        <v>0</v>
      </c>
      <c r="S439" s="77">
        <v>1</v>
      </c>
      <c r="T439" s="77">
        <v>0</v>
      </c>
      <c r="U439" s="77">
        <v>0</v>
      </c>
      <c r="V439" s="77">
        <v>58</v>
      </c>
      <c r="W439" s="82" t="s">
        <v>1774</v>
      </c>
      <c r="X439" s="77"/>
      <c r="Y439" s="77"/>
      <c r="Z439" s="77" t="s">
        <v>377</v>
      </c>
      <c r="AA439" s="77" t="s">
        <v>2287</v>
      </c>
      <c r="AB439" s="77" t="s">
        <v>2632</v>
      </c>
      <c r="AC439" s="82" t="s">
        <v>2638</v>
      </c>
      <c r="AD439" s="77" t="s">
        <v>2670</v>
      </c>
      <c r="AE439" s="80" t="str">
        <f>HYPERLINK("https://twitter.com/workshopdantas/status/1681629814459883520")</f>
        <v>https://twitter.com/workshopdantas/status/1681629814459883520</v>
      </c>
      <c r="AF439" s="79">
        <v>45126.485706018517</v>
      </c>
      <c r="AG439" s="85">
        <v>45126</v>
      </c>
      <c r="AH439" s="82" t="s">
        <v>3078</v>
      </c>
      <c r="AI439" s="77" t="b">
        <v>0</v>
      </c>
      <c r="AJ439" s="77"/>
      <c r="AK439" s="77"/>
      <c r="AL439" s="77"/>
      <c r="AM439" s="77"/>
      <c r="AN439" s="77"/>
      <c r="AO439" s="77"/>
      <c r="AP439" s="77"/>
      <c r="AQ439" s="77" t="s">
        <v>3716</v>
      </c>
      <c r="AR439" s="77"/>
      <c r="AS439" s="77"/>
      <c r="AT439" s="77"/>
      <c r="AU439" s="77"/>
      <c r="AV439" s="80" t="str">
        <f>HYPERLINK("https://pbs.twimg.com/media/F1ZZZ27WAAA_Nxe.jpg")</f>
        <v>https://pbs.twimg.com/media/F1ZZZ27WAAA_Nxe.jpg</v>
      </c>
      <c r="AW439" s="82" t="s">
        <v>4493</v>
      </c>
      <c r="AX439" s="82" t="s">
        <v>4493</v>
      </c>
      <c r="AY439" s="77"/>
      <c r="AZ439" s="82" t="s">
        <v>5075</v>
      </c>
      <c r="BA439" s="82" t="s">
        <v>5075</v>
      </c>
      <c r="BB439" s="82" t="s">
        <v>5075</v>
      </c>
      <c r="BC439" s="82" t="s">
        <v>4493</v>
      </c>
      <c r="BD439" s="82" t="s">
        <v>5204</v>
      </c>
      <c r="BE439" s="77"/>
      <c r="BF439" s="77"/>
      <c r="BG439" s="77"/>
      <c r="BH439" s="77"/>
      <c r="BI439" s="77"/>
    </row>
    <row r="440" spans="1:61" x14ac:dyDescent="0.25">
      <c r="A440" s="62" t="s">
        <v>377</v>
      </c>
      <c r="B440" s="62" t="s">
        <v>377</v>
      </c>
      <c r="C440" s="63"/>
      <c r="D440" s="64"/>
      <c r="E440" s="65"/>
      <c r="F440" s="66"/>
      <c r="G440" s="63"/>
      <c r="H440" s="67"/>
      <c r="I440" s="68"/>
      <c r="J440" s="68"/>
      <c r="K440" s="32"/>
      <c r="L440" s="75">
        <v>440</v>
      </c>
      <c r="M440" s="75"/>
      <c r="N440" s="70"/>
      <c r="O440" s="77" t="s">
        <v>539</v>
      </c>
      <c r="P440" s="79">
        <v>45125.447685185187</v>
      </c>
      <c r="Q440" s="77" t="s">
        <v>971</v>
      </c>
      <c r="R440" s="77">
        <v>0</v>
      </c>
      <c r="S440" s="77">
        <v>0</v>
      </c>
      <c r="T440" s="77">
        <v>1</v>
      </c>
      <c r="U440" s="77">
        <v>0</v>
      </c>
      <c r="V440" s="77">
        <v>42</v>
      </c>
      <c r="W440" s="82" t="s">
        <v>1775</v>
      </c>
      <c r="X440" s="77"/>
      <c r="Y440" s="77"/>
      <c r="Z440" s="77" t="s">
        <v>377</v>
      </c>
      <c r="AA440" s="77" t="s">
        <v>2288</v>
      </c>
      <c r="AB440" s="77" t="s">
        <v>2632</v>
      </c>
      <c r="AC440" s="82" t="s">
        <v>2638</v>
      </c>
      <c r="AD440" s="77" t="s">
        <v>2670</v>
      </c>
      <c r="AE440" s="80" t="str">
        <f>HYPERLINK("https://twitter.com/workshopdantas/status/1681253645877145600")</f>
        <v>https://twitter.com/workshopdantas/status/1681253645877145600</v>
      </c>
      <c r="AF440" s="79">
        <v>45125.447685185187</v>
      </c>
      <c r="AG440" s="85">
        <v>45125</v>
      </c>
      <c r="AH440" s="82" t="s">
        <v>3079</v>
      </c>
      <c r="AI440" s="77" t="b">
        <v>0</v>
      </c>
      <c r="AJ440" s="77"/>
      <c r="AK440" s="77"/>
      <c r="AL440" s="77"/>
      <c r="AM440" s="77"/>
      <c r="AN440" s="77"/>
      <c r="AO440" s="77"/>
      <c r="AP440" s="77"/>
      <c r="AQ440" s="77" t="s">
        <v>3717</v>
      </c>
      <c r="AR440" s="77"/>
      <c r="AS440" s="77"/>
      <c r="AT440" s="77"/>
      <c r="AU440" s="77"/>
      <c r="AV440" s="80" t="str">
        <f>HYPERLINK("https://pbs.twimg.com/media/F1UDR-MXsAA3UbA.jpg")</f>
        <v>https://pbs.twimg.com/media/F1UDR-MXsAA3UbA.jpg</v>
      </c>
      <c r="AW440" s="82" t="s">
        <v>4494</v>
      </c>
      <c r="AX440" s="82" t="s">
        <v>4494</v>
      </c>
      <c r="AY440" s="77"/>
      <c r="AZ440" s="82" t="s">
        <v>5075</v>
      </c>
      <c r="BA440" s="82" t="s">
        <v>5075</v>
      </c>
      <c r="BB440" s="82" t="s">
        <v>5075</v>
      </c>
      <c r="BC440" s="82" t="s">
        <v>4494</v>
      </c>
      <c r="BD440" s="82" t="s">
        <v>5204</v>
      </c>
      <c r="BE440" s="77"/>
      <c r="BF440" s="77"/>
      <c r="BG440" s="77"/>
      <c r="BH440" s="77"/>
      <c r="BI440" s="77"/>
    </row>
    <row r="441" spans="1:61" x14ac:dyDescent="0.25">
      <c r="A441" s="62" t="s">
        <v>377</v>
      </c>
      <c r="B441" s="62" t="s">
        <v>377</v>
      </c>
      <c r="C441" s="63"/>
      <c r="D441" s="64"/>
      <c r="E441" s="65"/>
      <c r="F441" s="66"/>
      <c r="G441" s="63"/>
      <c r="H441" s="67"/>
      <c r="I441" s="68"/>
      <c r="J441" s="68"/>
      <c r="K441" s="32"/>
      <c r="L441" s="75">
        <v>441</v>
      </c>
      <c r="M441" s="75"/>
      <c r="N441" s="70"/>
      <c r="O441" s="77" t="s">
        <v>539</v>
      </c>
      <c r="P441" s="79">
        <v>45114.673032407409</v>
      </c>
      <c r="Q441" s="77" t="s">
        <v>972</v>
      </c>
      <c r="R441" s="77">
        <v>0</v>
      </c>
      <c r="S441" s="77">
        <v>2</v>
      </c>
      <c r="T441" s="77">
        <v>0</v>
      </c>
      <c r="U441" s="77">
        <v>0</v>
      </c>
      <c r="V441" s="77">
        <v>46</v>
      </c>
      <c r="W441" s="82" t="s">
        <v>1776</v>
      </c>
      <c r="X441" s="77"/>
      <c r="Y441" s="77"/>
      <c r="Z441" s="77" t="s">
        <v>377</v>
      </c>
      <c r="AA441" s="77" t="s">
        <v>2289</v>
      </c>
      <c r="AB441" s="77" t="s">
        <v>2632</v>
      </c>
      <c r="AC441" s="82" t="s">
        <v>2638</v>
      </c>
      <c r="AD441" s="77" t="s">
        <v>2670</v>
      </c>
      <c r="AE441" s="80" t="str">
        <f>HYPERLINK("https://twitter.com/workshopdantas/status/1677349043318472705")</f>
        <v>https://twitter.com/workshopdantas/status/1677349043318472705</v>
      </c>
      <c r="AF441" s="79">
        <v>45114.673032407409</v>
      </c>
      <c r="AG441" s="85">
        <v>45114</v>
      </c>
      <c r="AH441" s="82" t="s">
        <v>3080</v>
      </c>
      <c r="AI441" s="77" t="b">
        <v>0</v>
      </c>
      <c r="AJ441" s="77"/>
      <c r="AK441" s="77"/>
      <c r="AL441" s="77"/>
      <c r="AM441" s="77"/>
      <c r="AN441" s="77"/>
      <c r="AO441" s="77"/>
      <c r="AP441" s="77"/>
      <c r="AQ441" s="77" t="s">
        <v>3718</v>
      </c>
      <c r="AR441" s="77"/>
      <c r="AS441" s="77"/>
      <c r="AT441" s="77"/>
      <c r="AU441" s="77"/>
      <c r="AV441" s="80" t="str">
        <f>HYPERLINK("https://pbs.twimg.com/media/F0ckDzjWYAIpJEN.jpg")</f>
        <v>https://pbs.twimg.com/media/F0ckDzjWYAIpJEN.jpg</v>
      </c>
      <c r="AW441" s="82" t="s">
        <v>4495</v>
      </c>
      <c r="AX441" s="82" t="s">
        <v>4495</v>
      </c>
      <c r="AY441" s="77"/>
      <c r="AZ441" s="82" t="s">
        <v>5075</v>
      </c>
      <c r="BA441" s="82" t="s">
        <v>5075</v>
      </c>
      <c r="BB441" s="82" t="s">
        <v>5075</v>
      </c>
      <c r="BC441" s="82" t="s">
        <v>4495</v>
      </c>
      <c r="BD441" s="82" t="s">
        <v>5204</v>
      </c>
      <c r="BE441" s="77"/>
      <c r="BF441" s="77"/>
      <c r="BG441" s="77"/>
      <c r="BH441" s="77"/>
      <c r="BI441" s="77"/>
    </row>
    <row r="442" spans="1:61" x14ac:dyDescent="0.25">
      <c r="A442" s="62" t="s">
        <v>377</v>
      </c>
      <c r="B442" s="62" t="s">
        <v>377</v>
      </c>
      <c r="C442" s="63"/>
      <c r="D442" s="64"/>
      <c r="E442" s="65"/>
      <c r="F442" s="66"/>
      <c r="G442" s="63"/>
      <c r="H442" s="67"/>
      <c r="I442" s="68"/>
      <c r="J442" s="68"/>
      <c r="K442" s="32"/>
      <c r="L442" s="75">
        <v>442</v>
      </c>
      <c r="M442" s="75"/>
      <c r="N442" s="70"/>
      <c r="O442" s="77" t="s">
        <v>539</v>
      </c>
      <c r="P442" s="79">
        <v>45105.473946759259</v>
      </c>
      <c r="Q442" s="77" t="s">
        <v>973</v>
      </c>
      <c r="R442" s="77">
        <v>0</v>
      </c>
      <c r="S442" s="77">
        <v>0</v>
      </c>
      <c r="T442" s="77">
        <v>0</v>
      </c>
      <c r="U442" s="77">
        <v>0</v>
      </c>
      <c r="V442" s="77">
        <v>71</v>
      </c>
      <c r="W442" s="82" t="s">
        <v>1777</v>
      </c>
      <c r="X442" s="77"/>
      <c r="Y442" s="77"/>
      <c r="Z442" s="77" t="s">
        <v>377</v>
      </c>
      <c r="AA442" s="77" t="s">
        <v>2290</v>
      </c>
      <c r="AB442" s="77" t="s">
        <v>2632</v>
      </c>
      <c r="AC442" s="82" t="s">
        <v>2638</v>
      </c>
      <c r="AD442" s="77" t="s">
        <v>2670</v>
      </c>
      <c r="AE442" s="80" t="str">
        <f>HYPERLINK("https://twitter.com/workshopdantas/status/1674015405969473537")</f>
        <v>https://twitter.com/workshopdantas/status/1674015405969473537</v>
      </c>
      <c r="AF442" s="79">
        <v>45105.473946759259</v>
      </c>
      <c r="AG442" s="85">
        <v>45105</v>
      </c>
      <c r="AH442" s="82" t="s">
        <v>3081</v>
      </c>
      <c r="AI442" s="77" t="b">
        <v>0</v>
      </c>
      <c r="AJ442" s="77"/>
      <c r="AK442" s="77"/>
      <c r="AL442" s="77"/>
      <c r="AM442" s="77"/>
      <c r="AN442" s="77"/>
      <c r="AO442" s="77"/>
      <c r="AP442" s="77"/>
      <c r="AQ442" s="77" t="s">
        <v>3719</v>
      </c>
      <c r="AR442" s="77"/>
      <c r="AS442" s="77"/>
      <c r="AT442" s="77"/>
      <c r="AU442" s="77"/>
      <c r="AV442" s="80" t="str">
        <f>HYPERLINK("https://pbs.twimg.com/media/FztMI9aXoAU9pde.jpg")</f>
        <v>https://pbs.twimg.com/media/FztMI9aXoAU9pde.jpg</v>
      </c>
      <c r="AW442" s="82" t="s">
        <v>4496</v>
      </c>
      <c r="AX442" s="82" t="s">
        <v>4496</v>
      </c>
      <c r="AY442" s="77"/>
      <c r="AZ442" s="82" t="s">
        <v>5075</v>
      </c>
      <c r="BA442" s="82" t="s">
        <v>5075</v>
      </c>
      <c r="BB442" s="82" t="s">
        <v>5075</v>
      </c>
      <c r="BC442" s="82" t="s">
        <v>4496</v>
      </c>
      <c r="BD442" s="82" t="s">
        <v>5204</v>
      </c>
      <c r="BE442" s="77"/>
      <c r="BF442" s="77"/>
      <c r="BG442" s="77"/>
      <c r="BH442" s="77"/>
      <c r="BI442" s="77"/>
    </row>
    <row r="443" spans="1:61" x14ac:dyDescent="0.25">
      <c r="A443" s="62" t="s">
        <v>377</v>
      </c>
      <c r="B443" s="62" t="s">
        <v>377</v>
      </c>
      <c r="C443" s="63"/>
      <c r="D443" s="64"/>
      <c r="E443" s="65"/>
      <c r="F443" s="66"/>
      <c r="G443" s="63"/>
      <c r="H443" s="67"/>
      <c r="I443" s="68"/>
      <c r="J443" s="68"/>
      <c r="K443" s="32"/>
      <c r="L443" s="75">
        <v>443</v>
      </c>
      <c r="M443" s="75"/>
      <c r="N443" s="70"/>
      <c r="O443" s="77" t="s">
        <v>539</v>
      </c>
      <c r="P443" s="79">
        <v>45104.499259259261</v>
      </c>
      <c r="Q443" s="77" t="s">
        <v>974</v>
      </c>
      <c r="R443" s="77">
        <v>1</v>
      </c>
      <c r="S443" s="77">
        <v>2</v>
      </c>
      <c r="T443" s="77">
        <v>0</v>
      </c>
      <c r="U443" s="77">
        <v>0</v>
      </c>
      <c r="V443" s="77">
        <v>47</v>
      </c>
      <c r="W443" s="82" t="s">
        <v>1735</v>
      </c>
      <c r="X443" s="77"/>
      <c r="Y443" s="77"/>
      <c r="Z443" s="77" t="s">
        <v>377</v>
      </c>
      <c r="AA443" s="77" t="s">
        <v>2291</v>
      </c>
      <c r="AB443" s="77" t="s">
        <v>2632</v>
      </c>
      <c r="AC443" s="82" t="s">
        <v>2638</v>
      </c>
      <c r="AD443" s="77" t="s">
        <v>2670</v>
      </c>
      <c r="AE443" s="80" t="str">
        <f>HYPERLINK("https://twitter.com/workshopdantas/status/1673662190556000261")</f>
        <v>https://twitter.com/workshopdantas/status/1673662190556000261</v>
      </c>
      <c r="AF443" s="79">
        <v>45104.499259259261</v>
      </c>
      <c r="AG443" s="85">
        <v>45104</v>
      </c>
      <c r="AH443" s="82" t="s">
        <v>3082</v>
      </c>
      <c r="AI443" s="77" t="b">
        <v>0</v>
      </c>
      <c r="AJ443" s="77"/>
      <c r="AK443" s="77"/>
      <c r="AL443" s="77"/>
      <c r="AM443" s="77"/>
      <c r="AN443" s="77"/>
      <c r="AO443" s="77"/>
      <c r="AP443" s="77"/>
      <c r="AQ443" s="77" t="s">
        <v>3720</v>
      </c>
      <c r="AR443" s="77"/>
      <c r="AS443" s="77"/>
      <c r="AT443" s="77"/>
      <c r="AU443" s="77"/>
      <c r="AV443" s="80" t="str">
        <f>HYPERLINK("https://pbs.twimg.com/media/FzoK5EgXwAI7Q1A.jpg")</f>
        <v>https://pbs.twimg.com/media/FzoK5EgXwAI7Q1A.jpg</v>
      </c>
      <c r="AW443" s="82" t="s">
        <v>4497</v>
      </c>
      <c r="AX443" s="82" t="s">
        <v>4497</v>
      </c>
      <c r="AY443" s="77"/>
      <c r="AZ443" s="82" t="s">
        <v>5075</v>
      </c>
      <c r="BA443" s="82" t="s">
        <v>5075</v>
      </c>
      <c r="BB443" s="82" t="s">
        <v>5075</v>
      </c>
      <c r="BC443" s="82" t="s">
        <v>4497</v>
      </c>
      <c r="BD443" s="82" t="s">
        <v>5204</v>
      </c>
      <c r="BE443" s="77"/>
      <c r="BF443" s="77"/>
      <c r="BG443" s="77"/>
      <c r="BH443" s="77"/>
      <c r="BI443" s="77"/>
    </row>
    <row r="444" spans="1:61" x14ac:dyDescent="0.25">
      <c r="A444" s="62" t="s">
        <v>377</v>
      </c>
      <c r="B444" s="62" t="s">
        <v>377</v>
      </c>
      <c r="C444" s="63"/>
      <c r="D444" s="64"/>
      <c r="E444" s="65"/>
      <c r="F444" s="66"/>
      <c r="G444" s="63"/>
      <c r="H444" s="67"/>
      <c r="I444" s="68"/>
      <c r="J444" s="68"/>
      <c r="K444" s="32"/>
      <c r="L444" s="75">
        <v>444</v>
      </c>
      <c r="M444" s="75"/>
      <c r="N444" s="70"/>
      <c r="O444" s="77" t="s">
        <v>539</v>
      </c>
      <c r="P444" s="79">
        <v>45104.062638888892</v>
      </c>
      <c r="Q444" s="77" t="s">
        <v>975</v>
      </c>
      <c r="R444" s="77">
        <v>0</v>
      </c>
      <c r="S444" s="77">
        <v>2</v>
      </c>
      <c r="T444" s="77">
        <v>0</v>
      </c>
      <c r="U444" s="77">
        <v>1</v>
      </c>
      <c r="V444" s="77">
        <v>1192</v>
      </c>
      <c r="W444" s="82" t="s">
        <v>1778</v>
      </c>
      <c r="X444" s="77"/>
      <c r="Y444" s="77"/>
      <c r="Z444" s="77" t="s">
        <v>377</v>
      </c>
      <c r="AA444" s="77" t="s">
        <v>2292</v>
      </c>
      <c r="AB444" s="77" t="s">
        <v>2632</v>
      </c>
      <c r="AC444" s="82" t="s">
        <v>2638</v>
      </c>
      <c r="AD444" s="77" t="s">
        <v>2670</v>
      </c>
      <c r="AE444" s="80" t="str">
        <f>HYPERLINK("https://twitter.com/workshopdantas/status/1673503966548619264")</f>
        <v>https://twitter.com/workshopdantas/status/1673503966548619264</v>
      </c>
      <c r="AF444" s="79">
        <v>45104.062638888892</v>
      </c>
      <c r="AG444" s="85">
        <v>45104</v>
      </c>
      <c r="AH444" s="82" t="s">
        <v>3083</v>
      </c>
      <c r="AI444" s="77" t="b">
        <v>0</v>
      </c>
      <c r="AJ444" s="77"/>
      <c r="AK444" s="77"/>
      <c r="AL444" s="77"/>
      <c r="AM444" s="77"/>
      <c r="AN444" s="77"/>
      <c r="AO444" s="77"/>
      <c r="AP444" s="77"/>
      <c r="AQ444" s="77" t="s">
        <v>3721</v>
      </c>
      <c r="AR444" s="77"/>
      <c r="AS444" s="77"/>
      <c r="AT444" s="77"/>
      <c r="AU444" s="77"/>
      <c r="AV444" s="80" t="str">
        <f>HYPERLINK("https://pbs.twimg.com/media/Fzl6-4UWcAAWWqo.jpg")</f>
        <v>https://pbs.twimg.com/media/Fzl6-4UWcAAWWqo.jpg</v>
      </c>
      <c r="AW444" s="82" t="s">
        <v>4498</v>
      </c>
      <c r="AX444" s="82" t="s">
        <v>4498</v>
      </c>
      <c r="AY444" s="77"/>
      <c r="AZ444" s="82" t="s">
        <v>5075</v>
      </c>
      <c r="BA444" s="82" t="s">
        <v>5075</v>
      </c>
      <c r="BB444" s="82" t="s">
        <v>5075</v>
      </c>
      <c r="BC444" s="82" t="s">
        <v>4498</v>
      </c>
      <c r="BD444" s="82" t="s">
        <v>5204</v>
      </c>
      <c r="BE444" s="77"/>
      <c r="BF444" s="77"/>
      <c r="BG444" s="77"/>
      <c r="BH444" s="77"/>
      <c r="BI444" s="77"/>
    </row>
    <row r="445" spans="1:61" x14ac:dyDescent="0.25">
      <c r="A445" s="62" t="s">
        <v>377</v>
      </c>
      <c r="B445" s="62" t="s">
        <v>377</v>
      </c>
      <c r="C445" s="63"/>
      <c r="D445" s="64"/>
      <c r="E445" s="65"/>
      <c r="F445" s="66"/>
      <c r="G445" s="63"/>
      <c r="H445" s="67"/>
      <c r="I445" s="68"/>
      <c r="J445" s="68"/>
      <c r="K445" s="32"/>
      <c r="L445" s="75">
        <v>445</v>
      </c>
      <c r="M445" s="75"/>
      <c r="N445" s="70"/>
      <c r="O445" s="77" t="s">
        <v>539</v>
      </c>
      <c r="P445" s="79">
        <v>45185.464525462965</v>
      </c>
      <c r="Q445" s="77" t="s">
        <v>976</v>
      </c>
      <c r="R445" s="77">
        <v>0</v>
      </c>
      <c r="S445" s="77">
        <v>0</v>
      </c>
      <c r="T445" s="77">
        <v>0</v>
      </c>
      <c r="U445" s="77">
        <v>0</v>
      </c>
      <c r="V445" s="77">
        <v>103</v>
      </c>
      <c r="W445" s="82" t="s">
        <v>1779</v>
      </c>
      <c r="X445" s="77"/>
      <c r="Y445" s="77"/>
      <c r="Z445" s="77" t="s">
        <v>377</v>
      </c>
      <c r="AA445" s="77" t="s">
        <v>2293</v>
      </c>
      <c r="AB445" s="77" t="s">
        <v>2632</v>
      </c>
      <c r="AC445" s="82" t="s">
        <v>2638</v>
      </c>
      <c r="AD445" s="77" t="s">
        <v>2670</v>
      </c>
      <c r="AE445" s="80" t="str">
        <f>HYPERLINK("https://twitter.com/workshopdantas/status/1703003023012675630")</f>
        <v>https://twitter.com/workshopdantas/status/1703003023012675630</v>
      </c>
      <c r="AF445" s="79">
        <v>45185.464525462965</v>
      </c>
      <c r="AG445" s="85">
        <v>45185</v>
      </c>
      <c r="AH445" s="82" t="s">
        <v>3084</v>
      </c>
      <c r="AI445" s="77" t="b">
        <v>0</v>
      </c>
      <c r="AJ445" s="77"/>
      <c r="AK445" s="77"/>
      <c r="AL445" s="77"/>
      <c r="AM445" s="77"/>
      <c r="AN445" s="77"/>
      <c r="AO445" s="77"/>
      <c r="AP445" s="77"/>
      <c r="AQ445" s="77" t="s">
        <v>3722</v>
      </c>
      <c r="AR445" s="77"/>
      <c r="AS445" s="77"/>
      <c r="AT445" s="77"/>
      <c r="AU445" s="77"/>
      <c r="AV445" s="80" t="str">
        <f>HYPERLINK("https://pbs.twimg.com/media/F6JIOWGXYAAngAy.jpg")</f>
        <v>https://pbs.twimg.com/media/F6JIOWGXYAAngAy.jpg</v>
      </c>
      <c r="AW445" s="82" t="s">
        <v>4499</v>
      </c>
      <c r="AX445" s="82" t="s">
        <v>4499</v>
      </c>
      <c r="AY445" s="77"/>
      <c r="AZ445" s="82" t="s">
        <v>5075</v>
      </c>
      <c r="BA445" s="82" t="s">
        <v>5075</v>
      </c>
      <c r="BB445" s="82" t="s">
        <v>5075</v>
      </c>
      <c r="BC445" s="82" t="s">
        <v>4499</v>
      </c>
      <c r="BD445" s="82" t="s">
        <v>5204</v>
      </c>
      <c r="BE445" s="77"/>
      <c r="BF445" s="77"/>
      <c r="BG445" s="77"/>
      <c r="BH445" s="77"/>
      <c r="BI445" s="77"/>
    </row>
    <row r="446" spans="1:61" x14ac:dyDescent="0.25">
      <c r="A446" s="62" t="s">
        <v>377</v>
      </c>
      <c r="B446" s="62" t="s">
        <v>377</v>
      </c>
      <c r="C446" s="63"/>
      <c r="D446" s="64"/>
      <c r="E446" s="65"/>
      <c r="F446" s="66"/>
      <c r="G446" s="63"/>
      <c r="H446" s="67"/>
      <c r="I446" s="68"/>
      <c r="J446" s="68"/>
      <c r="K446" s="32"/>
      <c r="L446" s="75">
        <v>446</v>
      </c>
      <c r="M446" s="75"/>
      <c r="N446" s="70"/>
      <c r="O446" s="77" t="s">
        <v>539</v>
      </c>
      <c r="P446" s="79">
        <v>45182.934374999997</v>
      </c>
      <c r="Q446" s="77" t="s">
        <v>977</v>
      </c>
      <c r="R446" s="77">
        <v>0</v>
      </c>
      <c r="S446" s="77">
        <v>0</v>
      </c>
      <c r="T446" s="77">
        <v>0</v>
      </c>
      <c r="U446" s="77">
        <v>0</v>
      </c>
      <c r="V446" s="77">
        <v>42</v>
      </c>
      <c r="W446" s="82" t="s">
        <v>1780</v>
      </c>
      <c r="X446" s="77"/>
      <c r="Y446" s="77"/>
      <c r="Z446" s="77" t="s">
        <v>377</v>
      </c>
      <c r="AA446" s="77" t="s">
        <v>2294</v>
      </c>
      <c r="AB446" s="77" t="s">
        <v>2632</v>
      </c>
      <c r="AC446" s="82" t="s">
        <v>2638</v>
      </c>
      <c r="AD446" s="77" t="s">
        <v>2670</v>
      </c>
      <c r="AE446" s="80" t="str">
        <f>HYPERLINK("https://twitter.com/workshopdantas/status/1702086128239624319")</f>
        <v>https://twitter.com/workshopdantas/status/1702086128239624319</v>
      </c>
      <c r="AF446" s="79">
        <v>45182.934374999997</v>
      </c>
      <c r="AG446" s="85">
        <v>45182</v>
      </c>
      <c r="AH446" s="82" t="s">
        <v>3085</v>
      </c>
      <c r="AI446" s="77" t="b">
        <v>0</v>
      </c>
      <c r="AJ446" s="77"/>
      <c r="AK446" s="77"/>
      <c r="AL446" s="77"/>
      <c r="AM446" s="77"/>
      <c r="AN446" s="77"/>
      <c r="AO446" s="77"/>
      <c r="AP446" s="77"/>
      <c r="AQ446" s="77" t="s">
        <v>3723</v>
      </c>
      <c r="AR446" s="77"/>
      <c r="AS446" s="77"/>
      <c r="AT446" s="77"/>
      <c r="AU446" s="77"/>
      <c r="AV446" s="80" t="str">
        <f>HYPERLINK("https://pbs.twimg.com/media/F58GUDVXAAAMXaK.jpg")</f>
        <v>https://pbs.twimg.com/media/F58GUDVXAAAMXaK.jpg</v>
      </c>
      <c r="AW446" s="82" t="s">
        <v>4500</v>
      </c>
      <c r="AX446" s="82" t="s">
        <v>4500</v>
      </c>
      <c r="AY446" s="77"/>
      <c r="AZ446" s="82" t="s">
        <v>5075</v>
      </c>
      <c r="BA446" s="82" t="s">
        <v>5075</v>
      </c>
      <c r="BB446" s="82" t="s">
        <v>5075</v>
      </c>
      <c r="BC446" s="82" t="s">
        <v>4500</v>
      </c>
      <c r="BD446" s="82" t="s">
        <v>5204</v>
      </c>
      <c r="BE446" s="77"/>
      <c r="BF446" s="77"/>
      <c r="BG446" s="77"/>
      <c r="BH446" s="77"/>
      <c r="BI446" s="77"/>
    </row>
    <row r="447" spans="1:61" x14ac:dyDescent="0.25">
      <c r="A447" s="62" t="s">
        <v>377</v>
      </c>
      <c r="B447" s="62" t="s">
        <v>377</v>
      </c>
      <c r="C447" s="63"/>
      <c r="D447" s="64"/>
      <c r="E447" s="65"/>
      <c r="F447" s="66"/>
      <c r="G447" s="63"/>
      <c r="H447" s="67"/>
      <c r="I447" s="68"/>
      <c r="J447" s="68"/>
      <c r="K447" s="32"/>
      <c r="L447" s="75">
        <v>447</v>
      </c>
      <c r="M447" s="75"/>
      <c r="N447" s="70"/>
      <c r="O447" s="77" t="s">
        <v>539</v>
      </c>
      <c r="P447" s="79">
        <v>45143.416828703703</v>
      </c>
      <c r="Q447" s="77" t="s">
        <v>978</v>
      </c>
      <c r="R447" s="77">
        <v>0</v>
      </c>
      <c r="S447" s="77">
        <v>0</v>
      </c>
      <c r="T447" s="77">
        <v>0</v>
      </c>
      <c r="U447" s="77">
        <v>0</v>
      </c>
      <c r="V447" s="77">
        <v>67</v>
      </c>
      <c r="W447" s="82" t="s">
        <v>1781</v>
      </c>
      <c r="X447" s="77"/>
      <c r="Y447" s="77"/>
      <c r="Z447" s="77" t="s">
        <v>377</v>
      </c>
      <c r="AA447" s="77" t="s">
        <v>2295</v>
      </c>
      <c r="AB447" s="77" t="s">
        <v>2632</v>
      </c>
      <c r="AC447" s="82" t="s">
        <v>2638</v>
      </c>
      <c r="AD447" s="77" t="s">
        <v>2670</v>
      </c>
      <c r="AE447" s="80" t="str">
        <f>HYPERLINK("https://twitter.com/workshopdantas/status/1687765448933113856")</f>
        <v>https://twitter.com/workshopdantas/status/1687765448933113856</v>
      </c>
      <c r="AF447" s="79">
        <v>45143.416828703703</v>
      </c>
      <c r="AG447" s="85">
        <v>45143</v>
      </c>
      <c r="AH447" s="82" t="s">
        <v>3086</v>
      </c>
      <c r="AI447" s="77" t="b">
        <v>0</v>
      </c>
      <c r="AJ447" s="77"/>
      <c r="AK447" s="77"/>
      <c r="AL447" s="77"/>
      <c r="AM447" s="77"/>
      <c r="AN447" s="77"/>
      <c r="AO447" s="77"/>
      <c r="AP447" s="77"/>
      <c r="AQ447" s="77" t="s">
        <v>3724</v>
      </c>
      <c r="AR447" s="77"/>
      <c r="AS447" s="77"/>
      <c r="AT447" s="77"/>
      <c r="AU447" s="77"/>
      <c r="AV447" s="80" t="str">
        <f>HYPERLINK("https://pbs.twimg.com/media/F2wluzZWEAEWi3e.jpg")</f>
        <v>https://pbs.twimg.com/media/F2wluzZWEAEWi3e.jpg</v>
      </c>
      <c r="AW447" s="82" t="s">
        <v>4501</v>
      </c>
      <c r="AX447" s="82" t="s">
        <v>4501</v>
      </c>
      <c r="AY447" s="77"/>
      <c r="AZ447" s="82" t="s">
        <v>5075</v>
      </c>
      <c r="BA447" s="82" t="s">
        <v>5075</v>
      </c>
      <c r="BB447" s="82" t="s">
        <v>5075</v>
      </c>
      <c r="BC447" s="82" t="s">
        <v>4501</v>
      </c>
      <c r="BD447" s="82" t="s">
        <v>5204</v>
      </c>
      <c r="BE447" s="77"/>
      <c r="BF447" s="77"/>
      <c r="BG447" s="77"/>
      <c r="BH447" s="77"/>
      <c r="BI447" s="77"/>
    </row>
    <row r="448" spans="1:61" x14ac:dyDescent="0.25">
      <c r="A448" s="62" t="s">
        <v>377</v>
      </c>
      <c r="B448" s="62" t="s">
        <v>377</v>
      </c>
      <c r="C448" s="63"/>
      <c r="D448" s="64"/>
      <c r="E448" s="65"/>
      <c r="F448" s="66"/>
      <c r="G448" s="63"/>
      <c r="H448" s="67"/>
      <c r="I448" s="68"/>
      <c r="J448" s="68"/>
      <c r="K448" s="32"/>
      <c r="L448" s="75">
        <v>448</v>
      </c>
      <c r="M448" s="75"/>
      <c r="N448" s="70"/>
      <c r="O448" s="77" t="s">
        <v>539</v>
      </c>
      <c r="P448" s="79">
        <v>45142.426249999997</v>
      </c>
      <c r="Q448" s="77" t="s">
        <v>979</v>
      </c>
      <c r="R448" s="77">
        <v>0</v>
      </c>
      <c r="S448" s="77">
        <v>0</v>
      </c>
      <c r="T448" s="77">
        <v>0</v>
      </c>
      <c r="U448" s="77">
        <v>0</v>
      </c>
      <c r="V448" s="77">
        <v>152</v>
      </c>
      <c r="W448" s="82" t="s">
        <v>1782</v>
      </c>
      <c r="X448" s="77"/>
      <c r="Y448" s="77"/>
      <c r="Z448" s="77" t="s">
        <v>377</v>
      </c>
      <c r="AA448" s="77" t="s">
        <v>2296</v>
      </c>
      <c r="AB448" s="77" t="s">
        <v>2633</v>
      </c>
      <c r="AC448" s="82" t="s">
        <v>2638</v>
      </c>
      <c r="AD448" s="77" t="s">
        <v>2670</v>
      </c>
      <c r="AE448" s="80" t="str">
        <f>HYPERLINK("https://twitter.com/workshopdantas/status/1687406474832588800")</f>
        <v>https://twitter.com/workshopdantas/status/1687406474832588800</v>
      </c>
      <c r="AF448" s="79">
        <v>45142.426249999997</v>
      </c>
      <c r="AG448" s="85">
        <v>45142</v>
      </c>
      <c r="AH448" s="82" t="s">
        <v>3087</v>
      </c>
      <c r="AI448" s="77" t="b">
        <v>0</v>
      </c>
      <c r="AJ448" s="77"/>
      <c r="AK448" s="77"/>
      <c r="AL448" s="77"/>
      <c r="AM448" s="77"/>
      <c r="AN448" s="77"/>
      <c r="AO448" s="77"/>
      <c r="AP448" s="77"/>
      <c r="AQ448" s="77" t="s">
        <v>3725</v>
      </c>
      <c r="AR448" s="77">
        <v>119069</v>
      </c>
      <c r="AS448" s="77"/>
      <c r="AT448" s="77"/>
      <c r="AU448" s="77"/>
      <c r="AV448" s="80" t="str">
        <f>HYPERLINK("https://pbs.twimg.com/ext_tw_video_thumb/1687406431551537152/pu/img/9DRrA9kzcJOfw7Wy.jpg")</f>
        <v>https://pbs.twimg.com/ext_tw_video_thumb/1687406431551537152/pu/img/9DRrA9kzcJOfw7Wy.jpg</v>
      </c>
      <c r="AW448" s="82" t="s">
        <v>4502</v>
      </c>
      <c r="AX448" s="82" t="s">
        <v>4502</v>
      </c>
      <c r="AY448" s="77"/>
      <c r="AZ448" s="82" t="s">
        <v>5075</v>
      </c>
      <c r="BA448" s="82" t="s">
        <v>5075</v>
      </c>
      <c r="BB448" s="82" t="s">
        <v>5075</v>
      </c>
      <c r="BC448" s="82" t="s">
        <v>4502</v>
      </c>
      <c r="BD448" s="82" t="s">
        <v>5204</v>
      </c>
      <c r="BE448" s="77"/>
      <c r="BF448" s="77"/>
      <c r="BG448" s="77"/>
      <c r="BH448" s="77"/>
      <c r="BI448" s="77"/>
    </row>
    <row r="449" spans="1:61" x14ac:dyDescent="0.25">
      <c r="A449" s="62" t="s">
        <v>377</v>
      </c>
      <c r="B449" s="62" t="s">
        <v>377</v>
      </c>
      <c r="C449" s="63"/>
      <c r="D449" s="64"/>
      <c r="E449" s="65"/>
      <c r="F449" s="66"/>
      <c r="G449" s="63"/>
      <c r="H449" s="67"/>
      <c r="I449" s="68"/>
      <c r="J449" s="68"/>
      <c r="K449" s="32"/>
      <c r="L449" s="75">
        <v>449</v>
      </c>
      <c r="M449" s="75"/>
      <c r="N449" s="70"/>
      <c r="O449" s="77" t="s">
        <v>539</v>
      </c>
      <c r="P449" s="79">
        <v>45137.432233796295</v>
      </c>
      <c r="Q449" s="77" t="s">
        <v>980</v>
      </c>
      <c r="R449" s="77">
        <v>0</v>
      </c>
      <c r="S449" s="77">
        <v>0</v>
      </c>
      <c r="T449" s="77">
        <v>0</v>
      </c>
      <c r="U449" s="77">
        <v>0</v>
      </c>
      <c r="V449" s="77">
        <v>50</v>
      </c>
      <c r="W449" s="82" t="s">
        <v>1783</v>
      </c>
      <c r="X449" s="77"/>
      <c r="Y449" s="77"/>
      <c r="Z449" s="77" t="s">
        <v>377</v>
      </c>
      <c r="AA449" s="77" t="s">
        <v>2297</v>
      </c>
      <c r="AB449" s="77" t="s">
        <v>2632</v>
      </c>
      <c r="AC449" s="82" t="s">
        <v>2638</v>
      </c>
      <c r="AD449" s="77" t="s">
        <v>2670</v>
      </c>
      <c r="AE449" s="80" t="str">
        <f>HYPERLINK("https://twitter.com/workshopdantas/status/1685596701896105985")</f>
        <v>https://twitter.com/workshopdantas/status/1685596701896105985</v>
      </c>
      <c r="AF449" s="79">
        <v>45137.432233796295</v>
      </c>
      <c r="AG449" s="85">
        <v>45137</v>
      </c>
      <c r="AH449" s="82" t="s">
        <v>3088</v>
      </c>
      <c r="AI449" s="77" t="b">
        <v>0</v>
      </c>
      <c r="AJ449" s="77"/>
      <c r="AK449" s="77"/>
      <c r="AL449" s="77"/>
      <c r="AM449" s="77"/>
      <c r="AN449" s="77"/>
      <c r="AO449" s="77"/>
      <c r="AP449" s="77"/>
      <c r="AQ449" s="77" t="s">
        <v>3726</v>
      </c>
      <c r="AR449" s="77"/>
      <c r="AS449" s="77"/>
      <c r="AT449" s="77"/>
      <c r="AU449" s="77"/>
      <c r="AV449" s="80" t="str">
        <f>HYPERLINK("https://pbs.twimg.com/media/F2RxRFJXEAAV5Yx.jpg")</f>
        <v>https://pbs.twimg.com/media/F2RxRFJXEAAV5Yx.jpg</v>
      </c>
      <c r="AW449" s="82" t="s">
        <v>4503</v>
      </c>
      <c r="AX449" s="82" t="s">
        <v>4503</v>
      </c>
      <c r="AY449" s="77"/>
      <c r="AZ449" s="82" t="s">
        <v>5075</v>
      </c>
      <c r="BA449" s="82" t="s">
        <v>5075</v>
      </c>
      <c r="BB449" s="82" t="s">
        <v>5075</v>
      </c>
      <c r="BC449" s="82" t="s">
        <v>4503</v>
      </c>
      <c r="BD449" s="82" t="s">
        <v>5204</v>
      </c>
      <c r="BE449" s="77"/>
      <c r="BF449" s="77"/>
      <c r="BG449" s="77"/>
      <c r="BH449" s="77"/>
      <c r="BI449" s="77"/>
    </row>
    <row r="450" spans="1:61" x14ac:dyDescent="0.25">
      <c r="A450" s="62" t="s">
        <v>377</v>
      </c>
      <c r="B450" s="62" t="s">
        <v>377</v>
      </c>
      <c r="C450" s="63"/>
      <c r="D450" s="64"/>
      <c r="E450" s="65"/>
      <c r="F450" s="66"/>
      <c r="G450" s="63"/>
      <c r="H450" s="67"/>
      <c r="I450" s="68"/>
      <c r="J450" s="68"/>
      <c r="K450" s="32"/>
      <c r="L450" s="75">
        <v>450</v>
      </c>
      <c r="M450" s="75"/>
      <c r="N450" s="70"/>
      <c r="O450" s="77" t="s">
        <v>539</v>
      </c>
      <c r="P450" s="79">
        <v>45130.992407407408</v>
      </c>
      <c r="Q450" s="77" t="s">
        <v>981</v>
      </c>
      <c r="R450" s="77">
        <v>0</v>
      </c>
      <c r="S450" s="77">
        <v>0</v>
      </c>
      <c r="T450" s="77">
        <v>0</v>
      </c>
      <c r="U450" s="77">
        <v>0</v>
      </c>
      <c r="V450" s="77">
        <v>93</v>
      </c>
      <c r="W450" s="82" t="s">
        <v>1784</v>
      </c>
      <c r="X450" s="77"/>
      <c r="Y450" s="77"/>
      <c r="Z450" s="77" t="s">
        <v>377</v>
      </c>
      <c r="AA450" s="77" t="s">
        <v>2298</v>
      </c>
      <c r="AB450" s="77" t="s">
        <v>2632</v>
      </c>
      <c r="AC450" s="82" t="s">
        <v>2638</v>
      </c>
      <c r="AD450" s="77" t="s">
        <v>2670</v>
      </c>
      <c r="AE450" s="80" t="str">
        <f>HYPERLINK("https://twitter.com/workshopdantas/status/1683262989791526914")</f>
        <v>https://twitter.com/workshopdantas/status/1683262989791526914</v>
      </c>
      <c r="AF450" s="79">
        <v>45130.992407407408</v>
      </c>
      <c r="AG450" s="85">
        <v>45130</v>
      </c>
      <c r="AH450" s="82" t="s">
        <v>3089</v>
      </c>
      <c r="AI450" s="77" t="b">
        <v>0</v>
      </c>
      <c r="AJ450" s="77"/>
      <c r="AK450" s="77"/>
      <c r="AL450" s="77"/>
      <c r="AM450" s="77"/>
      <c r="AN450" s="77"/>
      <c r="AO450" s="77"/>
      <c r="AP450" s="77"/>
      <c r="AQ450" s="77" t="s">
        <v>3727</v>
      </c>
      <c r="AR450" s="77"/>
      <c r="AS450" s="77"/>
      <c r="AT450" s="77"/>
      <c r="AU450" s="77"/>
      <c r="AV450" s="80" t="str">
        <f>HYPERLINK("https://pbs.twimg.com/media/F1wmw3dWwAAjpDX.jpg")</f>
        <v>https://pbs.twimg.com/media/F1wmw3dWwAAjpDX.jpg</v>
      </c>
      <c r="AW450" s="82" t="s">
        <v>4504</v>
      </c>
      <c r="AX450" s="82" t="s">
        <v>4504</v>
      </c>
      <c r="AY450" s="77"/>
      <c r="AZ450" s="82" t="s">
        <v>5075</v>
      </c>
      <c r="BA450" s="82" t="s">
        <v>5075</v>
      </c>
      <c r="BB450" s="82" t="s">
        <v>5075</v>
      </c>
      <c r="BC450" s="82" t="s">
        <v>4504</v>
      </c>
      <c r="BD450" s="82" t="s">
        <v>5204</v>
      </c>
      <c r="BE450" s="77"/>
      <c r="BF450" s="77"/>
      <c r="BG450" s="77"/>
      <c r="BH450" s="77"/>
      <c r="BI450" s="77"/>
    </row>
    <row r="451" spans="1:61" x14ac:dyDescent="0.25">
      <c r="A451" s="62" t="s">
        <v>377</v>
      </c>
      <c r="B451" s="62" t="s">
        <v>377</v>
      </c>
      <c r="C451" s="63"/>
      <c r="D451" s="64"/>
      <c r="E451" s="65"/>
      <c r="F451" s="66"/>
      <c r="G451" s="63"/>
      <c r="H451" s="67"/>
      <c r="I451" s="68"/>
      <c r="J451" s="68"/>
      <c r="K451" s="32"/>
      <c r="L451" s="75">
        <v>451</v>
      </c>
      <c r="M451" s="75"/>
      <c r="N451" s="70"/>
      <c r="O451" s="77" t="s">
        <v>539</v>
      </c>
      <c r="P451" s="79">
        <v>45130.960763888892</v>
      </c>
      <c r="Q451" s="77" t="s">
        <v>982</v>
      </c>
      <c r="R451" s="77">
        <v>0</v>
      </c>
      <c r="S451" s="77">
        <v>0</v>
      </c>
      <c r="T451" s="77">
        <v>0</v>
      </c>
      <c r="U451" s="77">
        <v>0</v>
      </c>
      <c r="V451" s="77">
        <v>42</v>
      </c>
      <c r="W451" s="82" t="s">
        <v>1779</v>
      </c>
      <c r="X451" s="77"/>
      <c r="Y451" s="77"/>
      <c r="Z451" s="77" t="s">
        <v>377</v>
      </c>
      <c r="AA451" s="77" t="s">
        <v>2299</v>
      </c>
      <c r="AB451" s="77" t="s">
        <v>2632</v>
      </c>
      <c r="AC451" s="82" t="s">
        <v>2638</v>
      </c>
      <c r="AD451" s="77" t="s">
        <v>2670</v>
      </c>
      <c r="AE451" s="80" t="str">
        <f>HYPERLINK("https://twitter.com/workshopdantas/status/1683251521600000001")</f>
        <v>https://twitter.com/workshopdantas/status/1683251521600000001</v>
      </c>
      <c r="AF451" s="79">
        <v>45130.960763888892</v>
      </c>
      <c r="AG451" s="85">
        <v>45130</v>
      </c>
      <c r="AH451" s="82" t="s">
        <v>3090</v>
      </c>
      <c r="AI451" s="77" t="b">
        <v>0</v>
      </c>
      <c r="AJ451" s="77"/>
      <c r="AK451" s="77"/>
      <c r="AL451" s="77"/>
      <c r="AM451" s="77"/>
      <c r="AN451" s="77"/>
      <c r="AO451" s="77"/>
      <c r="AP451" s="77"/>
      <c r="AQ451" s="77" t="s">
        <v>3728</v>
      </c>
      <c r="AR451" s="77"/>
      <c r="AS451" s="77"/>
      <c r="AT451" s="77"/>
      <c r="AU451" s="77"/>
      <c r="AV451" s="80" t="str">
        <f>HYPERLINK("https://pbs.twimg.com/media/F1wcVU5XsAI1OnQ.jpg")</f>
        <v>https://pbs.twimg.com/media/F1wcVU5XsAI1OnQ.jpg</v>
      </c>
      <c r="AW451" s="82" t="s">
        <v>4505</v>
      </c>
      <c r="AX451" s="82" t="s">
        <v>4505</v>
      </c>
      <c r="AY451" s="77"/>
      <c r="AZ451" s="82" t="s">
        <v>5075</v>
      </c>
      <c r="BA451" s="82" t="s">
        <v>5075</v>
      </c>
      <c r="BB451" s="82" t="s">
        <v>5075</v>
      </c>
      <c r="BC451" s="82" t="s">
        <v>4505</v>
      </c>
      <c r="BD451" s="82" t="s">
        <v>5204</v>
      </c>
      <c r="BE451" s="77"/>
      <c r="BF451" s="77"/>
      <c r="BG451" s="77"/>
      <c r="BH451" s="77"/>
      <c r="BI451" s="77"/>
    </row>
    <row r="452" spans="1:61" x14ac:dyDescent="0.25">
      <c r="A452" s="62" t="s">
        <v>377</v>
      </c>
      <c r="B452" s="62" t="s">
        <v>377</v>
      </c>
      <c r="C452" s="63"/>
      <c r="D452" s="64"/>
      <c r="E452" s="65"/>
      <c r="F452" s="66"/>
      <c r="G452" s="63"/>
      <c r="H452" s="67"/>
      <c r="I452" s="68"/>
      <c r="J452" s="68"/>
      <c r="K452" s="32"/>
      <c r="L452" s="75">
        <v>452</v>
      </c>
      <c r="M452" s="75"/>
      <c r="N452" s="70"/>
      <c r="O452" s="77" t="s">
        <v>539</v>
      </c>
      <c r="P452" s="79">
        <v>45130.933113425926</v>
      </c>
      <c r="Q452" s="77" t="s">
        <v>911</v>
      </c>
      <c r="R452" s="77">
        <v>0</v>
      </c>
      <c r="S452" s="77">
        <v>0</v>
      </c>
      <c r="T452" s="77">
        <v>2</v>
      </c>
      <c r="U452" s="77">
        <v>0</v>
      </c>
      <c r="V452" s="77">
        <v>181</v>
      </c>
      <c r="W452" s="82" t="s">
        <v>1721</v>
      </c>
      <c r="X452" s="77"/>
      <c r="Y452" s="77"/>
      <c r="Z452" s="77" t="s">
        <v>2010</v>
      </c>
      <c r="AA452" s="77" t="s">
        <v>2228</v>
      </c>
      <c r="AB452" s="77" t="s">
        <v>2632</v>
      </c>
      <c r="AC452" s="82" t="s">
        <v>2638</v>
      </c>
      <c r="AD452" s="77" t="s">
        <v>2670</v>
      </c>
      <c r="AE452" s="80" t="str">
        <f>HYPERLINK("https://twitter.com/workshopdantas/status/1683241500468019200")</f>
        <v>https://twitter.com/workshopdantas/status/1683241500468019200</v>
      </c>
      <c r="AF452" s="79">
        <v>45130.933113425926</v>
      </c>
      <c r="AG452" s="85">
        <v>45130</v>
      </c>
      <c r="AH452" s="82" t="s">
        <v>3020</v>
      </c>
      <c r="AI452" s="77" t="b">
        <v>0</v>
      </c>
      <c r="AJ452" s="77"/>
      <c r="AK452" s="77"/>
      <c r="AL452" s="77"/>
      <c r="AM452" s="77"/>
      <c r="AN452" s="77"/>
      <c r="AO452" s="77"/>
      <c r="AP452" s="77"/>
      <c r="AQ452" s="77" t="s">
        <v>3657</v>
      </c>
      <c r="AR452" s="77"/>
      <c r="AS452" s="77"/>
      <c r="AT452" s="77"/>
      <c r="AU452" s="77"/>
      <c r="AV452" s="80" t="str">
        <f>HYPERLINK("https://pbs.twimg.com/media/F1wTODlXgAMFYga.jpg")</f>
        <v>https://pbs.twimg.com/media/F1wTODlXgAMFYga.jpg</v>
      </c>
      <c r="AW452" s="82" t="s">
        <v>4434</v>
      </c>
      <c r="AX452" s="82" t="s">
        <v>4434</v>
      </c>
      <c r="AY452" s="77"/>
      <c r="AZ452" s="82" t="s">
        <v>5075</v>
      </c>
      <c r="BA452" s="82" t="s">
        <v>5075</v>
      </c>
      <c r="BB452" s="82" t="s">
        <v>5075</v>
      </c>
      <c r="BC452" s="82" t="s">
        <v>4434</v>
      </c>
      <c r="BD452" s="82" t="s">
        <v>5204</v>
      </c>
      <c r="BE452" s="77"/>
      <c r="BF452" s="77"/>
      <c r="BG452" s="77"/>
      <c r="BH452" s="77"/>
      <c r="BI452" s="77"/>
    </row>
    <row r="453" spans="1:61" x14ac:dyDescent="0.25">
      <c r="A453" s="62" t="s">
        <v>377</v>
      </c>
      <c r="B453" s="62" t="s">
        <v>377</v>
      </c>
      <c r="C453" s="63"/>
      <c r="D453" s="64"/>
      <c r="E453" s="65"/>
      <c r="F453" s="66"/>
      <c r="G453" s="63"/>
      <c r="H453" s="67"/>
      <c r="I453" s="68"/>
      <c r="J453" s="68"/>
      <c r="K453" s="32"/>
      <c r="L453" s="75">
        <v>453</v>
      </c>
      <c r="M453" s="75"/>
      <c r="N453" s="70"/>
      <c r="O453" s="77" t="s">
        <v>539</v>
      </c>
      <c r="P453" s="79">
        <v>45130.803900462961</v>
      </c>
      <c r="Q453" s="77" t="s">
        <v>983</v>
      </c>
      <c r="R453" s="77">
        <v>0</v>
      </c>
      <c r="S453" s="77">
        <v>0</v>
      </c>
      <c r="T453" s="77">
        <v>1</v>
      </c>
      <c r="U453" s="77">
        <v>0</v>
      </c>
      <c r="V453" s="77">
        <v>87</v>
      </c>
      <c r="W453" s="82" t="s">
        <v>1785</v>
      </c>
      <c r="X453" s="77"/>
      <c r="Y453" s="77"/>
      <c r="Z453" s="77" t="s">
        <v>377</v>
      </c>
      <c r="AA453" s="77" t="s">
        <v>2300</v>
      </c>
      <c r="AB453" s="77" t="s">
        <v>2632</v>
      </c>
      <c r="AC453" s="82" t="s">
        <v>2638</v>
      </c>
      <c r="AD453" s="77" t="s">
        <v>2670</v>
      </c>
      <c r="AE453" s="80" t="str">
        <f>HYPERLINK("https://twitter.com/workshopdantas/status/1683194675224625152")</f>
        <v>https://twitter.com/workshopdantas/status/1683194675224625152</v>
      </c>
      <c r="AF453" s="79">
        <v>45130.803900462961</v>
      </c>
      <c r="AG453" s="85">
        <v>45130</v>
      </c>
      <c r="AH453" s="82" t="s">
        <v>3091</v>
      </c>
      <c r="AI453" s="77" t="b">
        <v>0</v>
      </c>
      <c r="AJ453" s="77"/>
      <c r="AK453" s="77"/>
      <c r="AL453" s="77"/>
      <c r="AM453" s="77"/>
      <c r="AN453" s="77"/>
      <c r="AO453" s="77"/>
      <c r="AP453" s="77"/>
      <c r="AQ453" s="77" t="s">
        <v>3729</v>
      </c>
      <c r="AR453" s="77"/>
      <c r="AS453" s="77"/>
      <c r="AT453" s="77"/>
      <c r="AU453" s="77"/>
      <c r="AV453" s="80" t="str">
        <f>HYPERLINK("https://pbs.twimg.com/media/F1vomguWIAkOUZW.jpg")</f>
        <v>https://pbs.twimg.com/media/F1vomguWIAkOUZW.jpg</v>
      </c>
      <c r="AW453" s="82" t="s">
        <v>4506</v>
      </c>
      <c r="AX453" s="82" t="s">
        <v>4506</v>
      </c>
      <c r="AY453" s="77"/>
      <c r="AZ453" s="82" t="s">
        <v>5075</v>
      </c>
      <c r="BA453" s="82" t="s">
        <v>5075</v>
      </c>
      <c r="BB453" s="82" t="s">
        <v>5075</v>
      </c>
      <c r="BC453" s="82" t="s">
        <v>4506</v>
      </c>
      <c r="BD453" s="82" t="s">
        <v>5204</v>
      </c>
      <c r="BE453" s="77"/>
      <c r="BF453" s="77"/>
      <c r="BG453" s="77"/>
      <c r="BH453" s="77"/>
      <c r="BI453" s="77"/>
    </row>
    <row r="454" spans="1:61" x14ac:dyDescent="0.25">
      <c r="A454" s="62" t="s">
        <v>377</v>
      </c>
      <c r="B454" s="62" t="s">
        <v>377</v>
      </c>
      <c r="C454" s="63"/>
      <c r="D454" s="64"/>
      <c r="E454" s="65"/>
      <c r="F454" s="66"/>
      <c r="G454" s="63"/>
      <c r="H454" s="67"/>
      <c r="I454" s="68"/>
      <c r="J454" s="68"/>
      <c r="K454" s="32"/>
      <c r="L454" s="75">
        <v>454</v>
      </c>
      <c r="M454" s="75"/>
      <c r="N454" s="70"/>
      <c r="O454" s="77" t="s">
        <v>539</v>
      </c>
      <c r="P454" s="79">
        <v>45120.403506944444</v>
      </c>
      <c r="Q454" s="77" t="s">
        <v>984</v>
      </c>
      <c r="R454" s="77">
        <v>0</v>
      </c>
      <c r="S454" s="77">
        <v>0</v>
      </c>
      <c r="T454" s="77">
        <v>0</v>
      </c>
      <c r="U454" s="77">
        <v>0</v>
      </c>
      <c r="V454" s="77">
        <v>47</v>
      </c>
      <c r="W454" s="82" t="s">
        <v>1786</v>
      </c>
      <c r="X454" s="77"/>
      <c r="Y454" s="77"/>
      <c r="Z454" s="77" t="s">
        <v>377</v>
      </c>
      <c r="AA454" s="77" t="s">
        <v>2301</v>
      </c>
      <c r="AB454" s="77" t="s">
        <v>2632</v>
      </c>
      <c r="AC454" s="82" t="s">
        <v>2638</v>
      </c>
      <c r="AD454" s="77" t="s">
        <v>2670</v>
      </c>
      <c r="AE454" s="80" t="str">
        <f>HYPERLINK("https://twitter.com/workshopdantas/status/1679425699512287236")</f>
        <v>https://twitter.com/workshopdantas/status/1679425699512287236</v>
      </c>
      <c r="AF454" s="79">
        <v>45120.403506944444</v>
      </c>
      <c r="AG454" s="85">
        <v>45120</v>
      </c>
      <c r="AH454" s="82" t="s">
        <v>3092</v>
      </c>
      <c r="AI454" s="77" t="b">
        <v>0</v>
      </c>
      <c r="AJ454" s="77"/>
      <c r="AK454" s="77"/>
      <c r="AL454" s="77"/>
      <c r="AM454" s="77"/>
      <c r="AN454" s="77"/>
      <c r="AO454" s="77"/>
      <c r="AP454" s="77"/>
      <c r="AQ454" s="77" t="s">
        <v>3730</v>
      </c>
      <c r="AR454" s="77"/>
      <c r="AS454" s="77"/>
      <c r="AT454" s="77"/>
      <c r="AU454" s="77"/>
      <c r="AV454" s="80" t="str">
        <f>HYPERLINK("https://pbs.twimg.com/media/F06ExcgX0AAz6sS.jpg")</f>
        <v>https://pbs.twimg.com/media/F06ExcgX0AAz6sS.jpg</v>
      </c>
      <c r="AW454" s="82" t="s">
        <v>4507</v>
      </c>
      <c r="AX454" s="82" t="s">
        <v>4507</v>
      </c>
      <c r="AY454" s="77"/>
      <c r="AZ454" s="82" t="s">
        <v>5075</v>
      </c>
      <c r="BA454" s="82" t="s">
        <v>5075</v>
      </c>
      <c r="BB454" s="82" t="s">
        <v>5075</v>
      </c>
      <c r="BC454" s="82" t="s">
        <v>4507</v>
      </c>
      <c r="BD454" s="82" t="s">
        <v>5204</v>
      </c>
      <c r="BE454" s="77"/>
      <c r="BF454" s="77"/>
      <c r="BG454" s="77"/>
      <c r="BH454" s="77"/>
      <c r="BI454" s="77"/>
    </row>
    <row r="455" spans="1:61" x14ac:dyDescent="0.25">
      <c r="A455" s="62" t="s">
        <v>377</v>
      </c>
      <c r="B455" s="62" t="s">
        <v>377</v>
      </c>
      <c r="C455" s="63"/>
      <c r="D455" s="64"/>
      <c r="E455" s="65"/>
      <c r="F455" s="66"/>
      <c r="G455" s="63"/>
      <c r="H455" s="67"/>
      <c r="I455" s="68"/>
      <c r="J455" s="68"/>
      <c r="K455" s="32"/>
      <c r="L455" s="75">
        <v>455</v>
      </c>
      <c r="M455" s="75"/>
      <c r="N455" s="70"/>
      <c r="O455" s="77" t="s">
        <v>539</v>
      </c>
      <c r="P455" s="79">
        <v>45120.012754629628</v>
      </c>
      <c r="Q455" s="77" t="s">
        <v>985</v>
      </c>
      <c r="R455" s="77">
        <v>0</v>
      </c>
      <c r="S455" s="77">
        <v>0</v>
      </c>
      <c r="T455" s="77">
        <v>1</v>
      </c>
      <c r="U455" s="77">
        <v>0</v>
      </c>
      <c r="V455" s="77">
        <v>45</v>
      </c>
      <c r="W455" s="82" t="s">
        <v>1720</v>
      </c>
      <c r="X455" s="77"/>
      <c r="Y455" s="77"/>
      <c r="Z455" s="77" t="s">
        <v>377</v>
      </c>
      <c r="AA455" s="77" t="s">
        <v>2302</v>
      </c>
      <c r="AB455" s="77" t="s">
        <v>2632</v>
      </c>
      <c r="AC455" s="82" t="s">
        <v>2638</v>
      </c>
      <c r="AD455" s="77" t="s">
        <v>2670</v>
      </c>
      <c r="AE455" s="80" t="str">
        <f>HYPERLINK("https://twitter.com/workshopdantas/status/1679284094331416579")</f>
        <v>https://twitter.com/workshopdantas/status/1679284094331416579</v>
      </c>
      <c r="AF455" s="79">
        <v>45120.012754629628</v>
      </c>
      <c r="AG455" s="85">
        <v>45120</v>
      </c>
      <c r="AH455" s="82" t="s">
        <v>3093</v>
      </c>
      <c r="AI455" s="77" t="b">
        <v>0</v>
      </c>
      <c r="AJ455" s="77"/>
      <c r="AK455" s="77"/>
      <c r="AL455" s="77"/>
      <c r="AM455" s="77"/>
      <c r="AN455" s="77"/>
      <c r="AO455" s="77"/>
      <c r="AP455" s="77"/>
      <c r="AQ455" s="77" t="s">
        <v>3731</v>
      </c>
      <c r="AR455" s="77"/>
      <c r="AS455" s="77"/>
      <c r="AT455" s="77"/>
      <c r="AU455" s="77"/>
      <c r="AV455" s="80" t="str">
        <f>HYPERLINK("https://pbs.twimg.com/media/F04D-mEX0AEh8IS.jpg")</f>
        <v>https://pbs.twimg.com/media/F04D-mEX0AEh8IS.jpg</v>
      </c>
      <c r="AW455" s="82" t="s">
        <v>4508</v>
      </c>
      <c r="AX455" s="82" t="s">
        <v>4508</v>
      </c>
      <c r="AY455" s="77"/>
      <c r="AZ455" s="82" t="s">
        <v>5075</v>
      </c>
      <c r="BA455" s="82" t="s">
        <v>5075</v>
      </c>
      <c r="BB455" s="82" t="s">
        <v>5075</v>
      </c>
      <c r="BC455" s="82" t="s">
        <v>4508</v>
      </c>
      <c r="BD455" s="82" t="s">
        <v>5204</v>
      </c>
      <c r="BE455" s="77"/>
      <c r="BF455" s="77"/>
      <c r="BG455" s="77"/>
      <c r="BH455" s="77"/>
      <c r="BI455" s="77"/>
    </row>
    <row r="456" spans="1:61" x14ac:dyDescent="0.25">
      <c r="A456" s="62" t="s">
        <v>377</v>
      </c>
      <c r="B456" s="62" t="s">
        <v>377</v>
      </c>
      <c r="C456" s="63"/>
      <c r="D456" s="64"/>
      <c r="E456" s="65"/>
      <c r="F456" s="66"/>
      <c r="G456" s="63"/>
      <c r="H456" s="67"/>
      <c r="I456" s="68"/>
      <c r="J456" s="68"/>
      <c r="K456" s="32"/>
      <c r="L456" s="75">
        <v>456</v>
      </c>
      <c r="M456" s="75"/>
      <c r="N456" s="70"/>
      <c r="O456" s="77" t="s">
        <v>539</v>
      </c>
      <c r="P456" s="79">
        <v>45119.478668981479</v>
      </c>
      <c r="Q456" s="77" t="s">
        <v>912</v>
      </c>
      <c r="R456" s="77">
        <v>0</v>
      </c>
      <c r="S456" s="77">
        <v>2</v>
      </c>
      <c r="T456" s="77">
        <v>1</v>
      </c>
      <c r="U456" s="77">
        <v>0</v>
      </c>
      <c r="V456" s="77">
        <v>47</v>
      </c>
      <c r="W456" s="82" t="s">
        <v>1720</v>
      </c>
      <c r="X456" s="77"/>
      <c r="Y456" s="77"/>
      <c r="Z456" s="77" t="s">
        <v>2011</v>
      </c>
      <c r="AA456" s="77" t="s">
        <v>2229</v>
      </c>
      <c r="AB456" s="77" t="s">
        <v>2632</v>
      </c>
      <c r="AC456" s="82" t="s">
        <v>2638</v>
      </c>
      <c r="AD456" s="77" t="s">
        <v>2670</v>
      </c>
      <c r="AE456" s="80" t="str">
        <f>HYPERLINK("https://twitter.com/workshopdantas/status/1679090549804900352")</f>
        <v>https://twitter.com/workshopdantas/status/1679090549804900352</v>
      </c>
      <c r="AF456" s="79">
        <v>45119.478668981479</v>
      </c>
      <c r="AG456" s="85">
        <v>45119</v>
      </c>
      <c r="AH456" s="82" t="s">
        <v>3021</v>
      </c>
      <c r="AI456" s="77" t="b">
        <v>0</v>
      </c>
      <c r="AJ456" s="77"/>
      <c r="AK456" s="77"/>
      <c r="AL456" s="77"/>
      <c r="AM456" s="77"/>
      <c r="AN456" s="77"/>
      <c r="AO456" s="77"/>
      <c r="AP456" s="77"/>
      <c r="AQ456" s="77" t="s">
        <v>3658</v>
      </c>
      <c r="AR456" s="77"/>
      <c r="AS456" s="77"/>
      <c r="AT456" s="77"/>
      <c r="AU456" s="77"/>
      <c r="AV456" s="80" t="str">
        <f>HYPERLINK("https://pbs.twimg.com/media/F01T9MnWYAAqxnf.jpg")</f>
        <v>https://pbs.twimg.com/media/F01T9MnWYAAqxnf.jpg</v>
      </c>
      <c r="AW456" s="82" t="s">
        <v>4435</v>
      </c>
      <c r="AX456" s="82" t="s">
        <v>4435</v>
      </c>
      <c r="AY456" s="77"/>
      <c r="AZ456" s="82" t="s">
        <v>5075</v>
      </c>
      <c r="BA456" s="82" t="s">
        <v>5075</v>
      </c>
      <c r="BB456" s="82" t="s">
        <v>5075</v>
      </c>
      <c r="BC456" s="82" t="s">
        <v>4435</v>
      </c>
      <c r="BD456" s="82" t="s">
        <v>5204</v>
      </c>
      <c r="BE456" s="77"/>
      <c r="BF456" s="77"/>
      <c r="BG456" s="77"/>
      <c r="BH456" s="77"/>
      <c r="BI456" s="77"/>
    </row>
    <row r="457" spans="1:61" x14ac:dyDescent="0.25">
      <c r="A457" s="62" t="s">
        <v>377</v>
      </c>
      <c r="B457" s="62" t="s">
        <v>377</v>
      </c>
      <c r="C457" s="63"/>
      <c r="D457" s="64"/>
      <c r="E457" s="65"/>
      <c r="F457" s="66"/>
      <c r="G457" s="63"/>
      <c r="H457" s="67"/>
      <c r="I457" s="68"/>
      <c r="J457" s="68"/>
      <c r="K457" s="32"/>
      <c r="L457" s="75">
        <v>457</v>
      </c>
      <c r="M457" s="75"/>
      <c r="N457" s="70"/>
      <c r="O457" s="77" t="s">
        <v>539</v>
      </c>
      <c r="P457" s="79">
        <v>45098.578055555554</v>
      </c>
      <c r="Q457" s="77" t="s">
        <v>913</v>
      </c>
      <c r="R457" s="77">
        <v>0</v>
      </c>
      <c r="S457" s="77">
        <v>0</v>
      </c>
      <c r="T457" s="77">
        <v>0</v>
      </c>
      <c r="U457" s="77">
        <v>0</v>
      </c>
      <c r="V457" s="77">
        <v>47</v>
      </c>
      <c r="W457" s="82" t="s">
        <v>1722</v>
      </c>
      <c r="X457" s="77"/>
      <c r="Y457" s="77"/>
      <c r="Z457" s="77" t="s">
        <v>2012</v>
      </c>
      <c r="AA457" s="77" t="s">
        <v>2230</v>
      </c>
      <c r="AB457" s="77" t="s">
        <v>2632</v>
      </c>
      <c r="AC457" s="82" t="s">
        <v>2638</v>
      </c>
      <c r="AD457" s="77" t="s">
        <v>2670</v>
      </c>
      <c r="AE457" s="80" t="str">
        <f>HYPERLINK("https://twitter.com/workshopdantas/status/1671516419391889408")</f>
        <v>https://twitter.com/workshopdantas/status/1671516419391889408</v>
      </c>
      <c r="AF457" s="79">
        <v>45098.578055555554</v>
      </c>
      <c r="AG457" s="85">
        <v>45098</v>
      </c>
      <c r="AH457" s="82" t="s">
        <v>3022</v>
      </c>
      <c r="AI457" s="77" t="b">
        <v>0</v>
      </c>
      <c r="AJ457" s="77"/>
      <c r="AK457" s="77"/>
      <c r="AL457" s="77"/>
      <c r="AM457" s="77"/>
      <c r="AN457" s="77"/>
      <c r="AO457" s="77"/>
      <c r="AP457" s="77"/>
      <c r="AQ457" s="77" t="s">
        <v>3659</v>
      </c>
      <c r="AR457" s="77"/>
      <c r="AS457" s="77"/>
      <c r="AT457" s="77"/>
      <c r="AU457" s="77"/>
      <c r="AV457" s="80" t="str">
        <f>HYPERLINK("https://pbs.twimg.com/media/FzJrUt3WwAMaeyJ.jpg")</f>
        <v>https://pbs.twimg.com/media/FzJrUt3WwAMaeyJ.jpg</v>
      </c>
      <c r="AW457" s="82" t="s">
        <v>4436</v>
      </c>
      <c r="AX457" s="82" t="s">
        <v>4436</v>
      </c>
      <c r="AY457" s="77"/>
      <c r="AZ457" s="82" t="s">
        <v>5075</v>
      </c>
      <c r="BA457" s="82" t="s">
        <v>5075</v>
      </c>
      <c r="BB457" s="82" t="s">
        <v>5075</v>
      </c>
      <c r="BC457" s="82" t="s">
        <v>4436</v>
      </c>
      <c r="BD457" s="82" t="s">
        <v>5204</v>
      </c>
      <c r="BE457" s="77"/>
      <c r="BF457" s="77"/>
      <c r="BG457" s="77"/>
      <c r="BH457" s="77"/>
      <c r="BI457" s="77"/>
    </row>
    <row r="458" spans="1:61" x14ac:dyDescent="0.25">
      <c r="A458" s="62" t="s">
        <v>377</v>
      </c>
      <c r="B458" s="62" t="s">
        <v>377</v>
      </c>
      <c r="C458" s="63"/>
      <c r="D458" s="64"/>
      <c r="E458" s="65"/>
      <c r="F458" s="66"/>
      <c r="G458" s="63"/>
      <c r="H458" s="67"/>
      <c r="I458" s="68"/>
      <c r="J458" s="68"/>
      <c r="K458" s="32"/>
      <c r="L458" s="75">
        <v>458</v>
      </c>
      <c r="M458" s="75"/>
      <c r="N458" s="70"/>
      <c r="O458" s="77" t="s">
        <v>539</v>
      </c>
      <c r="P458" s="79">
        <v>45097.46806712963</v>
      </c>
      <c r="Q458" s="77" t="s">
        <v>986</v>
      </c>
      <c r="R458" s="77">
        <v>0</v>
      </c>
      <c r="S458" s="77">
        <v>0</v>
      </c>
      <c r="T458" s="77">
        <v>0</v>
      </c>
      <c r="U458" s="77">
        <v>0</v>
      </c>
      <c r="V458" s="77">
        <v>34</v>
      </c>
      <c r="W458" s="82" t="s">
        <v>1787</v>
      </c>
      <c r="X458" s="77"/>
      <c r="Y458" s="77"/>
      <c r="Z458" s="77" t="s">
        <v>377</v>
      </c>
      <c r="AA458" s="77" t="s">
        <v>2303</v>
      </c>
      <c r="AB458" s="77" t="s">
        <v>2632</v>
      </c>
      <c r="AC458" s="82" t="s">
        <v>2638</v>
      </c>
      <c r="AD458" s="77" t="s">
        <v>2670</v>
      </c>
      <c r="AE458" s="80" t="str">
        <f>HYPERLINK("https://twitter.com/workshopdantas/status/1671114175689400320")</f>
        <v>https://twitter.com/workshopdantas/status/1671114175689400320</v>
      </c>
      <c r="AF458" s="79">
        <v>45097.46806712963</v>
      </c>
      <c r="AG458" s="85">
        <v>45097</v>
      </c>
      <c r="AH458" s="82" t="s">
        <v>3094</v>
      </c>
      <c r="AI458" s="77" t="b">
        <v>0</v>
      </c>
      <c r="AJ458" s="77"/>
      <c r="AK458" s="77"/>
      <c r="AL458" s="77"/>
      <c r="AM458" s="77"/>
      <c r="AN458" s="77"/>
      <c r="AO458" s="77"/>
      <c r="AP458" s="77"/>
      <c r="AQ458" s="77" t="s">
        <v>3732</v>
      </c>
      <c r="AR458" s="77"/>
      <c r="AS458" s="77"/>
      <c r="AT458" s="77"/>
      <c r="AU458" s="77"/>
      <c r="AV458" s="80" t="str">
        <f>HYPERLINK("https://pbs.twimg.com/media/FzD9fIBXsAAwroE.jpg")</f>
        <v>https://pbs.twimg.com/media/FzD9fIBXsAAwroE.jpg</v>
      </c>
      <c r="AW458" s="82" t="s">
        <v>4509</v>
      </c>
      <c r="AX458" s="82" t="s">
        <v>4509</v>
      </c>
      <c r="AY458" s="77"/>
      <c r="AZ458" s="82" t="s">
        <v>5075</v>
      </c>
      <c r="BA458" s="82" t="s">
        <v>5075</v>
      </c>
      <c r="BB458" s="82" t="s">
        <v>5075</v>
      </c>
      <c r="BC458" s="82" t="s">
        <v>4509</v>
      </c>
      <c r="BD458" s="82" t="s">
        <v>5204</v>
      </c>
      <c r="BE458" s="77"/>
      <c r="BF458" s="77"/>
      <c r="BG458" s="77"/>
      <c r="BH458" s="77"/>
      <c r="BI458" s="77"/>
    </row>
    <row r="459" spans="1:61" x14ac:dyDescent="0.25">
      <c r="A459" s="62" t="s">
        <v>378</v>
      </c>
      <c r="B459" s="62" t="s">
        <v>378</v>
      </c>
      <c r="C459" s="63"/>
      <c r="D459" s="64"/>
      <c r="E459" s="65"/>
      <c r="F459" s="66"/>
      <c r="G459" s="63"/>
      <c r="H459" s="67"/>
      <c r="I459" s="68"/>
      <c r="J459" s="68"/>
      <c r="K459" s="32"/>
      <c r="L459" s="75">
        <v>459</v>
      </c>
      <c r="M459" s="75"/>
      <c r="N459" s="70"/>
      <c r="O459" s="77" t="s">
        <v>179</v>
      </c>
      <c r="P459" s="79">
        <v>45079.530810185184</v>
      </c>
      <c r="Q459" s="77" t="s">
        <v>987</v>
      </c>
      <c r="R459" s="77">
        <v>0</v>
      </c>
      <c r="S459" s="77">
        <v>0</v>
      </c>
      <c r="T459" s="77">
        <v>0</v>
      </c>
      <c r="U459" s="77">
        <v>0</v>
      </c>
      <c r="V459" s="77">
        <v>48</v>
      </c>
      <c r="W459" s="82" t="s">
        <v>1788</v>
      </c>
      <c r="X459" s="77"/>
      <c r="Y459" s="77"/>
      <c r="Z459" s="77"/>
      <c r="AA459" s="77" t="s">
        <v>2304</v>
      </c>
      <c r="AB459" s="77" t="s">
        <v>2633</v>
      </c>
      <c r="AC459" s="82" t="s">
        <v>2639</v>
      </c>
      <c r="AD459" s="77" t="s">
        <v>2670</v>
      </c>
      <c r="AE459" s="80" t="str">
        <f>HYPERLINK("https://twitter.com/unicredbrasil/status/1664613927781642241")</f>
        <v>https://twitter.com/unicredbrasil/status/1664613927781642241</v>
      </c>
      <c r="AF459" s="79">
        <v>45079.530810185184</v>
      </c>
      <c r="AG459" s="85">
        <v>45079</v>
      </c>
      <c r="AH459" s="82" t="s">
        <v>3095</v>
      </c>
      <c r="AI459" s="77" t="b">
        <v>0</v>
      </c>
      <c r="AJ459" s="77"/>
      <c r="AK459" s="77"/>
      <c r="AL459" s="77"/>
      <c r="AM459" s="77"/>
      <c r="AN459" s="77"/>
      <c r="AO459" s="77"/>
      <c r="AP459" s="77"/>
      <c r="AQ459" s="77" t="s">
        <v>3733</v>
      </c>
      <c r="AR459" s="77">
        <v>120053</v>
      </c>
      <c r="AS459" s="77"/>
      <c r="AT459" s="77"/>
      <c r="AU459" s="77"/>
      <c r="AV459" s="80" t="str">
        <f>HYPERLINK("https://pbs.twimg.com/ext_tw_video_thumb/1664612941537193991/pu/img/wWZDYSZDvkWnMM4w.jpg")</f>
        <v>https://pbs.twimg.com/ext_tw_video_thumb/1664612941537193991/pu/img/wWZDYSZDvkWnMM4w.jpg</v>
      </c>
      <c r="AW459" s="82" t="s">
        <v>4510</v>
      </c>
      <c r="AX459" s="82" t="s">
        <v>4510</v>
      </c>
      <c r="AY459" s="77"/>
      <c r="AZ459" s="82" t="s">
        <v>5075</v>
      </c>
      <c r="BA459" s="82" t="s">
        <v>5075</v>
      </c>
      <c r="BB459" s="82" t="s">
        <v>5075</v>
      </c>
      <c r="BC459" s="82" t="s">
        <v>4510</v>
      </c>
      <c r="BD459" s="82" t="s">
        <v>5205</v>
      </c>
      <c r="BE459" s="77"/>
      <c r="BF459" s="77"/>
      <c r="BG459" s="77"/>
      <c r="BH459" s="77"/>
      <c r="BI459" s="77"/>
    </row>
    <row r="460" spans="1:61" x14ac:dyDescent="0.25">
      <c r="A460" s="62" t="s">
        <v>379</v>
      </c>
      <c r="B460" s="62" t="s">
        <v>379</v>
      </c>
      <c r="C460" s="63"/>
      <c r="D460" s="64"/>
      <c r="E460" s="65"/>
      <c r="F460" s="66"/>
      <c r="G460" s="63"/>
      <c r="H460" s="67"/>
      <c r="I460" s="68"/>
      <c r="J460" s="68"/>
      <c r="K460" s="32"/>
      <c r="L460" s="75">
        <v>460</v>
      </c>
      <c r="M460" s="75"/>
      <c r="N460" s="70"/>
      <c r="O460" s="77" t="s">
        <v>536</v>
      </c>
      <c r="P460" s="79">
        <v>45006.979259259257</v>
      </c>
      <c r="Q460" s="77" t="s">
        <v>988</v>
      </c>
      <c r="R460" s="77">
        <v>0</v>
      </c>
      <c r="S460" s="77">
        <v>5</v>
      </c>
      <c r="T460" s="77">
        <v>1</v>
      </c>
      <c r="U460" s="77">
        <v>0</v>
      </c>
      <c r="V460" s="77">
        <v>27</v>
      </c>
      <c r="W460" s="82" t="s">
        <v>1435</v>
      </c>
      <c r="X460" s="77"/>
      <c r="Y460" s="77"/>
      <c r="Z460" s="77"/>
      <c r="AA460" s="77"/>
      <c r="AB460" s="77"/>
      <c r="AC460" s="82" t="s">
        <v>2662</v>
      </c>
      <c r="AD460" s="77" t="s">
        <v>2670</v>
      </c>
      <c r="AE460" s="80" t="str">
        <f>HYPERLINK("https://twitter.com/vincopontovc/status/1638322126762409985")</f>
        <v>https://twitter.com/vincopontovc/status/1638322126762409985</v>
      </c>
      <c r="AF460" s="79">
        <v>45006.979259259257</v>
      </c>
      <c r="AG460" s="85">
        <v>45006</v>
      </c>
      <c r="AH460" s="82" t="s">
        <v>3096</v>
      </c>
      <c r="AI460" s="77"/>
      <c r="AJ460" s="77"/>
      <c r="AK460" s="77"/>
      <c r="AL460" s="77"/>
      <c r="AM460" s="77"/>
      <c r="AN460" s="77"/>
      <c r="AO460" s="77"/>
      <c r="AP460" s="77"/>
      <c r="AQ460" s="77"/>
      <c r="AR460" s="77"/>
      <c r="AS460" s="77"/>
      <c r="AT460" s="77"/>
      <c r="AU460" s="77"/>
      <c r="AV460" s="80" t="str">
        <f>HYPERLINK("https://pbs.twimg.com/profile_images/1633831608603250688/1muc5I3O_normal.jpg")</f>
        <v>https://pbs.twimg.com/profile_images/1633831608603250688/1muc5I3O_normal.jpg</v>
      </c>
      <c r="AW460" s="82" t="s">
        <v>4511</v>
      </c>
      <c r="AX460" s="82" t="s">
        <v>4997</v>
      </c>
      <c r="AY460" s="82" t="s">
        <v>5051</v>
      </c>
      <c r="AZ460" s="82" t="s">
        <v>4997</v>
      </c>
      <c r="BA460" s="82" t="s">
        <v>5075</v>
      </c>
      <c r="BB460" s="82" t="s">
        <v>5075</v>
      </c>
      <c r="BC460" s="82" t="s">
        <v>4997</v>
      </c>
      <c r="BD460" s="82" t="s">
        <v>5051</v>
      </c>
      <c r="BE460" s="77"/>
      <c r="BF460" s="77"/>
      <c r="BG460" s="77"/>
      <c r="BH460" s="77"/>
      <c r="BI460" s="77"/>
    </row>
    <row r="461" spans="1:61" x14ac:dyDescent="0.25">
      <c r="A461" s="62" t="s">
        <v>380</v>
      </c>
      <c r="B461" s="62" t="s">
        <v>380</v>
      </c>
      <c r="C461" s="63"/>
      <c r="D461" s="64"/>
      <c r="E461" s="65"/>
      <c r="F461" s="66"/>
      <c r="G461" s="63"/>
      <c r="H461" s="67"/>
      <c r="I461" s="68"/>
      <c r="J461" s="68"/>
      <c r="K461" s="32"/>
      <c r="L461" s="75">
        <v>461</v>
      </c>
      <c r="M461" s="75"/>
      <c r="N461" s="70"/>
      <c r="O461" s="77" t="s">
        <v>179</v>
      </c>
      <c r="P461" s="79">
        <v>44938.896435185183</v>
      </c>
      <c r="Q461" s="77" t="s">
        <v>989</v>
      </c>
      <c r="R461" s="77">
        <v>0</v>
      </c>
      <c r="S461" s="77">
        <v>0</v>
      </c>
      <c r="T461" s="77">
        <v>0</v>
      </c>
      <c r="U461" s="77">
        <v>0</v>
      </c>
      <c r="V461" s="77">
        <v>48</v>
      </c>
      <c r="W461" s="82" t="s">
        <v>1789</v>
      </c>
      <c r="X461" s="80" t="str">
        <f>HYPERLINK("http://bit.ly/3X90J3p")</f>
        <v>http://bit.ly/3X90J3p</v>
      </c>
      <c r="Y461" s="77" t="s">
        <v>1975</v>
      </c>
      <c r="Z461" s="77"/>
      <c r="AA461" s="77" t="s">
        <v>2305</v>
      </c>
      <c r="AB461" s="77" t="s">
        <v>2632</v>
      </c>
      <c r="AC461" s="82" t="s">
        <v>2639</v>
      </c>
      <c r="AD461" s="77" t="s">
        <v>2670</v>
      </c>
      <c r="AE461" s="80" t="str">
        <f>HYPERLINK("https://twitter.com/kakau_seguros/status/1613649740511551498")</f>
        <v>https://twitter.com/kakau_seguros/status/1613649740511551498</v>
      </c>
      <c r="AF461" s="79">
        <v>44938.896435185183</v>
      </c>
      <c r="AG461" s="85">
        <v>44938</v>
      </c>
      <c r="AH461" s="82" t="s">
        <v>3097</v>
      </c>
      <c r="AI461" s="77" t="b">
        <v>0</v>
      </c>
      <c r="AJ461" s="77"/>
      <c r="AK461" s="77"/>
      <c r="AL461" s="77"/>
      <c r="AM461" s="77"/>
      <c r="AN461" s="77"/>
      <c r="AO461" s="77"/>
      <c r="AP461" s="77"/>
      <c r="AQ461" s="77" t="s">
        <v>3734</v>
      </c>
      <c r="AR461" s="77"/>
      <c r="AS461" s="77"/>
      <c r="AT461" s="77"/>
      <c r="AU461" s="77"/>
      <c r="AV461" s="80" t="str">
        <f>HYPERLINK("https://pbs.twimg.com/media/FmTV4FgXoBwisKn.jpg")</f>
        <v>https://pbs.twimg.com/media/FmTV4FgXoBwisKn.jpg</v>
      </c>
      <c r="AW461" s="82" t="s">
        <v>4512</v>
      </c>
      <c r="AX461" s="82" t="s">
        <v>4512</v>
      </c>
      <c r="AY461" s="77"/>
      <c r="AZ461" s="82" t="s">
        <v>5075</v>
      </c>
      <c r="BA461" s="82" t="s">
        <v>5075</v>
      </c>
      <c r="BB461" s="82" t="s">
        <v>5075</v>
      </c>
      <c r="BC461" s="82" t="s">
        <v>4512</v>
      </c>
      <c r="BD461" s="82" t="s">
        <v>5206</v>
      </c>
      <c r="BE461" s="77"/>
      <c r="BF461" s="77"/>
      <c r="BG461" s="77"/>
      <c r="BH461" s="77"/>
      <c r="BI461" s="77"/>
    </row>
    <row r="462" spans="1:61" x14ac:dyDescent="0.25">
      <c r="A462" s="62" t="s">
        <v>381</v>
      </c>
      <c r="B462" s="62" t="s">
        <v>381</v>
      </c>
      <c r="C462" s="63"/>
      <c r="D462" s="64"/>
      <c r="E462" s="65"/>
      <c r="F462" s="66"/>
      <c r="G462" s="63"/>
      <c r="H462" s="67"/>
      <c r="I462" s="68"/>
      <c r="J462" s="68"/>
      <c r="K462" s="32"/>
      <c r="L462" s="75">
        <v>462</v>
      </c>
      <c r="M462" s="75"/>
      <c r="N462" s="70"/>
      <c r="O462" s="77" t="s">
        <v>179</v>
      </c>
      <c r="P462" s="79">
        <v>45139.943449074075</v>
      </c>
      <c r="Q462" s="77" t="s">
        <v>990</v>
      </c>
      <c r="R462" s="77">
        <v>0</v>
      </c>
      <c r="S462" s="77">
        <v>0</v>
      </c>
      <c r="T462" s="77">
        <v>0</v>
      </c>
      <c r="U462" s="77">
        <v>0</v>
      </c>
      <c r="V462" s="77">
        <v>431</v>
      </c>
      <c r="W462" s="82" t="s">
        <v>1790</v>
      </c>
      <c r="X462" s="80" t="str">
        <f>HYPERLINK("https://www.seudinheiro.com/2023/renda-fixa/tesouro-educa-como-investir-para-a-faculdade-do-seu-filho-com-o-novo-titulo-do-tesouro-direto-julw/")</f>
        <v>https://www.seudinheiro.com/2023/renda-fixa/tesouro-educa-como-investir-para-a-faculdade-do-seu-filho-com-o-novo-titulo-do-tesouro-direto-julw/</v>
      </c>
      <c r="Y462" s="77" t="s">
        <v>1995</v>
      </c>
      <c r="Z462" s="77"/>
      <c r="AA462" s="77"/>
      <c r="AB462" s="77"/>
      <c r="AC462" s="82" t="s">
        <v>2663</v>
      </c>
      <c r="AD462" s="77" t="s">
        <v>2670</v>
      </c>
      <c r="AE462" s="80" t="str">
        <f>HYPERLINK("https://twitter.com/seu_dinheiro_br/status/1686506736306335744")</f>
        <v>https://twitter.com/seu_dinheiro_br/status/1686506736306335744</v>
      </c>
      <c r="AF462" s="79">
        <v>45139.943449074075</v>
      </c>
      <c r="AG462" s="85">
        <v>45139</v>
      </c>
      <c r="AH462" s="82" t="s">
        <v>3098</v>
      </c>
      <c r="AI462" s="77" t="b">
        <v>0</v>
      </c>
      <c r="AJ462" s="77"/>
      <c r="AK462" s="77"/>
      <c r="AL462" s="77"/>
      <c r="AM462" s="77"/>
      <c r="AN462" s="77"/>
      <c r="AO462" s="77"/>
      <c r="AP462" s="77"/>
      <c r="AQ462" s="77"/>
      <c r="AR462" s="77"/>
      <c r="AS462" s="77"/>
      <c r="AT462" s="77"/>
      <c r="AU462" s="77"/>
      <c r="AV462" s="80" t="str">
        <f>HYPERLINK("https://pbs.twimg.com/profile_images/1041725334431952896/uaPtkYSp_normal.jpg")</f>
        <v>https://pbs.twimg.com/profile_images/1041725334431952896/uaPtkYSp_normal.jpg</v>
      </c>
      <c r="AW462" s="82" t="s">
        <v>4513</v>
      </c>
      <c r="AX462" s="82" t="s">
        <v>4513</v>
      </c>
      <c r="AY462" s="77"/>
      <c r="AZ462" s="82" t="s">
        <v>5075</v>
      </c>
      <c r="BA462" s="82" t="s">
        <v>5075</v>
      </c>
      <c r="BB462" s="82" t="s">
        <v>5075</v>
      </c>
      <c r="BC462" s="82" t="s">
        <v>4513</v>
      </c>
      <c r="BD462" s="82" t="s">
        <v>5207</v>
      </c>
      <c r="BE462" s="77"/>
      <c r="BF462" s="77"/>
      <c r="BG462" s="77"/>
      <c r="BH462" s="77"/>
      <c r="BI462" s="77"/>
    </row>
    <row r="463" spans="1:61" x14ac:dyDescent="0.25">
      <c r="A463" s="62" t="s">
        <v>381</v>
      </c>
      <c r="B463" s="62" t="s">
        <v>381</v>
      </c>
      <c r="C463" s="63"/>
      <c r="D463" s="64"/>
      <c r="E463" s="65"/>
      <c r="F463" s="66"/>
      <c r="G463" s="63"/>
      <c r="H463" s="67"/>
      <c r="I463" s="68"/>
      <c r="J463" s="68"/>
      <c r="K463" s="32"/>
      <c r="L463" s="75">
        <v>463</v>
      </c>
      <c r="M463" s="75"/>
      <c r="N463" s="70"/>
      <c r="O463" s="77" t="s">
        <v>179</v>
      </c>
      <c r="P463" s="79">
        <v>45101.458437499998</v>
      </c>
      <c r="Q463" s="77" t="s">
        <v>991</v>
      </c>
      <c r="R463" s="77">
        <v>1</v>
      </c>
      <c r="S463" s="77">
        <v>1</v>
      </c>
      <c r="T463" s="77">
        <v>0</v>
      </c>
      <c r="U463" s="77">
        <v>0</v>
      </c>
      <c r="V463" s="77">
        <v>370</v>
      </c>
      <c r="W463" s="82" t="s">
        <v>1435</v>
      </c>
      <c r="X463" s="80" t="str">
        <f>HYPERLINK("https://www.seudinheiro.com/2023/colunistas/pago-pensao-alimenticia-para-o-meu-filho-mas-descobri-que-nao-sou-o-pai-biologico-posso-reaver-os-valores-julw/")</f>
        <v>https://www.seudinheiro.com/2023/colunistas/pago-pensao-alimenticia-para-o-meu-filho-mas-descobri-que-nao-sou-o-pai-biologico-posso-reaver-os-valores-julw/</v>
      </c>
      <c r="Y463" s="77" t="s">
        <v>1995</v>
      </c>
      <c r="Z463" s="77"/>
      <c r="AA463" s="77"/>
      <c r="AB463" s="77"/>
      <c r="AC463" s="82" t="s">
        <v>2663</v>
      </c>
      <c r="AD463" s="77" t="s">
        <v>2670</v>
      </c>
      <c r="AE463" s="80" t="str">
        <f>HYPERLINK("https://twitter.com/seu_dinheiro_br/status/1672560235326713857")</f>
        <v>https://twitter.com/seu_dinheiro_br/status/1672560235326713857</v>
      </c>
      <c r="AF463" s="79">
        <v>45101.458437499998</v>
      </c>
      <c r="AG463" s="85">
        <v>45101</v>
      </c>
      <c r="AH463" s="82" t="s">
        <v>3099</v>
      </c>
      <c r="AI463" s="77" t="b">
        <v>0</v>
      </c>
      <c r="AJ463" s="77"/>
      <c r="AK463" s="77"/>
      <c r="AL463" s="77"/>
      <c r="AM463" s="77"/>
      <c r="AN463" s="77"/>
      <c r="AO463" s="77"/>
      <c r="AP463" s="77"/>
      <c r="AQ463" s="77"/>
      <c r="AR463" s="77"/>
      <c r="AS463" s="77"/>
      <c r="AT463" s="77"/>
      <c r="AU463" s="77"/>
      <c r="AV463" s="80" t="str">
        <f>HYPERLINK("https://pbs.twimg.com/profile_images/1041725334431952896/uaPtkYSp_normal.jpg")</f>
        <v>https://pbs.twimg.com/profile_images/1041725334431952896/uaPtkYSp_normal.jpg</v>
      </c>
      <c r="AW463" s="82" t="s">
        <v>4514</v>
      </c>
      <c r="AX463" s="82" t="s">
        <v>4514</v>
      </c>
      <c r="AY463" s="77"/>
      <c r="AZ463" s="82" t="s">
        <v>5075</v>
      </c>
      <c r="BA463" s="82" t="s">
        <v>5075</v>
      </c>
      <c r="BB463" s="82" t="s">
        <v>5075</v>
      </c>
      <c r="BC463" s="82" t="s">
        <v>4514</v>
      </c>
      <c r="BD463" s="82" t="s">
        <v>5207</v>
      </c>
      <c r="BE463" s="77"/>
      <c r="BF463" s="77"/>
      <c r="BG463" s="77"/>
      <c r="BH463" s="77"/>
      <c r="BI463" s="77"/>
    </row>
    <row r="464" spans="1:61" x14ac:dyDescent="0.25">
      <c r="A464" s="62" t="s">
        <v>381</v>
      </c>
      <c r="B464" s="62" t="s">
        <v>381</v>
      </c>
      <c r="C464" s="63"/>
      <c r="D464" s="64"/>
      <c r="E464" s="65"/>
      <c r="F464" s="66"/>
      <c r="G464" s="63"/>
      <c r="H464" s="67"/>
      <c r="I464" s="68"/>
      <c r="J464" s="68"/>
      <c r="K464" s="32"/>
      <c r="L464" s="75">
        <v>464</v>
      </c>
      <c r="M464" s="75"/>
      <c r="N464" s="70"/>
      <c r="O464" s="77" t="s">
        <v>179</v>
      </c>
      <c r="P464" s="79">
        <v>45143.459074074075</v>
      </c>
      <c r="Q464" s="77" t="s">
        <v>992</v>
      </c>
      <c r="R464" s="77">
        <v>0</v>
      </c>
      <c r="S464" s="77">
        <v>0</v>
      </c>
      <c r="T464" s="77">
        <v>0</v>
      </c>
      <c r="U464" s="77">
        <v>0</v>
      </c>
      <c r="V464" s="77">
        <v>281</v>
      </c>
      <c r="W464" s="82" t="s">
        <v>1791</v>
      </c>
      <c r="X464" s="80" t="str">
        <f>HYPERLINK("https://www.seudinheiro.com/2023/colunistas/tenho-plano-de-previdencia-antigo-e-vantajoso-mas-nao-consigo-escolher-a-tabela-regressiva-devo-fazer-portabilidade-julw/")</f>
        <v>https://www.seudinheiro.com/2023/colunistas/tenho-plano-de-previdencia-antigo-e-vantajoso-mas-nao-consigo-escolher-a-tabela-regressiva-devo-fazer-portabilidade-julw/</v>
      </c>
      <c r="Y464" s="77" t="s">
        <v>1995</v>
      </c>
      <c r="Z464" s="77"/>
      <c r="AA464" s="77"/>
      <c r="AB464" s="77"/>
      <c r="AC464" s="82" t="s">
        <v>2663</v>
      </c>
      <c r="AD464" s="77" t="s">
        <v>2670</v>
      </c>
      <c r="AE464" s="80" t="str">
        <f>HYPERLINK("https://twitter.com/seu_dinheiro_br/status/1687780755412299777")</f>
        <v>https://twitter.com/seu_dinheiro_br/status/1687780755412299777</v>
      </c>
      <c r="AF464" s="79">
        <v>45143.459074074075</v>
      </c>
      <c r="AG464" s="85">
        <v>45143</v>
      </c>
      <c r="AH464" s="82" t="s">
        <v>3100</v>
      </c>
      <c r="AI464" s="77" t="b">
        <v>0</v>
      </c>
      <c r="AJ464" s="77"/>
      <c r="AK464" s="77"/>
      <c r="AL464" s="77"/>
      <c r="AM464" s="77"/>
      <c r="AN464" s="77"/>
      <c r="AO464" s="77"/>
      <c r="AP464" s="77"/>
      <c r="AQ464" s="77"/>
      <c r="AR464" s="77"/>
      <c r="AS464" s="77"/>
      <c r="AT464" s="77"/>
      <c r="AU464" s="77"/>
      <c r="AV464" s="80" t="str">
        <f>HYPERLINK("https://pbs.twimg.com/profile_images/1041725334431952896/uaPtkYSp_normal.jpg")</f>
        <v>https://pbs.twimg.com/profile_images/1041725334431952896/uaPtkYSp_normal.jpg</v>
      </c>
      <c r="AW464" s="82" t="s">
        <v>4515</v>
      </c>
      <c r="AX464" s="82" t="s">
        <v>4515</v>
      </c>
      <c r="AY464" s="77"/>
      <c r="AZ464" s="82" t="s">
        <v>5075</v>
      </c>
      <c r="BA464" s="82" t="s">
        <v>5075</v>
      </c>
      <c r="BB464" s="82" t="s">
        <v>5075</v>
      </c>
      <c r="BC464" s="82" t="s">
        <v>4515</v>
      </c>
      <c r="BD464" s="82" t="s">
        <v>5207</v>
      </c>
      <c r="BE464" s="77"/>
      <c r="BF464" s="77"/>
      <c r="BG464" s="77"/>
      <c r="BH464" s="77"/>
      <c r="BI464" s="77"/>
    </row>
    <row r="465" spans="1:61" x14ac:dyDescent="0.25">
      <c r="A465" s="62" t="s">
        <v>381</v>
      </c>
      <c r="B465" s="62" t="s">
        <v>381</v>
      </c>
      <c r="C465" s="63"/>
      <c r="D465" s="64"/>
      <c r="E465" s="65"/>
      <c r="F465" s="66"/>
      <c r="G465" s="63"/>
      <c r="H465" s="67"/>
      <c r="I465" s="68"/>
      <c r="J465" s="68"/>
      <c r="K465" s="32"/>
      <c r="L465" s="75">
        <v>465</v>
      </c>
      <c r="M465" s="75"/>
      <c r="N465" s="70"/>
      <c r="O465" s="77" t="s">
        <v>179</v>
      </c>
      <c r="P465" s="79">
        <v>45137.458877314813</v>
      </c>
      <c r="Q465" s="77" t="s">
        <v>993</v>
      </c>
      <c r="R465" s="77">
        <v>0</v>
      </c>
      <c r="S465" s="77">
        <v>1</v>
      </c>
      <c r="T465" s="77">
        <v>0</v>
      </c>
      <c r="U465" s="77">
        <v>0</v>
      </c>
      <c r="V465" s="77">
        <v>374</v>
      </c>
      <c r="W465" s="82" t="s">
        <v>1792</v>
      </c>
      <c r="X465" s="80" t="str">
        <f>HYPERLINK("https://www.seudinheiro.com/2023/renda-fixa/tesouro-renda-o-que-acontece-ao-titulo-publico-da-aposentadoria-se-o-investidor-morrer/")</f>
        <v>https://www.seudinheiro.com/2023/renda-fixa/tesouro-renda-o-que-acontece-ao-titulo-publico-da-aposentadoria-se-o-investidor-morrer/</v>
      </c>
      <c r="Y465" s="77" t="s">
        <v>1995</v>
      </c>
      <c r="Z465" s="77"/>
      <c r="AA465" s="77"/>
      <c r="AB465" s="77"/>
      <c r="AC465" s="82" t="s">
        <v>2663</v>
      </c>
      <c r="AD465" s="77" t="s">
        <v>2670</v>
      </c>
      <c r="AE465" s="80" t="str">
        <f>HYPERLINK("https://twitter.com/seu_dinheiro_br/status/1685606356332552193")</f>
        <v>https://twitter.com/seu_dinheiro_br/status/1685606356332552193</v>
      </c>
      <c r="AF465" s="79">
        <v>45137.458877314813</v>
      </c>
      <c r="AG465" s="85">
        <v>45137</v>
      </c>
      <c r="AH465" s="82" t="s">
        <v>3101</v>
      </c>
      <c r="AI465" s="77" t="b">
        <v>0</v>
      </c>
      <c r="AJ465" s="77"/>
      <c r="AK465" s="77"/>
      <c r="AL465" s="77"/>
      <c r="AM465" s="77"/>
      <c r="AN465" s="77"/>
      <c r="AO465" s="77"/>
      <c r="AP465" s="77"/>
      <c r="AQ465" s="77"/>
      <c r="AR465" s="77"/>
      <c r="AS465" s="77"/>
      <c r="AT465" s="77"/>
      <c r="AU465" s="77"/>
      <c r="AV465" s="80" t="str">
        <f>HYPERLINK("https://pbs.twimg.com/profile_images/1041725334431952896/uaPtkYSp_normal.jpg")</f>
        <v>https://pbs.twimg.com/profile_images/1041725334431952896/uaPtkYSp_normal.jpg</v>
      </c>
      <c r="AW465" s="82" t="s">
        <v>4516</v>
      </c>
      <c r="AX465" s="82" t="s">
        <v>4516</v>
      </c>
      <c r="AY465" s="77"/>
      <c r="AZ465" s="82" t="s">
        <v>5075</v>
      </c>
      <c r="BA465" s="82" t="s">
        <v>5075</v>
      </c>
      <c r="BB465" s="82" t="s">
        <v>5075</v>
      </c>
      <c r="BC465" s="82" t="s">
        <v>4516</v>
      </c>
      <c r="BD465" s="82" t="s">
        <v>5207</v>
      </c>
      <c r="BE465" s="77"/>
      <c r="BF465" s="77"/>
      <c r="BG465" s="77"/>
      <c r="BH465" s="77"/>
      <c r="BI465" s="77"/>
    </row>
    <row r="466" spans="1:61" x14ac:dyDescent="0.25">
      <c r="A466" s="62" t="s">
        <v>382</v>
      </c>
      <c r="B466" s="62" t="s">
        <v>382</v>
      </c>
      <c r="C466" s="63"/>
      <c r="D466" s="64"/>
      <c r="E466" s="65"/>
      <c r="F466" s="66"/>
      <c r="G466" s="63"/>
      <c r="H466" s="67"/>
      <c r="I466" s="68"/>
      <c r="J466" s="68"/>
      <c r="K466" s="32"/>
      <c r="L466" s="75">
        <v>466</v>
      </c>
      <c r="M466" s="75"/>
      <c r="N466" s="70"/>
      <c r="O466" s="77" t="s">
        <v>179</v>
      </c>
      <c r="P466" s="79">
        <v>45072.861724537041</v>
      </c>
      <c r="Q466" s="77" t="s">
        <v>994</v>
      </c>
      <c r="R466" s="77">
        <v>0</v>
      </c>
      <c r="S466" s="77">
        <v>0</v>
      </c>
      <c r="T466" s="77">
        <v>0</v>
      </c>
      <c r="U466" s="77">
        <v>0</v>
      </c>
      <c r="V466" s="77">
        <v>16</v>
      </c>
      <c r="W466" s="82" t="s">
        <v>1793</v>
      </c>
      <c r="X466" s="77"/>
      <c r="Y466" s="77"/>
      <c r="Z466" s="77"/>
      <c r="AA466" s="77" t="s">
        <v>2306</v>
      </c>
      <c r="AB466" s="77" t="s">
        <v>2633</v>
      </c>
      <c r="AC466" s="82" t="s">
        <v>2642</v>
      </c>
      <c r="AD466" s="77" t="s">
        <v>2670</v>
      </c>
      <c r="AE466" s="80" t="str">
        <f>HYPERLINK("https://twitter.com/grupoborn/status/1662197134123319298")</f>
        <v>https://twitter.com/grupoborn/status/1662197134123319298</v>
      </c>
      <c r="AF466" s="79">
        <v>45072.861724537041</v>
      </c>
      <c r="AG466" s="85">
        <v>45072</v>
      </c>
      <c r="AH466" s="82" t="s">
        <v>3102</v>
      </c>
      <c r="AI466" s="77" t="b">
        <v>0</v>
      </c>
      <c r="AJ466" s="77"/>
      <c r="AK466" s="77"/>
      <c r="AL466" s="77"/>
      <c r="AM466" s="77"/>
      <c r="AN466" s="77"/>
      <c r="AO466" s="77"/>
      <c r="AP466" s="77"/>
      <c r="AQ466" s="77" t="s">
        <v>3735</v>
      </c>
      <c r="AR466" s="77">
        <v>46780</v>
      </c>
      <c r="AS466" s="77"/>
      <c r="AT466" s="77"/>
      <c r="AU466" s="77"/>
      <c r="AV466" s="80" t="str">
        <f>HYPERLINK("https://pbs.twimg.com/ext_tw_video_thumb/1662197040221151235/pu/img/_Nhwcm4nMJRB6i4Z.jpg")</f>
        <v>https://pbs.twimg.com/ext_tw_video_thumb/1662197040221151235/pu/img/_Nhwcm4nMJRB6i4Z.jpg</v>
      </c>
      <c r="AW466" s="82" t="s">
        <v>4517</v>
      </c>
      <c r="AX466" s="82" t="s">
        <v>4517</v>
      </c>
      <c r="AY466" s="77"/>
      <c r="AZ466" s="82" t="s">
        <v>5075</v>
      </c>
      <c r="BA466" s="82" t="s">
        <v>5075</v>
      </c>
      <c r="BB466" s="82" t="s">
        <v>5075</v>
      </c>
      <c r="BC466" s="82" t="s">
        <v>4517</v>
      </c>
      <c r="BD466" s="82" t="s">
        <v>5208</v>
      </c>
      <c r="BE466" s="77"/>
      <c r="BF466" s="77"/>
      <c r="BG466" s="77"/>
      <c r="BH466" s="77"/>
      <c r="BI466" s="77"/>
    </row>
    <row r="467" spans="1:61" x14ac:dyDescent="0.25">
      <c r="A467" s="62" t="s">
        <v>383</v>
      </c>
      <c r="B467" s="62" t="s">
        <v>383</v>
      </c>
      <c r="C467" s="63"/>
      <c r="D467" s="64"/>
      <c r="E467" s="65"/>
      <c r="F467" s="66"/>
      <c r="G467" s="63"/>
      <c r="H467" s="67"/>
      <c r="I467" s="68"/>
      <c r="J467" s="68"/>
      <c r="K467" s="32"/>
      <c r="L467" s="75">
        <v>467</v>
      </c>
      <c r="M467" s="75"/>
      <c r="N467" s="70"/>
      <c r="O467" s="77" t="s">
        <v>179</v>
      </c>
      <c r="P467" s="79">
        <v>45163.792002314818</v>
      </c>
      <c r="Q467" s="77" t="s">
        <v>995</v>
      </c>
      <c r="R467" s="77">
        <v>0</v>
      </c>
      <c r="S467" s="77">
        <v>0</v>
      </c>
      <c r="T467" s="77">
        <v>0</v>
      </c>
      <c r="U467" s="77">
        <v>0</v>
      </c>
      <c r="V467" s="77">
        <v>6</v>
      </c>
      <c r="W467" s="82" t="s">
        <v>1794</v>
      </c>
      <c r="X467" s="77"/>
      <c r="Y467" s="77"/>
      <c r="Z467" s="77"/>
      <c r="AA467" s="77" t="s">
        <v>2307</v>
      </c>
      <c r="AB467" s="77" t="s">
        <v>2632</v>
      </c>
      <c r="AC467" s="82" t="s">
        <v>2650</v>
      </c>
      <c r="AD467" s="77" t="s">
        <v>2670</v>
      </c>
      <c r="AE467" s="80" t="str">
        <f>HYPERLINK("https://twitter.com/plancredi/status/1695149162679951812")</f>
        <v>https://twitter.com/plancredi/status/1695149162679951812</v>
      </c>
      <c r="AF467" s="79">
        <v>45163.792002314818</v>
      </c>
      <c r="AG467" s="85">
        <v>45163</v>
      </c>
      <c r="AH467" s="82" t="s">
        <v>3103</v>
      </c>
      <c r="AI467" s="77" t="b">
        <v>0</v>
      </c>
      <c r="AJ467" s="77"/>
      <c r="AK467" s="77"/>
      <c r="AL467" s="77"/>
      <c r="AM467" s="77"/>
      <c r="AN467" s="77"/>
      <c r="AO467" s="77"/>
      <c r="AP467" s="77"/>
      <c r="AQ467" s="77" t="s">
        <v>3736</v>
      </c>
      <c r="AR467" s="77"/>
      <c r="AS467" s="77"/>
      <c r="AT467" s="77"/>
      <c r="AU467" s="77"/>
      <c r="AV467" s="80" t="str">
        <f>HYPERLINK("https://pbs.twimg.com/media/F4ZhLHdWwAAi8tQ.jpg")</f>
        <v>https://pbs.twimg.com/media/F4ZhLHdWwAAi8tQ.jpg</v>
      </c>
      <c r="AW467" s="82" t="s">
        <v>4518</v>
      </c>
      <c r="AX467" s="82" t="s">
        <v>4518</v>
      </c>
      <c r="AY467" s="77"/>
      <c r="AZ467" s="82" t="s">
        <v>5075</v>
      </c>
      <c r="BA467" s="82" t="s">
        <v>5075</v>
      </c>
      <c r="BB467" s="82" t="s">
        <v>5075</v>
      </c>
      <c r="BC467" s="82" t="s">
        <v>4518</v>
      </c>
      <c r="BD467" s="82" t="s">
        <v>5209</v>
      </c>
      <c r="BE467" s="77"/>
      <c r="BF467" s="77"/>
      <c r="BG467" s="77"/>
      <c r="BH467" s="77"/>
      <c r="BI467" s="77"/>
    </row>
    <row r="468" spans="1:61" x14ac:dyDescent="0.25">
      <c r="A468" s="62" t="s">
        <v>384</v>
      </c>
      <c r="B468" s="62" t="s">
        <v>384</v>
      </c>
      <c r="C468" s="63"/>
      <c r="D468" s="64"/>
      <c r="E468" s="65"/>
      <c r="F468" s="66"/>
      <c r="G468" s="63"/>
      <c r="H468" s="67"/>
      <c r="I468" s="68"/>
      <c r="J468" s="68"/>
      <c r="K468" s="32"/>
      <c r="L468" s="75">
        <v>468</v>
      </c>
      <c r="M468" s="75"/>
      <c r="N468" s="70"/>
      <c r="O468" s="77" t="s">
        <v>179</v>
      </c>
      <c r="P468" s="79">
        <v>45113.743252314816</v>
      </c>
      <c r="Q468" s="77" t="s">
        <v>996</v>
      </c>
      <c r="R468" s="77">
        <v>0</v>
      </c>
      <c r="S468" s="77">
        <v>0</v>
      </c>
      <c r="T468" s="77">
        <v>0</v>
      </c>
      <c r="U468" s="77">
        <v>0</v>
      </c>
      <c r="V468" s="77">
        <v>11</v>
      </c>
      <c r="W468" s="82" t="s">
        <v>1795</v>
      </c>
      <c r="X468" s="77"/>
      <c r="Y468" s="77"/>
      <c r="Z468" s="77"/>
      <c r="AA468" s="77" t="s">
        <v>2308</v>
      </c>
      <c r="AB468" s="77" t="s">
        <v>2632</v>
      </c>
      <c r="AC468" s="82" t="s">
        <v>2664</v>
      </c>
      <c r="AD468" s="77" t="s">
        <v>2670</v>
      </c>
      <c r="AE468" s="80" t="str">
        <f>HYPERLINK("https://twitter.com/metalogsoft/status/1677012103885127680")</f>
        <v>https://twitter.com/metalogsoft/status/1677012103885127680</v>
      </c>
      <c r="AF468" s="79">
        <v>45113.743252314816</v>
      </c>
      <c r="AG468" s="85">
        <v>45113</v>
      </c>
      <c r="AH468" s="82" t="s">
        <v>3104</v>
      </c>
      <c r="AI468" s="77" t="b">
        <v>0</v>
      </c>
      <c r="AJ468" s="77"/>
      <c r="AK468" s="77"/>
      <c r="AL468" s="77"/>
      <c r="AM468" s="77"/>
      <c r="AN468" s="77"/>
      <c r="AO468" s="77"/>
      <c r="AP468" s="77"/>
      <c r="AQ468" s="77" t="s">
        <v>3737</v>
      </c>
      <c r="AR468" s="77"/>
      <c r="AS468" s="77"/>
      <c r="AT468" s="77"/>
      <c r="AU468" s="77"/>
      <c r="AV468" s="80" t="str">
        <f>HYPERLINK("https://pbs.twimg.com/media/F0XxnxjaQAEdqQ1.jpg")</f>
        <v>https://pbs.twimg.com/media/F0XxnxjaQAEdqQ1.jpg</v>
      </c>
      <c r="AW468" s="82" t="s">
        <v>4519</v>
      </c>
      <c r="AX468" s="82" t="s">
        <v>4519</v>
      </c>
      <c r="AY468" s="77"/>
      <c r="AZ468" s="82" t="s">
        <v>5075</v>
      </c>
      <c r="BA468" s="82" t="s">
        <v>5075</v>
      </c>
      <c r="BB468" s="82" t="s">
        <v>5075</v>
      </c>
      <c r="BC468" s="82" t="s">
        <v>4519</v>
      </c>
      <c r="BD468" s="82" t="s">
        <v>5210</v>
      </c>
      <c r="BE468" s="77"/>
      <c r="BF468" s="77"/>
      <c r="BG468" s="77"/>
      <c r="BH468" s="77"/>
      <c r="BI468" s="77"/>
    </row>
    <row r="469" spans="1:61" x14ac:dyDescent="0.25">
      <c r="A469" s="62" t="s">
        <v>385</v>
      </c>
      <c r="B469" s="62" t="s">
        <v>518</v>
      </c>
      <c r="C469" s="63"/>
      <c r="D469" s="64"/>
      <c r="E469" s="65"/>
      <c r="F469" s="66"/>
      <c r="G469" s="63"/>
      <c r="H469" s="67"/>
      <c r="I469" s="68"/>
      <c r="J469" s="68"/>
      <c r="K469" s="32"/>
      <c r="L469" s="75">
        <v>469</v>
      </c>
      <c r="M469" s="75"/>
      <c r="N469" s="70"/>
      <c r="O469" s="77" t="s">
        <v>539</v>
      </c>
      <c r="P469" s="79">
        <v>44951.689976851849</v>
      </c>
      <c r="Q469" s="77" t="s">
        <v>997</v>
      </c>
      <c r="R469" s="77">
        <v>0</v>
      </c>
      <c r="S469" s="77">
        <v>1</v>
      </c>
      <c r="T469" s="77">
        <v>0</v>
      </c>
      <c r="U469" s="77">
        <v>0</v>
      </c>
      <c r="V469" s="77">
        <v>20</v>
      </c>
      <c r="W469" s="82" t="s">
        <v>1796</v>
      </c>
      <c r="X469" s="80" t="str">
        <f>HYPERLINK("https://youtu.be/JuADBWai9W8")</f>
        <v>https://youtu.be/JuADBWai9W8</v>
      </c>
      <c r="Y469" s="77" t="s">
        <v>1979</v>
      </c>
      <c r="Z469" s="77" t="s">
        <v>518</v>
      </c>
      <c r="AA469" s="77"/>
      <c r="AB469" s="77"/>
      <c r="AC469" s="82" t="s">
        <v>2639</v>
      </c>
      <c r="AD469" s="77" t="s">
        <v>2670</v>
      </c>
      <c r="AE469" s="80" t="str">
        <f>HYPERLINK("https://twitter.com/advjusnet/status/1618285960785190912")</f>
        <v>https://twitter.com/advjusnet/status/1618285960785190912</v>
      </c>
      <c r="AF469" s="79">
        <v>44951.689976851849</v>
      </c>
      <c r="AG469" s="85">
        <v>44951</v>
      </c>
      <c r="AH469" s="82" t="s">
        <v>3105</v>
      </c>
      <c r="AI469" s="77" t="b">
        <v>0</v>
      </c>
      <c r="AJ469" s="77"/>
      <c r="AK469" s="77"/>
      <c r="AL469" s="77"/>
      <c r="AM469" s="77"/>
      <c r="AN469" s="77"/>
      <c r="AO469" s="77"/>
      <c r="AP469" s="77"/>
      <c r="AQ469" s="77"/>
      <c r="AR469" s="77"/>
      <c r="AS469" s="77"/>
      <c r="AT469" s="77"/>
      <c r="AU469" s="77"/>
      <c r="AV469" s="80" t="str">
        <f>HYPERLINK("https://pbs.twimg.com/profile_images/1275430696362917889/UAotlIGo_normal.jpg")</f>
        <v>https://pbs.twimg.com/profile_images/1275430696362917889/UAotlIGo_normal.jpg</v>
      </c>
      <c r="AW469" s="82" t="s">
        <v>4520</v>
      </c>
      <c r="AX469" s="82" t="s">
        <v>4520</v>
      </c>
      <c r="AY469" s="77"/>
      <c r="AZ469" s="82" t="s">
        <v>5075</v>
      </c>
      <c r="BA469" s="82" t="s">
        <v>5075</v>
      </c>
      <c r="BB469" s="82" t="s">
        <v>5075</v>
      </c>
      <c r="BC469" s="82" t="s">
        <v>4520</v>
      </c>
      <c r="BD469" s="77">
        <v>1265158207</v>
      </c>
      <c r="BE469" s="77"/>
      <c r="BF469" s="77"/>
      <c r="BG469" s="77"/>
      <c r="BH469" s="77"/>
      <c r="BI469" s="77"/>
    </row>
    <row r="470" spans="1:61" x14ac:dyDescent="0.25">
      <c r="A470" s="62" t="s">
        <v>386</v>
      </c>
      <c r="B470" s="62" t="s">
        <v>386</v>
      </c>
      <c r="C470" s="63"/>
      <c r="D470" s="64"/>
      <c r="E470" s="65"/>
      <c r="F470" s="66"/>
      <c r="G470" s="63"/>
      <c r="H470" s="67"/>
      <c r="I470" s="68"/>
      <c r="J470" s="68"/>
      <c r="K470" s="32"/>
      <c r="L470" s="75">
        <v>470</v>
      </c>
      <c r="M470" s="75"/>
      <c r="N470" s="70"/>
      <c r="O470" s="77" t="s">
        <v>179</v>
      </c>
      <c r="P470" s="79">
        <v>45138.576145833336</v>
      </c>
      <c r="Q470" s="77" t="s">
        <v>998</v>
      </c>
      <c r="R470" s="77">
        <v>0</v>
      </c>
      <c r="S470" s="77">
        <v>0</v>
      </c>
      <c r="T470" s="77">
        <v>0</v>
      </c>
      <c r="U470" s="77">
        <v>0</v>
      </c>
      <c r="V470" s="77">
        <v>4</v>
      </c>
      <c r="W470" s="82" t="s">
        <v>1435</v>
      </c>
      <c r="X470" s="80" t="str">
        <f>HYPERLINK("https://www.sejahojediferente.com/2023/07/planejamento-financeiro-pessoal-dicas.html")</f>
        <v>https://www.sejahojediferente.com/2023/07/planejamento-financeiro-pessoal-dicas.html</v>
      </c>
      <c r="Y470" s="77" t="s">
        <v>1996</v>
      </c>
      <c r="Z470" s="77"/>
      <c r="AA470" s="77"/>
      <c r="AB470" s="77"/>
      <c r="AC470" s="82" t="s">
        <v>2638</v>
      </c>
      <c r="AD470" s="77" t="s">
        <v>2670</v>
      </c>
      <c r="AE470" s="80" t="str">
        <f>HYPERLINK("https://twitter.com/newsshd/status/1686011243553861632")</f>
        <v>https://twitter.com/newsshd/status/1686011243553861632</v>
      </c>
      <c r="AF470" s="79">
        <v>45138.576145833336</v>
      </c>
      <c r="AG470" s="85">
        <v>45138</v>
      </c>
      <c r="AH470" s="82" t="s">
        <v>3106</v>
      </c>
      <c r="AI470" s="77" t="b">
        <v>0</v>
      </c>
      <c r="AJ470" s="77"/>
      <c r="AK470" s="77"/>
      <c r="AL470" s="77"/>
      <c r="AM470" s="77"/>
      <c r="AN470" s="77"/>
      <c r="AO470" s="77"/>
      <c r="AP470" s="77"/>
      <c r="AQ470" s="77"/>
      <c r="AR470" s="77"/>
      <c r="AS470" s="77"/>
      <c r="AT470" s="77"/>
      <c r="AU470" s="77"/>
      <c r="AV470" s="80" t="str">
        <f>HYPERLINK("https://pbs.twimg.com/profile_images/1684162716930281472/WgZEbaxH_normal.jpg")</f>
        <v>https://pbs.twimg.com/profile_images/1684162716930281472/WgZEbaxH_normal.jpg</v>
      </c>
      <c r="AW470" s="82" t="s">
        <v>4521</v>
      </c>
      <c r="AX470" s="82" t="s">
        <v>4521</v>
      </c>
      <c r="AY470" s="77"/>
      <c r="AZ470" s="82" t="s">
        <v>5075</v>
      </c>
      <c r="BA470" s="82" t="s">
        <v>5075</v>
      </c>
      <c r="BB470" s="82" t="s">
        <v>5075</v>
      </c>
      <c r="BC470" s="82" t="s">
        <v>4521</v>
      </c>
      <c r="BD470" s="77">
        <v>3364562657</v>
      </c>
      <c r="BE470" s="77"/>
      <c r="BF470" s="77"/>
      <c r="BG470" s="77"/>
      <c r="BH470" s="77"/>
      <c r="BI470" s="77"/>
    </row>
    <row r="471" spans="1:61" x14ac:dyDescent="0.25">
      <c r="A471" s="62" t="s">
        <v>387</v>
      </c>
      <c r="B471" s="62" t="s">
        <v>387</v>
      </c>
      <c r="C471" s="63"/>
      <c r="D471" s="64"/>
      <c r="E471" s="65"/>
      <c r="F471" s="66"/>
      <c r="G471" s="63"/>
      <c r="H471" s="67"/>
      <c r="I471" s="68"/>
      <c r="J471" s="68"/>
      <c r="K471" s="32"/>
      <c r="L471" s="75">
        <v>471</v>
      </c>
      <c r="M471" s="75"/>
      <c r="N471" s="70"/>
      <c r="O471" s="77" t="s">
        <v>536</v>
      </c>
      <c r="P471" s="79">
        <v>44962.539398148147</v>
      </c>
      <c r="Q471" s="77" t="s">
        <v>999</v>
      </c>
      <c r="R471" s="77">
        <v>0</v>
      </c>
      <c r="S471" s="77">
        <v>2</v>
      </c>
      <c r="T471" s="77">
        <v>0</v>
      </c>
      <c r="U471" s="77">
        <v>0</v>
      </c>
      <c r="V471" s="77">
        <v>77</v>
      </c>
      <c r="W471" s="82" t="s">
        <v>1797</v>
      </c>
      <c r="X471" s="77"/>
      <c r="Y471" s="77"/>
      <c r="Z471" s="77"/>
      <c r="AA471" s="77"/>
      <c r="AB471" s="77"/>
      <c r="AC471" s="82" t="s">
        <v>2640</v>
      </c>
      <c r="AD471" s="77" t="s">
        <v>2670</v>
      </c>
      <c r="AE471" s="80" t="str">
        <f>HYPERLINK("https://twitter.com/sshiroma_/status/1622217663467364356")</f>
        <v>https://twitter.com/sshiroma_/status/1622217663467364356</v>
      </c>
      <c r="AF471" s="79">
        <v>44962.539398148147</v>
      </c>
      <c r="AG471" s="85">
        <v>44962</v>
      </c>
      <c r="AH471" s="82" t="s">
        <v>3107</v>
      </c>
      <c r="AI471" s="77"/>
      <c r="AJ471" s="77"/>
      <c r="AK471" s="77"/>
      <c r="AL471" s="77"/>
      <c r="AM471" s="77"/>
      <c r="AN471" s="77"/>
      <c r="AO471" s="77"/>
      <c r="AP471" s="77"/>
      <c r="AQ471" s="77"/>
      <c r="AR471" s="77"/>
      <c r="AS471" s="77"/>
      <c r="AT471" s="77"/>
      <c r="AU471" s="77"/>
      <c r="AV471" s="80" t="str">
        <f>HYPERLINK("https://pbs.twimg.com/profile_images/1706855970830159872/nlR4kJ0I_normal.jpg")</f>
        <v>https://pbs.twimg.com/profile_images/1706855970830159872/nlR4kJ0I_normal.jpg</v>
      </c>
      <c r="AW471" s="82" t="s">
        <v>4522</v>
      </c>
      <c r="AX471" s="82" t="s">
        <v>4998</v>
      </c>
      <c r="AY471" s="82" t="s">
        <v>5052</v>
      </c>
      <c r="AZ471" s="82" t="s">
        <v>4998</v>
      </c>
      <c r="BA471" s="82" t="s">
        <v>5075</v>
      </c>
      <c r="BB471" s="82" t="s">
        <v>5075</v>
      </c>
      <c r="BC471" s="82" t="s">
        <v>4998</v>
      </c>
      <c r="BD471" s="77">
        <v>35784267</v>
      </c>
      <c r="BE471" s="77"/>
      <c r="BF471" s="77"/>
      <c r="BG471" s="77"/>
      <c r="BH471" s="77"/>
      <c r="BI471" s="77"/>
    </row>
    <row r="472" spans="1:61" x14ac:dyDescent="0.25">
      <c r="A472" s="62" t="s">
        <v>388</v>
      </c>
      <c r="B472" s="62" t="s">
        <v>388</v>
      </c>
      <c r="C472" s="63"/>
      <c r="D472" s="64"/>
      <c r="E472" s="65"/>
      <c r="F472" s="66"/>
      <c r="G472" s="63"/>
      <c r="H472" s="67"/>
      <c r="I472" s="68"/>
      <c r="J472" s="68"/>
      <c r="K472" s="32"/>
      <c r="L472" s="75">
        <v>472</v>
      </c>
      <c r="M472" s="75"/>
      <c r="N472" s="70"/>
      <c r="O472" s="77" t="s">
        <v>179</v>
      </c>
      <c r="P472" s="79">
        <v>45020.431261574071</v>
      </c>
      <c r="Q472" s="80" t="str">
        <f>HYPERLINK("https://t.co/DDmRplCXDD
#PaiRicoPaiPobre
#EducaçãoFinanceira
#FinançasPessoais
#Investimentos
#SucessoFinanceiro
#Empreendedorismo
#LiberdadeFinanceira
#PlanejamentoFinanceiro
#EducaçãoFinanceiraParaTodos
#RiquezaMental")</f>
        <v>https://t.co/DDmRplCXDD
#PaiRicoPaiPobre
#EducaçãoFinanceira
#FinançasPessoais
#Investimentos
#SucessoFinanceiro
#Empreendedorismo
#LiberdadeFinanceira
#PlanejamentoFinanceiro
#EducaçãoFinanceiraParaTodos
#RiquezaMental</v>
      </c>
      <c r="R472" s="77">
        <v>0</v>
      </c>
      <c r="S472" s="77">
        <v>0</v>
      </c>
      <c r="T472" s="77">
        <v>0</v>
      </c>
      <c r="U472" s="77">
        <v>0</v>
      </c>
      <c r="V472" s="77">
        <v>9</v>
      </c>
      <c r="W472" s="82" t="s">
        <v>1798</v>
      </c>
      <c r="X472" s="80" t="str">
        <f>HYPERLINK("https://odysee.com/@contab_invest:c/pairicopaipobre:1")</f>
        <v>https://odysee.com/@contab_invest:c/pairicopaipobre:1</v>
      </c>
      <c r="Y472" s="77" t="s">
        <v>1997</v>
      </c>
      <c r="Z472" s="77"/>
      <c r="AA472" s="77"/>
      <c r="AB472" s="77"/>
      <c r="AC472" s="82" t="s">
        <v>2639</v>
      </c>
      <c r="AD472" s="77" t="s">
        <v>2673</v>
      </c>
      <c r="AE472" s="80" t="str">
        <f>HYPERLINK("https://twitter.com/axcrestfall/status/1643196969546833920")</f>
        <v>https://twitter.com/axcrestfall/status/1643196969546833920</v>
      </c>
      <c r="AF472" s="79">
        <v>45020.431261574071</v>
      </c>
      <c r="AG472" s="85">
        <v>45020</v>
      </c>
      <c r="AH472" s="82" t="s">
        <v>3108</v>
      </c>
      <c r="AI472" s="77" t="b">
        <v>0</v>
      </c>
      <c r="AJ472" s="77"/>
      <c r="AK472" s="77"/>
      <c r="AL472" s="77"/>
      <c r="AM472" s="77"/>
      <c r="AN472" s="77"/>
      <c r="AO472" s="77"/>
      <c r="AP472" s="77"/>
      <c r="AQ472" s="77"/>
      <c r="AR472" s="77"/>
      <c r="AS472" s="77"/>
      <c r="AT472" s="77"/>
      <c r="AU472" s="77"/>
      <c r="AV472" s="80" t="str">
        <f>HYPERLINK("https://pbs.twimg.com/profile_images/1632325316768145408/nt6F2o4Z_normal.jpg")</f>
        <v>https://pbs.twimg.com/profile_images/1632325316768145408/nt6F2o4Z_normal.jpg</v>
      </c>
      <c r="AW472" s="82" t="s">
        <v>4523</v>
      </c>
      <c r="AX472" s="82" t="s">
        <v>4523</v>
      </c>
      <c r="AY472" s="77"/>
      <c r="AZ472" s="82" t="s">
        <v>5075</v>
      </c>
      <c r="BA472" s="82" t="s">
        <v>5075</v>
      </c>
      <c r="BB472" s="82" t="s">
        <v>5075</v>
      </c>
      <c r="BC472" s="82" t="s">
        <v>4523</v>
      </c>
      <c r="BD472" s="82" t="s">
        <v>5211</v>
      </c>
      <c r="BE472" s="77"/>
      <c r="BF472" s="77"/>
      <c r="BG472" s="77"/>
      <c r="BH472" s="77"/>
      <c r="BI472" s="77"/>
    </row>
    <row r="473" spans="1:61" x14ac:dyDescent="0.25">
      <c r="A473" s="62" t="s">
        <v>389</v>
      </c>
      <c r="B473" s="62" t="s">
        <v>389</v>
      </c>
      <c r="C473" s="63"/>
      <c r="D473" s="64"/>
      <c r="E473" s="65"/>
      <c r="F473" s="66"/>
      <c r="G473" s="63"/>
      <c r="H473" s="67"/>
      <c r="I473" s="68"/>
      <c r="J473" s="68"/>
      <c r="K473" s="32"/>
      <c r="L473" s="75">
        <v>473</v>
      </c>
      <c r="M473" s="75"/>
      <c r="N473" s="70"/>
      <c r="O473" s="77" t="s">
        <v>536</v>
      </c>
      <c r="P473" s="79">
        <v>45070.622708333336</v>
      </c>
      <c r="Q473" s="77" t="s">
        <v>1000</v>
      </c>
      <c r="R473" s="77">
        <v>0</v>
      </c>
      <c r="S473" s="77">
        <v>0</v>
      </c>
      <c r="T473" s="77">
        <v>0</v>
      </c>
      <c r="U473" s="77">
        <v>0</v>
      </c>
      <c r="V473" s="77">
        <v>188</v>
      </c>
      <c r="W473" s="82" t="s">
        <v>1799</v>
      </c>
      <c r="X473" s="77"/>
      <c r="Y473" s="77"/>
      <c r="Z473" s="77"/>
      <c r="AA473" s="77"/>
      <c r="AB473" s="77"/>
      <c r="AC473" s="82" t="s">
        <v>2639</v>
      </c>
      <c r="AD473" s="77" t="s">
        <v>2670</v>
      </c>
      <c r="AE473" s="80" t="str">
        <f>HYPERLINK("https://twitter.com/oabprevrs/status/1661385741388201988")</f>
        <v>https://twitter.com/oabprevrs/status/1661385741388201988</v>
      </c>
      <c r="AF473" s="79">
        <v>45070.622708333336</v>
      </c>
      <c r="AG473" s="85">
        <v>45070</v>
      </c>
      <c r="AH473" s="82" t="s">
        <v>3109</v>
      </c>
      <c r="AI473" s="77"/>
      <c r="AJ473" s="77"/>
      <c r="AK473" s="77"/>
      <c r="AL473" s="77"/>
      <c r="AM473" s="77"/>
      <c r="AN473" s="77"/>
      <c r="AO473" s="77"/>
      <c r="AP473" s="77"/>
      <c r="AQ473" s="77"/>
      <c r="AR473" s="77"/>
      <c r="AS473" s="77"/>
      <c r="AT473" s="77"/>
      <c r="AU473" s="77"/>
      <c r="AV473" s="80" t="str">
        <f>HYPERLINK("https://pbs.twimg.com/profile_images/1597988315076206593/-8ElZOze_normal.png")</f>
        <v>https://pbs.twimg.com/profile_images/1597988315076206593/-8ElZOze_normal.png</v>
      </c>
      <c r="AW473" s="82" t="s">
        <v>4524</v>
      </c>
      <c r="AX473" s="82" t="s">
        <v>4999</v>
      </c>
      <c r="AY473" s="82" t="s">
        <v>5053</v>
      </c>
      <c r="AZ473" s="82" t="s">
        <v>5105</v>
      </c>
      <c r="BA473" s="82" t="s">
        <v>5075</v>
      </c>
      <c r="BB473" s="82" t="s">
        <v>5075</v>
      </c>
      <c r="BC473" s="82" t="s">
        <v>5105</v>
      </c>
      <c r="BD473" s="77">
        <v>1620631531</v>
      </c>
      <c r="BE473" s="77"/>
      <c r="BF473" s="77"/>
      <c r="BG473" s="77"/>
      <c r="BH473" s="77"/>
      <c r="BI473" s="77"/>
    </row>
    <row r="474" spans="1:61" x14ac:dyDescent="0.25">
      <c r="A474" s="62" t="s">
        <v>389</v>
      </c>
      <c r="B474" s="62" t="s">
        <v>389</v>
      </c>
      <c r="C474" s="63"/>
      <c r="D474" s="64"/>
      <c r="E474" s="65"/>
      <c r="F474" s="66"/>
      <c r="G474" s="63"/>
      <c r="H474" s="67"/>
      <c r="I474" s="68"/>
      <c r="J474" s="68"/>
      <c r="K474" s="32"/>
      <c r="L474" s="75">
        <v>474</v>
      </c>
      <c r="M474" s="75"/>
      <c r="N474" s="70"/>
      <c r="O474" s="77" t="s">
        <v>536</v>
      </c>
      <c r="P474" s="79">
        <v>45086.749120370368</v>
      </c>
      <c r="Q474" s="77" t="s">
        <v>1001</v>
      </c>
      <c r="R474" s="77">
        <v>0</v>
      </c>
      <c r="S474" s="77">
        <v>0</v>
      </c>
      <c r="T474" s="77">
        <v>0</v>
      </c>
      <c r="U474" s="77">
        <v>0</v>
      </c>
      <c r="V474" s="77">
        <v>7</v>
      </c>
      <c r="W474" s="82" t="s">
        <v>1800</v>
      </c>
      <c r="X474" s="77"/>
      <c r="Y474" s="77"/>
      <c r="Z474" s="77"/>
      <c r="AA474" s="77"/>
      <c r="AB474" s="77"/>
      <c r="AC474" s="82" t="s">
        <v>2639</v>
      </c>
      <c r="AD474" s="77" t="s">
        <v>2670</v>
      </c>
      <c r="AE474" s="80" t="str">
        <f>HYPERLINK("https://twitter.com/oabprevrs/status/1667229756029300737")</f>
        <v>https://twitter.com/oabprevrs/status/1667229756029300737</v>
      </c>
      <c r="AF474" s="79">
        <v>45086.749120370368</v>
      </c>
      <c r="AG474" s="85">
        <v>45086</v>
      </c>
      <c r="AH474" s="82" t="s">
        <v>3110</v>
      </c>
      <c r="AI474" s="77"/>
      <c r="AJ474" s="77"/>
      <c r="AK474" s="77"/>
      <c r="AL474" s="77"/>
      <c r="AM474" s="77"/>
      <c r="AN474" s="77"/>
      <c r="AO474" s="77"/>
      <c r="AP474" s="77"/>
      <c r="AQ474" s="77"/>
      <c r="AR474" s="77"/>
      <c r="AS474" s="77"/>
      <c r="AT474" s="77"/>
      <c r="AU474" s="77"/>
      <c r="AV474" s="80" t="str">
        <f>HYPERLINK("https://pbs.twimg.com/profile_images/1597988315076206593/-8ElZOze_normal.png")</f>
        <v>https://pbs.twimg.com/profile_images/1597988315076206593/-8ElZOze_normal.png</v>
      </c>
      <c r="AW474" s="82" t="s">
        <v>4525</v>
      </c>
      <c r="AX474" s="82" t="s">
        <v>5000</v>
      </c>
      <c r="AY474" s="82" t="s">
        <v>5053</v>
      </c>
      <c r="AZ474" s="82" t="s">
        <v>5106</v>
      </c>
      <c r="BA474" s="82" t="s">
        <v>5075</v>
      </c>
      <c r="BB474" s="82" t="s">
        <v>5075</v>
      </c>
      <c r="BC474" s="82" t="s">
        <v>5106</v>
      </c>
      <c r="BD474" s="77">
        <v>1620631531</v>
      </c>
      <c r="BE474" s="77"/>
      <c r="BF474" s="77"/>
      <c r="BG474" s="77"/>
      <c r="BH474" s="77"/>
      <c r="BI474" s="77"/>
    </row>
    <row r="475" spans="1:61" x14ac:dyDescent="0.25">
      <c r="A475" s="62" t="s">
        <v>389</v>
      </c>
      <c r="B475" s="62" t="s">
        <v>389</v>
      </c>
      <c r="C475" s="63"/>
      <c r="D475" s="64"/>
      <c r="E475" s="65"/>
      <c r="F475" s="66"/>
      <c r="G475" s="63"/>
      <c r="H475" s="67"/>
      <c r="I475" s="68"/>
      <c r="J475" s="68"/>
      <c r="K475" s="32"/>
      <c r="L475" s="75">
        <v>475</v>
      </c>
      <c r="M475" s="75"/>
      <c r="N475" s="70"/>
      <c r="O475" s="77" t="s">
        <v>179</v>
      </c>
      <c r="P475" s="79">
        <v>45004.583449074074</v>
      </c>
      <c r="Q475" s="77" t="s">
        <v>1002</v>
      </c>
      <c r="R475" s="77">
        <v>0</v>
      </c>
      <c r="S475" s="77">
        <v>0</v>
      </c>
      <c r="T475" s="77">
        <v>0</v>
      </c>
      <c r="U475" s="77">
        <v>0</v>
      </c>
      <c r="V475" s="77">
        <v>25</v>
      </c>
      <c r="W475" s="82" t="s">
        <v>1801</v>
      </c>
      <c r="X475" s="77"/>
      <c r="Y475" s="77"/>
      <c r="Z475" s="77"/>
      <c r="AA475" s="77" t="s">
        <v>2309</v>
      </c>
      <c r="AB475" s="77" t="s">
        <v>2632</v>
      </c>
      <c r="AC475" s="82" t="s">
        <v>2645</v>
      </c>
      <c r="AD475" s="77" t="s">
        <v>2670</v>
      </c>
      <c r="AE475" s="80" t="str">
        <f>HYPERLINK("https://twitter.com/oabprevrs/status/1637453914999062544")</f>
        <v>https://twitter.com/oabprevrs/status/1637453914999062544</v>
      </c>
      <c r="AF475" s="79">
        <v>45004.583449074074</v>
      </c>
      <c r="AG475" s="85">
        <v>45004</v>
      </c>
      <c r="AH475" s="82" t="s">
        <v>3111</v>
      </c>
      <c r="AI475" s="77" t="b">
        <v>0</v>
      </c>
      <c r="AJ475" s="77"/>
      <c r="AK475" s="77"/>
      <c r="AL475" s="77"/>
      <c r="AM475" s="77"/>
      <c r="AN475" s="77"/>
      <c r="AO475" s="77"/>
      <c r="AP475" s="77"/>
      <c r="AQ475" s="77" t="s">
        <v>3738</v>
      </c>
      <c r="AR475" s="77"/>
      <c r="AS475" s="77"/>
      <c r="AT475" s="77"/>
      <c r="AU475" s="77"/>
      <c r="AV475" s="80" t="str">
        <f>HYPERLINK("https://pbs.twimg.com/media/FrlnqJkX0AIiIX6.png")</f>
        <v>https://pbs.twimg.com/media/FrlnqJkX0AIiIX6.png</v>
      </c>
      <c r="AW475" s="82" t="s">
        <v>4526</v>
      </c>
      <c r="AX475" s="82" t="s">
        <v>4526</v>
      </c>
      <c r="AY475" s="77"/>
      <c r="AZ475" s="82" t="s">
        <v>5075</v>
      </c>
      <c r="BA475" s="82" t="s">
        <v>5075</v>
      </c>
      <c r="BB475" s="82" t="s">
        <v>5075</v>
      </c>
      <c r="BC475" s="82" t="s">
        <v>4526</v>
      </c>
      <c r="BD475" s="77">
        <v>1620631531</v>
      </c>
      <c r="BE475" s="77"/>
      <c r="BF475" s="77"/>
      <c r="BG475" s="77"/>
      <c r="BH475" s="77"/>
      <c r="BI475" s="77"/>
    </row>
    <row r="476" spans="1:61" x14ac:dyDescent="0.25">
      <c r="A476" s="62" t="s">
        <v>390</v>
      </c>
      <c r="B476" s="62" t="s">
        <v>531</v>
      </c>
      <c r="C476" s="63"/>
      <c r="D476" s="64"/>
      <c r="E476" s="65"/>
      <c r="F476" s="66"/>
      <c r="G476" s="63"/>
      <c r="H476" s="67"/>
      <c r="I476" s="68"/>
      <c r="J476" s="68"/>
      <c r="K476" s="32"/>
      <c r="L476" s="75">
        <v>476</v>
      </c>
      <c r="M476" s="75"/>
      <c r="N476" s="70"/>
      <c r="O476" s="77" t="s">
        <v>536</v>
      </c>
      <c r="P476" s="79">
        <v>45085.861759259256</v>
      </c>
      <c r="Q476" s="77" t="s">
        <v>1003</v>
      </c>
      <c r="R476" s="77">
        <v>0</v>
      </c>
      <c r="S476" s="77">
        <v>0</v>
      </c>
      <c r="T476" s="77">
        <v>2</v>
      </c>
      <c r="U476" s="77">
        <v>0</v>
      </c>
      <c r="V476" s="77">
        <v>11</v>
      </c>
      <c r="W476" s="82" t="s">
        <v>1802</v>
      </c>
      <c r="X476" s="77"/>
      <c r="Y476" s="77"/>
      <c r="Z476" s="77" t="s">
        <v>531</v>
      </c>
      <c r="AA476" s="77"/>
      <c r="AB476" s="77"/>
      <c r="AC476" s="82" t="s">
        <v>2639</v>
      </c>
      <c r="AD476" s="77" t="s">
        <v>2670</v>
      </c>
      <c r="AE476" s="80" t="str">
        <f>HYPERLINK("https://twitter.com/dannmazz/status/1666908190015930368")</f>
        <v>https://twitter.com/dannmazz/status/1666908190015930368</v>
      </c>
      <c r="AF476" s="79">
        <v>45085.861759259256</v>
      </c>
      <c r="AG476" s="85">
        <v>45085</v>
      </c>
      <c r="AH476" s="82" t="s">
        <v>3112</v>
      </c>
      <c r="AI476" s="77"/>
      <c r="AJ476" s="77"/>
      <c r="AK476" s="77"/>
      <c r="AL476" s="77"/>
      <c r="AM476" s="77"/>
      <c r="AN476" s="77"/>
      <c r="AO476" s="77"/>
      <c r="AP476" s="77"/>
      <c r="AQ476" s="77"/>
      <c r="AR476" s="77"/>
      <c r="AS476" s="77"/>
      <c r="AT476" s="77"/>
      <c r="AU476" s="77"/>
      <c r="AV476" s="80" t="str">
        <f>HYPERLINK("https://pbs.twimg.com/profile_images/1691897282763829249/soOsHi3A_normal.jpg")</f>
        <v>https://pbs.twimg.com/profile_images/1691897282763829249/soOsHi3A_normal.jpg</v>
      </c>
      <c r="AW476" s="82" t="s">
        <v>4527</v>
      </c>
      <c r="AX476" s="82" t="s">
        <v>5001</v>
      </c>
      <c r="AY476" s="82" t="s">
        <v>5054</v>
      </c>
      <c r="AZ476" s="82" t="s">
        <v>5107</v>
      </c>
      <c r="BA476" s="82" t="s">
        <v>5075</v>
      </c>
      <c r="BB476" s="82" t="s">
        <v>5075</v>
      </c>
      <c r="BC476" s="82" t="s">
        <v>5107</v>
      </c>
      <c r="BD476" s="77">
        <v>40351417</v>
      </c>
      <c r="BE476" s="77"/>
      <c r="BF476" s="77"/>
      <c r="BG476" s="77"/>
      <c r="BH476" s="77"/>
      <c r="BI476" s="77"/>
    </row>
    <row r="477" spans="1:61" x14ac:dyDescent="0.25">
      <c r="A477" s="62" t="s">
        <v>391</v>
      </c>
      <c r="B477" s="62" t="s">
        <v>391</v>
      </c>
      <c r="C477" s="63"/>
      <c r="D477" s="64"/>
      <c r="E477" s="65"/>
      <c r="F477" s="66"/>
      <c r="G477" s="63"/>
      <c r="H477" s="67"/>
      <c r="I477" s="68"/>
      <c r="J477" s="68"/>
      <c r="K477" s="32"/>
      <c r="L477" s="75">
        <v>477</v>
      </c>
      <c r="M477" s="75"/>
      <c r="N477" s="70"/>
      <c r="O477" s="77" t="s">
        <v>179</v>
      </c>
      <c r="P477" s="79">
        <v>44929.832372685189</v>
      </c>
      <c r="Q477" s="77" t="s">
        <v>1004</v>
      </c>
      <c r="R477" s="77">
        <v>0</v>
      </c>
      <c r="S477" s="77">
        <v>2</v>
      </c>
      <c r="T477" s="77">
        <v>1</v>
      </c>
      <c r="U477" s="77">
        <v>1</v>
      </c>
      <c r="V477" s="77">
        <v>295</v>
      </c>
      <c r="W477" s="82" t="s">
        <v>1658</v>
      </c>
      <c r="X477" s="80" t="str">
        <f>HYPERLINK("https://anchor.fm/alfainvestidores/episodes/6-Os-5-Estgios-Revelados-do-Caminho-do-Alfa-e1sha01")</f>
        <v>https://anchor.fm/alfainvestidores/episodes/6-Os-5-Estgios-Revelados-do-Caminho-do-Alfa-e1sha01</v>
      </c>
      <c r="Y477" s="77" t="s">
        <v>1998</v>
      </c>
      <c r="Z477" s="77"/>
      <c r="AA477" s="77"/>
      <c r="AB477" s="77"/>
      <c r="AC477" s="82" t="s">
        <v>2640</v>
      </c>
      <c r="AD477" s="77" t="s">
        <v>2673</v>
      </c>
      <c r="AE477" s="80" t="str">
        <f>HYPERLINK("https://twitter.com/alfainvestidor1/status/1610365034340679682")</f>
        <v>https://twitter.com/alfainvestidor1/status/1610365034340679682</v>
      </c>
      <c r="AF477" s="79">
        <v>44929.832372685189</v>
      </c>
      <c r="AG477" s="85">
        <v>44929</v>
      </c>
      <c r="AH477" s="82" t="s">
        <v>3113</v>
      </c>
      <c r="AI477" s="77" t="b">
        <v>0</v>
      </c>
      <c r="AJ477" s="77"/>
      <c r="AK477" s="77"/>
      <c r="AL477" s="77"/>
      <c r="AM477" s="77"/>
      <c r="AN477" s="77"/>
      <c r="AO477" s="77"/>
      <c r="AP477" s="77"/>
      <c r="AQ477" s="77"/>
      <c r="AR477" s="77"/>
      <c r="AS477" s="77"/>
      <c r="AT477" s="77"/>
      <c r="AU477" s="77"/>
      <c r="AV477" s="80" t="str">
        <f>HYPERLINK("https://pbs.twimg.com/profile_images/1361408613277925379/37fbEmpy_normal.jpg")</f>
        <v>https://pbs.twimg.com/profile_images/1361408613277925379/37fbEmpy_normal.jpg</v>
      </c>
      <c r="AW477" s="82" t="s">
        <v>4528</v>
      </c>
      <c r="AX477" s="82" t="s">
        <v>4528</v>
      </c>
      <c r="AY477" s="77"/>
      <c r="AZ477" s="82" t="s">
        <v>5075</v>
      </c>
      <c r="BA477" s="82" t="s">
        <v>5075</v>
      </c>
      <c r="BB477" s="82" t="s">
        <v>5075</v>
      </c>
      <c r="BC477" s="82" t="s">
        <v>4528</v>
      </c>
      <c r="BD477" s="82" t="s">
        <v>5055</v>
      </c>
      <c r="BE477" s="77"/>
      <c r="BF477" s="77"/>
      <c r="BG477" s="77"/>
      <c r="BH477" s="77"/>
      <c r="BI477" s="77"/>
    </row>
    <row r="478" spans="1:61" x14ac:dyDescent="0.25">
      <c r="A478" s="62" t="s">
        <v>391</v>
      </c>
      <c r="B478" s="62" t="s">
        <v>391</v>
      </c>
      <c r="C478" s="63"/>
      <c r="D478" s="64"/>
      <c r="E478" s="65"/>
      <c r="F478" s="66"/>
      <c r="G478" s="63"/>
      <c r="H478" s="67"/>
      <c r="I478" s="68"/>
      <c r="J478" s="68"/>
      <c r="K478" s="32"/>
      <c r="L478" s="75">
        <v>478</v>
      </c>
      <c r="M478" s="75"/>
      <c r="N478" s="70"/>
      <c r="O478" s="77" t="s">
        <v>536</v>
      </c>
      <c r="P478" s="79">
        <v>44958.425891203704</v>
      </c>
      <c r="Q478" s="77" t="s">
        <v>1005</v>
      </c>
      <c r="R478" s="77">
        <v>0</v>
      </c>
      <c r="S478" s="77">
        <v>2</v>
      </c>
      <c r="T478" s="77">
        <v>0</v>
      </c>
      <c r="U478" s="77">
        <v>0</v>
      </c>
      <c r="V478" s="77">
        <v>46</v>
      </c>
      <c r="W478" s="82" t="s">
        <v>1803</v>
      </c>
      <c r="X478" s="77"/>
      <c r="Y478" s="77"/>
      <c r="Z478" s="77"/>
      <c r="AA478" s="77"/>
      <c r="AB478" s="77"/>
      <c r="AC478" s="82" t="s">
        <v>2640</v>
      </c>
      <c r="AD478" s="77" t="s">
        <v>2670</v>
      </c>
      <c r="AE478" s="80" t="str">
        <f>HYPERLINK("https://twitter.com/alfainvestidor1/status/1620726975446011904")</f>
        <v>https://twitter.com/alfainvestidor1/status/1620726975446011904</v>
      </c>
      <c r="AF478" s="79">
        <v>44958.425891203704</v>
      </c>
      <c r="AG478" s="85">
        <v>44958</v>
      </c>
      <c r="AH478" s="82" t="s">
        <v>3114</v>
      </c>
      <c r="AI478" s="77"/>
      <c r="AJ478" s="77"/>
      <c r="AK478" s="77"/>
      <c r="AL478" s="77"/>
      <c r="AM478" s="77"/>
      <c r="AN478" s="77"/>
      <c r="AO478" s="77"/>
      <c r="AP478" s="77"/>
      <c r="AQ478" s="77"/>
      <c r="AR478" s="77"/>
      <c r="AS478" s="77"/>
      <c r="AT478" s="77"/>
      <c r="AU478" s="77"/>
      <c r="AV478" s="80" t="str">
        <f>HYPERLINK("https://pbs.twimg.com/profile_images/1361408613277925379/37fbEmpy_normal.jpg")</f>
        <v>https://pbs.twimg.com/profile_images/1361408613277925379/37fbEmpy_normal.jpg</v>
      </c>
      <c r="AW478" s="82" t="s">
        <v>4529</v>
      </c>
      <c r="AX478" s="82" t="s">
        <v>5002</v>
      </c>
      <c r="AY478" s="82" t="s">
        <v>5055</v>
      </c>
      <c r="AZ478" s="82" t="s">
        <v>5002</v>
      </c>
      <c r="BA478" s="82" t="s">
        <v>5075</v>
      </c>
      <c r="BB478" s="82" t="s">
        <v>5075</v>
      </c>
      <c r="BC478" s="82" t="s">
        <v>5002</v>
      </c>
      <c r="BD478" s="82" t="s">
        <v>5055</v>
      </c>
      <c r="BE478" s="77"/>
      <c r="BF478" s="77"/>
      <c r="BG478" s="77"/>
      <c r="BH478" s="77"/>
      <c r="BI478" s="77"/>
    </row>
    <row r="479" spans="1:61" x14ac:dyDescent="0.25">
      <c r="A479" s="62" t="s">
        <v>392</v>
      </c>
      <c r="B479" s="62" t="s">
        <v>392</v>
      </c>
      <c r="C479" s="63"/>
      <c r="D479" s="64"/>
      <c r="E479" s="65"/>
      <c r="F479" s="66"/>
      <c r="G479" s="63"/>
      <c r="H479" s="67"/>
      <c r="I479" s="68"/>
      <c r="J479" s="68"/>
      <c r="K479" s="32"/>
      <c r="L479" s="75">
        <v>479</v>
      </c>
      <c r="M479" s="75"/>
      <c r="N479" s="70"/>
      <c r="O479" s="77" t="s">
        <v>179</v>
      </c>
      <c r="P479" s="79">
        <v>45113.547743055555</v>
      </c>
      <c r="Q479" s="77" t="s">
        <v>1006</v>
      </c>
      <c r="R479" s="77">
        <v>0</v>
      </c>
      <c r="S479" s="77">
        <v>0</v>
      </c>
      <c r="T479" s="77">
        <v>0</v>
      </c>
      <c r="U479" s="77">
        <v>0</v>
      </c>
      <c r="V479" s="77">
        <v>45</v>
      </c>
      <c r="W479" s="82" t="s">
        <v>1804</v>
      </c>
      <c r="X479" s="77"/>
      <c r="Y479" s="77"/>
      <c r="Z479" s="77"/>
      <c r="AA479" s="77" t="s">
        <v>2310</v>
      </c>
      <c r="AB479" s="77" t="s">
        <v>2632</v>
      </c>
      <c r="AC479" s="82" t="s">
        <v>2647</v>
      </c>
      <c r="AD479" s="77" t="s">
        <v>2670</v>
      </c>
      <c r="AE479" s="80" t="str">
        <f>HYPERLINK("https://twitter.com/silvio54043984/status/1676941255232692226")</f>
        <v>https://twitter.com/silvio54043984/status/1676941255232692226</v>
      </c>
      <c r="AF479" s="79">
        <v>45113.547743055555</v>
      </c>
      <c r="AG479" s="85">
        <v>45113</v>
      </c>
      <c r="AH479" s="82" t="s">
        <v>3115</v>
      </c>
      <c r="AI479" s="77" t="b">
        <v>0</v>
      </c>
      <c r="AJ479" s="77"/>
      <c r="AK479" s="77"/>
      <c r="AL479" s="77"/>
      <c r="AM479" s="77"/>
      <c r="AN479" s="77"/>
      <c r="AO479" s="77"/>
      <c r="AP479" s="77"/>
      <c r="AQ479" s="77" t="s">
        <v>3739</v>
      </c>
      <c r="AR479" s="77"/>
      <c r="AS479" s="77"/>
      <c r="AT479" s="77"/>
      <c r="AU479" s="77"/>
      <c r="AV479" s="80" t="str">
        <f>HYPERLINK("https://pbs.twimg.com/media/F0WxLnsXsAc5LMd.jpg")</f>
        <v>https://pbs.twimg.com/media/F0WxLnsXsAc5LMd.jpg</v>
      </c>
      <c r="AW479" s="82" t="s">
        <v>4530</v>
      </c>
      <c r="AX479" s="82" t="s">
        <v>4530</v>
      </c>
      <c r="AY479" s="77"/>
      <c r="AZ479" s="82" t="s">
        <v>5075</v>
      </c>
      <c r="BA479" s="82" t="s">
        <v>5075</v>
      </c>
      <c r="BB479" s="82" t="s">
        <v>5075</v>
      </c>
      <c r="BC479" s="82" t="s">
        <v>4530</v>
      </c>
      <c r="BD479" s="82" t="s">
        <v>5212</v>
      </c>
      <c r="BE479" s="77"/>
      <c r="BF479" s="77"/>
      <c r="BG479" s="77"/>
      <c r="BH479" s="77"/>
      <c r="BI479" s="77"/>
    </row>
    <row r="480" spans="1:61" x14ac:dyDescent="0.25">
      <c r="A480" s="62" t="s">
        <v>392</v>
      </c>
      <c r="B480" s="62" t="s">
        <v>392</v>
      </c>
      <c r="C480" s="63"/>
      <c r="D480" s="64"/>
      <c r="E480" s="65"/>
      <c r="F480" s="66"/>
      <c r="G480" s="63"/>
      <c r="H480" s="67"/>
      <c r="I480" s="68"/>
      <c r="J480" s="68"/>
      <c r="K480" s="32"/>
      <c r="L480" s="75">
        <v>480</v>
      </c>
      <c r="M480" s="75"/>
      <c r="N480" s="70"/>
      <c r="O480" s="77" t="s">
        <v>179</v>
      </c>
      <c r="P480" s="79">
        <v>45111.702696759261</v>
      </c>
      <c r="Q480" s="77" t="s">
        <v>1007</v>
      </c>
      <c r="R480" s="77">
        <v>0</v>
      </c>
      <c r="S480" s="77">
        <v>0</v>
      </c>
      <c r="T480" s="77">
        <v>0</v>
      </c>
      <c r="U480" s="77">
        <v>0</v>
      </c>
      <c r="V480" s="77">
        <v>27</v>
      </c>
      <c r="W480" s="82" t="s">
        <v>1805</v>
      </c>
      <c r="X480" s="77"/>
      <c r="Y480" s="77"/>
      <c r="Z480" s="77"/>
      <c r="AA480" s="77" t="s">
        <v>2311</v>
      </c>
      <c r="AB480" s="77" t="s">
        <v>2632</v>
      </c>
      <c r="AC480" s="82" t="s">
        <v>2647</v>
      </c>
      <c r="AD480" s="77" t="s">
        <v>2670</v>
      </c>
      <c r="AE480" s="80" t="str">
        <f>HYPERLINK("https://twitter.com/silvio54043984/status/1676272630431719443")</f>
        <v>https://twitter.com/silvio54043984/status/1676272630431719443</v>
      </c>
      <c r="AF480" s="79">
        <v>45111.702696759261</v>
      </c>
      <c r="AG480" s="85">
        <v>45111</v>
      </c>
      <c r="AH480" s="82" t="s">
        <v>3116</v>
      </c>
      <c r="AI480" s="77" t="b">
        <v>0</v>
      </c>
      <c r="AJ480" s="77"/>
      <c r="AK480" s="77"/>
      <c r="AL480" s="77"/>
      <c r="AM480" s="77"/>
      <c r="AN480" s="77"/>
      <c r="AO480" s="77"/>
      <c r="AP480" s="77"/>
      <c r="AQ480" s="77" t="s">
        <v>3740</v>
      </c>
      <c r="AR480" s="77"/>
      <c r="AS480" s="77"/>
      <c r="AT480" s="77"/>
      <c r="AU480" s="77"/>
      <c r="AV480" s="80" t="str">
        <f>HYPERLINK("https://pbs.twimg.com/media/F0NREcOWYAAXLbb.jpg")</f>
        <v>https://pbs.twimg.com/media/F0NREcOWYAAXLbb.jpg</v>
      </c>
      <c r="AW480" s="82" t="s">
        <v>4531</v>
      </c>
      <c r="AX480" s="82" t="s">
        <v>4531</v>
      </c>
      <c r="AY480" s="77"/>
      <c r="AZ480" s="82" t="s">
        <v>5075</v>
      </c>
      <c r="BA480" s="82" t="s">
        <v>5075</v>
      </c>
      <c r="BB480" s="82" t="s">
        <v>5075</v>
      </c>
      <c r="BC480" s="82" t="s">
        <v>4531</v>
      </c>
      <c r="BD480" s="82" t="s">
        <v>5212</v>
      </c>
      <c r="BE480" s="77"/>
      <c r="BF480" s="77"/>
      <c r="BG480" s="77"/>
      <c r="BH480" s="77"/>
      <c r="BI480" s="77"/>
    </row>
    <row r="481" spans="1:61" x14ac:dyDescent="0.25">
      <c r="A481" s="62" t="s">
        <v>392</v>
      </c>
      <c r="B481" s="62" t="s">
        <v>392</v>
      </c>
      <c r="C481" s="63"/>
      <c r="D481" s="64"/>
      <c r="E481" s="65"/>
      <c r="F481" s="66"/>
      <c r="G481" s="63"/>
      <c r="H481" s="67"/>
      <c r="I481" s="68"/>
      <c r="J481" s="68"/>
      <c r="K481" s="32"/>
      <c r="L481" s="75">
        <v>481</v>
      </c>
      <c r="M481" s="75"/>
      <c r="N481" s="70"/>
      <c r="O481" s="77" t="s">
        <v>179</v>
      </c>
      <c r="P481" s="79">
        <v>45110.601782407408</v>
      </c>
      <c r="Q481" s="77" t="s">
        <v>1008</v>
      </c>
      <c r="R481" s="77">
        <v>0</v>
      </c>
      <c r="S481" s="77">
        <v>0</v>
      </c>
      <c r="T481" s="77">
        <v>0</v>
      </c>
      <c r="U481" s="77">
        <v>0</v>
      </c>
      <c r="V481" s="77">
        <v>29</v>
      </c>
      <c r="W481" s="82" t="s">
        <v>1806</v>
      </c>
      <c r="X481" s="77"/>
      <c r="Y481" s="77"/>
      <c r="Z481" s="77"/>
      <c r="AA481" s="77" t="s">
        <v>2312</v>
      </c>
      <c r="AB481" s="77" t="s">
        <v>2632</v>
      </c>
      <c r="AC481" s="82" t="s">
        <v>2647</v>
      </c>
      <c r="AD481" s="77" t="s">
        <v>2670</v>
      </c>
      <c r="AE481" s="80" t="str">
        <f>HYPERLINK("https://twitter.com/silvio54043984/status/1675873674715340800")</f>
        <v>https://twitter.com/silvio54043984/status/1675873674715340800</v>
      </c>
      <c r="AF481" s="79">
        <v>45110.601782407408</v>
      </c>
      <c r="AG481" s="85">
        <v>45110</v>
      </c>
      <c r="AH481" s="82" t="s">
        <v>3117</v>
      </c>
      <c r="AI481" s="77" t="b">
        <v>0</v>
      </c>
      <c r="AJ481" s="77"/>
      <c r="AK481" s="77"/>
      <c r="AL481" s="77"/>
      <c r="AM481" s="77"/>
      <c r="AN481" s="77"/>
      <c r="AO481" s="77"/>
      <c r="AP481" s="77"/>
      <c r="AQ481" s="77" t="s">
        <v>3741</v>
      </c>
      <c r="AR481" s="77"/>
      <c r="AS481" s="77"/>
      <c r="AT481" s="77"/>
      <c r="AU481" s="77"/>
      <c r="AV481" s="80" t="str">
        <f>HYPERLINK("https://pbs.twimg.com/media/F0HmOOzWcAAj50I.jpg")</f>
        <v>https://pbs.twimg.com/media/F0HmOOzWcAAj50I.jpg</v>
      </c>
      <c r="AW481" s="82" t="s">
        <v>4532</v>
      </c>
      <c r="AX481" s="82" t="s">
        <v>4532</v>
      </c>
      <c r="AY481" s="77"/>
      <c r="AZ481" s="82" t="s">
        <v>5075</v>
      </c>
      <c r="BA481" s="82" t="s">
        <v>5075</v>
      </c>
      <c r="BB481" s="82" t="s">
        <v>5075</v>
      </c>
      <c r="BC481" s="82" t="s">
        <v>4532</v>
      </c>
      <c r="BD481" s="82" t="s">
        <v>5212</v>
      </c>
      <c r="BE481" s="77"/>
      <c r="BF481" s="77"/>
      <c r="BG481" s="77"/>
      <c r="BH481" s="77"/>
      <c r="BI481" s="77"/>
    </row>
    <row r="482" spans="1:61" x14ac:dyDescent="0.25">
      <c r="A482" s="62" t="s">
        <v>392</v>
      </c>
      <c r="B482" s="62" t="s">
        <v>392</v>
      </c>
      <c r="C482" s="63"/>
      <c r="D482" s="64"/>
      <c r="E482" s="65"/>
      <c r="F482" s="66"/>
      <c r="G482" s="63"/>
      <c r="H482" s="67"/>
      <c r="I482" s="68"/>
      <c r="J482" s="68"/>
      <c r="K482" s="32"/>
      <c r="L482" s="75">
        <v>482</v>
      </c>
      <c r="M482" s="75"/>
      <c r="N482" s="70"/>
      <c r="O482" s="77" t="s">
        <v>179</v>
      </c>
      <c r="P482" s="79">
        <v>45118.753506944442</v>
      </c>
      <c r="Q482" s="77" t="s">
        <v>1009</v>
      </c>
      <c r="R482" s="77">
        <v>0</v>
      </c>
      <c r="S482" s="77">
        <v>0</v>
      </c>
      <c r="T482" s="77">
        <v>0</v>
      </c>
      <c r="U482" s="77">
        <v>0</v>
      </c>
      <c r="V482" s="77">
        <v>29</v>
      </c>
      <c r="W482" s="82" t="s">
        <v>1804</v>
      </c>
      <c r="X482" s="77"/>
      <c r="Y482" s="77"/>
      <c r="Z482" s="77"/>
      <c r="AA482" s="77" t="s">
        <v>2313</v>
      </c>
      <c r="AB482" s="77" t="s">
        <v>2632</v>
      </c>
      <c r="AC482" s="82" t="s">
        <v>2647</v>
      </c>
      <c r="AD482" s="77" t="s">
        <v>2670</v>
      </c>
      <c r="AE482" s="80" t="str">
        <f>HYPERLINK("https://twitter.com/silvio54043984/status/1678827757449494529")</f>
        <v>https://twitter.com/silvio54043984/status/1678827757449494529</v>
      </c>
      <c r="AF482" s="79">
        <v>45118.753506944442</v>
      </c>
      <c r="AG482" s="85">
        <v>45118</v>
      </c>
      <c r="AH482" s="82" t="s">
        <v>3118</v>
      </c>
      <c r="AI482" s="77" t="b">
        <v>0</v>
      </c>
      <c r="AJ482" s="77"/>
      <c r="AK482" s="77"/>
      <c r="AL482" s="77"/>
      <c r="AM482" s="77"/>
      <c r="AN482" s="77"/>
      <c r="AO482" s="77"/>
      <c r="AP482" s="77"/>
      <c r="AQ482" s="77" t="s">
        <v>3742</v>
      </c>
      <c r="AR482" s="77"/>
      <c r="AS482" s="77"/>
      <c r="AT482" s="77"/>
      <c r="AU482" s="77"/>
      <c r="AV482" s="80" t="str">
        <f>HYPERLINK("https://pbs.twimg.com/media/F0xk8iXWcAs0m7T.jpg")</f>
        <v>https://pbs.twimg.com/media/F0xk8iXWcAs0m7T.jpg</v>
      </c>
      <c r="AW482" s="82" t="s">
        <v>4533</v>
      </c>
      <c r="AX482" s="82" t="s">
        <v>4533</v>
      </c>
      <c r="AY482" s="77"/>
      <c r="AZ482" s="82" t="s">
        <v>5075</v>
      </c>
      <c r="BA482" s="82" t="s">
        <v>5075</v>
      </c>
      <c r="BB482" s="82" t="s">
        <v>5075</v>
      </c>
      <c r="BC482" s="82" t="s">
        <v>4533</v>
      </c>
      <c r="BD482" s="82" t="s">
        <v>5212</v>
      </c>
      <c r="BE482" s="77"/>
      <c r="BF482" s="77"/>
      <c r="BG482" s="77"/>
      <c r="BH482" s="77"/>
      <c r="BI482" s="77"/>
    </row>
    <row r="483" spans="1:61" x14ac:dyDescent="0.25">
      <c r="A483" s="62" t="s">
        <v>392</v>
      </c>
      <c r="B483" s="62" t="s">
        <v>392</v>
      </c>
      <c r="C483" s="63"/>
      <c r="D483" s="64"/>
      <c r="E483" s="65"/>
      <c r="F483" s="66"/>
      <c r="G483" s="63"/>
      <c r="H483" s="67"/>
      <c r="I483" s="68"/>
      <c r="J483" s="68"/>
      <c r="K483" s="32"/>
      <c r="L483" s="75">
        <v>483</v>
      </c>
      <c r="M483" s="75"/>
      <c r="N483" s="70"/>
      <c r="O483" s="77" t="s">
        <v>179</v>
      </c>
      <c r="P483" s="79">
        <v>45106.502349537041</v>
      </c>
      <c r="Q483" s="77" t="s">
        <v>1010</v>
      </c>
      <c r="R483" s="77">
        <v>0</v>
      </c>
      <c r="S483" s="77">
        <v>0</v>
      </c>
      <c r="T483" s="77">
        <v>0</v>
      </c>
      <c r="U483" s="77">
        <v>0</v>
      </c>
      <c r="V483" s="77">
        <v>46</v>
      </c>
      <c r="W483" s="82" t="s">
        <v>1804</v>
      </c>
      <c r="X483" s="77"/>
      <c r="Y483" s="77"/>
      <c r="Z483" s="77"/>
      <c r="AA483" s="77" t="s">
        <v>2314</v>
      </c>
      <c r="AB483" s="77" t="s">
        <v>2632</v>
      </c>
      <c r="AC483" s="82" t="s">
        <v>2647</v>
      </c>
      <c r="AD483" s="77" t="s">
        <v>2670</v>
      </c>
      <c r="AE483" s="80" t="str">
        <f>HYPERLINK("https://twitter.com/silvio54043984/status/1674388086686466050")</f>
        <v>https://twitter.com/silvio54043984/status/1674388086686466050</v>
      </c>
      <c r="AF483" s="79">
        <v>45106.502349537041</v>
      </c>
      <c r="AG483" s="85">
        <v>45106</v>
      </c>
      <c r="AH483" s="82" t="s">
        <v>3119</v>
      </c>
      <c r="AI483" s="77" t="b">
        <v>0</v>
      </c>
      <c r="AJ483" s="77"/>
      <c r="AK483" s="77"/>
      <c r="AL483" s="77"/>
      <c r="AM483" s="77"/>
      <c r="AN483" s="77"/>
      <c r="AO483" s="77"/>
      <c r="AP483" s="77"/>
      <c r="AQ483" s="77" t="s">
        <v>3743</v>
      </c>
      <c r="AR483" s="77"/>
      <c r="AS483" s="77"/>
      <c r="AT483" s="77"/>
      <c r="AU483" s="77"/>
      <c r="AV483" s="80" t="str">
        <f>HYPERLINK("https://pbs.twimg.com/media/FzyfFp9X0AI06FV.jpg")</f>
        <v>https://pbs.twimg.com/media/FzyfFp9X0AI06FV.jpg</v>
      </c>
      <c r="AW483" s="82" t="s">
        <v>4534</v>
      </c>
      <c r="AX483" s="82" t="s">
        <v>4534</v>
      </c>
      <c r="AY483" s="77"/>
      <c r="AZ483" s="82" t="s">
        <v>5075</v>
      </c>
      <c r="BA483" s="82" t="s">
        <v>5075</v>
      </c>
      <c r="BB483" s="82" t="s">
        <v>5075</v>
      </c>
      <c r="BC483" s="82" t="s">
        <v>4534</v>
      </c>
      <c r="BD483" s="82" t="s">
        <v>5212</v>
      </c>
      <c r="BE483" s="77"/>
      <c r="BF483" s="77"/>
      <c r="BG483" s="77"/>
      <c r="BH483" s="77"/>
      <c r="BI483" s="77"/>
    </row>
    <row r="484" spans="1:61" x14ac:dyDescent="0.25">
      <c r="A484" s="62" t="s">
        <v>392</v>
      </c>
      <c r="B484" s="62" t="s">
        <v>392</v>
      </c>
      <c r="C484" s="63"/>
      <c r="D484" s="64"/>
      <c r="E484" s="65"/>
      <c r="F484" s="66"/>
      <c r="G484" s="63"/>
      <c r="H484" s="67"/>
      <c r="I484" s="68"/>
      <c r="J484" s="68"/>
      <c r="K484" s="32"/>
      <c r="L484" s="75">
        <v>484</v>
      </c>
      <c r="M484" s="75"/>
      <c r="N484" s="70"/>
      <c r="O484" s="77" t="s">
        <v>179</v>
      </c>
      <c r="P484" s="79">
        <v>45126.673009259262</v>
      </c>
      <c r="Q484" s="77" t="s">
        <v>1011</v>
      </c>
      <c r="R484" s="77">
        <v>0</v>
      </c>
      <c r="S484" s="77">
        <v>0</v>
      </c>
      <c r="T484" s="77">
        <v>0</v>
      </c>
      <c r="U484" s="77">
        <v>0</v>
      </c>
      <c r="V484" s="77">
        <v>20</v>
      </c>
      <c r="W484" s="82" t="s">
        <v>1806</v>
      </c>
      <c r="X484" s="77"/>
      <c r="Y484" s="77"/>
      <c r="Z484" s="77"/>
      <c r="AA484" s="77" t="s">
        <v>2315</v>
      </c>
      <c r="AB484" s="77" t="s">
        <v>2632</v>
      </c>
      <c r="AC484" s="82" t="s">
        <v>2647</v>
      </c>
      <c r="AD484" s="77" t="s">
        <v>2670</v>
      </c>
      <c r="AE484" s="80" t="str">
        <f>HYPERLINK("https://twitter.com/silvio54043984/status/1681697691397398530")</f>
        <v>https://twitter.com/silvio54043984/status/1681697691397398530</v>
      </c>
      <c r="AF484" s="79">
        <v>45126.673009259262</v>
      </c>
      <c r="AG484" s="85">
        <v>45126</v>
      </c>
      <c r="AH484" s="82" t="s">
        <v>3120</v>
      </c>
      <c r="AI484" s="77" t="b">
        <v>0</v>
      </c>
      <c r="AJ484" s="77"/>
      <c r="AK484" s="77"/>
      <c r="AL484" s="77"/>
      <c r="AM484" s="77"/>
      <c r="AN484" s="77"/>
      <c r="AO484" s="77"/>
      <c r="AP484" s="77"/>
      <c r="AQ484" s="77" t="s">
        <v>3744</v>
      </c>
      <c r="AR484" s="77"/>
      <c r="AS484" s="77"/>
      <c r="AT484" s="77"/>
      <c r="AU484" s="77"/>
      <c r="AV484" s="80" t="str">
        <f>HYPERLINK("https://pbs.twimg.com/media/F1aXIwhWIAI4LL4.jpg")</f>
        <v>https://pbs.twimg.com/media/F1aXIwhWIAI4LL4.jpg</v>
      </c>
      <c r="AW484" s="82" t="s">
        <v>4535</v>
      </c>
      <c r="AX484" s="82" t="s">
        <v>4535</v>
      </c>
      <c r="AY484" s="77"/>
      <c r="AZ484" s="82" t="s">
        <v>5075</v>
      </c>
      <c r="BA484" s="82" t="s">
        <v>5075</v>
      </c>
      <c r="BB484" s="82" t="s">
        <v>5075</v>
      </c>
      <c r="BC484" s="82" t="s">
        <v>4535</v>
      </c>
      <c r="BD484" s="82" t="s">
        <v>5212</v>
      </c>
      <c r="BE484" s="77"/>
      <c r="BF484" s="77"/>
      <c r="BG484" s="77"/>
      <c r="BH484" s="77"/>
      <c r="BI484" s="77"/>
    </row>
    <row r="485" spans="1:61" x14ac:dyDescent="0.25">
      <c r="A485" s="62" t="s">
        <v>393</v>
      </c>
      <c r="B485" s="62" t="s">
        <v>393</v>
      </c>
      <c r="C485" s="63"/>
      <c r="D485" s="64"/>
      <c r="E485" s="65"/>
      <c r="F485" s="66"/>
      <c r="G485" s="63"/>
      <c r="H485" s="67"/>
      <c r="I485" s="68"/>
      <c r="J485" s="68"/>
      <c r="K485" s="32"/>
      <c r="L485" s="75">
        <v>485</v>
      </c>
      <c r="M485" s="75"/>
      <c r="N485" s="70"/>
      <c r="O485" s="77" t="s">
        <v>179</v>
      </c>
      <c r="P485" s="79">
        <v>45062.81181712963</v>
      </c>
      <c r="Q485" s="77" t="s">
        <v>1012</v>
      </c>
      <c r="R485" s="77">
        <v>0</v>
      </c>
      <c r="S485" s="77">
        <v>0</v>
      </c>
      <c r="T485" s="77">
        <v>0</v>
      </c>
      <c r="U485" s="77">
        <v>0</v>
      </c>
      <c r="V485" s="77">
        <v>29</v>
      </c>
      <c r="W485" s="82" t="s">
        <v>1807</v>
      </c>
      <c r="X485" s="77"/>
      <c r="Y485" s="77"/>
      <c r="Z485" s="77"/>
      <c r="AA485" s="77" t="s">
        <v>2316</v>
      </c>
      <c r="AB485" s="77" t="s">
        <v>2632</v>
      </c>
      <c r="AC485" s="82" t="s">
        <v>2639</v>
      </c>
      <c r="AD485" s="77" t="s">
        <v>2670</v>
      </c>
      <c r="AE485" s="80" t="str">
        <f>HYPERLINK("https://twitter.com/juliocrrf/status/1658555168005189632")</f>
        <v>https://twitter.com/juliocrrf/status/1658555168005189632</v>
      </c>
      <c r="AF485" s="79">
        <v>45062.81181712963</v>
      </c>
      <c r="AG485" s="85">
        <v>45062</v>
      </c>
      <c r="AH485" s="82" t="s">
        <v>3121</v>
      </c>
      <c r="AI485" s="77" t="b">
        <v>0</v>
      </c>
      <c r="AJ485" s="77"/>
      <c r="AK485" s="77"/>
      <c r="AL485" s="77"/>
      <c r="AM485" s="77"/>
      <c r="AN485" s="77"/>
      <c r="AO485" s="77"/>
      <c r="AP485" s="77"/>
      <c r="AQ485" s="77" t="s">
        <v>3745</v>
      </c>
      <c r="AR485" s="77"/>
      <c r="AS485" s="77"/>
      <c r="AT485" s="77"/>
      <c r="AU485" s="77"/>
      <c r="AV485" s="80" t="str">
        <f>HYPERLINK("https://pbs.twimg.com/media/FwRfDqZXgAIsFCz.jpg")</f>
        <v>https://pbs.twimg.com/media/FwRfDqZXgAIsFCz.jpg</v>
      </c>
      <c r="AW485" s="82" t="s">
        <v>4536</v>
      </c>
      <c r="AX485" s="82" t="s">
        <v>4536</v>
      </c>
      <c r="AY485" s="77"/>
      <c r="AZ485" s="82" t="s">
        <v>5075</v>
      </c>
      <c r="BA485" s="82" t="s">
        <v>5075</v>
      </c>
      <c r="BB485" s="82" t="s">
        <v>5075</v>
      </c>
      <c r="BC485" s="82" t="s">
        <v>4536</v>
      </c>
      <c r="BD485" s="77">
        <v>4357245737</v>
      </c>
      <c r="BE485" s="77"/>
      <c r="BF485" s="77"/>
      <c r="BG485" s="77"/>
      <c r="BH485" s="77"/>
      <c r="BI485" s="77"/>
    </row>
    <row r="486" spans="1:61" x14ac:dyDescent="0.25">
      <c r="A486" s="62" t="s">
        <v>393</v>
      </c>
      <c r="B486" s="62" t="s">
        <v>393</v>
      </c>
      <c r="C486" s="63"/>
      <c r="D486" s="64"/>
      <c r="E486" s="65"/>
      <c r="F486" s="66"/>
      <c r="G486" s="63"/>
      <c r="H486" s="67"/>
      <c r="I486" s="68"/>
      <c r="J486" s="68"/>
      <c r="K486" s="32"/>
      <c r="L486" s="75">
        <v>486</v>
      </c>
      <c r="M486" s="75"/>
      <c r="N486" s="70"/>
      <c r="O486" s="77" t="s">
        <v>179</v>
      </c>
      <c r="P486" s="79">
        <v>45089.019525462965</v>
      </c>
      <c r="Q486" s="77" t="s">
        <v>1013</v>
      </c>
      <c r="R486" s="77">
        <v>0</v>
      </c>
      <c r="S486" s="77">
        <v>0</v>
      </c>
      <c r="T486" s="77">
        <v>0</v>
      </c>
      <c r="U486" s="77">
        <v>0</v>
      </c>
      <c r="V486" s="77">
        <v>31</v>
      </c>
      <c r="W486" s="82" t="s">
        <v>1808</v>
      </c>
      <c r="X486" s="77"/>
      <c r="Y486" s="77"/>
      <c r="Z486" s="77"/>
      <c r="AA486" s="77" t="s">
        <v>2317</v>
      </c>
      <c r="AB486" s="77" t="s">
        <v>2632</v>
      </c>
      <c r="AC486" s="82" t="s">
        <v>2639</v>
      </c>
      <c r="AD486" s="77" t="s">
        <v>2670</v>
      </c>
      <c r="AE486" s="80" t="str">
        <f>HYPERLINK("https://twitter.com/juliocrrf/status/1668052524476014592")</f>
        <v>https://twitter.com/juliocrrf/status/1668052524476014592</v>
      </c>
      <c r="AF486" s="79">
        <v>45089.019525462965</v>
      </c>
      <c r="AG486" s="85">
        <v>45089</v>
      </c>
      <c r="AH486" s="82" t="s">
        <v>3122</v>
      </c>
      <c r="AI486" s="77" t="b">
        <v>0</v>
      </c>
      <c r="AJ486" s="77"/>
      <c r="AK486" s="77"/>
      <c r="AL486" s="77"/>
      <c r="AM486" s="77"/>
      <c r="AN486" s="77"/>
      <c r="AO486" s="77"/>
      <c r="AP486" s="77"/>
      <c r="AQ486" s="77" t="s">
        <v>3746</v>
      </c>
      <c r="AR486" s="77"/>
      <c r="AS486" s="77"/>
      <c r="AT486" s="77"/>
      <c r="AU486" s="77"/>
      <c r="AV486" s="80" t="str">
        <f>HYPERLINK("https://pbs.twimg.com/media/FyYc6mRWAAc2Ith.jpg")</f>
        <v>https://pbs.twimg.com/media/FyYc6mRWAAc2Ith.jpg</v>
      </c>
      <c r="AW486" s="82" t="s">
        <v>4537</v>
      </c>
      <c r="AX486" s="82" t="s">
        <v>4537</v>
      </c>
      <c r="AY486" s="77"/>
      <c r="AZ486" s="82" t="s">
        <v>5075</v>
      </c>
      <c r="BA486" s="82" t="s">
        <v>5075</v>
      </c>
      <c r="BB486" s="82" t="s">
        <v>5075</v>
      </c>
      <c r="BC486" s="82" t="s">
        <v>4537</v>
      </c>
      <c r="BD486" s="77">
        <v>4357245737</v>
      </c>
      <c r="BE486" s="77"/>
      <c r="BF486" s="77"/>
      <c r="BG486" s="77"/>
      <c r="BH486" s="77"/>
      <c r="BI486" s="77"/>
    </row>
    <row r="487" spans="1:61" x14ac:dyDescent="0.25">
      <c r="A487" s="62" t="s">
        <v>393</v>
      </c>
      <c r="B487" s="62" t="s">
        <v>393</v>
      </c>
      <c r="C487" s="63"/>
      <c r="D487" s="64"/>
      <c r="E487" s="65"/>
      <c r="F487" s="66"/>
      <c r="G487" s="63"/>
      <c r="H487" s="67"/>
      <c r="I487" s="68"/>
      <c r="J487" s="68"/>
      <c r="K487" s="32"/>
      <c r="L487" s="75">
        <v>487</v>
      </c>
      <c r="M487" s="75"/>
      <c r="N487" s="70"/>
      <c r="O487" s="77" t="s">
        <v>179</v>
      </c>
      <c r="P487" s="79">
        <v>45094.022476851853</v>
      </c>
      <c r="Q487" s="77" t="s">
        <v>1014</v>
      </c>
      <c r="R487" s="77">
        <v>0</v>
      </c>
      <c r="S487" s="77">
        <v>0</v>
      </c>
      <c r="T487" s="77">
        <v>0</v>
      </c>
      <c r="U487" s="77">
        <v>0</v>
      </c>
      <c r="V487" s="77">
        <v>27</v>
      </c>
      <c r="W487" s="82" t="s">
        <v>1808</v>
      </c>
      <c r="X487" s="80" t="str">
        <f>HYPERLINK("https://rb.gy/u38j0")</f>
        <v>https://rb.gy/u38j0</v>
      </c>
      <c r="Y487" s="77" t="s">
        <v>1999</v>
      </c>
      <c r="Z487" s="77"/>
      <c r="AA487" s="77" t="s">
        <v>2318</v>
      </c>
      <c r="AB487" s="77" t="s">
        <v>2632</v>
      </c>
      <c r="AC487" s="82" t="s">
        <v>2639</v>
      </c>
      <c r="AD487" s="77" t="s">
        <v>2670</v>
      </c>
      <c r="AE487" s="80" t="str">
        <f>HYPERLINK("https://twitter.com/juliocrrf/status/1669865533544488962")</f>
        <v>https://twitter.com/juliocrrf/status/1669865533544488962</v>
      </c>
      <c r="AF487" s="79">
        <v>45094.022476851853</v>
      </c>
      <c r="AG487" s="85">
        <v>45094</v>
      </c>
      <c r="AH487" s="82" t="s">
        <v>3123</v>
      </c>
      <c r="AI487" s="77" t="b">
        <v>0</v>
      </c>
      <c r="AJ487" s="77"/>
      <c r="AK487" s="77"/>
      <c r="AL487" s="77"/>
      <c r="AM487" s="77"/>
      <c r="AN487" s="77"/>
      <c r="AO487" s="77"/>
      <c r="AP487" s="77"/>
      <c r="AQ487" s="77" t="s">
        <v>3747</v>
      </c>
      <c r="AR487" s="77"/>
      <c r="AS487" s="77"/>
      <c r="AT487" s="77"/>
      <c r="AU487" s="77"/>
      <c r="AV487" s="80" t="str">
        <f>HYPERLINK("https://pbs.twimg.com/media/FyyN2S0XoAMOWph.jpg")</f>
        <v>https://pbs.twimg.com/media/FyyN2S0XoAMOWph.jpg</v>
      </c>
      <c r="AW487" s="82" t="s">
        <v>4538</v>
      </c>
      <c r="AX487" s="82" t="s">
        <v>4538</v>
      </c>
      <c r="AY487" s="77"/>
      <c r="AZ487" s="82" t="s">
        <v>5075</v>
      </c>
      <c r="BA487" s="82" t="s">
        <v>5075</v>
      </c>
      <c r="BB487" s="82" t="s">
        <v>5075</v>
      </c>
      <c r="BC487" s="82" t="s">
        <v>4538</v>
      </c>
      <c r="BD487" s="77">
        <v>4357245737</v>
      </c>
      <c r="BE487" s="77"/>
      <c r="BF487" s="77"/>
      <c r="BG487" s="77"/>
      <c r="BH487" s="77"/>
      <c r="BI487" s="77"/>
    </row>
    <row r="488" spans="1:61" x14ac:dyDescent="0.25">
      <c r="A488" s="62" t="s">
        <v>393</v>
      </c>
      <c r="B488" s="62" t="s">
        <v>393</v>
      </c>
      <c r="C488" s="63"/>
      <c r="D488" s="64"/>
      <c r="E488" s="65"/>
      <c r="F488" s="66"/>
      <c r="G488" s="63"/>
      <c r="H488" s="67"/>
      <c r="I488" s="68"/>
      <c r="J488" s="68"/>
      <c r="K488" s="32"/>
      <c r="L488" s="75">
        <v>488</v>
      </c>
      <c r="M488" s="75"/>
      <c r="N488" s="70"/>
      <c r="O488" s="77" t="s">
        <v>179</v>
      </c>
      <c r="P488" s="79">
        <v>45102.668055555558</v>
      </c>
      <c r="Q488" s="77" t="s">
        <v>1015</v>
      </c>
      <c r="R488" s="77">
        <v>0</v>
      </c>
      <c r="S488" s="77">
        <v>0</v>
      </c>
      <c r="T488" s="77">
        <v>0</v>
      </c>
      <c r="U488" s="77">
        <v>0</v>
      </c>
      <c r="V488" s="77">
        <v>16</v>
      </c>
      <c r="W488" s="82" t="s">
        <v>1809</v>
      </c>
      <c r="X488" s="77"/>
      <c r="Y488" s="77"/>
      <c r="Z488" s="77"/>
      <c r="AA488" s="77"/>
      <c r="AB488" s="77"/>
      <c r="AC488" s="82" t="s">
        <v>2639</v>
      </c>
      <c r="AD488" s="77" t="s">
        <v>2670</v>
      </c>
      <c r="AE488" s="80" t="str">
        <f>HYPERLINK("https://twitter.com/juliocrrf/status/1672998585850314753")</f>
        <v>https://twitter.com/juliocrrf/status/1672998585850314753</v>
      </c>
      <c r="AF488" s="79">
        <v>45102.668055555558</v>
      </c>
      <c r="AG488" s="85">
        <v>45102</v>
      </c>
      <c r="AH488" s="82" t="s">
        <v>3124</v>
      </c>
      <c r="AI488" s="77"/>
      <c r="AJ488" s="77"/>
      <c r="AK488" s="77"/>
      <c r="AL488" s="77"/>
      <c r="AM488" s="77"/>
      <c r="AN488" s="77"/>
      <c r="AO488" s="77"/>
      <c r="AP488" s="77"/>
      <c r="AQ488" s="77"/>
      <c r="AR488" s="77"/>
      <c r="AS488" s="77"/>
      <c r="AT488" s="77"/>
      <c r="AU488" s="77"/>
      <c r="AV488" s="80" t="str">
        <f>HYPERLINK("https://pbs.twimg.com/profile_images/1638555528002404354/zYyRgIoe_normal.jpg")</f>
        <v>https://pbs.twimg.com/profile_images/1638555528002404354/zYyRgIoe_normal.jpg</v>
      </c>
      <c r="AW488" s="82" t="s">
        <v>4539</v>
      </c>
      <c r="AX488" s="82" t="s">
        <v>4539</v>
      </c>
      <c r="AY488" s="77"/>
      <c r="AZ488" s="82" t="s">
        <v>5075</v>
      </c>
      <c r="BA488" s="82" t="s">
        <v>5075</v>
      </c>
      <c r="BB488" s="82" t="s">
        <v>5075</v>
      </c>
      <c r="BC488" s="82" t="s">
        <v>4539</v>
      </c>
      <c r="BD488" s="77">
        <v>4357245737</v>
      </c>
      <c r="BE488" s="77"/>
      <c r="BF488" s="77"/>
      <c r="BG488" s="77"/>
      <c r="BH488" s="77"/>
      <c r="BI488" s="77"/>
    </row>
    <row r="489" spans="1:61" x14ac:dyDescent="0.25">
      <c r="A489" s="62" t="s">
        <v>393</v>
      </c>
      <c r="B489" s="62" t="s">
        <v>393</v>
      </c>
      <c r="C489" s="63"/>
      <c r="D489" s="64"/>
      <c r="E489" s="65"/>
      <c r="F489" s="66"/>
      <c r="G489" s="63"/>
      <c r="H489" s="67"/>
      <c r="I489" s="68"/>
      <c r="J489" s="68"/>
      <c r="K489" s="32"/>
      <c r="L489" s="75">
        <v>489</v>
      </c>
      <c r="M489" s="75"/>
      <c r="N489" s="70"/>
      <c r="O489" s="77" t="s">
        <v>179</v>
      </c>
      <c r="P489" s="79">
        <v>45104.925694444442</v>
      </c>
      <c r="Q489" s="77" t="s">
        <v>1016</v>
      </c>
      <c r="R489" s="77">
        <v>0</v>
      </c>
      <c r="S489" s="77">
        <v>0</v>
      </c>
      <c r="T489" s="77">
        <v>0</v>
      </c>
      <c r="U489" s="77">
        <v>0</v>
      </c>
      <c r="V489" s="77">
        <v>17</v>
      </c>
      <c r="W489" s="82" t="s">
        <v>1810</v>
      </c>
      <c r="X489" s="77"/>
      <c r="Y489" s="77"/>
      <c r="Z489" s="77"/>
      <c r="AA489" s="77"/>
      <c r="AB489" s="77"/>
      <c r="AC489" s="82" t="s">
        <v>2639</v>
      </c>
      <c r="AD489" s="77" t="s">
        <v>2670</v>
      </c>
      <c r="AE489" s="80" t="str">
        <f>HYPERLINK("https://twitter.com/juliocrrf/status/1673816726373384193")</f>
        <v>https://twitter.com/juliocrrf/status/1673816726373384193</v>
      </c>
      <c r="AF489" s="79">
        <v>45104.925694444442</v>
      </c>
      <c r="AG489" s="85">
        <v>45104</v>
      </c>
      <c r="AH489" s="82" t="s">
        <v>3125</v>
      </c>
      <c r="AI489" s="77"/>
      <c r="AJ489" s="77"/>
      <c r="AK489" s="77"/>
      <c r="AL489" s="77"/>
      <c r="AM489" s="77"/>
      <c r="AN489" s="77"/>
      <c r="AO489" s="77"/>
      <c r="AP489" s="77"/>
      <c r="AQ489" s="77"/>
      <c r="AR489" s="77"/>
      <c r="AS489" s="77"/>
      <c r="AT489" s="77"/>
      <c r="AU489" s="77"/>
      <c r="AV489" s="80" t="str">
        <f>HYPERLINK("https://pbs.twimg.com/profile_images/1638555528002404354/zYyRgIoe_normal.jpg")</f>
        <v>https://pbs.twimg.com/profile_images/1638555528002404354/zYyRgIoe_normal.jpg</v>
      </c>
      <c r="AW489" s="82" t="s">
        <v>4540</v>
      </c>
      <c r="AX489" s="82" t="s">
        <v>4540</v>
      </c>
      <c r="AY489" s="77"/>
      <c r="AZ489" s="82" t="s">
        <v>5075</v>
      </c>
      <c r="BA489" s="82" t="s">
        <v>5075</v>
      </c>
      <c r="BB489" s="82" t="s">
        <v>5075</v>
      </c>
      <c r="BC489" s="82" t="s">
        <v>4540</v>
      </c>
      <c r="BD489" s="77">
        <v>4357245737</v>
      </c>
      <c r="BE489" s="77"/>
      <c r="BF489" s="77"/>
      <c r="BG489" s="77"/>
      <c r="BH489" s="77"/>
      <c r="BI489" s="77"/>
    </row>
    <row r="490" spans="1:61" x14ac:dyDescent="0.25">
      <c r="A490" s="62" t="s">
        <v>393</v>
      </c>
      <c r="B490" s="62" t="s">
        <v>393</v>
      </c>
      <c r="C490" s="63"/>
      <c r="D490" s="64"/>
      <c r="E490" s="65"/>
      <c r="F490" s="66"/>
      <c r="G490" s="63"/>
      <c r="H490" s="67"/>
      <c r="I490" s="68"/>
      <c r="J490" s="68"/>
      <c r="K490" s="32"/>
      <c r="L490" s="75">
        <v>490</v>
      </c>
      <c r="M490" s="75"/>
      <c r="N490" s="70"/>
      <c r="O490" s="77" t="s">
        <v>179</v>
      </c>
      <c r="P490" s="79">
        <v>45108.666678240741</v>
      </c>
      <c r="Q490" s="77" t="s">
        <v>1017</v>
      </c>
      <c r="R490" s="77">
        <v>0</v>
      </c>
      <c r="S490" s="77">
        <v>0</v>
      </c>
      <c r="T490" s="77">
        <v>0</v>
      </c>
      <c r="U490" s="77">
        <v>0</v>
      </c>
      <c r="V490" s="77">
        <v>11</v>
      </c>
      <c r="W490" s="82" t="s">
        <v>1811</v>
      </c>
      <c r="X490" s="77"/>
      <c r="Y490" s="77"/>
      <c r="Z490" s="77"/>
      <c r="AA490" s="77"/>
      <c r="AB490" s="77"/>
      <c r="AC490" s="82" t="s">
        <v>2639</v>
      </c>
      <c r="AD490" s="77" t="s">
        <v>2670</v>
      </c>
      <c r="AE490" s="80" t="str">
        <f>HYPERLINK("https://twitter.com/juliocrrf/status/1675172413322014720")</f>
        <v>https://twitter.com/juliocrrf/status/1675172413322014720</v>
      </c>
      <c r="AF490" s="79">
        <v>45108.666678240741</v>
      </c>
      <c r="AG490" s="85">
        <v>45108</v>
      </c>
      <c r="AH490" s="82" t="s">
        <v>3126</v>
      </c>
      <c r="AI490" s="77"/>
      <c r="AJ490" s="77"/>
      <c r="AK490" s="77"/>
      <c r="AL490" s="77"/>
      <c r="AM490" s="77"/>
      <c r="AN490" s="77"/>
      <c r="AO490" s="77"/>
      <c r="AP490" s="77"/>
      <c r="AQ490" s="77"/>
      <c r="AR490" s="77"/>
      <c r="AS490" s="77"/>
      <c r="AT490" s="77"/>
      <c r="AU490" s="77"/>
      <c r="AV490" s="80" t="str">
        <f>HYPERLINK("https://pbs.twimg.com/profile_images/1638555528002404354/zYyRgIoe_normal.jpg")</f>
        <v>https://pbs.twimg.com/profile_images/1638555528002404354/zYyRgIoe_normal.jpg</v>
      </c>
      <c r="AW490" s="82" t="s">
        <v>4541</v>
      </c>
      <c r="AX490" s="82" t="s">
        <v>4541</v>
      </c>
      <c r="AY490" s="77"/>
      <c r="AZ490" s="82" t="s">
        <v>5075</v>
      </c>
      <c r="BA490" s="82" t="s">
        <v>5075</v>
      </c>
      <c r="BB490" s="82" t="s">
        <v>5075</v>
      </c>
      <c r="BC490" s="82" t="s">
        <v>4541</v>
      </c>
      <c r="BD490" s="77">
        <v>4357245737</v>
      </c>
      <c r="BE490" s="77"/>
      <c r="BF490" s="77"/>
      <c r="BG490" s="77"/>
      <c r="BH490" s="77"/>
      <c r="BI490" s="77"/>
    </row>
    <row r="491" spans="1:61" x14ac:dyDescent="0.25">
      <c r="A491" s="62" t="s">
        <v>394</v>
      </c>
      <c r="B491" s="62" t="s">
        <v>394</v>
      </c>
      <c r="C491" s="63"/>
      <c r="D491" s="64"/>
      <c r="E491" s="65"/>
      <c r="F491" s="66"/>
      <c r="G491" s="63"/>
      <c r="H491" s="67"/>
      <c r="I491" s="68"/>
      <c r="J491" s="68"/>
      <c r="K491" s="32"/>
      <c r="L491" s="75">
        <v>491</v>
      </c>
      <c r="M491" s="75"/>
      <c r="N491" s="70"/>
      <c r="O491" s="77" t="s">
        <v>179</v>
      </c>
      <c r="P491" s="79">
        <v>45029.06790509259</v>
      </c>
      <c r="Q491" s="77" t="s">
        <v>1018</v>
      </c>
      <c r="R491" s="77">
        <v>0</v>
      </c>
      <c r="S491" s="77">
        <v>0</v>
      </c>
      <c r="T491" s="77">
        <v>0</v>
      </c>
      <c r="U491" s="77">
        <v>0</v>
      </c>
      <c r="V491" s="77">
        <v>26</v>
      </c>
      <c r="W491" s="82" t="s">
        <v>1812</v>
      </c>
      <c r="X491" s="77"/>
      <c r="Y491" s="77"/>
      <c r="Z491" s="77"/>
      <c r="AA491" s="77" t="s">
        <v>2319</v>
      </c>
      <c r="AB491" s="77" t="s">
        <v>2632</v>
      </c>
      <c r="AC491" s="82" t="s">
        <v>2638</v>
      </c>
      <c r="AD491" s="77" t="s">
        <v>2670</v>
      </c>
      <c r="AE491" s="80" t="str">
        <f>HYPERLINK("https://twitter.com/beatrizdiascc/status/1646326786110771202")</f>
        <v>https://twitter.com/beatrizdiascc/status/1646326786110771202</v>
      </c>
      <c r="AF491" s="79">
        <v>45029.06790509259</v>
      </c>
      <c r="AG491" s="85">
        <v>45029</v>
      </c>
      <c r="AH491" s="82" t="s">
        <v>3127</v>
      </c>
      <c r="AI491" s="77" t="b">
        <v>0</v>
      </c>
      <c r="AJ491" s="77"/>
      <c r="AK491" s="77"/>
      <c r="AL491" s="77"/>
      <c r="AM491" s="77"/>
      <c r="AN491" s="77"/>
      <c r="AO491" s="77"/>
      <c r="AP491" s="77"/>
      <c r="AQ491" s="77" t="s">
        <v>3748</v>
      </c>
      <c r="AR491" s="77"/>
      <c r="AS491" s="77"/>
      <c r="AT491" s="77"/>
      <c r="AU491" s="77"/>
      <c r="AV491" s="80" t="str">
        <f>HYPERLINK("https://pbs.twimg.com/media/FtjtfMFXgAAmv3s.jpg")</f>
        <v>https://pbs.twimg.com/media/FtjtfMFXgAAmv3s.jpg</v>
      </c>
      <c r="AW491" s="82" t="s">
        <v>4542</v>
      </c>
      <c r="AX491" s="82" t="s">
        <v>4542</v>
      </c>
      <c r="AY491" s="77"/>
      <c r="AZ491" s="82" t="s">
        <v>5075</v>
      </c>
      <c r="BA491" s="82" t="s">
        <v>5075</v>
      </c>
      <c r="BB491" s="82" t="s">
        <v>5075</v>
      </c>
      <c r="BC491" s="82" t="s">
        <v>4542</v>
      </c>
      <c r="BD491" s="82" t="s">
        <v>5213</v>
      </c>
      <c r="BE491" s="77"/>
      <c r="BF491" s="77"/>
      <c r="BG491" s="77"/>
      <c r="BH491" s="77"/>
      <c r="BI491" s="77"/>
    </row>
    <row r="492" spans="1:61" x14ac:dyDescent="0.25">
      <c r="A492" s="62" t="s">
        <v>395</v>
      </c>
      <c r="B492" s="62" t="s">
        <v>395</v>
      </c>
      <c r="C492" s="63"/>
      <c r="D492" s="64"/>
      <c r="E492" s="65"/>
      <c r="F492" s="66"/>
      <c r="G492" s="63"/>
      <c r="H492" s="67"/>
      <c r="I492" s="68"/>
      <c r="J492" s="68"/>
      <c r="K492" s="32"/>
      <c r="L492" s="75">
        <v>492</v>
      </c>
      <c r="M492" s="75"/>
      <c r="N492" s="70"/>
      <c r="O492" s="77" t="s">
        <v>179</v>
      </c>
      <c r="P492" s="79">
        <v>44992.402222222219</v>
      </c>
      <c r="Q492" s="77" t="s">
        <v>1019</v>
      </c>
      <c r="R492" s="77">
        <v>0</v>
      </c>
      <c r="S492" s="77">
        <v>7</v>
      </c>
      <c r="T492" s="77">
        <v>0</v>
      </c>
      <c r="U492" s="77">
        <v>1</v>
      </c>
      <c r="V492" s="77">
        <v>1669</v>
      </c>
      <c r="W492" s="77"/>
      <c r="X492" s="80" t="str">
        <f>HYPERLINK("https://valorinveste.globo.com/imposto-de-renda-2023/noticia/2023/03/07/gustavo-cerbasi-da-cinco-dicas-para-aumentar-a-restituicao-do-imposto-de-renda.ghtml")</f>
        <v>https://valorinveste.globo.com/imposto-de-renda-2023/noticia/2023/03/07/gustavo-cerbasi-da-cinco-dicas-para-aumentar-a-restituicao-do-imposto-de-renda.ghtml</v>
      </c>
      <c r="Y492" s="77" t="s">
        <v>2000</v>
      </c>
      <c r="Z492" s="77"/>
      <c r="AA492" s="77"/>
      <c r="AB492" s="77"/>
      <c r="AC492" s="82" t="s">
        <v>2665</v>
      </c>
      <c r="AD492" s="77" t="s">
        <v>2670</v>
      </c>
      <c r="AE492" s="80" t="str">
        <f>HYPERLINK("https://twitter.com/valorinveste/status/1633039585511964675")</f>
        <v>https://twitter.com/valorinveste/status/1633039585511964675</v>
      </c>
      <c r="AF492" s="79">
        <v>44992.402222222219</v>
      </c>
      <c r="AG492" s="85">
        <v>44992</v>
      </c>
      <c r="AH492" s="82" t="s">
        <v>3128</v>
      </c>
      <c r="AI492" s="77" t="b">
        <v>0</v>
      </c>
      <c r="AJ492" s="77"/>
      <c r="AK492" s="77"/>
      <c r="AL492" s="77"/>
      <c r="AM492" s="77"/>
      <c r="AN492" s="77"/>
      <c r="AO492" s="77"/>
      <c r="AP492" s="77"/>
      <c r="AQ492" s="77"/>
      <c r="AR492" s="77"/>
      <c r="AS492" s="77"/>
      <c r="AT492" s="77"/>
      <c r="AU492" s="77"/>
      <c r="AV492" s="80" t="str">
        <f>HYPERLINK("https://pbs.twimg.com/profile_images/1117743023675379712/5xMWA9-j_normal.png")</f>
        <v>https://pbs.twimg.com/profile_images/1117743023675379712/5xMWA9-j_normal.png</v>
      </c>
      <c r="AW492" s="82" t="s">
        <v>4543</v>
      </c>
      <c r="AX492" s="82" t="s">
        <v>4543</v>
      </c>
      <c r="AY492" s="77"/>
      <c r="AZ492" s="82" t="s">
        <v>5075</v>
      </c>
      <c r="BA492" s="82" t="s">
        <v>5075</v>
      </c>
      <c r="BB492" s="82" t="s">
        <v>5075</v>
      </c>
      <c r="BC492" s="82" t="s">
        <v>4543</v>
      </c>
      <c r="BD492" s="82" t="s">
        <v>5214</v>
      </c>
      <c r="BE492" s="77"/>
      <c r="BF492" s="77"/>
      <c r="BG492" s="77"/>
      <c r="BH492" s="77"/>
      <c r="BI492" s="77"/>
    </row>
    <row r="493" spans="1:61" x14ac:dyDescent="0.25">
      <c r="A493" s="62" t="s">
        <v>396</v>
      </c>
      <c r="B493" s="62" t="s">
        <v>395</v>
      </c>
      <c r="C493" s="63"/>
      <c r="D493" s="64"/>
      <c r="E493" s="65"/>
      <c r="F493" s="66"/>
      <c r="G493" s="63"/>
      <c r="H493" s="67"/>
      <c r="I493" s="68"/>
      <c r="J493" s="68"/>
      <c r="K493" s="32"/>
      <c r="L493" s="75">
        <v>493</v>
      </c>
      <c r="M493" s="75"/>
      <c r="N493" s="70"/>
      <c r="O493" s="77" t="s">
        <v>538</v>
      </c>
      <c r="P493" s="79">
        <v>44992.450370370374</v>
      </c>
      <c r="Q493" s="77" t="s">
        <v>1020</v>
      </c>
      <c r="R493" s="77">
        <v>0</v>
      </c>
      <c r="S493" s="77">
        <v>0</v>
      </c>
      <c r="T493" s="77">
        <v>0</v>
      </c>
      <c r="U493" s="77">
        <v>0</v>
      </c>
      <c r="V493" s="77">
        <v>48</v>
      </c>
      <c r="W493" s="82" t="s">
        <v>1813</v>
      </c>
      <c r="X493" s="77"/>
      <c r="Y493" s="77"/>
      <c r="Z493" s="77"/>
      <c r="AA493" s="77"/>
      <c r="AB493" s="77"/>
      <c r="AC493" s="82" t="s">
        <v>2640</v>
      </c>
      <c r="AD493" s="77" t="s">
        <v>2670</v>
      </c>
      <c r="AE493" s="80" t="str">
        <f>HYPERLINK("https://twitter.com/fernandodutra_/status/1633057033195749377")</f>
        <v>https://twitter.com/fernandodutra_/status/1633057033195749377</v>
      </c>
      <c r="AF493" s="79">
        <v>44992.450370370374</v>
      </c>
      <c r="AG493" s="85">
        <v>44992</v>
      </c>
      <c r="AH493" s="82" t="s">
        <v>3129</v>
      </c>
      <c r="AI493" s="77"/>
      <c r="AJ493" s="77"/>
      <c r="AK493" s="77"/>
      <c r="AL493" s="77"/>
      <c r="AM493" s="77"/>
      <c r="AN493" s="77"/>
      <c r="AO493" s="77"/>
      <c r="AP493" s="77"/>
      <c r="AQ493" s="77"/>
      <c r="AR493" s="77"/>
      <c r="AS493" s="77"/>
      <c r="AT493" s="77"/>
      <c r="AU493" s="77"/>
      <c r="AV493" s="80" t="str">
        <f>HYPERLINK("https://pbs.twimg.com/profile_images/1656722766538604565/hXR10T55_normal.jpg")</f>
        <v>https://pbs.twimg.com/profile_images/1656722766538604565/hXR10T55_normal.jpg</v>
      </c>
      <c r="AW493" s="82" t="s">
        <v>4544</v>
      </c>
      <c r="AX493" s="82" t="s">
        <v>4544</v>
      </c>
      <c r="AY493" s="77"/>
      <c r="AZ493" s="82" t="s">
        <v>5075</v>
      </c>
      <c r="BA493" s="82" t="s">
        <v>4543</v>
      </c>
      <c r="BB493" s="82" t="s">
        <v>5075</v>
      </c>
      <c r="BC493" s="82" t="s">
        <v>4543</v>
      </c>
      <c r="BD493" s="77">
        <v>52371933</v>
      </c>
      <c r="BE493" s="77"/>
      <c r="BF493" s="77"/>
      <c r="BG493" s="77"/>
      <c r="BH493" s="77"/>
      <c r="BI493" s="77"/>
    </row>
    <row r="494" spans="1:61" x14ac:dyDescent="0.25">
      <c r="A494" s="62" t="s">
        <v>397</v>
      </c>
      <c r="B494" s="62" t="s">
        <v>397</v>
      </c>
      <c r="C494" s="63"/>
      <c r="D494" s="64"/>
      <c r="E494" s="65"/>
      <c r="F494" s="66"/>
      <c r="G494" s="63"/>
      <c r="H494" s="67"/>
      <c r="I494" s="68"/>
      <c r="J494" s="68"/>
      <c r="K494" s="32"/>
      <c r="L494" s="75">
        <v>494</v>
      </c>
      <c r="M494" s="75"/>
      <c r="N494" s="70"/>
      <c r="O494" s="77" t="s">
        <v>179</v>
      </c>
      <c r="P494" s="79">
        <v>45044.854328703703</v>
      </c>
      <c r="Q494" s="77" t="s">
        <v>1021</v>
      </c>
      <c r="R494" s="77">
        <v>0</v>
      </c>
      <c r="S494" s="77">
        <v>0</v>
      </c>
      <c r="T494" s="77">
        <v>0</v>
      </c>
      <c r="U494" s="77">
        <v>0</v>
      </c>
      <c r="V494" s="77">
        <v>317</v>
      </c>
      <c r="W494" s="82" t="s">
        <v>1814</v>
      </c>
      <c r="X494" s="80" t="str">
        <f>HYPERLINK("https://bit.ly/33GhcFK")</f>
        <v>https://bit.ly/33GhcFK</v>
      </c>
      <c r="Y494" s="77" t="s">
        <v>1975</v>
      </c>
      <c r="Z494" s="77"/>
      <c r="AA494" s="77" t="s">
        <v>2320</v>
      </c>
      <c r="AB494" s="77" t="s">
        <v>2632</v>
      </c>
      <c r="AC494" s="82" t="s">
        <v>2662</v>
      </c>
      <c r="AD494" s="77" t="s">
        <v>2670</v>
      </c>
      <c r="AE494" s="80" t="str">
        <f>HYPERLINK("https://twitter.com/vivalocal/status/1652047591884857345")</f>
        <v>https://twitter.com/vivalocal/status/1652047591884857345</v>
      </c>
      <c r="AF494" s="79">
        <v>45044.854328703703</v>
      </c>
      <c r="AG494" s="85">
        <v>45044</v>
      </c>
      <c r="AH494" s="82" t="s">
        <v>3130</v>
      </c>
      <c r="AI494" s="77" t="b">
        <v>0</v>
      </c>
      <c r="AJ494" s="77"/>
      <c r="AK494" s="77"/>
      <c r="AL494" s="77"/>
      <c r="AM494" s="77"/>
      <c r="AN494" s="77"/>
      <c r="AO494" s="77"/>
      <c r="AP494" s="77"/>
      <c r="AQ494" s="77" t="s">
        <v>3749</v>
      </c>
      <c r="AR494" s="77"/>
      <c r="AS494" s="77"/>
      <c r="AT494" s="77"/>
      <c r="AU494" s="77"/>
      <c r="AV494" s="80" t="str">
        <f>HYPERLINK("https://pbs.twimg.com/media/Fu1Ah3HWIA4PiG_.jpg")</f>
        <v>https://pbs.twimg.com/media/Fu1Ah3HWIA4PiG_.jpg</v>
      </c>
      <c r="AW494" s="82" t="s">
        <v>4545</v>
      </c>
      <c r="AX494" s="82" t="s">
        <v>4545</v>
      </c>
      <c r="AY494" s="77"/>
      <c r="AZ494" s="82" t="s">
        <v>5075</v>
      </c>
      <c r="BA494" s="82" t="s">
        <v>5075</v>
      </c>
      <c r="BB494" s="82" t="s">
        <v>5075</v>
      </c>
      <c r="BC494" s="82" t="s">
        <v>4545</v>
      </c>
      <c r="BD494" s="77">
        <v>67352317</v>
      </c>
      <c r="BE494" s="77"/>
      <c r="BF494" s="77"/>
      <c r="BG494" s="77"/>
      <c r="BH494" s="77"/>
      <c r="BI494" s="77"/>
    </row>
    <row r="495" spans="1:61" x14ac:dyDescent="0.25">
      <c r="A495" s="62" t="s">
        <v>398</v>
      </c>
      <c r="B495" s="62" t="s">
        <v>398</v>
      </c>
      <c r="C495" s="63"/>
      <c r="D495" s="64"/>
      <c r="E495" s="65"/>
      <c r="F495" s="66"/>
      <c r="G495" s="63"/>
      <c r="H495" s="67"/>
      <c r="I495" s="68"/>
      <c r="J495" s="68"/>
      <c r="K495" s="32"/>
      <c r="L495" s="75">
        <v>495</v>
      </c>
      <c r="M495" s="75"/>
      <c r="N495" s="70"/>
      <c r="O495" s="77" t="s">
        <v>179</v>
      </c>
      <c r="P495" s="79">
        <v>45097.098564814813</v>
      </c>
      <c r="Q495" s="77" t="s">
        <v>1022</v>
      </c>
      <c r="R495" s="77">
        <v>0</v>
      </c>
      <c r="S495" s="77">
        <v>0</v>
      </c>
      <c r="T495" s="77">
        <v>0</v>
      </c>
      <c r="U495" s="77">
        <v>0</v>
      </c>
      <c r="V495" s="77">
        <v>2</v>
      </c>
      <c r="W495" s="82" t="s">
        <v>1435</v>
      </c>
      <c r="X495" s="77"/>
      <c r="Y495" s="77"/>
      <c r="Z495" s="77"/>
      <c r="AA495" s="77"/>
      <c r="AB495" s="77"/>
      <c r="AC495" s="82" t="s">
        <v>2639</v>
      </c>
      <c r="AD495" s="77" t="s">
        <v>2670</v>
      </c>
      <c r="AE495" s="80" t="str">
        <f>HYPERLINK("https://twitter.com/mundo_consorcio/status/1670980269841473536")</f>
        <v>https://twitter.com/mundo_consorcio/status/1670980269841473536</v>
      </c>
      <c r="AF495" s="79">
        <v>45097.098564814813</v>
      </c>
      <c r="AG495" s="85">
        <v>45097</v>
      </c>
      <c r="AH495" s="82" t="s">
        <v>3131</v>
      </c>
      <c r="AI495" s="77"/>
      <c r="AJ495" s="77"/>
      <c r="AK495" s="77"/>
      <c r="AL495" s="77"/>
      <c r="AM495" s="77"/>
      <c r="AN495" s="77"/>
      <c r="AO495" s="77"/>
      <c r="AP495" s="77"/>
      <c r="AQ495" s="77"/>
      <c r="AR495" s="77"/>
      <c r="AS495" s="77"/>
      <c r="AT495" s="77"/>
      <c r="AU495" s="77"/>
      <c r="AV495" s="80" t="str">
        <f>HYPERLINK("https://pbs.twimg.com/profile_images/1670967220602585089/LU6rb28W_normal.jpg")</f>
        <v>https://pbs.twimg.com/profile_images/1670967220602585089/LU6rb28W_normal.jpg</v>
      </c>
      <c r="AW495" s="82" t="s">
        <v>4546</v>
      </c>
      <c r="AX495" s="82" t="s">
        <v>4546</v>
      </c>
      <c r="AY495" s="77"/>
      <c r="AZ495" s="82" t="s">
        <v>5075</v>
      </c>
      <c r="BA495" s="82" t="s">
        <v>5075</v>
      </c>
      <c r="BB495" s="82" t="s">
        <v>5075</v>
      </c>
      <c r="BC495" s="82" t="s">
        <v>4546</v>
      </c>
      <c r="BD495" s="82" t="s">
        <v>5215</v>
      </c>
      <c r="BE495" s="77"/>
      <c r="BF495" s="77"/>
      <c r="BG495" s="77"/>
      <c r="BH495" s="77"/>
      <c r="BI495" s="77"/>
    </row>
    <row r="496" spans="1:61" x14ac:dyDescent="0.25">
      <c r="A496" s="62" t="s">
        <v>399</v>
      </c>
      <c r="B496" s="62" t="s">
        <v>399</v>
      </c>
      <c r="C496" s="63"/>
      <c r="D496" s="64"/>
      <c r="E496" s="65"/>
      <c r="F496" s="66"/>
      <c r="G496" s="63"/>
      <c r="H496" s="67"/>
      <c r="I496" s="68"/>
      <c r="J496" s="68"/>
      <c r="K496" s="32"/>
      <c r="L496" s="75">
        <v>496</v>
      </c>
      <c r="M496" s="75"/>
      <c r="N496" s="70"/>
      <c r="O496" s="77" t="s">
        <v>179</v>
      </c>
      <c r="P496" s="79">
        <v>45038.735081018516</v>
      </c>
      <c r="Q496" s="77" t="s">
        <v>1023</v>
      </c>
      <c r="R496" s="77">
        <v>0</v>
      </c>
      <c r="S496" s="77">
        <v>0</v>
      </c>
      <c r="T496" s="77">
        <v>0</v>
      </c>
      <c r="U496" s="77">
        <v>0</v>
      </c>
      <c r="V496" s="77">
        <v>7</v>
      </c>
      <c r="W496" s="82" t="s">
        <v>1815</v>
      </c>
      <c r="X496" s="80" t="str">
        <f>HYPERLINK("https://jornaldigital360.com.br/a-importancia-da-educacao-financeira-para-a-vida-adulta/")</f>
        <v>https://jornaldigital360.com.br/a-importancia-da-educacao-financeira-para-a-vida-adulta/</v>
      </c>
      <c r="Y496" s="77" t="s">
        <v>1978</v>
      </c>
      <c r="Z496" s="77"/>
      <c r="AA496" s="77" t="s">
        <v>2321</v>
      </c>
      <c r="AB496" s="77" t="s">
        <v>2632</v>
      </c>
      <c r="AC496" s="82" t="s">
        <v>2639</v>
      </c>
      <c r="AD496" s="77" t="s">
        <v>2670</v>
      </c>
      <c r="AE496" s="80" t="str">
        <f>HYPERLINK("https://twitter.com/newsdigital360/status/1649830050282307586")</f>
        <v>https://twitter.com/newsdigital360/status/1649830050282307586</v>
      </c>
      <c r="AF496" s="79">
        <v>45038.735081018516</v>
      </c>
      <c r="AG496" s="85">
        <v>45038</v>
      </c>
      <c r="AH496" s="82" t="s">
        <v>3132</v>
      </c>
      <c r="AI496" s="77" t="b">
        <v>0</v>
      </c>
      <c r="AJ496" s="77"/>
      <c r="AK496" s="77"/>
      <c r="AL496" s="77"/>
      <c r="AM496" s="77"/>
      <c r="AN496" s="77"/>
      <c r="AO496" s="77"/>
      <c r="AP496" s="77"/>
      <c r="AQ496" s="77" t="s">
        <v>3750</v>
      </c>
      <c r="AR496" s="77"/>
      <c r="AS496" s="77"/>
      <c r="AT496" s="77"/>
      <c r="AU496" s="77"/>
      <c r="AV496" s="80" t="str">
        <f>HYPERLINK("https://pbs.twimg.com/media/FuVfrbcXsAEj4Gc.jpg")</f>
        <v>https://pbs.twimg.com/media/FuVfrbcXsAEj4Gc.jpg</v>
      </c>
      <c r="AW496" s="82" t="s">
        <v>4547</v>
      </c>
      <c r="AX496" s="82" t="s">
        <v>4547</v>
      </c>
      <c r="AY496" s="77"/>
      <c r="AZ496" s="82" t="s">
        <v>5075</v>
      </c>
      <c r="BA496" s="82" t="s">
        <v>5075</v>
      </c>
      <c r="BB496" s="82" t="s">
        <v>5075</v>
      </c>
      <c r="BC496" s="82" t="s">
        <v>4547</v>
      </c>
      <c r="BD496" s="82" t="s">
        <v>5216</v>
      </c>
      <c r="BE496" s="77"/>
      <c r="BF496" s="77"/>
      <c r="BG496" s="77"/>
      <c r="BH496" s="77"/>
      <c r="BI496" s="77"/>
    </row>
    <row r="497" spans="1:61" x14ac:dyDescent="0.25">
      <c r="A497" s="62" t="s">
        <v>399</v>
      </c>
      <c r="B497" s="62" t="s">
        <v>399</v>
      </c>
      <c r="C497" s="63"/>
      <c r="D497" s="64"/>
      <c r="E497" s="65"/>
      <c r="F497" s="66"/>
      <c r="G497" s="63"/>
      <c r="H497" s="67"/>
      <c r="I497" s="68"/>
      <c r="J497" s="68"/>
      <c r="K497" s="32"/>
      <c r="L497" s="75">
        <v>497</v>
      </c>
      <c r="M497" s="75"/>
      <c r="N497" s="70"/>
      <c r="O497" s="77" t="s">
        <v>179</v>
      </c>
      <c r="P497" s="79">
        <v>45037.837858796294</v>
      </c>
      <c r="Q497" s="77" t="s">
        <v>1024</v>
      </c>
      <c r="R497" s="77">
        <v>0</v>
      </c>
      <c r="S497" s="77">
        <v>0</v>
      </c>
      <c r="T497" s="77">
        <v>0</v>
      </c>
      <c r="U497" s="77">
        <v>0</v>
      </c>
      <c r="V497" s="77">
        <v>8</v>
      </c>
      <c r="W497" s="82" t="s">
        <v>1816</v>
      </c>
      <c r="X497" s="80" t="str">
        <f>HYPERLINK("https://jornaldigital360.com.br/como-economizar-dinheiro-dicas-praticas-para-alcancar-seus-objetivos-financeiros/")</f>
        <v>https://jornaldigital360.com.br/como-economizar-dinheiro-dicas-praticas-para-alcancar-seus-objetivos-financeiros/</v>
      </c>
      <c r="Y497" s="77" t="s">
        <v>1978</v>
      </c>
      <c r="Z497" s="77"/>
      <c r="AA497" s="77" t="s">
        <v>2322</v>
      </c>
      <c r="AB497" s="77" t="s">
        <v>2632</v>
      </c>
      <c r="AC497" s="82" t="s">
        <v>2639</v>
      </c>
      <c r="AD497" s="77" t="s">
        <v>2670</v>
      </c>
      <c r="AE497" s="80" t="str">
        <f>HYPERLINK("https://twitter.com/newsdigital360/status/1649504908691881986")</f>
        <v>https://twitter.com/newsdigital360/status/1649504908691881986</v>
      </c>
      <c r="AF497" s="79">
        <v>45037.837858796294</v>
      </c>
      <c r="AG497" s="85">
        <v>45037</v>
      </c>
      <c r="AH497" s="82" t="s">
        <v>3133</v>
      </c>
      <c r="AI497" s="77" t="b">
        <v>0</v>
      </c>
      <c r="AJ497" s="77"/>
      <c r="AK497" s="77"/>
      <c r="AL497" s="77"/>
      <c r="AM497" s="77"/>
      <c r="AN497" s="77"/>
      <c r="AO497" s="77"/>
      <c r="AP497" s="77"/>
      <c r="AQ497" s="77" t="s">
        <v>3751</v>
      </c>
      <c r="AR497" s="77"/>
      <c r="AS497" s="77"/>
      <c r="AT497" s="77"/>
      <c r="AU497" s="77"/>
      <c r="AV497" s="80" t="str">
        <f>HYPERLINK("https://pbs.twimg.com/media/FuQ374MWwAEBdxx.jpg")</f>
        <v>https://pbs.twimg.com/media/FuQ374MWwAEBdxx.jpg</v>
      </c>
      <c r="AW497" s="82" t="s">
        <v>4548</v>
      </c>
      <c r="AX497" s="82" t="s">
        <v>4548</v>
      </c>
      <c r="AY497" s="77"/>
      <c r="AZ497" s="82" t="s">
        <v>5075</v>
      </c>
      <c r="BA497" s="82" t="s">
        <v>5075</v>
      </c>
      <c r="BB497" s="82" t="s">
        <v>5075</v>
      </c>
      <c r="BC497" s="82" t="s">
        <v>4548</v>
      </c>
      <c r="BD497" s="82" t="s">
        <v>5216</v>
      </c>
      <c r="BE497" s="77"/>
      <c r="BF497" s="77"/>
      <c r="BG497" s="77"/>
      <c r="BH497" s="77"/>
      <c r="BI497" s="77"/>
    </row>
    <row r="498" spans="1:61" x14ac:dyDescent="0.25">
      <c r="A498" s="62" t="s">
        <v>399</v>
      </c>
      <c r="B498" s="62" t="s">
        <v>399</v>
      </c>
      <c r="C498" s="63"/>
      <c r="D498" s="64"/>
      <c r="E498" s="65"/>
      <c r="F498" s="66"/>
      <c r="G498" s="63"/>
      <c r="H498" s="67"/>
      <c r="I498" s="68"/>
      <c r="J498" s="68"/>
      <c r="K498" s="32"/>
      <c r="L498" s="75">
        <v>498</v>
      </c>
      <c r="M498" s="75"/>
      <c r="N498" s="70"/>
      <c r="O498" s="77" t="s">
        <v>179</v>
      </c>
      <c r="P498" s="79">
        <v>45036.778032407405</v>
      </c>
      <c r="Q498" s="77" t="s">
        <v>1025</v>
      </c>
      <c r="R498" s="77">
        <v>0</v>
      </c>
      <c r="S498" s="77">
        <v>0</v>
      </c>
      <c r="T498" s="77">
        <v>0</v>
      </c>
      <c r="U498" s="77">
        <v>0</v>
      </c>
      <c r="V498" s="77">
        <v>10</v>
      </c>
      <c r="W498" s="82" t="s">
        <v>1817</v>
      </c>
      <c r="X498" s="80" t="str">
        <f>HYPERLINK("https://jornaldigital360.com.br/10-estrategias-para-alcancar-a-independencia-financeira/")</f>
        <v>https://jornaldigital360.com.br/10-estrategias-para-alcancar-a-independencia-financeira/</v>
      </c>
      <c r="Y498" s="77" t="s">
        <v>1978</v>
      </c>
      <c r="Z498" s="77"/>
      <c r="AA498" s="77" t="s">
        <v>2323</v>
      </c>
      <c r="AB498" s="77" t="s">
        <v>2632</v>
      </c>
      <c r="AC498" s="82" t="s">
        <v>2639</v>
      </c>
      <c r="AD498" s="77" t="s">
        <v>2670</v>
      </c>
      <c r="AE498" s="80" t="str">
        <f>HYPERLINK("https://twitter.com/newsdigital360/status/1649120842247176193")</f>
        <v>https://twitter.com/newsdigital360/status/1649120842247176193</v>
      </c>
      <c r="AF498" s="79">
        <v>45036.778032407405</v>
      </c>
      <c r="AG498" s="85">
        <v>45036</v>
      </c>
      <c r="AH498" s="82" t="s">
        <v>3134</v>
      </c>
      <c r="AI498" s="77" t="b">
        <v>0</v>
      </c>
      <c r="AJ498" s="77"/>
      <c r="AK498" s="77"/>
      <c r="AL498" s="77"/>
      <c r="AM498" s="77"/>
      <c r="AN498" s="77"/>
      <c r="AO498" s="77"/>
      <c r="AP498" s="77"/>
      <c r="AQ498" s="77" t="s">
        <v>3752</v>
      </c>
      <c r="AR498" s="77"/>
      <c r="AS498" s="77"/>
      <c r="AT498" s="77"/>
      <c r="AU498" s="77"/>
      <c r="AV498" s="80" t="str">
        <f>HYPERLINK("https://pbs.twimg.com/media/FuLaqEPWAAkE3ot.jpg")</f>
        <v>https://pbs.twimg.com/media/FuLaqEPWAAkE3ot.jpg</v>
      </c>
      <c r="AW498" s="82" t="s">
        <v>4549</v>
      </c>
      <c r="AX498" s="82" t="s">
        <v>4549</v>
      </c>
      <c r="AY498" s="77"/>
      <c r="AZ498" s="82" t="s">
        <v>5075</v>
      </c>
      <c r="BA498" s="82" t="s">
        <v>5075</v>
      </c>
      <c r="BB498" s="82" t="s">
        <v>5075</v>
      </c>
      <c r="BC498" s="82" t="s">
        <v>4549</v>
      </c>
      <c r="BD498" s="82" t="s">
        <v>5216</v>
      </c>
      <c r="BE498" s="77"/>
      <c r="BF498" s="77"/>
      <c r="BG498" s="77"/>
      <c r="BH498" s="77"/>
      <c r="BI498" s="77"/>
    </row>
    <row r="499" spans="1:61" x14ac:dyDescent="0.25">
      <c r="A499" s="62" t="s">
        <v>400</v>
      </c>
      <c r="B499" s="62" t="s">
        <v>400</v>
      </c>
      <c r="C499" s="63"/>
      <c r="D499" s="64"/>
      <c r="E499" s="65"/>
      <c r="F499" s="66"/>
      <c r="G499" s="63"/>
      <c r="H499" s="67"/>
      <c r="I499" s="68"/>
      <c r="J499" s="68"/>
      <c r="K499" s="32"/>
      <c r="L499" s="75">
        <v>499</v>
      </c>
      <c r="M499" s="75"/>
      <c r="N499" s="70"/>
      <c r="O499" s="77" t="s">
        <v>179</v>
      </c>
      <c r="P499" s="79">
        <v>45134.576909722222</v>
      </c>
      <c r="Q499" s="77" t="s">
        <v>1026</v>
      </c>
      <c r="R499" s="77">
        <v>1</v>
      </c>
      <c r="S499" s="77">
        <v>7</v>
      </c>
      <c r="T499" s="77">
        <v>0</v>
      </c>
      <c r="U499" s="77">
        <v>0</v>
      </c>
      <c r="V499" s="77">
        <v>184</v>
      </c>
      <c r="W499" s="82" t="s">
        <v>1818</v>
      </c>
      <c r="X499" s="77"/>
      <c r="Y499" s="77"/>
      <c r="Z499" s="77"/>
      <c r="AA499" s="77" t="s">
        <v>2324</v>
      </c>
      <c r="AB499" s="77" t="s">
        <v>2633</v>
      </c>
      <c r="AC499" s="82" t="s">
        <v>2639</v>
      </c>
      <c r="AD499" s="77" t="s">
        <v>2670</v>
      </c>
      <c r="AE499" s="80" t="str">
        <f>HYPERLINK("https://twitter.com/drancelmoramos/status/1684561968043278339")</f>
        <v>https://twitter.com/drancelmoramos/status/1684561968043278339</v>
      </c>
      <c r="AF499" s="79">
        <v>45134.576909722222</v>
      </c>
      <c r="AG499" s="85">
        <v>45134</v>
      </c>
      <c r="AH499" s="82" t="s">
        <v>3135</v>
      </c>
      <c r="AI499" s="77" t="b">
        <v>0</v>
      </c>
      <c r="AJ499" s="77"/>
      <c r="AK499" s="77"/>
      <c r="AL499" s="77"/>
      <c r="AM499" s="77"/>
      <c r="AN499" s="77"/>
      <c r="AO499" s="77"/>
      <c r="AP499" s="77"/>
      <c r="AQ499" s="77" t="s">
        <v>3753</v>
      </c>
      <c r="AR499" s="77">
        <v>35000</v>
      </c>
      <c r="AS499" s="77"/>
      <c r="AT499" s="77"/>
      <c r="AU499" s="77"/>
      <c r="AV499" s="80" t="str">
        <f>HYPERLINK("https://pbs.twimg.com/ext_tw_video_thumb/1684561616283766784/pu/img/wa7BfRGX3TR8StAg.jpg")</f>
        <v>https://pbs.twimg.com/ext_tw_video_thumb/1684561616283766784/pu/img/wa7BfRGX3TR8StAg.jpg</v>
      </c>
      <c r="AW499" s="82" t="s">
        <v>4550</v>
      </c>
      <c r="AX499" s="82" t="s">
        <v>4550</v>
      </c>
      <c r="AY499" s="77"/>
      <c r="AZ499" s="82" t="s">
        <v>5075</v>
      </c>
      <c r="BA499" s="82" t="s">
        <v>5075</v>
      </c>
      <c r="BB499" s="82" t="s">
        <v>5075</v>
      </c>
      <c r="BC499" s="82" t="s">
        <v>4550</v>
      </c>
      <c r="BD499" s="82" t="s">
        <v>5217</v>
      </c>
      <c r="BE499" s="77"/>
      <c r="BF499" s="77"/>
      <c r="BG499" s="77"/>
      <c r="BH499" s="77"/>
      <c r="BI499" s="77"/>
    </row>
    <row r="500" spans="1:61" x14ac:dyDescent="0.25">
      <c r="A500" s="62" t="s">
        <v>401</v>
      </c>
      <c r="B500" s="62" t="s">
        <v>401</v>
      </c>
      <c r="C500" s="63"/>
      <c r="D500" s="64"/>
      <c r="E500" s="65"/>
      <c r="F500" s="66"/>
      <c r="G500" s="63"/>
      <c r="H500" s="67"/>
      <c r="I500" s="68"/>
      <c r="J500" s="68"/>
      <c r="K500" s="32"/>
      <c r="L500" s="75">
        <v>500</v>
      </c>
      <c r="M500" s="75"/>
      <c r="N500" s="70"/>
      <c r="O500" s="77" t="s">
        <v>179</v>
      </c>
      <c r="P500" s="79">
        <v>44983.76326388889</v>
      </c>
      <c r="Q500" s="77" t="s">
        <v>1027</v>
      </c>
      <c r="R500" s="77">
        <v>157</v>
      </c>
      <c r="S500" s="77">
        <v>2263</v>
      </c>
      <c r="T500" s="77">
        <v>116</v>
      </c>
      <c r="U500" s="77">
        <v>74</v>
      </c>
      <c r="V500" s="77">
        <v>278673</v>
      </c>
      <c r="W500" s="77"/>
      <c r="X500" s="77"/>
      <c r="Y500" s="77"/>
      <c r="Z500" s="77"/>
      <c r="AA500" s="77"/>
      <c r="AB500" s="77"/>
      <c r="AC500" s="82" t="s">
        <v>2640</v>
      </c>
      <c r="AD500" s="77" t="s">
        <v>2670</v>
      </c>
      <c r="AE500" s="80" t="str">
        <f>HYPERLINK("https://twitter.com/ricamconsult/status/1629908932222234626")</f>
        <v>https://twitter.com/ricamconsult/status/1629908932222234626</v>
      </c>
      <c r="AF500" s="79">
        <v>44983.76326388889</v>
      </c>
      <c r="AG500" s="85">
        <v>44983</v>
      </c>
      <c r="AH500" s="82" t="s">
        <v>3136</v>
      </c>
      <c r="AI500" s="77"/>
      <c r="AJ500" s="77"/>
      <c r="AK500" s="77"/>
      <c r="AL500" s="77"/>
      <c r="AM500" s="77"/>
      <c r="AN500" s="77"/>
      <c r="AO500" s="77"/>
      <c r="AP500" s="77"/>
      <c r="AQ500" s="77"/>
      <c r="AR500" s="77"/>
      <c r="AS500" s="77"/>
      <c r="AT500" s="77"/>
      <c r="AU500" s="77"/>
      <c r="AV500" s="80" t="str">
        <f>HYPERLINK("https://pbs.twimg.com/profile_images/1327606670453854211/QxCVNmHW_normal.jpg")</f>
        <v>https://pbs.twimg.com/profile_images/1327606670453854211/QxCVNmHW_normal.jpg</v>
      </c>
      <c r="AW500" s="82" t="s">
        <v>4551</v>
      </c>
      <c r="AX500" s="82" t="s">
        <v>4551</v>
      </c>
      <c r="AY500" s="77"/>
      <c r="AZ500" s="82" t="s">
        <v>5075</v>
      </c>
      <c r="BA500" s="82" t="s">
        <v>5075</v>
      </c>
      <c r="BB500" s="82" t="s">
        <v>5075</v>
      </c>
      <c r="BC500" s="82" t="s">
        <v>4551</v>
      </c>
      <c r="BD500" s="77">
        <v>160910872</v>
      </c>
      <c r="BE500" s="77"/>
      <c r="BF500" s="77"/>
      <c r="BG500" s="77"/>
      <c r="BH500" s="77"/>
      <c r="BI500" s="77"/>
    </row>
    <row r="501" spans="1:61" x14ac:dyDescent="0.25">
      <c r="A501" s="62" t="s">
        <v>402</v>
      </c>
      <c r="B501" s="62" t="s">
        <v>402</v>
      </c>
      <c r="C501" s="63"/>
      <c r="D501" s="64"/>
      <c r="E501" s="65"/>
      <c r="F501" s="66"/>
      <c r="G501" s="63"/>
      <c r="H501" s="67"/>
      <c r="I501" s="68"/>
      <c r="J501" s="68"/>
      <c r="K501" s="32"/>
      <c r="L501" s="75">
        <v>501</v>
      </c>
      <c r="M501" s="75"/>
      <c r="N501" s="70"/>
      <c r="O501" s="77" t="s">
        <v>179</v>
      </c>
      <c r="P501" s="79">
        <v>44944.768182870372</v>
      </c>
      <c r="Q501" s="77" t="s">
        <v>1028</v>
      </c>
      <c r="R501" s="77">
        <v>0</v>
      </c>
      <c r="S501" s="77">
        <v>0</v>
      </c>
      <c r="T501" s="77">
        <v>0</v>
      </c>
      <c r="U501" s="77">
        <v>0</v>
      </c>
      <c r="V501" s="77">
        <v>14</v>
      </c>
      <c r="W501" s="82" t="s">
        <v>1819</v>
      </c>
      <c r="X501" s="77"/>
      <c r="Y501" s="77"/>
      <c r="Z501" s="77"/>
      <c r="AA501" s="77"/>
      <c r="AB501" s="77"/>
      <c r="AC501" s="82" t="s">
        <v>2640</v>
      </c>
      <c r="AD501" s="77" t="s">
        <v>2670</v>
      </c>
      <c r="AE501" s="80" t="str">
        <f>HYPERLINK("https://twitter.com/edujbarbalho/status/1615777589137661952")</f>
        <v>https://twitter.com/edujbarbalho/status/1615777589137661952</v>
      </c>
      <c r="AF501" s="79">
        <v>44944.768182870372</v>
      </c>
      <c r="AG501" s="85">
        <v>44944</v>
      </c>
      <c r="AH501" s="82" t="s">
        <v>3137</v>
      </c>
      <c r="AI501" s="77"/>
      <c r="AJ501" s="77"/>
      <c r="AK501" s="77"/>
      <c r="AL501" s="77"/>
      <c r="AM501" s="77"/>
      <c r="AN501" s="77"/>
      <c r="AO501" s="77"/>
      <c r="AP501" s="77"/>
      <c r="AQ501" s="77"/>
      <c r="AR501" s="77"/>
      <c r="AS501" s="77"/>
      <c r="AT501" s="77"/>
      <c r="AU501" s="77"/>
      <c r="AV501" s="80" t="str">
        <f>HYPERLINK("https://pbs.twimg.com/profile_images/1363668439487942658/XW4o2Cyu_normal.jpg")</f>
        <v>https://pbs.twimg.com/profile_images/1363668439487942658/XW4o2Cyu_normal.jpg</v>
      </c>
      <c r="AW501" s="82" t="s">
        <v>4552</v>
      </c>
      <c r="AX501" s="82" t="s">
        <v>4552</v>
      </c>
      <c r="AY501" s="77"/>
      <c r="AZ501" s="82" t="s">
        <v>5075</v>
      </c>
      <c r="BA501" s="82" t="s">
        <v>5075</v>
      </c>
      <c r="BB501" s="82" t="s">
        <v>5075</v>
      </c>
      <c r="BC501" s="82" t="s">
        <v>4552</v>
      </c>
      <c r="BD501" s="77">
        <v>36825083</v>
      </c>
      <c r="BE501" s="77"/>
      <c r="BF501" s="77"/>
      <c r="BG501" s="77"/>
      <c r="BH501" s="77"/>
      <c r="BI501" s="77"/>
    </row>
    <row r="502" spans="1:61" x14ac:dyDescent="0.25">
      <c r="A502" s="62" t="s">
        <v>403</v>
      </c>
      <c r="B502" s="62" t="s">
        <v>403</v>
      </c>
      <c r="C502" s="63"/>
      <c r="D502" s="64"/>
      <c r="E502" s="65"/>
      <c r="F502" s="66"/>
      <c r="G502" s="63"/>
      <c r="H502" s="67"/>
      <c r="I502" s="68"/>
      <c r="J502" s="68"/>
      <c r="K502" s="32"/>
      <c r="L502" s="75">
        <v>502</v>
      </c>
      <c r="M502" s="75"/>
      <c r="N502" s="70"/>
      <c r="O502" s="77" t="s">
        <v>179</v>
      </c>
      <c r="P502" s="79">
        <v>45048.500532407408</v>
      </c>
      <c r="Q502" s="77" t="s">
        <v>1029</v>
      </c>
      <c r="R502" s="77">
        <v>0</v>
      </c>
      <c r="S502" s="77">
        <v>0</v>
      </c>
      <c r="T502" s="77">
        <v>0</v>
      </c>
      <c r="U502" s="77">
        <v>0</v>
      </c>
      <c r="V502" s="77">
        <v>15</v>
      </c>
      <c r="W502" s="82" t="s">
        <v>1820</v>
      </c>
      <c r="X502" s="80" t="str">
        <f>HYPERLINK("https://luhao.com.br/midias-sociais/como-usar-o-instagram-para-fortalecer-a-marca-de-sescritorio-de-investimentos")</f>
        <v>https://luhao.com.br/midias-sociais/como-usar-o-instagram-para-fortalecer-a-marca-de-sescritorio-de-investimentos</v>
      </c>
      <c r="Y502" s="77" t="s">
        <v>1978</v>
      </c>
      <c r="Z502" s="77"/>
      <c r="AA502" s="77" t="s">
        <v>2325</v>
      </c>
      <c r="AB502" s="77" t="s">
        <v>2632</v>
      </c>
      <c r="AC502" s="82" t="s">
        <v>2642</v>
      </c>
      <c r="AD502" s="77" t="s">
        <v>2670</v>
      </c>
      <c r="AE502" s="80" t="str">
        <f>HYPERLINK("https://twitter.com/luhaoshop/status/1653368931921403906")</f>
        <v>https://twitter.com/luhaoshop/status/1653368931921403906</v>
      </c>
      <c r="AF502" s="79">
        <v>45048.500532407408</v>
      </c>
      <c r="AG502" s="85">
        <v>45048</v>
      </c>
      <c r="AH502" s="82" t="s">
        <v>3138</v>
      </c>
      <c r="AI502" s="77" t="b">
        <v>0</v>
      </c>
      <c r="AJ502" s="77"/>
      <c r="AK502" s="77"/>
      <c r="AL502" s="77"/>
      <c r="AM502" s="77"/>
      <c r="AN502" s="77"/>
      <c r="AO502" s="77"/>
      <c r="AP502" s="77"/>
      <c r="AQ502" s="77" t="s">
        <v>3754</v>
      </c>
      <c r="AR502" s="77"/>
      <c r="AS502" s="77"/>
      <c r="AT502" s="77"/>
      <c r="AU502" s="77"/>
      <c r="AV502" s="80" t="str">
        <f>HYPERLINK("https://pbs.twimg.com/media/FvHySBhWwAEXsIZ.jpg")</f>
        <v>https://pbs.twimg.com/media/FvHySBhWwAEXsIZ.jpg</v>
      </c>
      <c r="AW502" s="82" t="s">
        <v>4553</v>
      </c>
      <c r="AX502" s="82" t="s">
        <v>4553</v>
      </c>
      <c r="AY502" s="77"/>
      <c r="AZ502" s="82" t="s">
        <v>5075</v>
      </c>
      <c r="BA502" s="82" t="s">
        <v>5075</v>
      </c>
      <c r="BB502" s="82" t="s">
        <v>5075</v>
      </c>
      <c r="BC502" s="82" t="s">
        <v>4553</v>
      </c>
      <c r="BD502" s="82" t="s">
        <v>5218</v>
      </c>
      <c r="BE502" s="77"/>
      <c r="BF502" s="77"/>
      <c r="BG502" s="77"/>
      <c r="BH502" s="77"/>
      <c r="BI502" s="77"/>
    </row>
    <row r="503" spans="1:61" x14ac:dyDescent="0.25">
      <c r="A503" s="62" t="s">
        <v>404</v>
      </c>
      <c r="B503" s="62" t="s">
        <v>404</v>
      </c>
      <c r="C503" s="63"/>
      <c r="D503" s="64"/>
      <c r="E503" s="65"/>
      <c r="F503" s="66"/>
      <c r="G503" s="63"/>
      <c r="H503" s="67"/>
      <c r="I503" s="68"/>
      <c r="J503" s="68"/>
      <c r="K503" s="32"/>
      <c r="L503" s="75">
        <v>503</v>
      </c>
      <c r="M503" s="75"/>
      <c r="N503" s="70"/>
      <c r="O503" s="77" t="s">
        <v>536</v>
      </c>
      <c r="P503" s="79">
        <v>45029.684212962966</v>
      </c>
      <c r="Q503" s="77" t="s">
        <v>1030</v>
      </c>
      <c r="R503" s="77">
        <v>0</v>
      </c>
      <c r="S503" s="77">
        <v>0</v>
      </c>
      <c r="T503" s="77">
        <v>0</v>
      </c>
      <c r="U503" s="77">
        <v>0</v>
      </c>
      <c r="V503" s="77">
        <v>6</v>
      </c>
      <c r="W503" s="82" t="s">
        <v>1821</v>
      </c>
      <c r="X503" s="77"/>
      <c r="Y503" s="77"/>
      <c r="Z503" s="77"/>
      <c r="AA503" s="77"/>
      <c r="AB503" s="77"/>
      <c r="AC503" s="82" t="s">
        <v>2639</v>
      </c>
      <c r="AD503" s="77" t="s">
        <v>2675</v>
      </c>
      <c r="AE503" s="80" t="str">
        <f>HYPERLINK("https://twitter.com/ismaelguerreir6/status/1646550127165702147")</f>
        <v>https://twitter.com/ismaelguerreir6/status/1646550127165702147</v>
      </c>
      <c r="AF503" s="79">
        <v>45029.684212962966</v>
      </c>
      <c r="AG503" s="85">
        <v>45029</v>
      </c>
      <c r="AH503" s="82" t="s">
        <v>3139</v>
      </c>
      <c r="AI503" s="77"/>
      <c r="AJ503" s="77"/>
      <c r="AK503" s="77"/>
      <c r="AL503" s="77"/>
      <c r="AM503" s="77"/>
      <c r="AN503" s="77"/>
      <c r="AO503" s="77"/>
      <c r="AP503" s="77"/>
      <c r="AQ503" s="77"/>
      <c r="AR503" s="77"/>
      <c r="AS503" s="77"/>
      <c r="AT503" s="77"/>
      <c r="AU503" s="77"/>
      <c r="AV503" s="80" t="str">
        <f>HYPERLINK("https://pbs.twimg.com/profile_images/1645831886533476353/XaFU2cRF_normal.jpg")</f>
        <v>https://pbs.twimg.com/profile_images/1645831886533476353/XaFU2cRF_normal.jpg</v>
      </c>
      <c r="AW503" s="82" t="s">
        <v>4554</v>
      </c>
      <c r="AX503" s="82" t="s">
        <v>5003</v>
      </c>
      <c r="AY503" s="82" t="s">
        <v>5056</v>
      </c>
      <c r="AZ503" s="82" t="s">
        <v>5003</v>
      </c>
      <c r="BA503" s="82" t="s">
        <v>5075</v>
      </c>
      <c r="BB503" s="82" t="s">
        <v>5075</v>
      </c>
      <c r="BC503" s="82" t="s">
        <v>5003</v>
      </c>
      <c r="BD503" s="82" t="s">
        <v>5056</v>
      </c>
      <c r="BE503" s="77"/>
      <c r="BF503" s="77"/>
      <c r="BG503" s="77"/>
      <c r="BH503" s="77"/>
      <c r="BI503" s="77"/>
    </row>
    <row r="504" spans="1:61" x14ac:dyDescent="0.25">
      <c r="A504" s="62" t="s">
        <v>404</v>
      </c>
      <c r="B504" s="62" t="s">
        <v>404</v>
      </c>
      <c r="C504" s="63"/>
      <c r="D504" s="64"/>
      <c r="E504" s="65"/>
      <c r="F504" s="66"/>
      <c r="G504" s="63"/>
      <c r="H504" s="67"/>
      <c r="I504" s="68"/>
      <c r="J504" s="68"/>
      <c r="K504" s="32"/>
      <c r="L504" s="75">
        <v>504</v>
      </c>
      <c r="M504" s="75"/>
      <c r="N504" s="70"/>
      <c r="O504" s="77" t="s">
        <v>179</v>
      </c>
      <c r="P504" s="79">
        <v>45029.681446759256</v>
      </c>
      <c r="Q504" s="77" t="s">
        <v>1031</v>
      </c>
      <c r="R504" s="77">
        <v>0</v>
      </c>
      <c r="S504" s="77">
        <v>0</v>
      </c>
      <c r="T504" s="77">
        <v>0</v>
      </c>
      <c r="U504" s="77">
        <v>0</v>
      </c>
      <c r="V504" s="77">
        <v>13</v>
      </c>
      <c r="W504" s="82" t="s">
        <v>1821</v>
      </c>
      <c r="X504" s="77"/>
      <c r="Y504" s="77"/>
      <c r="Z504" s="77"/>
      <c r="AA504" s="77"/>
      <c r="AB504" s="77"/>
      <c r="AC504" s="82" t="s">
        <v>2639</v>
      </c>
      <c r="AD504" s="77" t="s">
        <v>2670</v>
      </c>
      <c r="AE504" s="80" t="str">
        <f>HYPERLINK("https://twitter.com/ismaelguerreir6/status/1646549126945832981")</f>
        <v>https://twitter.com/ismaelguerreir6/status/1646549126945832981</v>
      </c>
      <c r="AF504" s="79">
        <v>45029.681446759256</v>
      </c>
      <c r="AG504" s="85">
        <v>45029</v>
      </c>
      <c r="AH504" s="82" t="s">
        <v>3140</v>
      </c>
      <c r="AI504" s="77"/>
      <c r="AJ504" s="77"/>
      <c r="AK504" s="77"/>
      <c r="AL504" s="77"/>
      <c r="AM504" s="77"/>
      <c r="AN504" s="77"/>
      <c r="AO504" s="77"/>
      <c r="AP504" s="77"/>
      <c r="AQ504" s="77"/>
      <c r="AR504" s="77"/>
      <c r="AS504" s="77"/>
      <c r="AT504" s="77"/>
      <c r="AU504" s="77"/>
      <c r="AV504" s="80" t="str">
        <f>HYPERLINK("https://pbs.twimg.com/profile_images/1645831886533476353/XaFU2cRF_normal.jpg")</f>
        <v>https://pbs.twimg.com/profile_images/1645831886533476353/XaFU2cRF_normal.jpg</v>
      </c>
      <c r="AW504" s="82" t="s">
        <v>4555</v>
      </c>
      <c r="AX504" s="82" t="s">
        <v>4555</v>
      </c>
      <c r="AY504" s="77"/>
      <c r="AZ504" s="82" t="s">
        <v>5075</v>
      </c>
      <c r="BA504" s="82" t="s">
        <v>5075</v>
      </c>
      <c r="BB504" s="82" t="s">
        <v>5075</v>
      </c>
      <c r="BC504" s="82" t="s">
        <v>4555</v>
      </c>
      <c r="BD504" s="82" t="s">
        <v>5056</v>
      </c>
      <c r="BE504" s="77"/>
      <c r="BF504" s="77"/>
      <c r="BG504" s="77"/>
      <c r="BH504" s="77"/>
      <c r="BI504" s="77"/>
    </row>
    <row r="505" spans="1:61" x14ac:dyDescent="0.25">
      <c r="A505" s="62" t="s">
        <v>404</v>
      </c>
      <c r="B505" s="62" t="s">
        <v>404</v>
      </c>
      <c r="C505" s="63"/>
      <c r="D505" s="64"/>
      <c r="E505" s="65"/>
      <c r="F505" s="66"/>
      <c r="G505" s="63"/>
      <c r="H505" s="67"/>
      <c r="I505" s="68"/>
      <c r="J505" s="68"/>
      <c r="K505" s="32"/>
      <c r="L505" s="75">
        <v>505</v>
      </c>
      <c r="M505" s="75"/>
      <c r="N505" s="70"/>
      <c r="O505" s="77" t="s">
        <v>179</v>
      </c>
      <c r="P505" s="79">
        <v>45029.650335648148</v>
      </c>
      <c r="Q505" s="77" t="s">
        <v>1032</v>
      </c>
      <c r="R505" s="77">
        <v>0</v>
      </c>
      <c r="S505" s="77">
        <v>0</v>
      </c>
      <c r="T505" s="77">
        <v>0</v>
      </c>
      <c r="U505" s="77">
        <v>0</v>
      </c>
      <c r="V505" s="77">
        <v>13</v>
      </c>
      <c r="W505" s="82" t="s">
        <v>1821</v>
      </c>
      <c r="X505" s="77"/>
      <c r="Y505" s="77"/>
      <c r="Z505" s="77"/>
      <c r="AA505" s="77"/>
      <c r="AB505" s="77"/>
      <c r="AC505" s="82" t="s">
        <v>2639</v>
      </c>
      <c r="AD505" s="77" t="s">
        <v>2670</v>
      </c>
      <c r="AE505" s="80" t="str">
        <f>HYPERLINK("https://twitter.com/ismaelguerreir6/status/1646537849162833921")</f>
        <v>https://twitter.com/ismaelguerreir6/status/1646537849162833921</v>
      </c>
      <c r="AF505" s="79">
        <v>45029.650335648148</v>
      </c>
      <c r="AG505" s="85">
        <v>45029</v>
      </c>
      <c r="AH505" s="82" t="s">
        <v>3141</v>
      </c>
      <c r="AI505" s="77"/>
      <c r="AJ505" s="77"/>
      <c r="AK505" s="77"/>
      <c r="AL505" s="77"/>
      <c r="AM505" s="77"/>
      <c r="AN505" s="77"/>
      <c r="AO505" s="77"/>
      <c r="AP505" s="77"/>
      <c r="AQ505" s="77"/>
      <c r="AR505" s="77"/>
      <c r="AS505" s="77"/>
      <c r="AT505" s="77"/>
      <c r="AU505" s="77"/>
      <c r="AV505" s="80" t="str">
        <f>HYPERLINK("https://pbs.twimg.com/profile_images/1645831886533476353/XaFU2cRF_normal.jpg")</f>
        <v>https://pbs.twimg.com/profile_images/1645831886533476353/XaFU2cRF_normal.jpg</v>
      </c>
      <c r="AW505" s="82" t="s">
        <v>4556</v>
      </c>
      <c r="AX505" s="82" t="s">
        <v>4556</v>
      </c>
      <c r="AY505" s="77"/>
      <c r="AZ505" s="82" t="s">
        <v>5075</v>
      </c>
      <c r="BA505" s="82" t="s">
        <v>5075</v>
      </c>
      <c r="BB505" s="82" t="s">
        <v>5075</v>
      </c>
      <c r="BC505" s="82" t="s">
        <v>4556</v>
      </c>
      <c r="BD505" s="82" t="s">
        <v>5056</v>
      </c>
      <c r="BE505" s="77"/>
      <c r="BF505" s="77"/>
      <c r="BG505" s="77"/>
      <c r="BH505" s="77"/>
      <c r="BI505" s="77"/>
    </row>
    <row r="506" spans="1:61" x14ac:dyDescent="0.25">
      <c r="A506" s="62" t="s">
        <v>404</v>
      </c>
      <c r="B506" s="62" t="s">
        <v>404</v>
      </c>
      <c r="C506" s="63"/>
      <c r="D506" s="64"/>
      <c r="E506" s="65"/>
      <c r="F506" s="66"/>
      <c r="G506" s="63"/>
      <c r="H506" s="67"/>
      <c r="I506" s="68"/>
      <c r="J506" s="68"/>
      <c r="K506" s="32"/>
      <c r="L506" s="75">
        <v>506</v>
      </c>
      <c r="M506" s="75"/>
      <c r="N506" s="70"/>
      <c r="O506" s="77" t="s">
        <v>179</v>
      </c>
      <c r="P506" s="79">
        <v>45029.649953703702</v>
      </c>
      <c r="Q506" s="77" t="s">
        <v>1033</v>
      </c>
      <c r="R506" s="77">
        <v>0</v>
      </c>
      <c r="S506" s="77">
        <v>0</v>
      </c>
      <c r="T506" s="77">
        <v>0</v>
      </c>
      <c r="U506" s="77">
        <v>0</v>
      </c>
      <c r="V506" s="77">
        <v>12</v>
      </c>
      <c r="W506" s="82" t="s">
        <v>1821</v>
      </c>
      <c r="X506" s="77"/>
      <c r="Y506" s="77"/>
      <c r="Z506" s="77"/>
      <c r="AA506" s="77"/>
      <c r="AB506" s="77"/>
      <c r="AC506" s="82" t="s">
        <v>2639</v>
      </c>
      <c r="AD506" s="77" t="s">
        <v>2670</v>
      </c>
      <c r="AE506" s="80" t="str">
        <f>HYPERLINK("https://twitter.com/ismaelguerreir6/status/1646537714286600194")</f>
        <v>https://twitter.com/ismaelguerreir6/status/1646537714286600194</v>
      </c>
      <c r="AF506" s="79">
        <v>45029.649953703702</v>
      </c>
      <c r="AG506" s="85">
        <v>45029</v>
      </c>
      <c r="AH506" s="82" t="s">
        <v>3142</v>
      </c>
      <c r="AI506" s="77"/>
      <c r="AJ506" s="77"/>
      <c r="AK506" s="77"/>
      <c r="AL506" s="77"/>
      <c r="AM506" s="77"/>
      <c r="AN506" s="77"/>
      <c r="AO506" s="77"/>
      <c r="AP506" s="77"/>
      <c r="AQ506" s="77"/>
      <c r="AR506" s="77"/>
      <c r="AS506" s="77"/>
      <c r="AT506" s="77"/>
      <c r="AU506" s="77"/>
      <c r="AV506" s="80" t="str">
        <f>HYPERLINK("https://pbs.twimg.com/profile_images/1645831886533476353/XaFU2cRF_normal.jpg")</f>
        <v>https://pbs.twimg.com/profile_images/1645831886533476353/XaFU2cRF_normal.jpg</v>
      </c>
      <c r="AW506" s="82" t="s">
        <v>4557</v>
      </c>
      <c r="AX506" s="82" t="s">
        <v>4557</v>
      </c>
      <c r="AY506" s="77"/>
      <c r="AZ506" s="82" t="s">
        <v>5075</v>
      </c>
      <c r="BA506" s="82" t="s">
        <v>5075</v>
      </c>
      <c r="BB506" s="82" t="s">
        <v>5075</v>
      </c>
      <c r="BC506" s="82" t="s">
        <v>4557</v>
      </c>
      <c r="BD506" s="82" t="s">
        <v>5056</v>
      </c>
      <c r="BE506" s="77"/>
      <c r="BF506" s="77"/>
      <c r="BG506" s="77"/>
      <c r="BH506" s="77"/>
      <c r="BI506" s="77"/>
    </row>
    <row r="507" spans="1:61" x14ac:dyDescent="0.25">
      <c r="A507" s="62" t="s">
        <v>404</v>
      </c>
      <c r="B507" s="62" t="s">
        <v>404</v>
      </c>
      <c r="C507" s="63"/>
      <c r="D507" s="64"/>
      <c r="E507" s="65"/>
      <c r="F507" s="66"/>
      <c r="G507" s="63"/>
      <c r="H507" s="67"/>
      <c r="I507" s="68"/>
      <c r="J507" s="68"/>
      <c r="K507" s="32"/>
      <c r="L507" s="75">
        <v>507</v>
      </c>
      <c r="M507" s="75"/>
      <c r="N507" s="70"/>
      <c r="O507" s="77" t="s">
        <v>179</v>
      </c>
      <c r="P507" s="79">
        <v>45027.731805555559</v>
      </c>
      <c r="Q507" s="77" t="s">
        <v>1034</v>
      </c>
      <c r="R507" s="77">
        <v>0</v>
      </c>
      <c r="S507" s="77">
        <v>0</v>
      </c>
      <c r="T507" s="77">
        <v>0</v>
      </c>
      <c r="U507" s="77">
        <v>0</v>
      </c>
      <c r="V507" s="77">
        <v>18</v>
      </c>
      <c r="W507" s="82" t="s">
        <v>1821</v>
      </c>
      <c r="X507" s="77"/>
      <c r="Y507" s="77"/>
      <c r="Z507" s="77"/>
      <c r="AA507" s="77"/>
      <c r="AB507" s="77"/>
      <c r="AC507" s="82" t="s">
        <v>2639</v>
      </c>
      <c r="AD507" s="77" t="s">
        <v>2670</v>
      </c>
      <c r="AE507" s="80" t="str">
        <f>HYPERLINK("https://twitter.com/ismaelguerreir6/status/1645842599968636955")</f>
        <v>https://twitter.com/ismaelguerreir6/status/1645842599968636955</v>
      </c>
      <c r="AF507" s="79">
        <v>45027.731805555559</v>
      </c>
      <c r="AG507" s="85">
        <v>45027</v>
      </c>
      <c r="AH507" s="82" t="s">
        <v>3143</v>
      </c>
      <c r="AI507" s="77"/>
      <c r="AJ507" s="77"/>
      <c r="AK507" s="77"/>
      <c r="AL507" s="77"/>
      <c r="AM507" s="77"/>
      <c r="AN507" s="77"/>
      <c r="AO507" s="77"/>
      <c r="AP507" s="77"/>
      <c r="AQ507" s="77"/>
      <c r="AR507" s="77"/>
      <c r="AS507" s="77"/>
      <c r="AT507" s="77"/>
      <c r="AU507" s="77"/>
      <c r="AV507" s="80" t="str">
        <f>HYPERLINK("https://pbs.twimg.com/profile_images/1645831886533476353/XaFU2cRF_normal.jpg")</f>
        <v>https://pbs.twimg.com/profile_images/1645831886533476353/XaFU2cRF_normal.jpg</v>
      </c>
      <c r="AW507" s="82" t="s">
        <v>4558</v>
      </c>
      <c r="AX507" s="82" t="s">
        <v>4558</v>
      </c>
      <c r="AY507" s="77"/>
      <c r="AZ507" s="82" t="s">
        <v>5075</v>
      </c>
      <c r="BA507" s="82" t="s">
        <v>5075</v>
      </c>
      <c r="BB507" s="82" t="s">
        <v>5075</v>
      </c>
      <c r="BC507" s="82" t="s">
        <v>4558</v>
      </c>
      <c r="BD507" s="82" t="s">
        <v>5056</v>
      </c>
      <c r="BE507" s="77"/>
      <c r="BF507" s="77"/>
      <c r="BG507" s="77"/>
      <c r="BH507" s="77"/>
      <c r="BI507" s="77"/>
    </row>
    <row r="508" spans="1:61" x14ac:dyDescent="0.25">
      <c r="A508" s="62" t="s">
        <v>404</v>
      </c>
      <c r="B508" s="62" t="s">
        <v>404</v>
      </c>
      <c r="C508" s="63"/>
      <c r="D508" s="64"/>
      <c r="E508" s="65"/>
      <c r="F508" s="66"/>
      <c r="G508" s="63"/>
      <c r="H508" s="67"/>
      <c r="I508" s="68"/>
      <c r="J508" s="68"/>
      <c r="K508" s="32"/>
      <c r="L508" s="75">
        <v>508</v>
      </c>
      <c r="M508" s="75"/>
      <c r="N508" s="70"/>
      <c r="O508" s="77" t="s">
        <v>536</v>
      </c>
      <c r="P508" s="79">
        <v>45027.649016203701</v>
      </c>
      <c r="Q508" s="77" t="s">
        <v>1035</v>
      </c>
      <c r="R508" s="77">
        <v>0</v>
      </c>
      <c r="S508" s="77">
        <v>0</v>
      </c>
      <c r="T508" s="77">
        <v>0</v>
      </c>
      <c r="U508" s="77">
        <v>0</v>
      </c>
      <c r="V508" s="77">
        <v>24</v>
      </c>
      <c r="W508" s="82" t="s">
        <v>1493</v>
      </c>
      <c r="X508" s="77"/>
      <c r="Y508" s="77"/>
      <c r="Z508" s="77"/>
      <c r="AA508" s="77"/>
      <c r="AB508" s="77"/>
      <c r="AC508" s="82" t="s">
        <v>2639</v>
      </c>
      <c r="AD508" s="77" t="s">
        <v>2670</v>
      </c>
      <c r="AE508" s="80" t="str">
        <f>HYPERLINK("https://twitter.com/ismaelguerreir6/status/1645812598502461443")</f>
        <v>https://twitter.com/ismaelguerreir6/status/1645812598502461443</v>
      </c>
      <c r="AF508" s="79">
        <v>45027.649016203701</v>
      </c>
      <c r="AG508" s="85">
        <v>45027</v>
      </c>
      <c r="AH508" s="82" t="s">
        <v>3144</v>
      </c>
      <c r="AI508" s="77"/>
      <c r="AJ508" s="77"/>
      <c r="AK508" s="77"/>
      <c r="AL508" s="77"/>
      <c r="AM508" s="77"/>
      <c r="AN508" s="77"/>
      <c r="AO508" s="77"/>
      <c r="AP508" s="77"/>
      <c r="AQ508" s="77"/>
      <c r="AR508" s="77"/>
      <c r="AS508" s="77"/>
      <c r="AT508" s="77"/>
      <c r="AU508" s="77"/>
      <c r="AV508" s="80" t="str">
        <f>HYPERLINK("https://pbs.twimg.com/profile_images/1645831886533476353/XaFU2cRF_normal.jpg")</f>
        <v>https://pbs.twimg.com/profile_images/1645831886533476353/XaFU2cRF_normal.jpg</v>
      </c>
      <c r="AW508" s="82" t="s">
        <v>4559</v>
      </c>
      <c r="AX508" s="82" t="s">
        <v>5004</v>
      </c>
      <c r="AY508" s="82" t="s">
        <v>5056</v>
      </c>
      <c r="AZ508" s="82" t="s">
        <v>5004</v>
      </c>
      <c r="BA508" s="82" t="s">
        <v>5075</v>
      </c>
      <c r="BB508" s="82" t="s">
        <v>5075</v>
      </c>
      <c r="BC508" s="82" t="s">
        <v>5004</v>
      </c>
      <c r="BD508" s="82" t="s">
        <v>5056</v>
      </c>
      <c r="BE508" s="77"/>
      <c r="BF508" s="77"/>
      <c r="BG508" s="77"/>
      <c r="BH508" s="77"/>
      <c r="BI508" s="77"/>
    </row>
    <row r="509" spans="1:61" x14ac:dyDescent="0.25">
      <c r="A509" s="62" t="s">
        <v>404</v>
      </c>
      <c r="B509" s="62" t="s">
        <v>404</v>
      </c>
      <c r="C509" s="63"/>
      <c r="D509" s="64"/>
      <c r="E509" s="65"/>
      <c r="F509" s="66"/>
      <c r="G509" s="63"/>
      <c r="H509" s="67"/>
      <c r="I509" s="68"/>
      <c r="J509" s="68"/>
      <c r="K509" s="32"/>
      <c r="L509" s="75">
        <v>509</v>
      </c>
      <c r="M509" s="75"/>
      <c r="N509" s="70"/>
      <c r="O509" s="77" t="s">
        <v>179</v>
      </c>
      <c r="P509" s="79">
        <v>45027.637476851851</v>
      </c>
      <c r="Q509" s="77" t="s">
        <v>1036</v>
      </c>
      <c r="R509" s="77">
        <v>0</v>
      </c>
      <c r="S509" s="77">
        <v>0</v>
      </c>
      <c r="T509" s="77">
        <v>0</v>
      </c>
      <c r="U509" s="77">
        <v>0</v>
      </c>
      <c r="V509" s="77">
        <v>24</v>
      </c>
      <c r="W509" s="82" t="s">
        <v>1435</v>
      </c>
      <c r="X509" s="77"/>
      <c r="Y509" s="77"/>
      <c r="Z509" s="77"/>
      <c r="AA509" s="77"/>
      <c r="AB509" s="77"/>
      <c r="AC509" s="82" t="s">
        <v>2640</v>
      </c>
      <c r="AD509" s="77" t="s">
        <v>2670</v>
      </c>
      <c r="AE509" s="80" t="str">
        <f>HYPERLINK("https://twitter.com/ismaelguerreir6/status/1645808415518908428")</f>
        <v>https://twitter.com/ismaelguerreir6/status/1645808415518908428</v>
      </c>
      <c r="AF509" s="79">
        <v>45027.637476851851</v>
      </c>
      <c r="AG509" s="85">
        <v>45027</v>
      </c>
      <c r="AH509" s="82" t="s">
        <v>3145</v>
      </c>
      <c r="AI509" s="77"/>
      <c r="AJ509" s="77"/>
      <c r="AK509" s="77"/>
      <c r="AL509" s="77"/>
      <c r="AM509" s="77"/>
      <c r="AN509" s="77"/>
      <c r="AO509" s="77"/>
      <c r="AP509" s="77"/>
      <c r="AQ509" s="77"/>
      <c r="AR509" s="77"/>
      <c r="AS509" s="77"/>
      <c r="AT509" s="77"/>
      <c r="AU509" s="77"/>
      <c r="AV509" s="80" t="str">
        <f>HYPERLINK("https://pbs.twimg.com/profile_images/1645831886533476353/XaFU2cRF_normal.jpg")</f>
        <v>https://pbs.twimg.com/profile_images/1645831886533476353/XaFU2cRF_normal.jpg</v>
      </c>
      <c r="AW509" s="82" t="s">
        <v>4560</v>
      </c>
      <c r="AX509" s="82" t="s">
        <v>4560</v>
      </c>
      <c r="AY509" s="77"/>
      <c r="AZ509" s="82" t="s">
        <v>5075</v>
      </c>
      <c r="BA509" s="82" t="s">
        <v>5075</v>
      </c>
      <c r="BB509" s="82" t="s">
        <v>5075</v>
      </c>
      <c r="BC509" s="82" t="s">
        <v>4560</v>
      </c>
      <c r="BD509" s="82" t="s">
        <v>5056</v>
      </c>
      <c r="BE509" s="77"/>
      <c r="BF509" s="77"/>
      <c r="BG509" s="77"/>
      <c r="BH509" s="77"/>
      <c r="BI509" s="77"/>
    </row>
    <row r="510" spans="1:61" x14ac:dyDescent="0.25">
      <c r="A510" s="62" t="s">
        <v>404</v>
      </c>
      <c r="B510" s="62" t="s">
        <v>404</v>
      </c>
      <c r="C510" s="63"/>
      <c r="D510" s="64"/>
      <c r="E510" s="65"/>
      <c r="F510" s="66"/>
      <c r="G510" s="63"/>
      <c r="H510" s="67"/>
      <c r="I510" s="68"/>
      <c r="J510" s="68"/>
      <c r="K510" s="32"/>
      <c r="L510" s="75">
        <v>510</v>
      </c>
      <c r="M510" s="75"/>
      <c r="N510" s="70"/>
      <c r="O510" s="77" t="s">
        <v>179</v>
      </c>
      <c r="P510" s="79">
        <v>45034.539571759262</v>
      </c>
      <c r="Q510" s="77" t="s">
        <v>1037</v>
      </c>
      <c r="R510" s="77">
        <v>0</v>
      </c>
      <c r="S510" s="77">
        <v>0</v>
      </c>
      <c r="T510" s="77">
        <v>0</v>
      </c>
      <c r="U510" s="77">
        <v>0</v>
      </c>
      <c r="V510" s="77">
        <v>27</v>
      </c>
      <c r="W510" s="82" t="s">
        <v>1822</v>
      </c>
      <c r="X510" s="77"/>
      <c r="Y510" s="77"/>
      <c r="Z510" s="77"/>
      <c r="AA510" s="77"/>
      <c r="AB510" s="77"/>
      <c r="AC510" s="82" t="s">
        <v>2640</v>
      </c>
      <c r="AD510" s="77" t="s">
        <v>2670</v>
      </c>
      <c r="AE510" s="80" t="str">
        <f>HYPERLINK("https://twitter.com/ismaelguerreir6/status/1648309650431918080")</f>
        <v>https://twitter.com/ismaelguerreir6/status/1648309650431918080</v>
      </c>
      <c r="AF510" s="79">
        <v>45034.539571759262</v>
      </c>
      <c r="AG510" s="85">
        <v>45034</v>
      </c>
      <c r="AH510" s="82" t="s">
        <v>3146</v>
      </c>
      <c r="AI510" s="77"/>
      <c r="AJ510" s="77"/>
      <c r="AK510" s="77"/>
      <c r="AL510" s="77"/>
      <c r="AM510" s="77"/>
      <c r="AN510" s="77"/>
      <c r="AO510" s="77"/>
      <c r="AP510" s="77"/>
      <c r="AQ510" s="77"/>
      <c r="AR510" s="77"/>
      <c r="AS510" s="77"/>
      <c r="AT510" s="77"/>
      <c r="AU510" s="77"/>
      <c r="AV510" s="80" t="str">
        <f>HYPERLINK("https://pbs.twimg.com/profile_images/1645831886533476353/XaFU2cRF_normal.jpg")</f>
        <v>https://pbs.twimg.com/profile_images/1645831886533476353/XaFU2cRF_normal.jpg</v>
      </c>
      <c r="AW510" s="82" t="s">
        <v>4561</v>
      </c>
      <c r="AX510" s="82" t="s">
        <v>4561</v>
      </c>
      <c r="AY510" s="77"/>
      <c r="AZ510" s="82" t="s">
        <v>5075</v>
      </c>
      <c r="BA510" s="82" t="s">
        <v>5075</v>
      </c>
      <c r="BB510" s="82" t="s">
        <v>5075</v>
      </c>
      <c r="BC510" s="82" t="s">
        <v>4561</v>
      </c>
      <c r="BD510" s="82" t="s">
        <v>5056</v>
      </c>
      <c r="BE510" s="77"/>
      <c r="BF510" s="77"/>
      <c r="BG510" s="77"/>
      <c r="BH510" s="77"/>
      <c r="BI510" s="77"/>
    </row>
    <row r="511" spans="1:61" x14ac:dyDescent="0.25">
      <c r="A511" s="62" t="s">
        <v>404</v>
      </c>
      <c r="B511" s="62" t="s">
        <v>404</v>
      </c>
      <c r="C511" s="63"/>
      <c r="D511" s="64"/>
      <c r="E511" s="65"/>
      <c r="F511" s="66"/>
      <c r="G511" s="63"/>
      <c r="H511" s="67"/>
      <c r="I511" s="68"/>
      <c r="J511" s="68"/>
      <c r="K511" s="32"/>
      <c r="L511" s="75">
        <v>511</v>
      </c>
      <c r="M511" s="75"/>
      <c r="N511" s="70"/>
      <c r="O511" s="77" t="s">
        <v>179</v>
      </c>
      <c r="P511" s="79">
        <v>45033.980196759258</v>
      </c>
      <c r="Q511" s="77" t="s">
        <v>1038</v>
      </c>
      <c r="R511" s="77">
        <v>0</v>
      </c>
      <c r="S511" s="77">
        <v>0</v>
      </c>
      <c r="T511" s="77">
        <v>0</v>
      </c>
      <c r="U511" s="77">
        <v>0</v>
      </c>
      <c r="V511" s="77">
        <v>29</v>
      </c>
      <c r="W511" s="82" t="s">
        <v>1823</v>
      </c>
      <c r="X511" s="77"/>
      <c r="Y511" s="77"/>
      <c r="Z511" s="77"/>
      <c r="AA511" s="77"/>
      <c r="AB511" s="77"/>
      <c r="AC511" s="82" t="s">
        <v>2640</v>
      </c>
      <c r="AD511" s="77" t="s">
        <v>2670</v>
      </c>
      <c r="AE511" s="80" t="str">
        <f>HYPERLINK("https://twitter.com/ismaelguerreir6/status/1648106938570342402")</f>
        <v>https://twitter.com/ismaelguerreir6/status/1648106938570342402</v>
      </c>
      <c r="AF511" s="79">
        <v>45033.980196759258</v>
      </c>
      <c r="AG511" s="85">
        <v>45033</v>
      </c>
      <c r="AH511" s="82" t="s">
        <v>3147</v>
      </c>
      <c r="AI511" s="77"/>
      <c r="AJ511" s="77"/>
      <c r="AK511" s="77"/>
      <c r="AL511" s="77"/>
      <c r="AM511" s="77"/>
      <c r="AN511" s="77"/>
      <c r="AO511" s="77"/>
      <c r="AP511" s="77"/>
      <c r="AQ511" s="77"/>
      <c r="AR511" s="77"/>
      <c r="AS511" s="77"/>
      <c r="AT511" s="77"/>
      <c r="AU511" s="77"/>
      <c r="AV511" s="80" t="str">
        <f>HYPERLINK("https://pbs.twimg.com/profile_images/1645831886533476353/XaFU2cRF_normal.jpg")</f>
        <v>https://pbs.twimg.com/profile_images/1645831886533476353/XaFU2cRF_normal.jpg</v>
      </c>
      <c r="AW511" s="82" t="s">
        <v>4562</v>
      </c>
      <c r="AX511" s="82" t="s">
        <v>4562</v>
      </c>
      <c r="AY511" s="77"/>
      <c r="AZ511" s="82" t="s">
        <v>5075</v>
      </c>
      <c r="BA511" s="82" t="s">
        <v>5075</v>
      </c>
      <c r="BB511" s="82" t="s">
        <v>5075</v>
      </c>
      <c r="BC511" s="82" t="s">
        <v>4562</v>
      </c>
      <c r="BD511" s="82" t="s">
        <v>5056</v>
      </c>
      <c r="BE511" s="77"/>
      <c r="BF511" s="77"/>
      <c r="BG511" s="77"/>
      <c r="BH511" s="77"/>
      <c r="BI511" s="77"/>
    </row>
    <row r="512" spans="1:61" x14ac:dyDescent="0.25">
      <c r="A512" s="62" t="s">
        <v>404</v>
      </c>
      <c r="B512" s="62" t="s">
        <v>404</v>
      </c>
      <c r="C512" s="63"/>
      <c r="D512" s="64"/>
      <c r="E512" s="65"/>
      <c r="F512" s="66"/>
      <c r="G512" s="63"/>
      <c r="H512" s="67"/>
      <c r="I512" s="68"/>
      <c r="J512" s="68"/>
      <c r="K512" s="32"/>
      <c r="L512" s="75">
        <v>512</v>
      </c>
      <c r="M512" s="75"/>
      <c r="N512" s="70"/>
      <c r="O512" s="77" t="s">
        <v>179</v>
      </c>
      <c r="P512" s="79">
        <v>45033.943877314814</v>
      </c>
      <c r="Q512" s="77" t="s">
        <v>1039</v>
      </c>
      <c r="R512" s="77">
        <v>0</v>
      </c>
      <c r="S512" s="77">
        <v>0</v>
      </c>
      <c r="T512" s="77">
        <v>0</v>
      </c>
      <c r="U512" s="77">
        <v>0</v>
      </c>
      <c r="V512" s="77">
        <v>28</v>
      </c>
      <c r="W512" s="82" t="s">
        <v>1824</v>
      </c>
      <c r="X512" s="77"/>
      <c r="Y512" s="77"/>
      <c r="Z512" s="77"/>
      <c r="AA512" s="77"/>
      <c r="AB512" s="77"/>
      <c r="AC512" s="82" t="s">
        <v>2640</v>
      </c>
      <c r="AD512" s="77" t="s">
        <v>2670</v>
      </c>
      <c r="AE512" s="80" t="str">
        <f>HYPERLINK("https://twitter.com/ismaelguerreir6/status/1648093780203954176")</f>
        <v>https://twitter.com/ismaelguerreir6/status/1648093780203954176</v>
      </c>
      <c r="AF512" s="79">
        <v>45033.943877314814</v>
      </c>
      <c r="AG512" s="85">
        <v>45033</v>
      </c>
      <c r="AH512" s="82" t="s">
        <v>3148</v>
      </c>
      <c r="AI512" s="77"/>
      <c r="AJ512" s="77"/>
      <c r="AK512" s="77"/>
      <c r="AL512" s="77"/>
      <c r="AM512" s="77"/>
      <c r="AN512" s="77"/>
      <c r="AO512" s="77"/>
      <c r="AP512" s="77"/>
      <c r="AQ512" s="77"/>
      <c r="AR512" s="77"/>
      <c r="AS512" s="77"/>
      <c r="AT512" s="77"/>
      <c r="AU512" s="77"/>
      <c r="AV512" s="80" t="str">
        <f>HYPERLINK("https://pbs.twimg.com/profile_images/1645831886533476353/XaFU2cRF_normal.jpg")</f>
        <v>https://pbs.twimg.com/profile_images/1645831886533476353/XaFU2cRF_normal.jpg</v>
      </c>
      <c r="AW512" s="82" t="s">
        <v>4563</v>
      </c>
      <c r="AX512" s="82" t="s">
        <v>4563</v>
      </c>
      <c r="AY512" s="77"/>
      <c r="AZ512" s="82" t="s">
        <v>5075</v>
      </c>
      <c r="BA512" s="82" t="s">
        <v>5075</v>
      </c>
      <c r="BB512" s="82" t="s">
        <v>5075</v>
      </c>
      <c r="BC512" s="82" t="s">
        <v>4563</v>
      </c>
      <c r="BD512" s="82" t="s">
        <v>5056</v>
      </c>
      <c r="BE512" s="77"/>
      <c r="BF512" s="77"/>
      <c r="BG512" s="77"/>
      <c r="BH512" s="77"/>
      <c r="BI512" s="77"/>
    </row>
    <row r="513" spans="1:61" x14ac:dyDescent="0.25">
      <c r="A513" s="62" t="s">
        <v>405</v>
      </c>
      <c r="B513" s="62" t="s">
        <v>405</v>
      </c>
      <c r="C513" s="63"/>
      <c r="D513" s="64"/>
      <c r="E513" s="65"/>
      <c r="F513" s="66"/>
      <c r="G513" s="63"/>
      <c r="H513" s="67"/>
      <c r="I513" s="68"/>
      <c r="J513" s="68"/>
      <c r="K513" s="32"/>
      <c r="L513" s="75">
        <v>513</v>
      </c>
      <c r="M513" s="75"/>
      <c r="N513" s="70"/>
      <c r="O513" s="77" t="s">
        <v>179</v>
      </c>
      <c r="P513" s="79">
        <v>44948.115995370368</v>
      </c>
      <c r="Q513" s="77" t="s">
        <v>1040</v>
      </c>
      <c r="R513" s="77">
        <v>0</v>
      </c>
      <c r="S513" s="77">
        <v>2</v>
      </c>
      <c r="T513" s="77">
        <v>1</v>
      </c>
      <c r="U513" s="77">
        <v>0</v>
      </c>
      <c r="V513" s="77">
        <v>64</v>
      </c>
      <c r="W513" s="82" t="s">
        <v>1825</v>
      </c>
      <c r="X513" s="77"/>
      <c r="Y513" s="77"/>
      <c r="Z513" s="77"/>
      <c r="AA513" s="77" t="s">
        <v>2326</v>
      </c>
      <c r="AB513" s="77" t="s">
        <v>2632</v>
      </c>
      <c r="AC513" s="82" t="s">
        <v>2639</v>
      </c>
      <c r="AD513" s="77" t="s">
        <v>2670</v>
      </c>
      <c r="AE513" s="80" t="str">
        <f>HYPERLINK("https://twitter.com/aposentandonovo/status/1616990794052763648")</f>
        <v>https://twitter.com/aposentandonovo/status/1616990794052763648</v>
      </c>
      <c r="AF513" s="79">
        <v>44948.115995370368</v>
      </c>
      <c r="AG513" s="85">
        <v>44948</v>
      </c>
      <c r="AH513" s="82" t="s">
        <v>3149</v>
      </c>
      <c r="AI513" s="77" t="b">
        <v>0</v>
      </c>
      <c r="AJ513" s="77"/>
      <c r="AK513" s="77"/>
      <c r="AL513" s="77"/>
      <c r="AM513" s="77"/>
      <c r="AN513" s="77"/>
      <c r="AO513" s="77"/>
      <c r="AP513" s="77"/>
      <c r="AQ513" s="77" t="s">
        <v>3755</v>
      </c>
      <c r="AR513" s="77"/>
      <c r="AS513" s="77"/>
      <c r="AT513" s="77"/>
      <c r="AU513" s="77"/>
      <c r="AV513" s="80" t="str">
        <f>HYPERLINK("https://pbs.twimg.com/media/FnC0cMTXgAABdmK.jpg")</f>
        <v>https://pbs.twimg.com/media/FnC0cMTXgAABdmK.jpg</v>
      </c>
      <c r="AW513" s="82" t="s">
        <v>4564</v>
      </c>
      <c r="AX513" s="82" t="s">
        <v>4564</v>
      </c>
      <c r="AY513" s="77"/>
      <c r="AZ513" s="82" t="s">
        <v>5075</v>
      </c>
      <c r="BA513" s="82" t="s">
        <v>5075</v>
      </c>
      <c r="BB513" s="82" t="s">
        <v>5075</v>
      </c>
      <c r="BC513" s="82" t="s">
        <v>4564</v>
      </c>
      <c r="BD513" s="82" t="s">
        <v>5219</v>
      </c>
      <c r="BE513" s="77"/>
      <c r="BF513" s="77"/>
      <c r="BG513" s="77"/>
      <c r="BH513" s="77"/>
      <c r="BI513" s="77"/>
    </row>
    <row r="514" spans="1:61" x14ac:dyDescent="0.25">
      <c r="A514" s="62" t="s">
        <v>406</v>
      </c>
      <c r="B514" s="62" t="s">
        <v>406</v>
      </c>
      <c r="C514" s="63"/>
      <c r="D514" s="64"/>
      <c r="E514" s="65"/>
      <c r="F514" s="66"/>
      <c r="G514" s="63"/>
      <c r="H514" s="67"/>
      <c r="I514" s="68"/>
      <c r="J514" s="68"/>
      <c r="K514" s="32"/>
      <c r="L514" s="75">
        <v>514</v>
      </c>
      <c r="M514" s="75"/>
      <c r="N514" s="70"/>
      <c r="O514" s="77" t="s">
        <v>536</v>
      </c>
      <c r="P514" s="79">
        <v>45185.942291666666</v>
      </c>
      <c r="Q514" s="77" t="s">
        <v>1041</v>
      </c>
      <c r="R514" s="77">
        <v>0</v>
      </c>
      <c r="S514" s="77">
        <v>1</v>
      </c>
      <c r="T514" s="77">
        <v>0</v>
      </c>
      <c r="U514" s="77">
        <v>0</v>
      </c>
      <c r="V514" s="77">
        <v>43</v>
      </c>
      <c r="W514" s="82" t="s">
        <v>1826</v>
      </c>
      <c r="X514" s="77"/>
      <c r="Y514" s="77"/>
      <c r="Z514" s="77"/>
      <c r="AA514" s="77"/>
      <c r="AB514" s="77"/>
      <c r="AC514" s="82" t="s">
        <v>2638</v>
      </c>
      <c r="AD514" s="77" t="s">
        <v>2670</v>
      </c>
      <c r="AE514" s="80" t="str">
        <f>HYPERLINK("https://twitter.com/economia_cafe/status/1703176157225435268")</f>
        <v>https://twitter.com/economia_cafe/status/1703176157225435268</v>
      </c>
      <c r="AF514" s="79">
        <v>45185.942291666666</v>
      </c>
      <c r="AG514" s="85">
        <v>45185</v>
      </c>
      <c r="AH514" s="82" t="s">
        <v>3150</v>
      </c>
      <c r="AI514" s="77"/>
      <c r="AJ514" s="77"/>
      <c r="AK514" s="77"/>
      <c r="AL514" s="77"/>
      <c r="AM514" s="77"/>
      <c r="AN514" s="77"/>
      <c r="AO514" s="77"/>
      <c r="AP514" s="77"/>
      <c r="AQ514" s="77"/>
      <c r="AR514" s="77"/>
      <c r="AS514" s="77"/>
      <c r="AT514" s="77"/>
      <c r="AU514" s="77"/>
      <c r="AV514" s="80" t="str">
        <f>HYPERLINK("https://pbs.twimg.com/profile_images/1451336986506244102/bbO8dxzF_normal.jpg")</f>
        <v>https://pbs.twimg.com/profile_images/1451336986506244102/bbO8dxzF_normal.jpg</v>
      </c>
      <c r="AW514" s="82" t="s">
        <v>4565</v>
      </c>
      <c r="AX514" s="82" t="s">
        <v>5005</v>
      </c>
      <c r="AY514" s="82" t="s">
        <v>5057</v>
      </c>
      <c r="AZ514" s="82" t="s">
        <v>5108</v>
      </c>
      <c r="BA514" s="82" t="s">
        <v>5075</v>
      </c>
      <c r="BB514" s="82" t="s">
        <v>5075</v>
      </c>
      <c r="BC514" s="82" t="s">
        <v>5108</v>
      </c>
      <c r="BD514" s="82" t="s">
        <v>5057</v>
      </c>
      <c r="BE514" s="77"/>
      <c r="BF514" s="77"/>
      <c r="BG514" s="77"/>
      <c r="BH514" s="77"/>
      <c r="BI514" s="77"/>
    </row>
    <row r="515" spans="1:61" x14ac:dyDescent="0.25">
      <c r="A515" s="62" t="s">
        <v>407</v>
      </c>
      <c r="B515" s="62" t="s">
        <v>407</v>
      </c>
      <c r="C515" s="63"/>
      <c r="D515" s="64"/>
      <c r="E515" s="65"/>
      <c r="F515" s="66"/>
      <c r="G515" s="63"/>
      <c r="H515" s="67"/>
      <c r="I515" s="68"/>
      <c r="J515" s="68"/>
      <c r="K515" s="32"/>
      <c r="L515" s="75">
        <v>515</v>
      </c>
      <c r="M515" s="75"/>
      <c r="N515" s="70"/>
      <c r="O515" s="77" t="s">
        <v>179</v>
      </c>
      <c r="P515" s="79">
        <v>44930.476898148147</v>
      </c>
      <c r="Q515" s="77" t="s">
        <v>1042</v>
      </c>
      <c r="R515" s="77">
        <v>0</v>
      </c>
      <c r="S515" s="77">
        <v>0</v>
      </c>
      <c r="T515" s="77">
        <v>0</v>
      </c>
      <c r="U515" s="77">
        <v>0</v>
      </c>
      <c r="V515" s="77">
        <v>4</v>
      </c>
      <c r="W515" s="82" t="s">
        <v>1827</v>
      </c>
      <c r="X515" s="80" t="str">
        <f>HYPERLINK("http://www.financialwellbeing.com.br")</f>
        <v>http://www.financialwellbeing.com.br</v>
      </c>
      <c r="Y515" s="77" t="s">
        <v>1978</v>
      </c>
      <c r="Z515" s="77"/>
      <c r="AA515" s="77" t="s">
        <v>2327</v>
      </c>
      <c r="AB515" s="77" t="s">
        <v>2632</v>
      </c>
      <c r="AC515" s="82" t="s">
        <v>2640</v>
      </c>
      <c r="AD515" s="77" t="s">
        <v>2670</v>
      </c>
      <c r="AE515" s="80" t="str">
        <f>HYPERLINK("https://twitter.com/herbstflavio/status/1610598602220662784")</f>
        <v>https://twitter.com/herbstflavio/status/1610598602220662784</v>
      </c>
      <c r="AF515" s="79">
        <v>44930.476898148147</v>
      </c>
      <c r="AG515" s="85">
        <v>44930</v>
      </c>
      <c r="AH515" s="82" t="s">
        <v>3151</v>
      </c>
      <c r="AI515" s="77" t="b">
        <v>0</v>
      </c>
      <c r="AJ515" s="77"/>
      <c r="AK515" s="77"/>
      <c r="AL515" s="77"/>
      <c r="AM515" s="77"/>
      <c r="AN515" s="77"/>
      <c r="AO515" s="77"/>
      <c r="AP515" s="77"/>
      <c r="AQ515" s="77" t="s">
        <v>3756</v>
      </c>
      <c r="AR515" s="77"/>
      <c r="AS515" s="77"/>
      <c r="AT515" s="77"/>
      <c r="AU515" s="77"/>
      <c r="AV515" s="80" t="str">
        <f>HYPERLINK("https://pbs.twimg.com/media/Fln-441WIAINyLF.jpg")</f>
        <v>https://pbs.twimg.com/media/Fln-441WIAINyLF.jpg</v>
      </c>
      <c r="AW515" s="82" t="s">
        <v>4566</v>
      </c>
      <c r="AX515" s="82" t="s">
        <v>4566</v>
      </c>
      <c r="AY515" s="77"/>
      <c r="AZ515" s="82" t="s">
        <v>5075</v>
      </c>
      <c r="BA515" s="82" t="s">
        <v>5075</v>
      </c>
      <c r="BB515" s="82" t="s">
        <v>5075</v>
      </c>
      <c r="BC515" s="82" t="s">
        <v>4566</v>
      </c>
      <c r="BD515" s="82" t="s">
        <v>5220</v>
      </c>
      <c r="BE515" s="77"/>
      <c r="BF515" s="77"/>
      <c r="BG515" s="77"/>
      <c r="BH515" s="77"/>
      <c r="BI515" s="77"/>
    </row>
    <row r="516" spans="1:61" x14ac:dyDescent="0.25">
      <c r="A516" s="62" t="s">
        <v>408</v>
      </c>
      <c r="B516" s="62" t="s">
        <v>408</v>
      </c>
      <c r="C516" s="63"/>
      <c r="D516" s="64"/>
      <c r="E516" s="65"/>
      <c r="F516" s="66"/>
      <c r="G516" s="63"/>
      <c r="H516" s="67"/>
      <c r="I516" s="68"/>
      <c r="J516" s="68"/>
      <c r="K516" s="32"/>
      <c r="L516" s="75">
        <v>516</v>
      </c>
      <c r="M516" s="75"/>
      <c r="N516" s="70"/>
      <c r="O516" s="77" t="s">
        <v>179</v>
      </c>
      <c r="P516" s="79">
        <v>45188.622824074075</v>
      </c>
      <c r="Q516" s="77" t="s">
        <v>1043</v>
      </c>
      <c r="R516" s="77">
        <v>0</v>
      </c>
      <c r="S516" s="77">
        <v>0</v>
      </c>
      <c r="T516" s="77">
        <v>0</v>
      </c>
      <c r="U516" s="77">
        <v>0</v>
      </c>
      <c r="V516" s="77">
        <v>7</v>
      </c>
      <c r="W516" s="82" t="s">
        <v>1828</v>
      </c>
      <c r="X516" s="77"/>
      <c r="Y516" s="77"/>
      <c r="Z516" s="77"/>
      <c r="AA516" s="77" t="s">
        <v>2328</v>
      </c>
      <c r="AB516" s="77" t="s">
        <v>2632</v>
      </c>
      <c r="AC516" s="82" t="s">
        <v>2638</v>
      </c>
      <c r="AD516" s="77" t="s">
        <v>2671</v>
      </c>
      <c r="AE516" s="80" t="str">
        <f>HYPERLINK("https://twitter.com/infohindi009/status/1704147551874863593")</f>
        <v>https://twitter.com/infohindi009/status/1704147551874863593</v>
      </c>
      <c r="AF516" s="79">
        <v>45188.622824074075</v>
      </c>
      <c r="AG516" s="85">
        <v>45188</v>
      </c>
      <c r="AH516" s="82" t="s">
        <v>3152</v>
      </c>
      <c r="AI516" s="77" t="b">
        <v>0</v>
      </c>
      <c r="AJ516" s="77"/>
      <c r="AK516" s="77"/>
      <c r="AL516" s="77"/>
      <c r="AM516" s="77"/>
      <c r="AN516" s="77"/>
      <c r="AO516" s="77"/>
      <c r="AP516" s="77"/>
      <c r="AQ516" s="77" t="s">
        <v>3757</v>
      </c>
      <c r="AR516" s="77"/>
      <c r="AS516" s="77"/>
      <c r="AT516" s="77"/>
      <c r="AU516" s="77"/>
      <c r="AV516" s="80" t="str">
        <f>HYPERLINK("https://pbs.twimg.com/media/F6ZZKTCb0AALCSI.jpg")</f>
        <v>https://pbs.twimg.com/media/F6ZZKTCb0AALCSI.jpg</v>
      </c>
      <c r="AW516" s="82" t="s">
        <v>4567</v>
      </c>
      <c r="AX516" s="82" t="s">
        <v>4567</v>
      </c>
      <c r="AY516" s="77"/>
      <c r="AZ516" s="82" t="s">
        <v>5075</v>
      </c>
      <c r="BA516" s="82" t="s">
        <v>5075</v>
      </c>
      <c r="BB516" s="82" t="s">
        <v>5075</v>
      </c>
      <c r="BC516" s="82" t="s">
        <v>4567</v>
      </c>
      <c r="BD516" s="82" t="s">
        <v>5221</v>
      </c>
      <c r="BE516" s="77"/>
      <c r="BF516" s="77"/>
      <c r="BG516" s="77"/>
      <c r="BH516" s="77"/>
      <c r="BI516" s="77"/>
    </row>
    <row r="517" spans="1:61" x14ac:dyDescent="0.25">
      <c r="A517" s="62" t="s">
        <v>409</v>
      </c>
      <c r="B517" s="62" t="s">
        <v>409</v>
      </c>
      <c r="C517" s="63"/>
      <c r="D517" s="64"/>
      <c r="E517" s="65"/>
      <c r="F517" s="66"/>
      <c r="G517" s="63"/>
      <c r="H517" s="67"/>
      <c r="I517" s="68"/>
      <c r="J517" s="68"/>
      <c r="K517" s="32"/>
      <c r="L517" s="75">
        <v>517</v>
      </c>
      <c r="M517" s="75"/>
      <c r="N517" s="70"/>
      <c r="O517" s="77" t="s">
        <v>536</v>
      </c>
      <c r="P517" s="79">
        <v>45101.535000000003</v>
      </c>
      <c r="Q517" s="77" t="s">
        <v>1044</v>
      </c>
      <c r="R517" s="77">
        <v>0</v>
      </c>
      <c r="S517" s="77">
        <v>0</v>
      </c>
      <c r="T517" s="77">
        <v>0</v>
      </c>
      <c r="U517" s="77">
        <v>1</v>
      </c>
      <c r="V517" s="77">
        <v>9</v>
      </c>
      <c r="W517" s="82" t="s">
        <v>1829</v>
      </c>
      <c r="X517" s="77"/>
      <c r="Y517" s="77"/>
      <c r="Z517" s="77"/>
      <c r="AA517" s="77"/>
      <c r="AB517" s="77"/>
      <c r="AC517" s="82" t="s">
        <v>2638</v>
      </c>
      <c r="AD517" s="77" t="s">
        <v>2670</v>
      </c>
      <c r="AE517" s="80" t="str">
        <f>HYPERLINK("https://twitter.com/oeunetto/status/1672587979875840001")</f>
        <v>https://twitter.com/oeunetto/status/1672587979875840001</v>
      </c>
      <c r="AF517" s="79">
        <v>45101.535000000003</v>
      </c>
      <c r="AG517" s="85">
        <v>45101</v>
      </c>
      <c r="AH517" s="82" t="s">
        <v>3153</v>
      </c>
      <c r="AI517" s="77"/>
      <c r="AJ517" s="77"/>
      <c r="AK517" s="77"/>
      <c r="AL517" s="77"/>
      <c r="AM517" s="77"/>
      <c r="AN517" s="77"/>
      <c r="AO517" s="77"/>
      <c r="AP517" s="77"/>
      <c r="AQ517" s="77"/>
      <c r="AR517" s="77"/>
      <c r="AS517" s="77"/>
      <c r="AT517" s="77"/>
      <c r="AU517" s="77"/>
      <c r="AV517" s="80" t="str">
        <f>HYPERLINK("https://pbs.twimg.com/profile_images/1650210353412808706/p4NDzKym_normal.jpg")</f>
        <v>https://pbs.twimg.com/profile_images/1650210353412808706/p4NDzKym_normal.jpg</v>
      </c>
      <c r="AW517" s="82" t="s">
        <v>4568</v>
      </c>
      <c r="AX517" s="82" t="s">
        <v>5006</v>
      </c>
      <c r="AY517" s="82" t="s">
        <v>5058</v>
      </c>
      <c r="AZ517" s="82" t="s">
        <v>5006</v>
      </c>
      <c r="BA517" s="82" t="s">
        <v>5075</v>
      </c>
      <c r="BB517" s="82" t="s">
        <v>5075</v>
      </c>
      <c r="BC517" s="82" t="s">
        <v>5006</v>
      </c>
      <c r="BD517" s="82" t="s">
        <v>5058</v>
      </c>
      <c r="BE517" s="77"/>
      <c r="BF517" s="77"/>
      <c r="BG517" s="77"/>
      <c r="BH517" s="77"/>
      <c r="BI517" s="77"/>
    </row>
    <row r="518" spans="1:61" x14ac:dyDescent="0.25">
      <c r="A518" s="62" t="s">
        <v>410</v>
      </c>
      <c r="B518" s="62" t="s">
        <v>410</v>
      </c>
      <c r="C518" s="63"/>
      <c r="D518" s="64"/>
      <c r="E518" s="65"/>
      <c r="F518" s="66"/>
      <c r="G518" s="63"/>
      <c r="H518" s="67"/>
      <c r="I518" s="68"/>
      <c r="J518" s="68"/>
      <c r="K518" s="32"/>
      <c r="L518" s="75">
        <v>518</v>
      </c>
      <c r="M518" s="75"/>
      <c r="N518" s="70"/>
      <c r="O518" s="77" t="s">
        <v>179</v>
      </c>
      <c r="P518" s="79">
        <v>45022.900787037041</v>
      </c>
      <c r="Q518" s="77" t="s">
        <v>1045</v>
      </c>
      <c r="R518" s="77">
        <v>0</v>
      </c>
      <c r="S518" s="77">
        <v>0</v>
      </c>
      <c r="T518" s="77">
        <v>0</v>
      </c>
      <c r="U518" s="77">
        <v>0</v>
      </c>
      <c r="V518" s="77">
        <v>29</v>
      </c>
      <c r="W518" s="82" t="s">
        <v>1830</v>
      </c>
      <c r="X518" s="77"/>
      <c r="Y518" s="77"/>
      <c r="Z518" s="77"/>
      <c r="AA518" s="77" t="s">
        <v>2329</v>
      </c>
      <c r="AB518" s="77" t="s">
        <v>2632</v>
      </c>
      <c r="AC518" s="82" t="s">
        <v>2639</v>
      </c>
      <c r="AD518" s="77" t="s">
        <v>2670</v>
      </c>
      <c r="AE518" s="80" t="str">
        <f>HYPERLINK("https://twitter.com/vippibpo/status/1644091897370083329")</f>
        <v>https://twitter.com/vippibpo/status/1644091897370083329</v>
      </c>
      <c r="AF518" s="79">
        <v>45022.900787037041</v>
      </c>
      <c r="AG518" s="85">
        <v>45022</v>
      </c>
      <c r="AH518" s="82" t="s">
        <v>3154</v>
      </c>
      <c r="AI518" s="77" t="b">
        <v>0</v>
      </c>
      <c r="AJ518" s="77"/>
      <c r="AK518" s="77"/>
      <c r="AL518" s="77"/>
      <c r="AM518" s="77"/>
      <c r="AN518" s="77"/>
      <c r="AO518" s="77"/>
      <c r="AP518" s="77"/>
      <c r="AQ518" s="77" t="s">
        <v>3758</v>
      </c>
      <c r="AR518" s="77"/>
      <c r="AS518" s="77"/>
      <c r="AT518" s="77"/>
      <c r="AU518" s="77"/>
      <c r="AV518" s="80" t="str">
        <f>HYPERLINK("https://pbs.twimg.com/media/FtD8zVzWwAI6KBy.jpg")</f>
        <v>https://pbs.twimg.com/media/FtD8zVzWwAI6KBy.jpg</v>
      </c>
      <c r="AW518" s="82" t="s">
        <v>4569</v>
      </c>
      <c r="AX518" s="82" t="s">
        <v>4569</v>
      </c>
      <c r="AY518" s="77"/>
      <c r="AZ518" s="82" t="s">
        <v>5075</v>
      </c>
      <c r="BA518" s="82" t="s">
        <v>5075</v>
      </c>
      <c r="BB518" s="82" t="s">
        <v>5075</v>
      </c>
      <c r="BC518" s="82" t="s">
        <v>4569</v>
      </c>
      <c r="BD518" s="82" t="s">
        <v>5222</v>
      </c>
      <c r="BE518" s="77"/>
      <c r="BF518" s="77"/>
      <c r="BG518" s="77"/>
      <c r="BH518" s="77"/>
      <c r="BI518" s="77"/>
    </row>
    <row r="519" spans="1:61" x14ac:dyDescent="0.25">
      <c r="A519" s="62" t="s">
        <v>411</v>
      </c>
      <c r="B519" s="62" t="s">
        <v>411</v>
      </c>
      <c r="C519" s="63"/>
      <c r="D519" s="64"/>
      <c r="E519" s="65"/>
      <c r="F519" s="66"/>
      <c r="G519" s="63"/>
      <c r="H519" s="67"/>
      <c r="I519" s="68"/>
      <c r="J519" s="68"/>
      <c r="K519" s="32"/>
      <c r="L519" s="75">
        <v>519</v>
      </c>
      <c r="M519" s="75"/>
      <c r="N519" s="70"/>
      <c r="O519" s="77" t="s">
        <v>536</v>
      </c>
      <c r="P519" s="79">
        <v>44990.603958333333</v>
      </c>
      <c r="Q519" s="77" t="s">
        <v>1046</v>
      </c>
      <c r="R519" s="77">
        <v>0</v>
      </c>
      <c r="S519" s="77">
        <v>0</v>
      </c>
      <c r="T519" s="77">
        <v>1</v>
      </c>
      <c r="U519" s="77">
        <v>0</v>
      </c>
      <c r="V519" s="77">
        <v>5</v>
      </c>
      <c r="W519" s="82" t="s">
        <v>1831</v>
      </c>
      <c r="X519" s="77"/>
      <c r="Y519" s="77"/>
      <c r="Z519" s="77"/>
      <c r="AA519" s="77"/>
      <c r="AB519" s="77"/>
      <c r="AC519" s="82" t="s">
        <v>2639</v>
      </c>
      <c r="AD519" s="77" t="s">
        <v>2670</v>
      </c>
      <c r="AE519" s="80" t="str">
        <f>HYPERLINK("https://twitter.com/tonys_group/status/1632387915559968768")</f>
        <v>https://twitter.com/tonys_group/status/1632387915559968768</v>
      </c>
      <c r="AF519" s="79">
        <v>44990.603958333333</v>
      </c>
      <c r="AG519" s="85">
        <v>44990</v>
      </c>
      <c r="AH519" s="82" t="s">
        <v>3155</v>
      </c>
      <c r="AI519" s="77"/>
      <c r="AJ519" s="77"/>
      <c r="AK519" s="77"/>
      <c r="AL519" s="77"/>
      <c r="AM519" s="77"/>
      <c r="AN519" s="77"/>
      <c r="AO519" s="77"/>
      <c r="AP519" s="77"/>
      <c r="AQ519" s="77"/>
      <c r="AR519" s="77"/>
      <c r="AS519" s="77"/>
      <c r="AT519" s="77"/>
      <c r="AU519" s="77"/>
      <c r="AV519" s="80" t="str">
        <f>HYPERLINK("https://pbs.twimg.com/profile_images/1630626532208115714/lgXQgTyE_normal.jpg")</f>
        <v>https://pbs.twimg.com/profile_images/1630626532208115714/lgXQgTyE_normal.jpg</v>
      </c>
      <c r="AW519" s="82" t="s">
        <v>4570</v>
      </c>
      <c r="AX519" s="82" t="s">
        <v>5007</v>
      </c>
      <c r="AY519" s="82" t="s">
        <v>5059</v>
      </c>
      <c r="AZ519" s="82" t="s">
        <v>5007</v>
      </c>
      <c r="BA519" s="82" t="s">
        <v>5075</v>
      </c>
      <c r="BB519" s="82" t="s">
        <v>5075</v>
      </c>
      <c r="BC519" s="82" t="s">
        <v>5007</v>
      </c>
      <c r="BD519" s="82" t="s">
        <v>5059</v>
      </c>
      <c r="BE519" s="77"/>
      <c r="BF519" s="77"/>
      <c r="BG519" s="77"/>
      <c r="BH519" s="77"/>
      <c r="BI519" s="77"/>
    </row>
    <row r="520" spans="1:61" x14ac:dyDescent="0.25">
      <c r="A520" s="62" t="s">
        <v>412</v>
      </c>
      <c r="B520" s="62" t="s">
        <v>412</v>
      </c>
      <c r="C520" s="63"/>
      <c r="D520" s="64"/>
      <c r="E520" s="65"/>
      <c r="F520" s="66"/>
      <c r="G520" s="63"/>
      <c r="H520" s="67"/>
      <c r="I520" s="68"/>
      <c r="J520" s="68"/>
      <c r="K520" s="32"/>
      <c r="L520" s="75">
        <v>520</v>
      </c>
      <c r="M520" s="75"/>
      <c r="N520" s="70"/>
      <c r="O520" s="77" t="s">
        <v>539</v>
      </c>
      <c r="P520" s="79">
        <v>45020.705046296294</v>
      </c>
      <c r="Q520" s="77" t="s">
        <v>1047</v>
      </c>
      <c r="R520" s="77">
        <v>0</v>
      </c>
      <c r="S520" s="77">
        <v>0</v>
      </c>
      <c r="T520" s="77">
        <v>0</v>
      </c>
      <c r="U520" s="77">
        <v>0</v>
      </c>
      <c r="V520" s="77">
        <v>14</v>
      </c>
      <c r="W520" s="82" t="s">
        <v>1832</v>
      </c>
      <c r="X520" s="80" t="str">
        <f>HYPERLINK("https://zoomdinheiro.com.br/dividas-tudo-o-que-voce-precisa-saber-sobre-gerenciamento-de-dividas/")</f>
        <v>https://zoomdinheiro.com.br/dividas-tudo-o-que-voce-precisa-saber-sobre-gerenciamento-de-dividas/</v>
      </c>
      <c r="Y520" s="77" t="s">
        <v>1978</v>
      </c>
      <c r="Z520" s="77" t="s">
        <v>412</v>
      </c>
      <c r="AA520" s="77" t="s">
        <v>2330</v>
      </c>
      <c r="AB520" s="77" t="s">
        <v>2632</v>
      </c>
      <c r="AC520" s="82" t="s">
        <v>2639</v>
      </c>
      <c r="AD520" s="77" t="s">
        <v>2670</v>
      </c>
      <c r="AE520" s="80" t="str">
        <f>HYPERLINK("https://twitter.com/zoomdinheiro/status/1643296185858260992")</f>
        <v>https://twitter.com/zoomdinheiro/status/1643296185858260992</v>
      </c>
      <c r="AF520" s="79">
        <v>45020.705046296294</v>
      </c>
      <c r="AG520" s="85">
        <v>45020</v>
      </c>
      <c r="AH520" s="82" t="s">
        <v>3156</v>
      </c>
      <c r="AI520" s="77" t="b">
        <v>0</v>
      </c>
      <c r="AJ520" s="77"/>
      <c r="AK520" s="77"/>
      <c r="AL520" s="77"/>
      <c r="AM520" s="77"/>
      <c r="AN520" s="77"/>
      <c r="AO520" s="77"/>
      <c r="AP520" s="77"/>
      <c r="AQ520" s="77" t="s">
        <v>3759</v>
      </c>
      <c r="AR520" s="77"/>
      <c r="AS520" s="77"/>
      <c r="AT520" s="77"/>
      <c r="AU520" s="77"/>
      <c r="AV520" s="80" t="str">
        <f>HYPERLINK("https://pbs.twimg.com/media/Fs4pKUvWYAgQj4-.jpg")</f>
        <v>https://pbs.twimg.com/media/Fs4pKUvWYAgQj4-.jpg</v>
      </c>
      <c r="AW520" s="82" t="s">
        <v>4571</v>
      </c>
      <c r="AX520" s="82" t="s">
        <v>4571</v>
      </c>
      <c r="AY520" s="77"/>
      <c r="AZ520" s="82" t="s">
        <v>5075</v>
      </c>
      <c r="BA520" s="82" t="s">
        <v>5075</v>
      </c>
      <c r="BB520" s="82" t="s">
        <v>5075</v>
      </c>
      <c r="BC520" s="82" t="s">
        <v>4571</v>
      </c>
      <c r="BD520" s="82" t="s">
        <v>5223</v>
      </c>
      <c r="BE520" s="77"/>
      <c r="BF520" s="77"/>
      <c r="BG520" s="77"/>
      <c r="BH520" s="77"/>
      <c r="BI520" s="77"/>
    </row>
    <row r="521" spans="1:61" x14ac:dyDescent="0.25">
      <c r="A521" s="62" t="s">
        <v>412</v>
      </c>
      <c r="B521" s="62" t="s">
        <v>412</v>
      </c>
      <c r="C521" s="63"/>
      <c r="D521" s="64"/>
      <c r="E521" s="65"/>
      <c r="F521" s="66"/>
      <c r="G521" s="63"/>
      <c r="H521" s="67"/>
      <c r="I521" s="68"/>
      <c r="J521" s="68"/>
      <c r="K521" s="32"/>
      <c r="L521" s="75">
        <v>521</v>
      </c>
      <c r="M521" s="75"/>
      <c r="N521" s="70"/>
      <c r="O521" s="77" t="s">
        <v>539</v>
      </c>
      <c r="P521" s="79">
        <v>45020.697592592594</v>
      </c>
      <c r="Q521" s="77" t="s">
        <v>1048</v>
      </c>
      <c r="R521" s="77">
        <v>0</v>
      </c>
      <c r="S521" s="77">
        <v>0</v>
      </c>
      <c r="T521" s="77">
        <v>0</v>
      </c>
      <c r="U521" s="77">
        <v>0</v>
      </c>
      <c r="V521" s="77">
        <v>23</v>
      </c>
      <c r="W521" s="82" t="s">
        <v>1833</v>
      </c>
      <c r="X521" s="80" t="str">
        <f>HYPERLINK("https://zoomdinheiro.com.br/descubra-as-melhores-opcoes-de-emprestimos-para-idosos-em-2023/")</f>
        <v>https://zoomdinheiro.com.br/descubra-as-melhores-opcoes-de-emprestimos-para-idosos-em-2023/</v>
      </c>
      <c r="Y521" s="77" t="s">
        <v>1978</v>
      </c>
      <c r="Z521" s="77" t="s">
        <v>412</v>
      </c>
      <c r="AA521" s="77" t="s">
        <v>2331</v>
      </c>
      <c r="AB521" s="77" t="s">
        <v>2632</v>
      </c>
      <c r="AC521" s="82" t="s">
        <v>2639</v>
      </c>
      <c r="AD521" s="77" t="s">
        <v>2670</v>
      </c>
      <c r="AE521" s="80" t="str">
        <f>HYPERLINK("https://twitter.com/zoomdinheiro/status/1643293484793618451")</f>
        <v>https://twitter.com/zoomdinheiro/status/1643293484793618451</v>
      </c>
      <c r="AF521" s="79">
        <v>45020.697592592594</v>
      </c>
      <c r="AG521" s="85">
        <v>45020</v>
      </c>
      <c r="AH521" s="82" t="s">
        <v>3157</v>
      </c>
      <c r="AI521" s="77" t="b">
        <v>0</v>
      </c>
      <c r="AJ521" s="77"/>
      <c r="AK521" s="77"/>
      <c r="AL521" s="77"/>
      <c r="AM521" s="77"/>
      <c r="AN521" s="77"/>
      <c r="AO521" s="77"/>
      <c r="AP521" s="77"/>
      <c r="AQ521" s="77" t="s">
        <v>3760</v>
      </c>
      <c r="AR521" s="77"/>
      <c r="AS521" s="77"/>
      <c r="AT521" s="77"/>
      <c r="AU521" s="77"/>
      <c r="AV521" s="80" t="str">
        <f>HYPERLINK("https://pbs.twimg.com/media/Fs4mtmEWIAAuSVe.jpg")</f>
        <v>https://pbs.twimg.com/media/Fs4mtmEWIAAuSVe.jpg</v>
      </c>
      <c r="AW521" s="82" t="s">
        <v>4572</v>
      </c>
      <c r="AX521" s="82" t="s">
        <v>4572</v>
      </c>
      <c r="AY521" s="77"/>
      <c r="AZ521" s="82" t="s">
        <v>5075</v>
      </c>
      <c r="BA521" s="82" t="s">
        <v>5075</v>
      </c>
      <c r="BB521" s="82" t="s">
        <v>5075</v>
      </c>
      <c r="BC521" s="82" t="s">
        <v>4572</v>
      </c>
      <c r="BD521" s="82" t="s">
        <v>5223</v>
      </c>
      <c r="BE521" s="77"/>
      <c r="BF521" s="77"/>
      <c r="BG521" s="77"/>
      <c r="BH521" s="77"/>
      <c r="BI521" s="77"/>
    </row>
    <row r="522" spans="1:61" x14ac:dyDescent="0.25">
      <c r="A522" s="62" t="s">
        <v>413</v>
      </c>
      <c r="B522" s="62" t="s">
        <v>413</v>
      </c>
      <c r="C522" s="63"/>
      <c r="D522" s="64"/>
      <c r="E522" s="65"/>
      <c r="F522" s="66"/>
      <c r="G522" s="63"/>
      <c r="H522" s="67"/>
      <c r="I522" s="68"/>
      <c r="J522" s="68"/>
      <c r="K522" s="32"/>
      <c r="L522" s="75">
        <v>522</v>
      </c>
      <c r="M522" s="75"/>
      <c r="N522" s="70"/>
      <c r="O522" s="77" t="s">
        <v>179</v>
      </c>
      <c r="P522" s="79">
        <v>45053.416689814818</v>
      </c>
      <c r="Q522" s="77" t="s">
        <v>1049</v>
      </c>
      <c r="R522" s="77">
        <v>0</v>
      </c>
      <c r="S522" s="77">
        <v>1</v>
      </c>
      <c r="T522" s="77">
        <v>0</v>
      </c>
      <c r="U522" s="77">
        <v>0</v>
      </c>
      <c r="V522" s="77">
        <v>5</v>
      </c>
      <c r="W522" s="82" t="s">
        <v>1834</v>
      </c>
      <c r="X522" s="80" t="str">
        <f>HYPERLINK("https://recuperabrasillimpanome.com.br/whatsapp/")</f>
        <v>https://recuperabrasillimpanome.com.br/whatsapp/</v>
      </c>
      <c r="Y522" s="77" t="s">
        <v>1978</v>
      </c>
      <c r="Z522" s="77"/>
      <c r="AA522" s="77" t="s">
        <v>2332</v>
      </c>
      <c r="AB522" s="77" t="s">
        <v>2633</v>
      </c>
      <c r="AC522" s="82" t="s">
        <v>2639</v>
      </c>
      <c r="AD522" s="77" t="s">
        <v>2670</v>
      </c>
      <c r="AE522" s="80" t="str">
        <f>HYPERLINK("https://twitter.com/recuperabrasil_/status/1655150489183617025")</f>
        <v>https://twitter.com/recuperabrasil_/status/1655150489183617025</v>
      </c>
      <c r="AF522" s="79">
        <v>45053.416689814818</v>
      </c>
      <c r="AG522" s="85">
        <v>45053</v>
      </c>
      <c r="AH522" s="82" t="s">
        <v>3158</v>
      </c>
      <c r="AI522" s="77" t="b">
        <v>0</v>
      </c>
      <c r="AJ522" s="77"/>
      <c r="AK522" s="77"/>
      <c r="AL522" s="77"/>
      <c r="AM522" s="77"/>
      <c r="AN522" s="77"/>
      <c r="AO522" s="77"/>
      <c r="AP522" s="77"/>
      <c r="AQ522" s="77" t="s">
        <v>3761</v>
      </c>
      <c r="AR522" s="77">
        <v>56080</v>
      </c>
      <c r="AS522" s="77"/>
      <c r="AT522" s="77"/>
      <c r="AU522" s="77"/>
      <c r="AV522" s="80" t="str">
        <f>HYPERLINK("https://pbs.twimg.com/ext_tw_video_thumb/1654547373765345281/pu/img/nDtcP6VmF8B6wQOK.jpg")</f>
        <v>https://pbs.twimg.com/ext_tw_video_thumb/1654547373765345281/pu/img/nDtcP6VmF8B6wQOK.jpg</v>
      </c>
      <c r="AW522" s="82" t="s">
        <v>4573</v>
      </c>
      <c r="AX522" s="82" t="s">
        <v>4573</v>
      </c>
      <c r="AY522" s="77"/>
      <c r="AZ522" s="82" t="s">
        <v>5075</v>
      </c>
      <c r="BA522" s="82" t="s">
        <v>5075</v>
      </c>
      <c r="BB522" s="82" t="s">
        <v>5075</v>
      </c>
      <c r="BC522" s="82" t="s">
        <v>4573</v>
      </c>
      <c r="BD522" s="82" t="s">
        <v>5224</v>
      </c>
      <c r="BE522" s="77"/>
      <c r="BF522" s="77"/>
      <c r="BG522" s="77"/>
      <c r="BH522" s="77"/>
      <c r="BI522" s="77"/>
    </row>
    <row r="523" spans="1:61" x14ac:dyDescent="0.25">
      <c r="A523" s="62" t="s">
        <v>413</v>
      </c>
      <c r="B523" s="62" t="s">
        <v>413</v>
      </c>
      <c r="C523" s="63"/>
      <c r="D523" s="64"/>
      <c r="E523" s="65"/>
      <c r="F523" s="66"/>
      <c r="G523" s="63"/>
      <c r="H523" s="67"/>
      <c r="I523" s="68"/>
      <c r="J523" s="68"/>
      <c r="K523" s="32"/>
      <c r="L523" s="75">
        <v>523</v>
      </c>
      <c r="M523" s="75"/>
      <c r="N523" s="70"/>
      <c r="O523" s="77" t="s">
        <v>179</v>
      </c>
      <c r="P523" s="79">
        <v>45052.416666666664</v>
      </c>
      <c r="Q523" s="77" t="s">
        <v>1050</v>
      </c>
      <c r="R523" s="77">
        <v>0</v>
      </c>
      <c r="S523" s="77">
        <v>1</v>
      </c>
      <c r="T523" s="77">
        <v>0</v>
      </c>
      <c r="U523" s="77">
        <v>0</v>
      </c>
      <c r="V523" s="77">
        <v>7</v>
      </c>
      <c r="W523" s="82" t="s">
        <v>1835</v>
      </c>
      <c r="X523" s="80" t="str">
        <f>HYPERLINK("https://recuperabrasillimpanome.com.br/whatsapp/")</f>
        <v>https://recuperabrasillimpanome.com.br/whatsapp/</v>
      </c>
      <c r="Y523" s="77" t="s">
        <v>1978</v>
      </c>
      <c r="Z523" s="77"/>
      <c r="AA523" s="77" t="s">
        <v>2333</v>
      </c>
      <c r="AB523" s="77" t="s">
        <v>2633</v>
      </c>
      <c r="AC523" s="82" t="s">
        <v>2639</v>
      </c>
      <c r="AD523" s="77" t="s">
        <v>2670</v>
      </c>
      <c r="AE523" s="80" t="str">
        <f>HYPERLINK("https://twitter.com/recuperabrasil_/status/1654788091717070850")</f>
        <v>https://twitter.com/recuperabrasil_/status/1654788091717070850</v>
      </c>
      <c r="AF523" s="79">
        <v>45052.416666666664</v>
      </c>
      <c r="AG523" s="85">
        <v>45052</v>
      </c>
      <c r="AH523" s="82" t="s">
        <v>3159</v>
      </c>
      <c r="AI523" s="77" t="b">
        <v>0</v>
      </c>
      <c r="AJ523" s="77"/>
      <c r="AK523" s="77"/>
      <c r="AL523" s="77"/>
      <c r="AM523" s="77"/>
      <c r="AN523" s="77"/>
      <c r="AO523" s="77"/>
      <c r="AP523" s="77"/>
      <c r="AQ523" s="77" t="s">
        <v>3762</v>
      </c>
      <c r="AR523" s="77">
        <v>43640</v>
      </c>
      <c r="AS523" s="77"/>
      <c r="AT523" s="77"/>
      <c r="AU523" s="77"/>
      <c r="AV523" s="80" t="str">
        <f>HYPERLINK("https://pbs.twimg.com/ext_tw_video_thumb/1654551361751588866/pu/img/jM389hY-NzCszXzf.jpg")</f>
        <v>https://pbs.twimg.com/ext_tw_video_thumb/1654551361751588866/pu/img/jM389hY-NzCszXzf.jpg</v>
      </c>
      <c r="AW523" s="82" t="s">
        <v>4574</v>
      </c>
      <c r="AX523" s="82" t="s">
        <v>4574</v>
      </c>
      <c r="AY523" s="77"/>
      <c r="AZ523" s="82" t="s">
        <v>5075</v>
      </c>
      <c r="BA523" s="82" t="s">
        <v>5075</v>
      </c>
      <c r="BB523" s="82" t="s">
        <v>5075</v>
      </c>
      <c r="BC523" s="82" t="s">
        <v>4574</v>
      </c>
      <c r="BD523" s="82" t="s">
        <v>5224</v>
      </c>
      <c r="BE523" s="77"/>
      <c r="BF523" s="77"/>
      <c r="BG523" s="77"/>
      <c r="BH523" s="77"/>
      <c r="BI523" s="77"/>
    </row>
    <row r="524" spans="1:61" x14ac:dyDescent="0.25">
      <c r="A524" s="62" t="s">
        <v>413</v>
      </c>
      <c r="B524" s="62" t="s">
        <v>413</v>
      </c>
      <c r="C524" s="63"/>
      <c r="D524" s="64"/>
      <c r="E524" s="65"/>
      <c r="F524" s="66"/>
      <c r="G524" s="63"/>
      <c r="H524" s="67"/>
      <c r="I524" s="68"/>
      <c r="J524" s="68"/>
      <c r="K524" s="32"/>
      <c r="L524" s="75">
        <v>524</v>
      </c>
      <c r="M524" s="75"/>
      <c r="N524" s="70"/>
      <c r="O524" s="77" t="s">
        <v>179</v>
      </c>
      <c r="P524" s="79">
        <v>45051.833333333336</v>
      </c>
      <c r="Q524" s="77" t="s">
        <v>1051</v>
      </c>
      <c r="R524" s="77">
        <v>0</v>
      </c>
      <c r="S524" s="77">
        <v>1</v>
      </c>
      <c r="T524" s="77">
        <v>0</v>
      </c>
      <c r="U524" s="77">
        <v>0</v>
      </c>
      <c r="V524" s="77">
        <v>6</v>
      </c>
      <c r="W524" s="82" t="s">
        <v>1836</v>
      </c>
      <c r="X524" s="77"/>
      <c r="Y524" s="77"/>
      <c r="Z524" s="77"/>
      <c r="AA524" s="77" t="s">
        <v>2334</v>
      </c>
      <c r="AB524" s="77" t="s">
        <v>2632</v>
      </c>
      <c r="AC524" s="82" t="s">
        <v>2639</v>
      </c>
      <c r="AD524" s="77" t="s">
        <v>2670</v>
      </c>
      <c r="AE524" s="80" t="str">
        <f>HYPERLINK("https://twitter.com/recuperabrasil_/status/1654576701295280129")</f>
        <v>https://twitter.com/recuperabrasil_/status/1654576701295280129</v>
      </c>
      <c r="AF524" s="79">
        <v>45051.833333333336</v>
      </c>
      <c r="AG524" s="85">
        <v>45051</v>
      </c>
      <c r="AH524" s="82" t="s">
        <v>3160</v>
      </c>
      <c r="AI524" s="77" t="b">
        <v>0</v>
      </c>
      <c r="AJ524" s="77"/>
      <c r="AK524" s="77"/>
      <c r="AL524" s="77"/>
      <c r="AM524" s="77"/>
      <c r="AN524" s="77"/>
      <c r="AO524" s="77"/>
      <c r="AP524" s="77"/>
      <c r="AQ524" s="77" t="s">
        <v>3763</v>
      </c>
      <c r="AR524" s="77"/>
      <c r="AS524" s="77"/>
      <c r="AT524" s="77"/>
      <c r="AU524" s="77"/>
      <c r="AV524" s="80" t="str">
        <f>HYPERLINK("https://pbs.twimg.com/media/FvYWq5GXoAIHYNL.jpg")</f>
        <v>https://pbs.twimg.com/media/FvYWq5GXoAIHYNL.jpg</v>
      </c>
      <c r="AW524" s="82" t="s">
        <v>4575</v>
      </c>
      <c r="AX524" s="82" t="s">
        <v>4575</v>
      </c>
      <c r="AY524" s="77"/>
      <c r="AZ524" s="82" t="s">
        <v>5075</v>
      </c>
      <c r="BA524" s="82" t="s">
        <v>5075</v>
      </c>
      <c r="BB524" s="82" t="s">
        <v>5075</v>
      </c>
      <c r="BC524" s="82" t="s">
        <v>4575</v>
      </c>
      <c r="BD524" s="82" t="s">
        <v>5224</v>
      </c>
      <c r="BE524" s="77"/>
      <c r="BF524" s="77"/>
      <c r="BG524" s="77"/>
      <c r="BH524" s="77"/>
      <c r="BI524" s="77"/>
    </row>
    <row r="525" spans="1:61" x14ac:dyDescent="0.25">
      <c r="A525" s="62" t="s">
        <v>413</v>
      </c>
      <c r="B525" s="62" t="s">
        <v>413</v>
      </c>
      <c r="C525" s="63"/>
      <c r="D525" s="64"/>
      <c r="E525" s="65"/>
      <c r="F525" s="66"/>
      <c r="G525" s="63"/>
      <c r="H525" s="67"/>
      <c r="I525" s="68"/>
      <c r="J525" s="68"/>
      <c r="K525" s="32"/>
      <c r="L525" s="75">
        <v>525</v>
      </c>
      <c r="M525" s="75"/>
      <c r="N525" s="70"/>
      <c r="O525" s="77" t="s">
        <v>179</v>
      </c>
      <c r="P525" s="79">
        <v>45048.574236111112</v>
      </c>
      <c r="Q525" s="77" t="s">
        <v>1052</v>
      </c>
      <c r="R525" s="77">
        <v>0</v>
      </c>
      <c r="S525" s="77">
        <v>1</v>
      </c>
      <c r="T525" s="77">
        <v>0</v>
      </c>
      <c r="U525" s="77">
        <v>0</v>
      </c>
      <c r="V525" s="77">
        <v>10</v>
      </c>
      <c r="W525" s="82" t="s">
        <v>1837</v>
      </c>
      <c r="X525" s="80" t="str">
        <f>HYPERLINK("https://recuperabrasillimpanome.com.br/whatsapp/")</f>
        <v>https://recuperabrasillimpanome.com.br/whatsapp/</v>
      </c>
      <c r="Y525" s="77" t="s">
        <v>1978</v>
      </c>
      <c r="Z525" s="77"/>
      <c r="AA525" s="77" t="s">
        <v>2335</v>
      </c>
      <c r="AB525" s="77" t="s">
        <v>2633</v>
      </c>
      <c r="AC525" s="82" t="s">
        <v>2639</v>
      </c>
      <c r="AD525" s="77" t="s">
        <v>2670</v>
      </c>
      <c r="AE525" s="80" t="str">
        <f>HYPERLINK("https://twitter.com/recuperabrasil_/status/1653395644747325448")</f>
        <v>https://twitter.com/recuperabrasil_/status/1653395644747325448</v>
      </c>
      <c r="AF525" s="79">
        <v>45048.574236111112</v>
      </c>
      <c r="AG525" s="85">
        <v>45048</v>
      </c>
      <c r="AH525" s="82" t="s">
        <v>3161</v>
      </c>
      <c r="AI525" s="77" t="b">
        <v>0</v>
      </c>
      <c r="AJ525" s="77"/>
      <c r="AK525" s="77"/>
      <c r="AL525" s="77"/>
      <c r="AM525" s="77"/>
      <c r="AN525" s="77"/>
      <c r="AO525" s="77"/>
      <c r="AP525" s="77"/>
      <c r="AQ525" s="77" t="s">
        <v>3764</v>
      </c>
      <c r="AR525" s="77">
        <v>65400</v>
      </c>
      <c r="AS525" s="77"/>
      <c r="AT525" s="77"/>
      <c r="AU525" s="77"/>
      <c r="AV525" s="80" t="str">
        <f>HYPERLINK("https://pbs.twimg.com/ext_tw_video_thumb/1653395372633468930/pu/img/sRPPjqAXJeyl7D5z.jpg")</f>
        <v>https://pbs.twimg.com/ext_tw_video_thumb/1653395372633468930/pu/img/sRPPjqAXJeyl7D5z.jpg</v>
      </c>
      <c r="AW525" s="82" t="s">
        <v>4576</v>
      </c>
      <c r="AX525" s="82" t="s">
        <v>4576</v>
      </c>
      <c r="AY525" s="77"/>
      <c r="AZ525" s="82" t="s">
        <v>5075</v>
      </c>
      <c r="BA525" s="82" t="s">
        <v>5075</v>
      </c>
      <c r="BB525" s="82" t="s">
        <v>5075</v>
      </c>
      <c r="BC525" s="82" t="s">
        <v>4576</v>
      </c>
      <c r="BD525" s="82" t="s">
        <v>5224</v>
      </c>
      <c r="BE525" s="77"/>
      <c r="BF525" s="77"/>
      <c r="BG525" s="77"/>
      <c r="BH525" s="77"/>
      <c r="BI525" s="77"/>
    </row>
    <row r="526" spans="1:61" x14ac:dyDescent="0.25">
      <c r="A526" s="62" t="s">
        <v>413</v>
      </c>
      <c r="B526" s="62" t="s">
        <v>413</v>
      </c>
      <c r="C526" s="63"/>
      <c r="D526" s="64"/>
      <c r="E526" s="65"/>
      <c r="F526" s="66"/>
      <c r="G526" s="63"/>
      <c r="H526" s="67"/>
      <c r="I526" s="68"/>
      <c r="J526" s="68"/>
      <c r="K526" s="32"/>
      <c r="L526" s="75">
        <v>526</v>
      </c>
      <c r="M526" s="75"/>
      <c r="N526" s="70"/>
      <c r="O526" s="77" t="s">
        <v>179</v>
      </c>
      <c r="P526" s="79">
        <v>45044.524293981478</v>
      </c>
      <c r="Q526" s="77" t="s">
        <v>1053</v>
      </c>
      <c r="R526" s="77">
        <v>0</v>
      </c>
      <c r="S526" s="77">
        <v>1</v>
      </c>
      <c r="T526" s="77">
        <v>0</v>
      </c>
      <c r="U526" s="77">
        <v>0</v>
      </c>
      <c r="V526" s="77">
        <v>16</v>
      </c>
      <c r="W526" s="82" t="s">
        <v>1838</v>
      </c>
      <c r="X526" s="80" t="str">
        <f>HYPERLINK("https://recuperabrasillimpanome.com.br/whatsapp/")</f>
        <v>https://recuperabrasillimpanome.com.br/whatsapp/</v>
      </c>
      <c r="Y526" s="77" t="s">
        <v>1978</v>
      </c>
      <c r="Z526" s="77"/>
      <c r="AA526" s="77" t="s">
        <v>2336</v>
      </c>
      <c r="AB526" s="77" t="s">
        <v>2633</v>
      </c>
      <c r="AC526" s="82" t="s">
        <v>2639</v>
      </c>
      <c r="AD526" s="77" t="s">
        <v>2670</v>
      </c>
      <c r="AE526" s="80" t="str">
        <f>HYPERLINK("https://twitter.com/recuperabrasil_/status/1651927993550249986")</f>
        <v>https://twitter.com/recuperabrasil_/status/1651927993550249986</v>
      </c>
      <c r="AF526" s="79">
        <v>45044.524293981478</v>
      </c>
      <c r="AG526" s="85">
        <v>45044</v>
      </c>
      <c r="AH526" s="82" t="s">
        <v>3162</v>
      </c>
      <c r="AI526" s="77" t="b">
        <v>0</v>
      </c>
      <c r="AJ526" s="77"/>
      <c r="AK526" s="77"/>
      <c r="AL526" s="77"/>
      <c r="AM526" s="77"/>
      <c r="AN526" s="77"/>
      <c r="AO526" s="77"/>
      <c r="AP526" s="77"/>
      <c r="AQ526" s="77" t="s">
        <v>3765</v>
      </c>
      <c r="AR526" s="77">
        <v>70560</v>
      </c>
      <c r="AS526" s="77"/>
      <c r="AT526" s="77"/>
      <c r="AU526" s="77"/>
      <c r="AV526" s="80" t="str">
        <f>HYPERLINK("https://pbs.twimg.com/ext_tw_video_thumb/1651927648191361027/pu/img/atCFUFTJBF0rIPGY.jpg")</f>
        <v>https://pbs.twimg.com/ext_tw_video_thumb/1651927648191361027/pu/img/atCFUFTJBF0rIPGY.jpg</v>
      </c>
      <c r="AW526" s="82" t="s">
        <v>4577</v>
      </c>
      <c r="AX526" s="82" t="s">
        <v>4577</v>
      </c>
      <c r="AY526" s="77"/>
      <c r="AZ526" s="82" t="s">
        <v>5075</v>
      </c>
      <c r="BA526" s="82" t="s">
        <v>5075</v>
      </c>
      <c r="BB526" s="82" t="s">
        <v>5075</v>
      </c>
      <c r="BC526" s="82" t="s">
        <v>4577</v>
      </c>
      <c r="BD526" s="82" t="s">
        <v>5224</v>
      </c>
      <c r="BE526" s="77"/>
      <c r="BF526" s="77"/>
      <c r="BG526" s="77"/>
      <c r="BH526" s="77"/>
      <c r="BI526" s="77"/>
    </row>
    <row r="527" spans="1:61" x14ac:dyDescent="0.25">
      <c r="A527" s="62" t="s">
        <v>414</v>
      </c>
      <c r="B527" s="62" t="s">
        <v>414</v>
      </c>
      <c r="C527" s="63"/>
      <c r="D527" s="64"/>
      <c r="E527" s="65"/>
      <c r="F527" s="66"/>
      <c r="G527" s="63"/>
      <c r="H527" s="67"/>
      <c r="I527" s="68"/>
      <c r="J527" s="68"/>
      <c r="K527" s="32"/>
      <c r="L527" s="75">
        <v>527</v>
      </c>
      <c r="M527" s="75"/>
      <c r="N527" s="70"/>
      <c r="O527" s="77" t="s">
        <v>179</v>
      </c>
      <c r="P527" s="79">
        <v>45129.746620370373</v>
      </c>
      <c r="Q527" s="77" t="s">
        <v>1054</v>
      </c>
      <c r="R527" s="77">
        <v>0</v>
      </c>
      <c r="S527" s="77">
        <v>0</v>
      </c>
      <c r="T527" s="77">
        <v>0</v>
      </c>
      <c r="U527" s="77">
        <v>0</v>
      </c>
      <c r="V527" s="77">
        <v>8</v>
      </c>
      <c r="W527" s="82" t="s">
        <v>1435</v>
      </c>
      <c r="X527" s="77"/>
      <c r="Y527" s="77"/>
      <c r="Z527" s="77"/>
      <c r="AA527" s="77"/>
      <c r="AB527" s="77"/>
      <c r="AC527" s="82" t="s">
        <v>2640</v>
      </c>
      <c r="AD527" s="77" t="s">
        <v>2670</v>
      </c>
      <c r="AE527" s="80" t="str">
        <f>HYPERLINK("https://twitter.com/indanna_gestao/status/1682811529094221824")</f>
        <v>https://twitter.com/indanna_gestao/status/1682811529094221824</v>
      </c>
      <c r="AF527" s="79">
        <v>45129.746620370373</v>
      </c>
      <c r="AG527" s="85">
        <v>45129</v>
      </c>
      <c r="AH527" s="82" t="s">
        <v>3163</v>
      </c>
      <c r="AI527" s="77"/>
      <c r="AJ527" s="77"/>
      <c r="AK527" s="77"/>
      <c r="AL527" s="77"/>
      <c r="AM527" s="77"/>
      <c r="AN527" s="77"/>
      <c r="AO527" s="77"/>
      <c r="AP527" s="77"/>
      <c r="AQ527" s="77"/>
      <c r="AR527" s="77"/>
      <c r="AS527" s="77"/>
      <c r="AT527" s="77"/>
      <c r="AU527" s="77"/>
      <c r="AV527" s="80" t="str">
        <f>HYPERLINK("https://pbs.twimg.com/profile_images/1675876097949331456/XPGkQfUT_normal.jpg")</f>
        <v>https://pbs.twimg.com/profile_images/1675876097949331456/XPGkQfUT_normal.jpg</v>
      </c>
      <c r="AW527" s="82" t="s">
        <v>4578</v>
      </c>
      <c r="AX527" s="82" t="s">
        <v>4578</v>
      </c>
      <c r="AY527" s="77"/>
      <c r="AZ527" s="82" t="s">
        <v>5075</v>
      </c>
      <c r="BA527" s="82" t="s">
        <v>5075</v>
      </c>
      <c r="BB527" s="82" t="s">
        <v>5075</v>
      </c>
      <c r="BC527" s="82" t="s">
        <v>4578</v>
      </c>
      <c r="BD527" s="82" t="s">
        <v>5225</v>
      </c>
      <c r="BE527" s="77"/>
      <c r="BF527" s="77"/>
      <c r="BG527" s="77"/>
      <c r="BH527" s="77"/>
      <c r="BI527" s="77"/>
    </row>
    <row r="528" spans="1:61" x14ac:dyDescent="0.25">
      <c r="A528" s="62" t="s">
        <v>415</v>
      </c>
      <c r="B528" s="62" t="s">
        <v>415</v>
      </c>
      <c r="C528" s="63"/>
      <c r="D528" s="64"/>
      <c r="E528" s="65"/>
      <c r="F528" s="66"/>
      <c r="G528" s="63"/>
      <c r="H528" s="67"/>
      <c r="I528" s="68"/>
      <c r="J528" s="68"/>
      <c r="K528" s="32"/>
      <c r="L528" s="75">
        <v>528</v>
      </c>
      <c r="M528" s="75"/>
      <c r="N528" s="70"/>
      <c r="O528" s="77" t="s">
        <v>179</v>
      </c>
      <c r="P528" s="79">
        <v>45156.046875</v>
      </c>
      <c r="Q528" s="77" t="s">
        <v>1055</v>
      </c>
      <c r="R528" s="77">
        <v>0</v>
      </c>
      <c r="S528" s="77">
        <v>0</v>
      </c>
      <c r="T528" s="77">
        <v>0</v>
      </c>
      <c r="U528" s="77">
        <v>0</v>
      </c>
      <c r="V528" s="77">
        <v>42</v>
      </c>
      <c r="W528" s="82" t="s">
        <v>1839</v>
      </c>
      <c r="X528" s="77"/>
      <c r="Y528" s="77"/>
      <c r="Z528" s="77"/>
      <c r="AA528" s="77" t="s">
        <v>2337</v>
      </c>
      <c r="AB528" s="77" t="s">
        <v>2633</v>
      </c>
      <c r="AC528" s="82" t="s">
        <v>2640</v>
      </c>
      <c r="AD528" s="77" t="s">
        <v>2670</v>
      </c>
      <c r="AE528" s="80" t="str">
        <f>HYPERLINK("https://twitter.com/biamallet/status/1692342422825553992")</f>
        <v>https://twitter.com/biamallet/status/1692342422825553992</v>
      </c>
      <c r="AF528" s="79">
        <v>45156.046875</v>
      </c>
      <c r="AG528" s="85">
        <v>45156</v>
      </c>
      <c r="AH528" s="82" t="s">
        <v>3164</v>
      </c>
      <c r="AI528" s="77" t="b">
        <v>0</v>
      </c>
      <c r="AJ528" s="77"/>
      <c r="AK528" s="77"/>
      <c r="AL528" s="77"/>
      <c r="AM528" s="77"/>
      <c r="AN528" s="77"/>
      <c r="AO528" s="77"/>
      <c r="AP528" s="77"/>
      <c r="AQ528" s="77" t="s">
        <v>3766</v>
      </c>
      <c r="AR528" s="77">
        <v>55600</v>
      </c>
      <c r="AS528" s="77"/>
      <c r="AT528" s="77"/>
      <c r="AU528" s="77"/>
      <c r="AV528" s="80" t="str">
        <f>HYPERLINK("https://pbs.twimg.com/ext_tw_video_thumb/1692342315182874624/pu/img/Avhm9Ax8-cO8fHlk.jpg")</f>
        <v>https://pbs.twimg.com/ext_tw_video_thumb/1692342315182874624/pu/img/Avhm9Ax8-cO8fHlk.jpg</v>
      </c>
      <c r="AW528" s="82" t="s">
        <v>4579</v>
      </c>
      <c r="AX528" s="82" t="s">
        <v>4579</v>
      </c>
      <c r="AY528" s="77"/>
      <c r="AZ528" s="82" t="s">
        <v>5075</v>
      </c>
      <c r="BA528" s="82" t="s">
        <v>5075</v>
      </c>
      <c r="BB528" s="82" t="s">
        <v>5075</v>
      </c>
      <c r="BC528" s="82" t="s">
        <v>4579</v>
      </c>
      <c r="BD528" s="82" t="s">
        <v>5226</v>
      </c>
      <c r="BE528" s="77"/>
      <c r="BF528" s="77"/>
      <c r="BG528" s="77"/>
      <c r="BH528" s="77"/>
      <c r="BI528" s="77"/>
    </row>
    <row r="529" spans="1:61" x14ac:dyDescent="0.25">
      <c r="A529" s="62" t="s">
        <v>416</v>
      </c>
      <c r="B529" s="62" t="s">
        <v>416</v>
      </c>
      <c r="C529" s="63"/>
      <c r="D529" s="64"/>
      <c r="E529" s="65"/>
      <c r="F529" s="66"/>
      <c r="G529" s="63"/>
      <c r="H529" s="67"/>
      <c r="I529" s="68"/>
      <c r="J529" s="68"/>
      <c r="K529" s="32"/>
      <c r="L529" s="75">
        <v>529</v>
      </c>
      <c r="M529" s="75"/>
      <c r="N529" s="70"/>
      <c r="O529" s="77" t="s">
        <v>179</v>
      </c>
      <c r="P529" s="79">
        <v>45114.062789351854</v>
      </c>
      <c r="Q529" s="77" t="s">
        <v>1056</v>
      </c>
      <c r="R529" s="77">
        <v>0</v>
      </c>
      <c r="S529" s="77">
        <v>1</v>
      </c>
      <c r="T529" s="77">
        <v>0</v>
      </c>
      <c r="U529" s="77">
        <v>0</v>
      </c>
      <c r="V529" s="77">
        <v>22</v>
      </c>
      <c r="W529" s="82" t="s">
        <v>1840</v>
      </c>
      <c r="X529" s="77"/>
      <c r="Y529" s="77"/>
      <c r="Z529" s="77"/>
      <c r="AA529" s="77"/>
      <c r="AB529" s="77"/>
      <c r="AC529" s="82" t="s">
        <v>2638</v>
      </c>
      <c r="AD529" s="77" t="s">
        <v>2670</v>
      </c>
      <c r="AE529" s="80" t="str">
        <f>HYPERLINK("https://twitter.com/financasup/status/1677127901773193217")</f>
        <v>https://twitter.com/financasup/status/1677127901773193217</v>
      </c>
      <c r="AF529" s="79">
        <v>45114.062789351854</v>
      </c>
      <c r="AG529" s="85">
        <v>45114</v>
      </c>
      <c r="AH529" s="82" t="s">
        <v>3165</v>
      </c>
      <c r="AI529" s="77"/>
      <c r="AJ529" s="77"/>
      <c r="AK529" s="77"/>
      <c r="AL529" s="77"/>
      <c r="AM529" s="77"/>
      <c r="AN529" s="77"/>
      <c r="AO529" s="77"/>
      <c r="AP529" s="77"/>
      <c r="AQ529" s="77"/>
      <c r="AR529" s="77"/>
      <c r="AS529" s="77"/>
      <c r="AT529" s="77"/>
      <c r="AU529" s="77"/>
      <c r="AV529" s="80" t="str">
        <f>HYPERLINK("https://pbs.twimg.com/profile_images/1704158991981445120/HWlzSKKC_normal.jpg")</f>
        <v>https://pbs.twimg.com/profile_images/1704158991981445120/HWlzSKKC_normal.jpg</v>
      </c>
      <c r="AW529" s="82" t="s">
        <v>4580</v>
      </c>
      <c r="AX529" s="82" t="s">
        <v>4580</v>
      </c>
      <c r="AY529" s="77"/>
      <c r="AZ529" s="82" t="s">
        <v>5075</v>
      </c>
      <c r="BA529" s="82" t="s">
        <v>5075</v>
      </c>
      <c r="BB529" s="82" t="s">
        <v>5075</v>
      </c>
      <c r="BC529" s="82" t="s">
        <v>4580</v>
      </c>
      <c r="BD529" s="82" t="s">
        <v>5227</v>
      </c>
      <c r="BE529" s="77"/>
      <c r="BF529" s="77"/>
      <c r="BG529" s="77"/>
      <c r="BH529" s="77"/>
      <c r="BI529" s="77"/>
    </row>
    <row r="530" spans="1:61" x14ac:dyDescent="0.25">
      <c r="A530" s="62" t="s">
        <v>417</v>
      </c>
      <c r="B530" s="62" t="s">
        <v>532</v>
      </c>
      <c r="C530" s="63"/>
      <c r="D530" s="64"/>
      <c r="E530" s="65"/>
      <c r="F530" s="66"/>
      <c r="G530" s="63"/>
      <c r="H530" s="67"/>
      <c r="I530" s="68"/>
      <c r="J530" s="68"/>
      <c r="K530" s="32"/>
      <c r="L530" s="75">
        <v>530</v>
      </c>
      <c r="M530" s="75"/>
      <c r="N530" s="70"/>
      <c r="O530" s="77" t="s">
        <v>539</v>
      </c>
      <c r="P530" s="79">
        <v>44995.472546296296</v>
      </c>
      <c r="Q530" s="77" t="s">
        <v>1057</v>
      </c>
      <c r="R530" s="77">
        <v>0</v>
      </c>
      <c r="S530" s="77">
        <v>0</v>
      </c>
      <c r="T530" s="77">
        <v>0</v>
      </c>
      <c r="U530" s="77">
        <v>0</v>
      </c>
      <c r="V530" s="77">
        <v>28</v>
      </c>
      <c r="W530" s="82" t="s">
        <v>1841</v>
      </c>
      <c r="X530" s="77"/>
      <c r="Y530" s="77"/>
      <c r="Z530" s="77" t="s">
        <v>532</v>
      </c>
      <c r="AA530" s="77" t="s">
        <v>2338</v>
      </c>
      <c r="AB530" s="77" t="s">
        <v>2633</v>
      </c>
      <c r="AC530" s="82" t="s">
        <v>2642</v>
      </c>
      <c r="AD530" s="77" t="s">
        <v>2670</v>
      </c>
      <c r="AE530" s="80" t="str">
        <f>HYPERLINK("https://twitter.com/joaonetoupcont/status/1634152233930563584")</f>
        <v>https://twitter.com/joaonetoupcont/status/1634152233930563584</v>
      </c>
      <c r="AF530" s="79">
        <v>44995.472546296296</v>
      </c>
      <c r="AG530" s="85">
        <v>44995</v>
      </c>
      <c r="AH530" s="82" t="s">
        <v>3166</v>
      </c>
      <c r="AI530" s="77" t="b">
        <v>0</v>
      </c>
      <c r="AJ530" s="77"/>
      <c r="AK530" s="77"/>
      <c r="AL530" s="77"/>
      <c r="AM530" s="77"/>
      <c r="AN530" s="77"/>
      <c r="AO530" s="77"/>
      <c r="AP530" s="77"/>
      <c r="AQ530" s="77" t="s">
        <v>3767</v>
      </c>
      <c r="AR530" s="77">
        <v>51093</v>
      </c>
      <c r="AS530" s="77"/>
      <c r="AT530" s="77"/>
      <c r="AU530" s="77"/>
      <c r="AV530" s="80" t="str">
        <f>HYPERLINK("https://pbs.twimg.com/ext_tw_video_thumb/1634152162358882305/pu/img/3vqJJEhTbRPRaU3N.jpg")</f>
        <v>https://pbs.twimg.com/ext_tw_video_thumb/1634152162358882305/pu/img/3vqJJEhTbRPRaU3N.jpg</v>
      </c>
      <c r="AW530" s="82" t="s">
        <v>4581</v>
      </c>
      <c r="AX530" s="82" t="s">
        <v>4581</v>
      </c>
      <c r="AY530" s="77"/>
      <c r="AZ530" s="82" t="s">
        <v>5075</v>
      </c>
      <c r="BA530" s="82" t="s">
        <v>5075</v>
      </c>
      <c r="BB530" s="82" t="s">
        <v>5075</v>
      </c>
      <c r="BC530" s="82" t="s">
        <v>4581</v>
      </c>
      <c r="BD530" s="82" t="s">
        <v>5228</v>
      </c>
      <c r="BE530" s="77"/>
      <c r="BF530" s="77"/>
      <c r="BG530" s="77"/>
      <c r="BH530" s="77"/>
      <c r="BI530" s="77"/>
    </row>
    <row r="531" spans="1:61" x14ac:dyDescent="0.25">
      <c r="A531" s="62" t="s">
        <v>418</v>
      </c>
      <c r="B531" s="62" t="s">
        <v>418</v>
      </c>
      <c r="C531" s="63"/>
      <c r="D531" s="64"/>
      <c r="E531" s="65"/>
      <c r="F531" s="66"/>
      <c r="G531" s="63"/>
      <c r="H531" s="67"/>
      <c r="I531" s="68"/>
      <c r="J531" s="68"/>
      <c r="K531" s="32"/>
      <c r="L531" s="75">
        <v>531</v>
      </c>
      <c r="M531" s="75"/>
      <c r="N531" s="70"/>
      <c r="O531" s="77" t="s">
        <v>536</v>
      </c>
      <c r="P531" s="79">
        <v>44958.000787037039</v>
      </c>
      <c r="Q531" s="77" t="s">
        <v>1058</v>
      </c>
      <c r="R531" s="77">
        <v>0</v>
      </c>
      <c r="S531" s="77">
        <v>0</v>
      </c>
      <c r="T531" s="77">
        <v>0</v>
      </c>
      <c r="U531" s="77">
        <v>0</v>
      </c>
      <c r="V531" s="77">
        <v>124</v>
      </c>
      <c r="W531" s="82" t="s">
        <v>1842</v>
      </c>
      <c r="X531" s="80" t="str">
        <f>HYPERLINK("http://gov.br/investidor")</f>
        <v>http://gov.br/investidor</v>
      </c>
      <c r="Y531" s="77" t="s">
        <v>1976</v>
      </c>
      <c r="Z531" s="77"/>
      <c r="AA531" s="77" t="s">
        <v>2339</v>
      </c>
      <c r="AB531" s="77" t="s">
        <v>2635</v>
      </c>
      <c r="AC531" s="82" t="s">
        <v>2640</v>
      </c>
      <c r="AD531" s="77" t="s">
        <v>2670</v>
      </c>
      <c r="AE531" s="80" t="str">
        <f>HYPERLINK("https://twitter.com/cvmeducacional/status/1620572924142034944")</f>
        <v>https://twitter.com/cvmeducacional/status/1620572924142034944</v>
      </c>
      <c r="AF531" s="79">
        <v>44958.000787037039</v>
      </c>
      <c r="AG531" s="85">
        <v>44958</v>
      </c>
      <c r="AH531" s="82" t="s">
        <v>3167</v>
      </c>
      <c r="AI531" s="77" t="b">
        <v>0</v>
      </c>
      <c r="AJ531" s="77"/>
      <c r="AK531" s="77"/>
      <c r="AL531" s="77"/>
      <c r="AM531" s="77"/>
      <c r="AN531" s="77"/>
      <c r="AO531" s="77"/>
      <c r="AP531" s="77"/>
      <c r="AQ531" s="77" t="s">
        <v>3768</v>
      </c>
      <c r="AR531" s="77"/>
      <c r="AS531" s="77"/>
      <c r="AT531" s="77"/>
      <c r="AU531" s="77"/>
      <c r="AV531" s="80" t="str">
        <f>HYPERLINK("https://pbs.twimg.com/media/Fn1ue6LX0AIAk2I.jpg")</f>
        <v>https://pbs.twimg.com/media/Fn1ue6LX0AIAk2I.jpg</v>
      </c>
      <c r="AW531" s="82" t="s">
        <v>4582</v>
      </c>
      <c r="AX531" s="82" t="s">
        <v>4583</v>
      </c>
      <c r="AY531" s="82" t="s">
        <v>5060</v>
      </c>
      <c r="AZ531" s="82" t="s">
        <v>4583</v>
      </c>
      <c r="BA531" s="82" t="s">
        <v>5075</v>
      </c>
      <c r="BB531" s="82" t="s">
        <v>5075</v>
      </c>
      <c r="BC531" s="82" t="s">
        <v>4583</v>
      </c>
      <c r="BD531" s="77">
        <v>67008859</v>
      </c>
      <c r="BE531" s="77"/>
      <c r="BF531" s="77"/>
      <c r="BG531" s="77"/>
      <c r="BH531" s="77"/>
      <c r="BI531" s="77"/>
    </row>
    <row r="532" spans="1:61" x14ac:dyDescent="0.25">
      <c r="A532" s="62" t="s">
        <v>418</v>
      </c>
      <c r="B532" s="62" t="s">
        <v>418</v>
      </c>
      <c r="C532" s="63"/>
      <c r="D532" s="64"/>
      <c r="E532" s="65"/>
      <c r="F532" s="66"/>
      <c r="G532" s="63"/>
      <c r="H532" s="67"/>
      <c r="I532" s="68"/>
      <c r="J532" s="68"/>
      <c r="K532" s="32"/>
      <c r="L532" s="75">
        <v>532</v>
      </c>
      <c r="M532" s="75"/>
      <c r="N532" s="70"/>
      <c r="O532" s="77" t="s">
        <v>179</v>
      </c>
      <c r="P532" s="79">
        <v>44958.000763888886</v>
      </c>
      <c r="Q532" s="77" t="s">
        <v>1059</v>
      </c>
      <c r="R532" s="77">
        <v>2</v>
      </c>
      <c r="S532" s="77">
        <v>1</v>
      </c>
      <c r="T532" s="77">
        <v>1</v>
      </c>
      <c r="U532" s="77">
        <v>0</v>
      </c>
      <c r="V532" s="77">
        <v>269</v>
      </c>
      <c r="W532" s="82" t="s">
        <v>1842</v>
      </c>
      <c r="X532" s="80" t="str">
        <f>HYPERLINK("http://gov.br/investidor")</f>
        <v>http://gov.br/investidor</v>
      </c>
      <c r="Y532" s="77" t="s">
        <v>1976</v>
      </c>
      <c r="Z532" s="77"/>
      <c r="AA532" s="77" t="s">
        <v>2340</v>
      </c>
      <c r="AB532" s="77" t="s">
        <v>2634</v>
      </c>
      <c r="AC532" s="82" t="s">
        <v>2640</v>
      </c>
      <c r="AD532" s="77" t="s">
        <v>2670</v>
      </c>
      <c r="AE532" s="80" t="str">
        <f>HYPERLINK("https://twitter.com/cvmeducacional/status/1620572914725814275")</f>
        <v>https://twitter.com/cvmeducacional/status/1620572914725814275</v>
      </c>
      <c r="AF532" s="79">
        <v>44958.000763888886</v>
      </c>
      <c r="AG532" s="85">
        <v>44958</v>
      </c>
      <c r="AH532" s="82" t="s">
        <v>3168</v>
      </c>
      <c r="AI532" s="77" t="b">
        <v>0</v>
      </c>
      <c r="AJ532" s="77"/>
      <c r="AK532" s="77"/>
      <c r="AL532" s="77"/>
      <c r="AM532" s="77"/>
      <c r="AN532" s="77"/>
      <c r="AO532" s="77"/>
      <c r="AP532" s="77"/>
      <c r="AQ532" s="77" t="s">
        <v>3769</v>
      </c>
      <c r="AR532" s="77"/>
      <c r="AS532" s="77"/>
      <c r="AT532" s="77"/>
      <c r="AU532" s="77"/>
      <c r="AV532" s="80" t="str">
        <f>HYPERLINK("https://pbs.twimg.com/media/Fn1ueWZXgAUJ5ss.jpg")</f>
        <v>https://pbs.twimg.com/media/Fn1ueWZXgAUJ5ss.jpg</v>
      </c>
      <c r="AW532" s="82" t="s">
        <v>4583</v>
      </c>
      <c r="AX532" s="82" t="s">
        <v>4583</v>
      </c>
      <c r="AY532" s="77"/>
      <c r="AZ532" s="82" t="s">
        <v>5075</v>
      </c>
      <c r="BA532" s="82" t="s">
        <v>5075</v>
      </c>
      <c r="BB532" s="82" t="s">
        <v>5075</v>
      </c>
      <c r="BC532" s="82" t="s">
        <v>4583</v>
      </c>
      <c r="BD532" s="77">
        <v>67008859</v>
      </c>
      <c r="BE532" s="77"/>
      <c r="BF532" s="77"/>
      <c r="BG532" s="77"/>
      <c r="BH532" s="77"/>
      <c r="BI532" s="77"/>
    </row>
    <row r="533" spans="1:61" x14ac:dyDescent="0.25">
      <c r="A533" s="62" t="s">
        <v>419</v>
      </c>
      <c r="B533" s="62" t="s">
        <v>419</v>
      </c>
      <c r="C533" s="63"/>
      <c r="D533" s="64"/>
      <c r="E533" s="65"/>
      <c r="F533" s="66"/>
      <c r="G533" s="63"/>
      <c r="H533" s="67"/>
      <c r="I533" s="68"/>
      <c r="J533" s="68"/>
      <c r="K533" s="32"/>
      <c r="L533" s="75">
        <v>533</v>
      </c>
      <c r="M533" s="75"/>
      <c r="N533" s="70"/>
      <c r="O533" s="77" t="s">
        <v>179</v>
      </c>
      <c r="P533" s="79">
        <v>45152.489247685182</v>
      </c>
      <c r="Q533" s="77" t="s">
        <v>1060</v>
      </c>
      <c r="R533" s="77">
        <v>0</v>
      </c>
      <c r="S533" s="77">
        <v>1</v>
      </c>
      <c r="T533" s="77">
        <v>0</v>
      </c>
      <c r="U533" s="77">
        <v>0</v>
      </c>
      <c r="V533" s="77">
        <v>28</v>
      </c>
      <c r="W533" s="82" t="s">
        <v>1843</v>
      </c>
      <c r="X533" s="77"/>
      <c r="Y533" s="77"/>
      <c r="Z533" s="77"/>
      <c r="AA533" s="77" t="s">
        <v>2341</v>
      </c>
      <c r="AB533" s="77" t="s">
        <v>2632</v>
      </c>
      <c r="AC533" s="82" t="s">
        <v>2638</v>
      </c>
      <c r="AD533" s="77" t="s">
        <v>2670</v>
      </c>
      <c r="AE533" s="80" t="str">
        <f>HYPERLINK("https://twitter.com/alexandrecs79/status/1691053182795833346")</f>
        <v>https://twitter.com/alexandrecs79/status/1691053182795833346</v>
      </c>
      <c r="AF533" s="79">
        <v>45152.489247685182</v>
      </c>
      <c r="AG533" s="85">
        <v>45152</v>
      </c>
      <c r="AH533" s="82" t="s">
        <v>3169</v>
      </c>
      <c r="AI533" s="77" t="b">
        <v>0</v>
      </c>
      <c r="AJ533" s="77"/>
      <c r="AK533" s="77"/>
      <c r="AL533" s="77"/>
      <c r="AM533" s="77"/>
      <c r="AN533" s="77"/>
      <c r="AO533" s="77"/>
      <c r="AP533" s="77"/>
      <c r="AQ533" s="77" t="s">
        <v>3770</v>
      </c>
      <c r="AR533" s="77"/>
      <c r="AS533" s="77"/>
      <c r="AT533" s="77"/>
      <c r="AU533" s="77"/>
      <c r="AV533" s="80" t="str">
        <f>HYPERLINK("https://pbs.twimg.com/media/F3fT5wzXYAAofQR.jpg")</f>
        <v>https://pbs.twimg.com/media/F3fT5wzXYAAofQR.jpg</v>
      </c>
      <c r="AW533" s="82" t="s">
        <v>4584</v>
      </c>
      <c r="AX533" s="82" t="s">
        <v>4584</v>
      </c>
      <c r="AY533" s="77"/>
      <c r="AZ533" s="82" t="s">
        <v>5075</v>
      </c>
      <c r="BA533" s="82" t="s">
        <v>5075</v>
      </c>
      <c r="BB533" s="82" t="s">
        <v>5075</v>
      </c>
      <c r="BC533" s="82" t="s">
        <v>4584</v>
      </c>
      <c r="BD533" s="82" t="s">
        <v>5229</v>
      </c>
      <c r="BE533" s="77"/>
      <c r="BF533" s="77"/>
      <c r="BG533" s="77"/>
      <c r="BH533" s="77"/>
      <c r="BI533" s="77"/>
    </row>
    <row r="534" spans="1:61" x14ac:dyDescent="0.25">
      <c r="A534" s="62" t="s">
        <v>420</v>
      </c>
      <c r="B534" s="62" t="s">
        <v>420</v>
      </c>
      <c r="C534" s="63"/>
      <c r="D534" s="64"/>
      <c r="E534" s="65"/>
      <c r="F534" s="66"/>
      <c r="G534" s="63"/>
      <c r="H534" s="67"/>
      <c r="I534" s="68"/>
      <c r="J534" s="68"/>
      <c r="K534" s="32"/>
      <c r="L534" s="75">
        <v>534</v>
      </c>
      <c r="M534" s="75"/>
      <c r="N534" s="70"/>
      <c r="O534" s="77" t="s">
        <v>179</v>
      </c>
      <c r="P534" s="79">
        <v>45009.487233796295</v>
      </c>
      <c r="Q534" s="77" t="s">
        <v>1061</v>
      </c>
      <c r="R534" s="77">
        <v>436</v>
      </c>
      <c r="S534" s="77">
        <v>2017</v>
      </c>
      <c r="T534" s="77">
        <v>3</v>
      </c>
      <c r="U534" s="77">
        <v>22</v>
      </c>
      <c r="V534" s="77">
        <v>72745</v>
      </c>
      <c r="W534" s="77"/>
      <c r="X534" s="77"/>
      <c r="Y534" s="77"/>
      <c r="Z534" s="77"/>
      <c r="AA534" s="77"/>
      <c r="AB534" s="77"/>
      <c r="AC534" s="82" t="s">
        <v>2640</v>
      </c>
      <c r="AD534" s="77" t="s">
        <v>2670</v>
      </c>
      <c r="AE534" s="80" t="str">
        <f>HYPERLINK("https://twitter.com/paginalixo1/status/1639230986729803778")</f>
        <v>https://twitter.com/paginalixo1/status/1639230986729803778</v>
      </c>
      <c r="AF534" s="79">
        <v>45009.487233796295</v>
      </c>
      <c r="AG534" s="85">
        <v>45009</v>
      </c>
      <c r="AH534" s="82" t="s">
        <v>3170</v>
      </c>
      <c r="AI534" s="77"/>
      <c r="AJ534" s="77"/>
      <c r="AK534" s="77"/>
      <c r="AL534" s="77"/>
      <c r="AM534" s="77"/>
      <c r="AN534" s="77"/>
      <c r="AO534" s="77"/>
      <c r="AP534" s="77"/>
      <c r="AQ534" s="77"/>
      <c r="AR534" s="77"/>
      <c r="AS534" s="77"/>
      <c r="AT534" s="77"/>
      <c r="AU534" s="77"/>
      <c r="AV534" s="80" t="str">
        <f>HYPERLINK("https://pbs.twimg.com/profile_images/1432680716140269571/JntTrJ45_normal.jpg")</f>
        <v>https://pbs.twimg.com/profile_images/1432680716140269571/JntTrJ45_normal.jpg</v>
      </c>
      <c r="AW534" s="82" t="s">
        <v>4585</v>
      </c>
      <c r="AX534" s="82" t="s">
        <v>4585</v>
      </c>
      <c r="AY534" s="77"/>
      <c r="AZ534" s="82" t="s">
        <v>5075</v>
      </c>
      <c r="BA534" s="82" t="s">
        <v>5075</v>
      </c>
      <c r="BB534" s="82" t="s">
        <v>5075</v>
      </c>
      <c r="BC534" s="82" t="s">
        <v>4585</v>
      </c>
      <c r="BD534" s="77">
        <v>2397838608</v>
      </c>
      <c r="BE534" s="77"/>
      <c r="BF534" s="77"/>
      <c r="BG534" s="77"/>
      <c r="BH534" s="77"/>
      <c r="BI534" s="77"/>
    </row>
    <row r="535" spans="1:61" x14ac:dyDescent="0.25">
      <c r="A535" s="62" t="s">
        <v>421</v>
      </c>
      <c r="B535" s="62" t="s">
        <v>421</v>
      </c>
      <c r="C535" s="63"/>
      <c r="D535" s="64"/>
      <c r="E535" s="65"/>
      <c r="F535" s="66"/>
      <c r="G535" s="63"/>
      <c r="H535" s="67"/>
      <c r="I535" s="68"/>
      <c r="J535" s="68"/>
      <c r="K535" s="32"/>
      <c r="L535" s="75">
        <v>535</v>
      </c>
      <c r="M535" s="75"/>
      <c r="N535" s="70"/>
      <c r="O535" s="77" t="s">
        <v>179</v>
      </c>
      <c r="P535" s="79">
        <v>45068.774375000001</v>
      </c>
      <c r="Q535" s="77" t="s">
        <v>1062</v>
      </c>
      <c r="R535" s="77">
        <v>0</v>
      </c>
      <c r="S535" s="77">
        <v>0</v>
      </c>
      <c r="T535" s="77">
        <v>0</v>
      </c>
      <c r="U535" s="77">
        <v>0</v>
      </c>
      <c r="V535" s="77">
        <v>16</v>
      </c>
      <c r="W535" s="82" t="s">
        <v>1844</v>
      </c>
      <c r="X535" s="77"/>
      <c r="Y535" s="77"/>
      <c r="Z535" s="77"/>
      <c r="AA535" s="77" t="s">
        <v>2342</v>
      </c>
      <c r="AB535" s="77" t="s">
        <v>2632</v>
      </c>
      <c r="AC535" s="82" t="s">
        <v>2642</v>
      </c>
      <c r="AD535" s="77" t="s">
        <v>2670</v>
      </c>
      <c r="AE535" s="80" t="str">
        <f>HYPERLINK("https://twitter.com/eurofinanceira_/status/1660715927791366145")</f>
        <v>https://twitter.com/eurofinanceira_/status/1660715927791366145</v>
      </c>
      <c r="AF535" s="79">
        <v>45068.774375000001</v>
      </c>
      <c r="AG535" s="85">
        <v>45068</v>
      </c>
      <c r="AH535" s="82" t="s">
        <v>3171</v>
      </c>
      <c r="AI535" s="77" t="b">
        <v>0</v>
      </c>
      <c r="AJ535" s="77"/>
      <c r="AK535" s="77"/>
      <c r="AL535" s="77"/>
      <c r="AM535" s="77"/>
      <c r="AN535" s="77"/>
      <c r="AO535" s="77"/>
      <c r="AP535" s="77"/>
      <c r="AQ535" s="77" t="s">
        <v>3771</v>
      </c>
      <c r="AR535" s="77"/>
      <c r="AS535" s="77"/>
      <c r="AT535" s="77"/>
      <c r="AU535" s="77"/>
      <c r="AV535" s="80" t="str">
        <f>HYPERLINK("https://pbs.twimg.com/media/FwwMVWqWIBE7h8U.jpg")</f>
        <v>https://pbs.twimg.com/media/FwwMVWqWIBE7h8U.jpg</v>
      </c>
      <c r="AW535" s="82" t="s">
        <v>4586</v>
      </c>
      <c r="AX535" s="82" t="s">
        <v>4586</v>
      </c>
      <c r="AY535" s="77"/>
      <c r="AZ535" s="82" t="s">
        <v>5075</v>
      </c>
      <c r="BA535" s="82" t="s">
        <v>5075</v>
      </c>
      <c r="BB535" s="82" t="s">
        <v>5075</v>
      </c>
      <c r="BC535" s="82" t="s">
        <v>4586</v>
      </c>
      <c r="BD535" s="82" t="s">
        <v>5230</v>
      </c>
      <c r="BE535" s="77"/>
      <c r="BF535" s="77"/>
      <c r="BG535" s="77"/>
      <c r="BH535" s="77"/>
      <c r="BI535" s="77"/>
    </row>
    <row r="536" spans="1:61" x14ac:dyDescent="0.25">
      <c r="A536" s="62" t="s">
        <v>422</v>
      </c>
      <c r="B536" s="62" t="s">
        <v>422</v>
      </c>
      <c r="C536" s="63"/>
      <c r="D536" s="64"/>
      <c r="E536" s="65"/>
      <c r="F536" s="66"/>
      <c r="G536" s="63"/>
      <c r="H536" s="67"/>
      <c r="I536" s="68"/>
      <c r="J536" s="68"/>
      <c r="K536" s="32"/>
      <c r="L536" s="75">
        <v>536</v>
      </c>
      <c r="M536" s="75"/>
      <c r="N536" s="70"/>
      <c r="O536" s="77" t="s">
        <v>179</v>
      </c>
      <c r="P536" s="79">
        <v>45163.029085648152</v>
      </c>
      <c r="Q536" s="77" t="s">
        <v>1063</v>
      </c>
      <c r="R536" s="77">
        <v>0</v>
      </c>
      <c r="S536" s="77">
        <v>0</v>
      </c>
      <c r="T536" s="77">
        <v>0</v>
      </c>
      <c r="U536" s="77">
        <v>0</v>
      </c>
      <c r="V536" s="77">
        <v>12</v>
      </c>
      <c r="W536" s="82" t="s">
        <v>1845</v>
      </c>
      <c r="X536" s="80" t="str">
        <f>HYPERLINK("https://mastermaverick.com.br/2023/08/educacao-financeira-o-primeiro-passo-para-o-sucesso-nos-investimentos")</f>
        <v>https://mastermaverick.com.br/2023/08/educacao-financeira-o-primeiro-passo-para-o-sucesso-nos-investimentos</v>
      </c>
      <c r="Y536" s="77" t="s">
        <v>1978</v>
      </c>
      <c r="Z536" s="77"/>
      <c r="AA536" s="77"/>
      <c r="AB536" s="77"/>
      <c r="AC536" s="82" t="s">
        <v>2639</v>
      </c>
      <c r="AD536" s="77" t="s">
        <v>2670</v>
      </c>
      <c r="AE536" s="80" t="str">
        <f>HYPERLINK("https://twitter.com/rafaelr36886877/status/1694872690308325409")</f>
        <v>https://twitter.com/rafaelr36886877/status/1694872690308325409</v>
      </c>
      <c r="AF536" s="79">
        <v>45163.029085648152</v>
      </c>
      <c r="AG536" s="85">
        <v>45163</v>
      </c>
      <c r="AH536" s="82" t="s">
        <v>3172</v>
      </c>
      <c r="AI536" s="77" t="b">
        <v>0</v>
      </c>
      <c r="AJ536" s="77"/>
      <c r="AK536" s="77"/>
      <c r="AL536" s="77"/>
      <c r="AM536" s="77"/>
      <c r="AN536" s="77"/>
      <c r="AO536" s="77"/>
      <c r="AP536" s="77"/>
      <c r="AQ536" s="77"/>
      <c r="AR536" s="77"/>
      <c r="AS536" s="77"/>
      <c r="AT536" s="77"/>
      <c r="AU536" s="77"/>
      <c r="AV536" s="80" t="str">
        <f>HYPERLINK("https://pbs.twimg.com/profile_images/1031269592981757952/jq-a1X5A_normal.jpg")</f>
        <v>https://pbs.twimg.com/profile_images/1031269592981757952/jq-a1X5A_normal.jpg</v>
      </c>
      <c r="AW536" s="82" t="s">
        <v>4587</v>
      </c>
      <c r="AX536" s="82" t="s">
        <v>4587</v>
      </c>
      <c r="AY536" s="77"/>
      <c r="AZ536" s="82" t="s">
        <v>5075</v>
      </c>
      <c r="BA536" s="82" t="s">
        <v>5075</v>
      </c>
      <c r="BB536" s="82" t="s">
        <v>5075</v>
      </c>
      <c r="BC536" s="82" t="s">
        <v>4587</v>
      </c>
      <c r="BD536" s="82" t="s">
        <v>5231</v>
      </c>
      <c r="BE536" s="77"/>
      <c r="BF536" s="77"/>
      <c r="BG536" s="77"/>
      <c r="BH536" s="77"/>
      <c r="BI536" s="77"/>
    </row>
    <row r="537" spans="1:61" x14ac:dyDescent="0.25">
      <c r="A537" s="62" t="s">
        <v>423</v>
      </c>
      <c r="B537" s="62" t="s">
        <v>423</v>
      </c>
      <c r="C537" s="63"/>
      <c r="D537" s="64"/>
      <c r="E537" s="65"/>
      <c r="F537" s="66"/>
      <c r="G537" s="63"/>
      <c r="H537" s="67"/>
      <c r="I537" s="68"/>
      <c r="J537" s="68"/>
      <c r="K537" s="32"/>
      <c r="L537" s="75">
        <v>537</v>
      </c>
      <c r="M537" s="75"/>
      <c r="N537" s="70"/>
      <c r="O537" s="77" t="s">
        <v>179</v>
      </c>
      <c r="P537" s="79">
        <v>44957.551365740743</v>
      </c>
      <c r="Q537" s="77" t="s">
        <v>1064</v>
      </c>
      <c r="R537" s="77">
        <v>0</v>
      </c>
      <c r="S537" s="77">
        <v>0</v>
      </c>
      <c r="T537" s="77">
        <v>0</v>
      </c>
      <c r="U537" s="77">
        <v>0</v>
      </c>
      <c r="V537" s="77">
        <v>1</v>
      </c>
      <c r="W537" s="82" t="s">
        <v>1546</v>
      </c>
      <c r="X537" s="77"/>
      <c r="Y537" s="77"/>
      <c r="Z537" s="77"/>
      <c r="AA537" s="77"/>
      <c r="AB537" s="77"/>
      <c r="AC537" s="82" t="s">
        <v>2638</v>
      </c>
      <c r="AD537" s="77" t="s">
        <v>2670</v>
      </c>
      <c r="AE537" s="80" t="str">
        <f>HYPERLINK("https://twitter.com/tiagoam80/status/1620410057153449985")</f>
        <v>https://twitter.com/tiagoam80/status/1620410057153449985</v>
      </c>
      <c r="AF537" s="79">
        <v>44957.551365740743</v>
      </c>
      <c r="AG537" s="85">
        <v>44957</v>
      </c>
      <c r="AH537" s="82" t="s">
        <v>3173</v>
      </c>
      <c r="AI537" s="77"/>
      <c r="AJ537" s="77"/>
      <c r="AK537" s="77"/>
      <c r="AL537" s="77"/>
      <c r="AM537" s="77"/>
      <c r="AN537" s="77"/>
      <c r="AO537" s="77"/>
      <c r="AP537" s="77"/>
      <c r="AQ537" s="77"/>
      <c r="AR537" s="77"/>
      <c r="AS537" s="77"/>
      <c r="AT537" s="77"/>
      <c r="AU537" s="77"/>
      <c r="AV537" s="80" t="str">
        <f>HYPERLINK("https://pbs.twimg.com/profile_images/1601675493593341952/5nwvoGdk_normal.jpg")</f>
        <v>https://pbs.twimg.com/profile_images/1601675493593341952/5nwvoGdk_normal.jpg</v>
      </c>
      <c r="AW537" s="82" t="s">
        <v>4588</v>
      </c>
      <c r="AX537" s="82" t="s">
        <v>4588</v>
      </c>
      <c r="AY537" s="77"/>
      <c r="AZ537" s="82" t="s">
        <v>5075</v>
      </c>
      <c r="BA537" s="82" t="s">
        <v>5075</v>
      </c>
      <c r="BB537" s="82" t="s">
        <v>5075</v>
      </c>
      <c r="BC537" s="82" t="s">
        <v>4588</v>
      </c>
      <c r="BD537" s="82" t="s">
        <v>5232</v>
      </c>
      <c r="BE537" s="77"/>
      <c r="BF537" s="77"/>
      <c r="BG537" s="77"/>
      <c r="BH537" s="77"/>
      <c r="BI537" s="77"/>
    </row>
    <row r="538" spans="1:61" x14ac:dyDescent="0.25">
      <c r="A538" s="62" t="s">
        <v>424</v>
      </c>
      <c r="B538" s="62" t="s">
        <v>424</v>
      </c>
      <c r="C538" s="63"/>
      <c r="D538" s="64"/>
      <c r="E538" s="65"/>
      <c r="F538" s="66"/>
      <c r="G538" s="63"/>
      <c r="H538" s="67"/>
      <c r="I538" s="68"/>
      <c r="J538" s="68"/>
      <c r="K538" s="32"/>
      <c r="L538" s="75">
        <v>538</v>
      </c>
      <c r="M538" s="75"/>
      <c r="N538" s="70"/>
      <c r="O538" s="77" t="s">
        <v>179</v>
      </c>
      <c r="P538" s="79">
        <v>45062.87572916667</v>
      </c>
      <c r="Q538" s="77" t="s">
        <v>1065</v>
      </c>
      <c r="R538" s="77">
        <v>0</v>
      </c>
      <c r="S538" s="77">
        <v>0</v>
      </c>
      <c r="T538" s="77">
        <v>0</v>
      </c>
      <c r="U538" s="77">
        <v>0</v>
      </c>
      <c r="V538" s="77">
        <v>69</v>
      </c>
      <c r="W538" s="82" t="s">
        <v>1846</v>
      </c>
      <c r="X538" s="80" t="str">
        <f>HYPERLINK("http://metodotdl.com.br/tdl/telegram")</f>
        <v>http://metodotdl.com.br/tdl/telegram</v>
      </c>
      <c r="Y538" s="77" t="s">
        <v>1978</v>
      </c>
      <c r="Z538" s="77"/>
      <c r="AA538" s="77" t="s">
        <v>2343</v>
      </c>
      <c r="AB538" s="77" t="s">
        <v>2632</v>
      </c>
      <c r="AC538" s="82" t="s">
        <v>2642</v>
      </c>
      <c r="AD538" s="77" t="s">
        <v>2670</v>
      </c>
      <c r="AE538" s="80" t="str">
        <f>HYPERLINK("https://twitter.com/metodotdl/status/1658578329228771328")</f>
        <v>https://twitter.com/metodotdl/status/1658578329228771328</v>
      </c>
      <c r="AF538" s="79">
        <v>45062.87572916667</v>
      </c>
      <c r="AG538" s="85">
        <v>45062</v>
      </c>
      <c r="AH538" s="82" t="s">
        <v>2904</v>
      </c>
      <c r="AI538" s="77" t="b">
        <v>0</v>
      </c>
      <c r="AJ538" s="77"/>
      <c r="AK538" s="77"/>
      <c r="AL538" s="77"/>
      <c r="AM538" s="77"/>
      <c r="AN538" s="77"/>
      <c r="AO538" s="77"/>
      <c r="AP538" s="77"/>
      <c r="AQ538" s="77" t="s">
        <v>3772</v>
      </c>
      <c r="AR538" s="77"/>
      <c r="AS538" s="77"/>
      <c r="AT538" s="77"/>
      <c r="AU538" s="77"/>
      <c r="AV538" s="80" t="str">
        <f>HYPERLINK("https://pbs.twimg.com/media/FwR0M2JX0AEpx6U.jpg")</f>
        <v>https://pbs.twimg.com/media/FwR0M2JX0AEpx6U.jpg</v>
      </c>
      <c r="AW538" s="82" t="s">
        <v>4589</v>
      </c>
      <c r="AX538" s="82" t="s">
        <v>4589</v>
      </c>
      <c r="AY538" s="77"/>
      <c r="AZ538" s="82" t="s">
        <v>5075</v>
      </c>
      <c r="BA538" s="82" t="s">
        <v>5075</v>
      </c>
      <c r="BB538" s="82" t="s">
        <v>5075</v>
      </c>
      <c r="BC538" s="82" t="s">
        <v>4589</v>
      </c>
      <c r="BD538" s="82" t="s">
        <v>5233</v>
      </c>
      <c r="BE538" s="77"/>
      <c r="BF538" s="77"/>
      <c r="BG538" s="77"/>
      <c r="BH538" s="77"/>
      <c r="BI538" s="77"/>
    </row>
    <row r="539" spans="1:61" x14ac:dyDescent="0.25">
      <c r="A539" s="62" t="s">
        <v>424</v>
      </c>
      <c r="B539" s="62" t="s">
        <v>424</v>
      </c>
      <c r="C539" s="63"/>
      <c r="D539" s="64"/>
      <c r="E539" s="65"/>
      <c r="F539" s="66"/>
      <c r="G539" s="63"/>
      <c r="H539" s="67"/>
      <c r="I539" s="68"/>
      <c r="J539" s="68"/>
      <c r="K539" s="32"/>
      <c r="L539" s="75">
        <v>539</v>
      </c>
      <c r="M539" s="75"/>
      <c r="N539" s="70"/>
      <c r="O539" s="77" t="s">
        <v>179</v>
      </c>
      <c r="P539" s="79">
        <v>45048.875636574077</v>
      </c>
      <c r="Q539" s="77" t="s">
        <v>1066</v>
      </c>
      <c r="R539" s="77">
        <v>0</v>
      </c>
      <c r="S539" s="77">
        <v>0</v>
      </c>
      <c r="T539" s="77">
        <v>0</v>
      </c>
      <c r="U539" s="77">
        <v>0</v>
      </c>
      <c r="V539" s="77">
        <v>115</v>
      </c>
      <c r="W539" s="82" t="s">
        <v>1846</v>
      </c>
      <c r="X539" s="80" t="str">
        <f>HYPERLINK("http://metodotdl.com.br/tdl/telegram")</f>
        <v>http://metodotdl.com.br/tdl/telegram</v>
      </c>
      <c r="Y539" s="77" t="s">
        <v>1978</v>
      </c>
      <c r="Z539" s="77"/>
      <c r="AA539" s="77" t="s">
        <v>2344</v>
      </c>
      <c r="AB539" s="77" t="s">
        <v>2632</v>
      </c>
      <c r="AC539" s="82" t="s">
        <v>2642</v>
      </c>
      <c r="AD539" s="77" t="s">
        <v>2670</v>
      </c>
      <c r="AE539" s="80" t="str">
        <f>HYPERLINK("https://twitter.com/metodotdl/status/1653504866063470621")</f>
        <v>https://twitter.com/metodotdl/status/1653504866063470621</v>
      </c>
      <c r="AF539" s="79">
        <v>45048.875636574077</v>
      </c>
      <c r="AG539" s="85">
        <v>45048</v>
      </c>
      <c r="AH539" s="82" t="s">
        <v>3174</v>
      </c>
      <c r="AI539" s="77" t="b">
        <v>0</v>
      </c>
      <c r="AJ539" s="77"/>
      <c r="AK539" s="77"/>
      <c r="AL539" s="77"/>
      <c r="AM539" s="77"/>
      <c r="AN539" s="77"/>
      <c r="AO539" s="77"/>
      <c r="AP539" s="77"/>
      <c r="AQ539" s="77" t="s">
        <v>3773</v>
      </c>
      <c r="AR539" s="77"/>
      <c r="AS539" s="77"/>
      <c r="AT539" s="77"/>
      <c r="AU539" s="77"/>
      <c r="AV539" s="80" t="str">
        <f>HYPERLINK("https://pbs.twimg.com/media/FvJt6cSX0A0e5Na.jpg")</f>
        <v>https://pbs.twimg.com/media/FvJt6cSX0A0e5Na.jpg</v>
      </c>
      <c r="AW539" s="82" t="s">
        <v>4590</v>
      </c>
      <c r="AX539" s="82" t="s">
        <v>4590</v>
      </c>
      <c r="AY539" s="77"/>
      <c r="AZ539" s="82" t="s">
        <v>5075</v>
      </c>
      <c r="BA539" s="82" t="s">
        <v>5075</v>
      </c>
      <c r="BB539" s="82" t="s">
        <v>5075</v>
      </c>
      <c r="BC539" s="82" t="s">
        <v>4590</v>
      </c>
      <c r="BD539" s="82" t="s">
        <v>5233</v>
      </c>
      <c r="BE539" s="77"/>
      <c r="BF539" s="77"/>
      <c r="BG539" s="77"/>
      <c r="BH539" s="77"/>
      <c r="BI539" s="77"/>
    </row>
    <row r="540" spans="1:61" x14ac:dyDescent="0.25">
      <c r="A540" s="62" t="s">
        <v>424</v>
      </c>
      <c r="B540" s="62" t="s">
        <v>424</v>
      </c>
      <c r="C540" s="63"/>
      <c r="D540" s="64"/>
      <c r="E540" s="65"/>
      <c r="F540" s="66"/>
      <c r="G540" s="63"/>
      <c r="H540" s="67"/>
      <c r="I540" s="68"/>
      <c r="J540" s="68"/>
      <c r="K540" s="32"/>
      <c r="L540" s="75">
        <v>540</v>
      </c>
      <c r="M540" s="75"/>
      <c r="N540" s="70"/>
      <c r="O540" s="77" t="s">
        <v>179</v>
      </c>
      <c r="P540" s="79">
        <v>45041.875671296293</v>
      </c>
      <c r="Q540" s="77" t="s">
        <v>1067</v>
      </c>
      <c r="R540" s="77">
        <v>0</v>
      </c>
      <c r="S540" s="77">
        <v>0</v>
      </c>
      <c r="T540" s="77">
        <v>0</v>
      </c>
      <c r="U540" s="77">
        <v>0</v>
      </c>
      <c r="V540" s="77">
        <v>72</v>
      </c>
      <c r="W540" s="82" t="s">
        <v>1846</v>
      </c>
      <c r="X540" s="80" t="str">
        <f>HYPERLINK("http://metodotdl.com.br/tdl/telegram")</f>
        <v>http://metodotdl.com.br/tdl/telegram</v>
      </c>
      <c r="Y540" s="77" t="s">
        <v>1978</v>
      </c>
      <c r="Z540" s="77"/>
      <c r="AA540" s="77" t="s">
        <v>2345</v>
      </c>
      <c r="AB540" s="77" t="s">
        <v>2632</v>
      </c>
      <c r="AC540" s="82" t="s">
        <v>2642</v>
      </c>
      <c r="AD540" s="77" t="s">
        <v>2670</v>
      </c>
      <c r="AE540" s="80" t="str">
        <f>HYPERLINK("https://twitter.com/metodotdl/status/1650968165281562632")</f>
        <v>https://twitter.com/metodotdl/status/1650968165281562632</v>
      </c>
      <c r="AF540" s="79">
        <v>45041.875671296293</v>
      </c>
      <c r="AG540" s="85">
        <v>45041</v>
      </c>
      <c r="AH540" s="82" t="s">
        <v>3175</v>
      </c>
      <c r="AI540" s="77" t="b">
        <v>0</v>
      </c>
      <c r="AJ540" s="77"/>
      <c r="AK540" s="77"/>
      <c r="AL540" s="77"/>
      <c r="AM540" s="77"/>
      <c r="AN540" s="77"/>
      <c r="AO540" s="77"/>
      <c r="AP540" s="77"/>
      <c r="AQ540" s="77" t="s">
        <v>3774</v>
      </c>
      <c r="AR540" s="77"/>
      <c r="AS540" s="77"/>
      <c r="AT540" s="77"/>
      <c r="AU540" s="77"/>
      <c r="AV540" s="80" t="str">
        <f>HYPERLINK("https://pbs.twimg.com/media/FulqzBgWwAIaFzT.jpg")</f>
        <v>https://pbs.twimg.com/media/FulqzBgWwAIaFzT.jpg</v>
      </c>
      <c r="AW540" s="82" t="s">
        <v>4591</v>
      </c>
      <c r="AX540" s="82" t="s">
        <v>4591</v>
      </c>
      <c r="AY540" s="77"/>
      <c r="AZ540" s="82" t="s">
        <v>5075</v>
      </c>
      <c r="BA540" s="82" t="s">
        <v>5075</v>
      </c>
      <c r="BB540" s="82" t="s">
        <v>5075</v>
      </c>
      <c r="BC540" s="82" t="s">
        <v>4591</v>
      </c>
      <c r="BD540" s="82" t="s">
        <v>5233</v>
      </c>
      <c r="BE540" s="77"/>
      <c r="BF540" s="77"/>
      <c r="BG540" s="77"/>
      <c r="BH540" s="77"/>
      <c r="BI540" s="77"/>
    </row>
    <row r="541" spans="1:61" x14ac:dyDescent="0.25">
      <c r="A541" s="62" t="s">
        <v>424</v>
      </c>
      <c r="B541" s="62" t="s">
        <v>424</v>
      </c>
      <c r="C541" s="63"/>
      <c r="D541" s="64"/>
      <c r="E541" s="65"/>
      <c r="F541" s="66"/>
      <c r="G541" s="63"/>
      <c r="H541" s="67"/>
      <c r="I541" s="68"/>
      <c r="J541" s="68"/>
      <c r="K541" s="32"/>
      <c r="L541" s="75">
        <v>541</v>
      </c>
      <c r="M541" s="75"/>
      <c r="N541" s="70"/>
      <c r="O541" s="77" t="s">
        <v>179</v>
      </c>
      <c r="P541" s="79">
        <v>45033.875601851854</v>
      </c>
      <c r="Q541" s="77" t="s">
        <v>1068</v>
      </c>
      <c r="R541" s="77">
        <v>0</v>
      </c>
      <c r="S541" s="77">
        <v>0</v>
      </c>
      <c r="T541" s="77">
        <v>0</v>
      </c>
      <c r="U541" s="77">
        <v>0</v>
      </c>
      <c r="V541" s="77">
        <v>94</v>
      </c>
      <c r="W541" s="82" t="s">
        <v>1846</v>
      </c>
      <c r="X541" s="80" t="str">
        <f>HYPERLINK("http://metodotdl.com.br/tdl/telegram")</f>
        <v>http://metodotdl.com.br/tdl/telegram</v>
      </c>
      <c r="Y541" s="77" t="s">
        <v>1978</v>
      </c>
      <c r="Z541" s="77"/>
      <c r="AA541" s="77" t="s">
        <v>2346</v>
      </c>
      <c r="AB541" s="77" t="s">
        <v>2632</v>
      </c>
      <c r="AC541" s="82" t="s">
        <v>2642</v>
      </c>
      <c r="AD541" s="77" t="s">
        <v>2670</v>
      </c>
      <c r="AE541" s="80" t="str">
        <f>HYPERLINK("https://twitter.com/metodotdl/status/1648069036842930177")</f>
        <v>https://twitter.com/metodotdl/status/1648069036842930177</v>
      </c>
      <c r="AF541" s="79">
        <v>45033.875601851854</v>
      </c>
      <c r="AG541" s="85">
        <v>45033</v>
      </c>
      <c r="AH541" s="82" t="s">
        <v>3176</v>
      </c>
      <c r="AI541" s="77" t="b">
        <v>0</v>
      </c>
      <c r="AJ541" s="77"/>
      <c r="AK541" s="77"/>
      <c r="AL541" s="77"/>
      <c r="AM541" s="77"/>
      <c r="AN541" s="77"/>
      <c r="AO541" s="77"/>
      <c r="AP541" s="77"/>
      <c r="AQ541" s="77" t="s">
        <v>3775</v>
      </c>
      <c r="AR541" s="77"/>
      <c r="AS541" s="77"/>
      <c r="AT541" s="77"/>
      <c r="AU541" s="77"/>
      <c r="AV541" s="80" t="str">
        <f>HYPERLINK("https://pbs.twimg.com/media/Ft8eDhqXgAAlNfT.jpg")</f>
        <v>https://pbs.twimg.com/media/Ft8eDhqXgAAlNfT.jpg</v>
      </c>
      <c r="AW541" s="82" t="s">
        <v>4592</v>
      </c>
      <c r="AX541" s="82" t="s">
        <v>4592</v>
      </c>
      <c r="AY541" s="77"/>
      <c r="AZ541" s="82" t="s">
        <v>5075</v>
      </c>
      <c r="BA541" s="82" t="s">
        <v>5075</v>
      </c>
      <c r="BB541" s="82" t="s">
        <v>5075</v>
      </c>
      <c r="BC541" s="82" t="s">
        <v>4592</v>
      </c>
      <c r="BD541" s="82" t="s">
        <v>5233</v>
      </c>
      <c r="BE541" s="77"/>
      <c r="BF541" s="77"/>
      <c r="BG541" s="77"/>
      <c r="BH541" s="77"/>
      <c r="BI541" s="77"/>
    </row>
    <row r="542" spans="1:61" x14ac:dyDescent="0.25">
      <c r="A542" s="62" t="s">
        <v>424</v>
      </c>
      <c r="B542" s="62" t="s">
        <v>424</v>
      </c>
      <c r="C542" s="63"/>
      <c r="D542" s="64"/>
      <c r="E542" s="65"/>
      <c r="F542" s="66"/>
      <c r="G542" s="63"/>
      <c r="H542" s="67"/>
      <c r="I542" s="68"/>
      <c r="J542" s="68"/>
      <c r="K542" s="32"/>
      <c r="L542" s="75">
        <v>542</v>
      </c>
      <c r="M542" s="75"/>
      <c r="N542" s="70"/>
      <c r="O542" s="77" t="s">
        <v>179</v>
      </c>
      <c r="P542" s="79">
        <v>45029.875578703701</v>
      </c>
      <c r="Q542" s="77" t="s">
        <v>1069</v>
      </c>
      <c r="R542" s="77">
        <v>0</v>
      </c>
      <c r="S542" s="77">
        <v>0</v>
      </c>
      <c r="T542" s="77">
        <v>0</v>
      </c>
      <c r="U542" s="77">
        <v>0</v>
      </c>
      <c r="V542" s="77">
        <v>86</v>
      </c>
      <c r="W542" s="82" t="s">
        <v>1846</v>
      </c>
      <c r="X542" s="80" t="str">
        <f>HYPERLINK("http://metodotdl.com.br/tdl/telegram")</f>
        <v>http://metodotdl.com.br/tdl/telegram</v>
      </c>
      <c r="Y542" s="77" t="s">
        <v>1978</v>
      </c>
      <c r="Z542" s="77"/>
      <c r="AA542" s="77" t="s">
        <v>2347</v>
      </c>
      <c r="AB542" s="77" t="s">
        <v>2632</v>
      </c>
      <c r="AC542" s="82" t="s">
        <v>2642</v>
      </c>
      <c r="AD542" s="77" t="s">
        <v>2670</v>
      </c>
      <c r="AE542" s="80" t="str">
        <f>HYPERLINK("https://twitter.com/metodotdl/status/1646619477872726016")</f>
        <v>https://twitter.com/metodotdl/status/1646619477872726016</v>
      </c>
      <c r="AF542" s="79">
        <v>45029.875578703701</v>
      </c>
      <c r="AG542" s="85">
        <v>45029</v>
      </c>
      <c r="AH542" s="82" t="s">
        <v>3177</v>
      </c>
      <c r="AI542" s="77" t="b">
        <v>0</v>
      </c>
      <c r="AJ542" s="77"/>
      <c r="AK542" s="77"/>
      <c r="AL542" s="77"/>
      <c r="AM542" s="77"/>
      <c r="AN542" s="77"/>
      <c r="AO542" s="77"/>
      <c r="AP542" s="77"/>
      <c r="AQ542" s="77" t="s">
        <v>3776</v>
      </c>
      <c r="AR542" s="77"/>
      <c r="AS542" s="77"/>
      <c r="AT542" s="77"/>
      <c r="AU542" s="77"/>
      <c r="AV542" s="80" t="str">
        <f>HYPERLINK("https://pbs.twimg.com/media/Ftn3sA-WYAMAK9E.jpg")</f>
        <v>https://pbs.twimg.com/media/Ftn3sA-WYAMAK9E.jpg</v>
      </c>
      <c r="AW542" s="82" t="s">
        <v>4593</v>
      </c>
      <c r="AX542" s="82" t="s">
        <v>4593</v>
      </c>
      <c r="AY542" s="77"/>
      <c r="AZ542" s="82" t="s">
        <v>5075</v>
      </c>
      <c r="BA542" s="82" t="s">
        <v>5075</v>
      </c>
      <c r="BB542" s="82" t="s">
        <v>5075</v>
      </c>
      <c r="BC542" s="82" t="s">
        <v>4593</v>
      </c>
      <c r="BD542" s="82" t="s">
        <v>5233</v>
      </c>
      <c r="BE542" s="77"/>
      <c r="BF542" s="77"/>
      <c r="BG542" s="77"/>
      <c r="BH542" s="77"/>
      <c r="BI542" s="77"/>
    </row>
    <row r="543" spans="1:61" x14ac:dyDescent="0.25">
      <c r="A543" s="62" t="s">
        <v>424</v>
      </c>
      <c r="B543" s="62" t="s">
        <v>424</v>
      </c>
      <c r="C543" s="63"/>
      <c r="D543" s="64"/>
      <c r="E543" s="65"/>
      <c r="F543" s="66"/>
      <c r="G543" s="63"/>
      <c r="H543" s="67"/>
      <c r="I543" s="68"/>
      <c r="J543" s="68"/>
      <c r="K543" s="32"/>
      <c r="L543" s="75">
        <v>543</v>
      </c>
      <c r="M543" s="75"/>
      <c r="N543" s="70"/>
      <c r="O543" s="77" t="s">
        <v>179</v>
      </c>
      <c r="P543" s="79">
        <v>45020.882094907407</v>
      </c>
      <c r="Q543" s="77" t="s">
        <v>1070</v>
      </c>
      <c r="R543" s="77">
        <v>0</v>
      </c>
      <c r="S543" s="77">
        <v>0</v>
      </c>
      <c r="T543" s="77">
        <v>0</v>
      </c>
      <c r="U543" s="77">
        <v>0</v>
      </c>
      <c r="V543" s="77">
        <v>89</v>
      </c>
      <c r="W543" s="82" t="s">
        <v>1846</v>
      </c>
      <c r="X543" s="80" t="str">
        <f>HYPERLINK("http://metodotdl.com.br/tdl/telegram")</f>
        <v>http://metodotdl.com.br/tdl/telegram</v>
      </c>
      <c r="Y543" s="77" t="s">
        <v>1978</v>
      </c>
      <c r="Z543" s="77"/>
      <c r="AA543" s="77" t="s">
        <v>2348</v>
      </c>
      <c r="AB543" s="77" t="s">
        <v>2632</v>
      </c>
      <c r="AC543" s="82" t="s">
        <v>2642</v>
      </c>
      <c r="AD543" s="77" t="s">
        <v>2670</v>
      </c>
      <c r="AE543" s="80" t="str">
        <f>HYPERLINK("https://twitter.com/metodotdl/status/1643360346726449153")</f>
        <v>https://twitter.com/metodotdl/status/1643360346726449153</v>
      </c>
      <c r="AF543" s="79">
        <v>45020.882094907407</v>
      </c>
      <c r="AG543" s="85">
        <v>45020</v>
      </c>
      <c r="AH543" s="82" t="s">
        <v>3178</v>
      </c>
      <c r="AI543" s="77" t="b">
        <v>0</v>
      </c>
      <c r="AJ543" s="77"/>
      <c r="AK543" s="77"/>
      <c r="AL543" s="77"/>
      <c r="AM543" s="77"/>
      <c r="AN543" s="77"/>
      <c r="AO543" s="77"/>
      <c r="AP543" s="77"/>
      <c r="AQ543" s="77" t="s">
        <v>3777</v>
      </c>
      <c r="AR543" s="77"/>
      <c r="AS543" s="77"/>
      <c r="AT543" s="77"/>
      <c r="AU543" s="77"/>
      <c r="AV543" s="80" t="str">
        <f>HYPERLINK("https://pbs.twimg.com/media/Fs5jhthXgAQ17PI.jpg")</f>
        <v>https://pbs.twimg.com/media/Fs5jhthXgAQ17PI.jpg</v>
      </c>
      <c r="AW543" s="82" t="s">
        <v>4594</v>
      </c>
      <c r="AX543" s="82" t="s">
        <v>4594</v>
      </c>
      <c r="AY543" s="77"/>
      <c r="AZ543" s="82" t="s">
        <v>5075</v>
      </c>
      <c r="BA543" s="82" t="s">
        <v>5075</v>
      </c>
      <c r="BB543" s="82" t="s">
        <v>5075</v>
      </c>
      <c r="BC543" s="82" t="s">
        <v>4594</v>
      </c>
      <c r="BD543" s="82" t="s">
        <v>5233</v>
      </c>
      <c r="BE543" s="77"/>
      <c r="BF543" s="77"/>
      <c r="BG543" s="77"/>
      <c r="BH543" s="77"/>
      <c r="BI543" s="77"/>
    </row>
    <row r="544" spans="1:61" x14ac:dyDescent="0.25">
      <c r="A544" s="62" t="s">
        <v>424</v>
      </c>
      <c r="B544" s="62" t="s">
        <v>424</v>
      </c>
      <c r="C544" s="63"/>
      <c r="D544" s="64"/>
      <c r="E544" s="65"/>
      <c r="F544" s="66"/>
      <c r="G544" s="63"/>
      <c r="H544" s="67"/>
      <c r="I544" s="68"/>
      <c r="J544" s="68"/>
      <c r="K544" s="32"/>
      <c r="L544" s="75">
        <v>544</v>
      </c>
      <c r="M544" s="75"/>
      <c r="N544" s="70"/>
      <c r="O544" s="77" t="s">
        <v>179</v>
      </c>
      <c r="P544" s="79">
        <v>44994.875393518516</v>
      </c>
      <c r="Q544" s="77" t="s">
        <v>1071</v>
      </c>
      <c r="R544" s="77">
        <v>0</v>
      </c>
      <c r="S544" s="77">
        <v>0</v>
      </c>
      <c r="T544" s="77">
        <v>0</v>
      </c>
      <c r="U544" s="77">
        <v>0</v>
      </c>
      <c r="V544" s="77">
        <v>24</v>
      </c>
      <c r="W544" s="82" t="s">
        <v>1846</v>
      </c>
      <c r="X544" s="80" t="str">
        <f>HYPERLINK("http://metodotdl.com.br/tdl/telegram")</f>
        <v>http://metodotdl.com.br/tdl/telegram</v>
      </c>
      <c r="Y544" s="77" t="s">
        <v>1978</v>
      </c>
      <c r="Z544" s="77"/>
      <c r="AA544" s="77" t="s">
        <v>2349</v>
      </c>
      <c r="AB544" s="77" t="s">
        <v>2632</v>
      </c>
      <c r="AC544" s="82" t="s">
        <v>2642</v>
      </c>
      <c r="AD544" s="77" t="s">
        <v>2670</v>
      </c>
      <c r="AE544" s="80" t="str">
        <f>HYPERLINK("https://twitter.com/metodotdl/status/1633935832322015233")</f>
        <v>https://twitter.com/metodotdl/status/1633935832322015233</v>
      </c>
      <c r="AF544" s="79">
        <v>44994.875393518516</v>
      </c>
      <c r="AG544" s="85">
        <v>44994</v>
      </c>
      <c r="AH544" s="82" t="s">
        <v>2901</v>
      </c>
      <c r="AI544" s="77" t="b">
        <v>0</v>
      </c>
      <c r="AJ544" s="77"/>
      <c r="AK544" s="77"/>
      <c r="AL544" s="77"/>
      <c r="AM544" s="77"/>
      <c r="AN544" s="77"/>
      <c r="AO544" s="77"/>
      <c r="AP544" s="77"/>
      <c r="AQ544" s="77" t="s">
        <v>3778</v>
      </c>
      <c r="AR544" s="77"/>
      <c r="AS544" s="77"/>
      <c r="AT544" s="77"/>
      <c r="AU544" s="77"/>
      <c r="AV544" s="80" t="str">
        <f>HYPERLINK("https://pbs.twimg.com/media/Fqzn-uhWIAQJQCf.jpg")</f>
        <v>https://pbs.twimg.com/media/Fqzn-uhWIAQJQCf.jpg</v>
      </c>
      <c r="AW544" s="82" t="s">
        <v>4595</v>
      </c>
      <c r="AX544" s="82" t="s">
        <v>4595</v>
      </c>
      <c r="AY544" s="77"/>
      <c r="AZ544" s="82" t="s">
        <v>5075</v>
      </c>
      <c r="BA544" s="82" t="s">
        <v>5075</v>
      </c>
      <c r="BB544" s="82" t="s">
        <v>5075</v>
      </c>
      <c r="BC544" s="82" t="s">
        <v>4595</v>
      </c>
      <c r="BD544" s="82" t="s">
        <v>5233</v>
      </c>
      <c r="BE544" s="77"/>
      <c r="BF544" s="77"/>
      <c r="BG544" s="77"/>
      <c r="BH544" s="77"/>
      <c r="BI544" s="77"/>
    </row>
    <row r="545" spans="1:61" x14ac:dyDescent="0.25">
      <c r="A545" s="62" t="s">
        <v>424</v>
      </c>
      <c r="B545" s="62" t="s">
        <v>424</v>
      </c>
      <c r="C545" s="63"/>
      <c r="D545" s="64"/>
      <c r="E545" s="65"/>
      <c r="F545" s="66"/>
      <c r="G545" s="63"/>
      <c r="H545" s="67"/>
      <c r="I545" s="68"/>
      <c r="J545" s="68"/>
      <c r="K545" s="32"/>
      <c r="L545" s="75">
        <v>545</v>
      </c>
      <c r="M545" s="75"/>
      <c r="N545" s="70"/>
      <c r="O545" s="77" t="s">
        <v>179</v>
      </c>
      <c r="P545" s="79">
        <v>44993.8753125</v>
      </c>
      <c r="Q545" s="77" t="s">
        <v>1072</v>
      </c>
      <c r="R545" s="77">
        <v>0</v>
      </c>
      <c r="S545" s="77">
        <v>0</v>
      </c>
      <c r="T545" s="77">
        <v>0</v>
      </c>
      <c r="U545" s="77">
        <v>0</v>
      </c>
      <c r="V545" s="77">
        <v>29</v>
      </c>
      <c r="W545" s="82" t="s">
        <v>1846</v>
      </c>
      <c r="X545" s="80" t="str">
        <f>HYPERLINK("http://metodotdl.com.br/tdl/telegram")</f>
        <v>http://metodotdl.com.br/tdl/telegram</v>
      </c>
      <c r="Y545" s="77" t="s">
        <v>1978</v>
      </c>
      <c r="Z545" s="77"/>
      <c r="AA545" s="77" t="s">
        <v>2350</v>
      </c>
      <c r="AB545" s="77" t="s">
        <v>2632</v>
      </c>
      <c r="AC545" s="82" t="s">
        <v>2642</v>
      </c>
      <c r="AD545" s="77" t="s">
        <v>2670</v>
      </c>
      <c r="AE545" s="80" t="str">
        <f>HYPERLINK("https://twitter.com/metodotdl/status/1633573417726390272")</f>
        <v>https://twitter.com/metodotdl/status/1633573417726390272</v>
      </c>
      <c r="AF545" s="79">
        <v>44993.8753125</v>
      </c>
      <c r="AG545" s="85">
        <v>44993</v>
      </c>
      <c r="AH545" s="82" t="s">
        <v>3179</v>
      </c>
      <c r="AI545" s="77" t="b">
        <v>0</v>
      </c>
      <c r="AJ545" s="77"/>
      <c r="AK545" s="77"/>
      <c r="AL545" s="77"/>
      <c r="AM545" s="77"/>
      <c r="AN545" s="77"/>
      <c r="AO545" s="77"/>
      <c r="AP545" s="77"/>
      <c r="AQ545" s="77" t="s">
        <v>3779</v>
      </c>
      <c r="AR545" s="77"/>
      <c r="AS545" s="77"/>
      <c r="AT545" s="77"/>
      <c r="AU545" s="77"/>
      <c r="AV545" s="80" t="str">
        <f>HYPERLINK("https://pbs.twimg.com/media/FqueXaJWcAQVS1h.jpg")</f>
        <v>https://pbs.twimg.com/media/FqueXaJWcAQVS1h.jpg</v>
      </c>
      <c r="AW545" s="82" t="s">
        <v>4596</v>
      </c>
      <c r="AX545" s="82" t="s">
        <v>4596</v>
      </c>
      <c r="AY545" s="77"/>
      <c r="AZ545" s="82" t="s">
        <v>5075</v>
      </c>
      <c r="BA545" s="82" t="s">
        <v>5075</v>
      </c>
      <c r="BB545" s="82" t="s">
        <v>5075</v>
      </c>
      <c r="BC545" s="82" t="s">
        <v>4596</v>
      </c>
      <c r="BD545" s="82" t="s">
        <v>5233</v>
      </c>
      <c r="BE545" s="77"/>
      <c r="BF545" s="77"/>
      <c r="BG545" s="77"/>
      <c r="BH545" s="77"/>
      <c r="BI545" s="77"/>
    </row>
    <row r="546" spans="1:61" x14ac:dyDescent="0.25">
      <c r="A546" s="62" t="s">
        <v>424</v>
      </c>
      <c r="B546" s="62" t="s">
        <v>424</v>
      </c>
      <c r="C546" s="63"/>
      <c r="D546" s="64"/>
      <c r="E546" s="65"/>
      <c r="F546" s="66"/>
      <c r="G546" s="63"/>
      <c r="H546" s="67"/>
      <c r="I546" s="68"/>
      <c r="J546" s="68"/>
      <c r="K546" s="32"/>
      <c r="L546" s="75">
        <v>546</v>
      </c>
      <c r="M546" s="75"/>
      <c r="N546" s="70"/>
      <c r="O546" s="77" t="s">
        <v>179</v>
      </c>
      <c r="P546" s="79">
        <v>44992.875393518516</v>
      </c>
      <c r="Q546" s="77" t="s">
        <v>1073</v>
      </c>
      <c r="R546" s="77">
        <v>0</v>
      </c>
      <c r="S546" s="77">
        <v>0</v>
      </c>
      <c r="T546" s="77">
        <v>0</v>
      </c>
      <c r="U546" s="77">
        <v>0</v>
      </c>
      <c r="V546" s="77">
        <v>51</v>
      </c>
      <c r="W546" s="82" t="s">
        <v>1846</v>
      </c>
      <c r="X546" s="80" t="str">
        <f>HYPERLINK("http://metodotdl.com.br/tdl/telegram")</f>
        <v>http://metodotdl.com.br/tdl/telegram</v>
      </c>
      <c r="Y546" s="77" t="s">
        <v>1978</v>
      </c>
      <c r="Z546" s="77"/>
      <c r="AA546" s="77" t="s">
        <v>2351</v>
      </c>
      <c r="AB546" s="77" t="s">
        <v>2632</v>
      </c>
      <c r="AC546" s="82" t="s">
        <v>2642</v>
      </c>
      <c r="AD546" s="77" t="s">
        <v>2670</v>
      </c>
      <c r="AE546" s="80" t="str">
        <f>HYPERLINK("https://twitter.com/metodotdl/status/1633211058767925248")</f>
        <v>https://twitter.com/metodotdl/status/1633211058767925248</v>
      </c>
      <c r="AF546" s="79">
        <v>44992.875393518516</v>
      </c>
      <c r="AG546" s="85">
        <v>44992</v>
      </c>
      <c r="AH546" s="82" t="s">
        <v>2901</v>
      </c>
      <c r="AI546" s="77" t="b">
        <v>0</v>
      </c>
      <c r="AJ546" s="77"/>
      <c r="AK546" s="77"/>
      <c r="AL546" s="77"/>
      <c r="AM546" s="77"/>
      <c r="AN546" s="77"/>
      <c r="AO546" s="77"/>
      <c r="AP546" s="77"/>
      <c r="AQ546" s="77" t="s">
        <v>3780</v>
      </c>
      <c r="AR546" s="77"/>
      <c r="AS546" s="77"/>
      <c r="AT546" s="77"/>
      <c r="AU546" s="77"/>
      <c r="AV546" s="80" t="str">
        <f>HYPERLINK("https://pbs.twimg.com/media/FqpUzV8WIAAjb6v.jpg")</f>
        <v>https://pbs.twimg.com/media/FqpUzV8WIAAjb6v.jpg</v>
      </c>
      <c r="AW546" s="82" t="s">
        <v>4597</v>
      </c>
      <c r="AX546" s="82" t="s">
        <v>4597</v>
      </c>
      <c r="AY546" s="77"/>
      <c r="AZ546" s="82" t="s">
        <v>5075</v>
      </c>
      <c r="BA546" s="82" t="s">
        <v>5075</v>
      </c>
      <c r="BB546" s="82" t="s">
        <v>5075</v>
      </c>
      <c r="BC546" s="82" t="s">
        <v>4597</v>
      </c>
      <c r="BD546" s="82" t="s">
        <v>5233</v>
      </c>
      <c r="BE546" s="77"/>
      <c r="BF546" s="77"/>
      <c r="BG546" s="77"/>
      <c r="BH546" s="77"/>
      <c r="BI546" s="77"/>
    </row>
    <row r="547" spans="1:61" x14ac:dyDescent="0.25">
      <c r="A547" s="62" t="s">
        <v>424</v>
      </c>
      <c r="B547" s="62" t="s">
        <v>424</v>
      </c>
      <c r="C547" s="63"/>
      <c r="D547" s="64"/>
      <c r="E547" s="65"/>
      <c r="F547" s="66"/>
      <c r="G547" s="63"/>
      <c r="H547" s="67"/>
      <c r="I547" s="68"/>
      <c r="J547" s="68"/>
      <c r="K547" s="32"/>
      <c r="L547" s="75">
        <v>547</v>
      </c>
      <c r="M547" s="75"/>
      <c r="N547" s="70"/>
      <c r="O547" s="77" t="s">
        <v>179</v>
      </c>
      <c r="P547" s="79">
        <v>44967.875381944446</v>
      </c>
      <c r="Q547" s="77" t="s">
        <v>1074</v>
      </c>
      <c r="R547" s="77">
        <v>0</v>
      </c>
      <c r="S547" s="77">
        <v>0</v>
      </c>
      <c r="T547" s="77">
        <v>0</v>
      </c>
      <c r="U547" s="77">
        <v>0</v>
      </c>
      <c r="V547" s="77">
        <v>52</v>
      </c>
      <c r="W547" s="82" t="s">
        <v>1846</v>
      </c>
      <c r="X547" s="80" t="str">
        <f>HYPERLINK("http://metodotdl.com.br/tdl/telegram")</f>
        <v>http://metodotdl.com.br/tdl/telegram</v>
      </c>
      <c r="Y547" s="77" t="s">
        <v>1978</v>
      </c>
      <c r="Z547" s="77"/>
      <c r="AA547" s="77" t="s">
        <v>2352</v>
      </c>
      <c r="AB547" s="77" t="s">
        <v>2632</v>
      </c>
      <c r="AC547" s="82" t="s">
        <v>2642</v>
      </c>
      <c r="AD547" s="77" t="s">
        <v>2670</v>
      </c>
      <c r="AE547" s="80" t="str">
        <f>HYPERLINK("https://twitter.com/metodotdl/status/1624151359015510019")</f>
        <v>https://twitter.com/metodotdl/status/1624151359015510019</v>
      </c>
      <c r="AF547" s="79">
        <v>44967.875381944446</v>
      </c>
      <c r="AG547" s="85">
        <v>44967</v>
      </c>
      <c r="AH547" s="82" t="s">
        <v>3180</v>
      </c>
      <c r="AI547" s="77" t="b">
        <v>0</v>
      </c>
      <c r="AJ547" s="77"/>
      <c r="AK547" s="77"/>
      <c r="AL547" s="77"/>
      <c r="AM547" s="77"/>
      <c r="AN547" s="77"/>
      <c r="AO547" s="77"/>
      <c r="AP547" s="77"/>
      <c r="AQ547" s="77" t="s">
        <v>3781</v>
      </c>
      <c r="AR547" s="77"/>
      <c r="AS547" s="77"/>
      <c r="AT547" s="77"/>
      <c r="AU547" s="77"/>
      <c r="AV547" s="80" t="str">
        <f>HYPERLINK("https://pbs.twimg.com/media/FoolDdhWAAAi-yt.jpg")</f>
        <v>https://pbs.twimg.com/media/FoolDdhWAAAi-yt.jpg</v>
      </c>
      <c r="AW547" s="82" t="s">
        <v>4598</v>
      </c>
      <c r="AX547" s="82" t="s">
        <v>4598</v>
      </c>
      <c r="AY547" s="77"/>
      <c r="AZ547" s="82" t="s">
        <v>5075</v>
      </c>
      <c r="BA547" s="82" t="s">
        <v>5075</v>
      </c>
      <c r="BB547" s="82" t="s">
        <v>5075</v>
      </c>
      <c r="BC547" s="82" t="s">
        <v>4598</v>
      </c>
      <c r="BD547" s="82" t="s">
        <v>5233</v>
      </c>
      <c r="BE547" s="77"/>
      <c r="BF547" s="77"/>
      <c r="BG547" s="77"/>
      <c r="BH547" s="77"/>
      <c r="BI547" s="77"/>
    </row>
    <row r="548" spans="1:61" x14ac:dyDescent="0.25">
      <c r="A548" s="62" t="s">
        <v>424</v>
      </c>
      <c r="B548" s="62" t="s">
        <v>424</v>
      </c>
      <c r="C548" s="63"/>
      <c r="D548" s="64"/>
      <c r="E548" s="65"/>
      <c r="F548" s="66"/>
      <c r="G548" s="63"/>
      <c r="H548" s="67"/>
      <c r="I548" s="68"/>
      <c r="J548" s="68"/>
      <c r="K548" s="32"/>
      <c r="L548" s="75">
        <v>548</v>
      </c>
      <c r="M548" s="75"/>
      <c r="N548" s="70"/>
      <c r="O548" s="77" t="s">
        <v>179</v>
      </c>
      <c r="P548" s="79">
        <v>44966.875416666669</v>
      </c>
      <c r="Q548" s="77" t="s">
        <v>1075</v>
      </c>
      <c r="R548" s="77">
        <v>0</v>
      </c>
      <c r="S548" s="77">
        <v>0</v>
      </c>
      <c r="T548" s="77">
        <v>0</v>
      </c>
      <c r="U548" s="77">
        <v>0</v>
      </c>
      <c r="V548" s="77">
        <v>68</v>
      </c>
      <c r="W548" s="82" t="s">
        <v>1846</v>
      </c>
      <c r="X548" s="80" t="str">
        <f>HYPERLINK("http://metodotdl.com.br/tdl/telegram")</f>
        <v>http://metodotdl.com.br/tdl/telegram</v>
      </c>
      <c r="Y548" s="77" t="s">
        <v>1978</v>
      </c>
      <c r="Z548" s="77"/>
      <c r="AA548" s="77" t="s">
        <v>2353</v>
      </c>
      <c r="AB548" s="77" t="s">
        <v>2632</v>
      </c>
      <c r="AC548" s="82" t="s">
        <v>2642</v>
      </c>
      <c r="AD548" s="77" t="s">
        <v>2670</v>
      </c>
      <c r="AE548" s="80" t="str">
        <f>HYPERLINK("https://twitter.com/metodotdl/status/1623788982969503744")</f>
        <v>https://twitter.com/metodotdl/status/1623788982969503744</v>
      </c>
      <c r="AF548" s="79">
        <v>44966.875416666669</v>
      </c>
      <c r="AG548" s="85">
        <v>44966</v>
      </c>
      <c r="AH548" s="82" t="s">
        <v>3181</v>
      </c>
      <c r="AI548" s="77" t="b">
        <v>0</v>
      </c>
      <c r="AJ548" s="77"/>
      <c r="AK548" s="77"/>
      <c r="AL548" s="77"/>
      <c r="AM548" s="77"/>
      <c r="AN548" s="77"/>
      <c r="AO548" s="77"/>
      <c r="AP548" s="77"/>
      <c r="AQ548" s="77" t="s">
        <v>3782</v>
      </c>
      <c r="AR548" s="77"/>
      <c r="AS548" s="77"/>
      <c r="AT548" s="77"/>
      <c r="AU548" s="77"/>
      <c r="AV548" s="80" t="str">
        <f>HYPERLINK("https://pbs.twimg.com/media/FojbeXlXEAMbSoU.jpg")</f>
        <v>https://pbs.twimg.com/media/FojbeXlXEAMbSoU.jpg</v>
      </c>
      <c r="AW548" s="82" t="s">
        <v>4599</v>
      </c>
      <c r="AX548" s="82" t="s">
        <v>4599</v>
      </c>
      <c r="AY548" s="77"/>
      <c r="AZ548" s="82" t="s">
        <v>5075</v>
      </c>
      <c r="BA548" s="82" t="s">
        <v>5075</v>
      </c>
      <c r="BB548" s="82" t="s">
        <v>5075</v>
      </c>
      <c r="BC548" s="82" t="s">
        <v>4599</v>
      </c>
      <c r="BD548" s="82" t="s">
        <v>5233</v>
      </c>
      <c r="BE548" s="77"/>
      <c r="BF548" s="77"/>
      <c r="BG548" s="77"/>
      <c r="BH548" s="77"/>
      <c r="BI548" s="77"/>
    </row>
    <row r="549" spans="1:61" x14ac:dyDescent="0.25">
      <c r="A549" s="62" t="s">
        <v>424</v>
      </c>
      <c r="B549" s="62" t="s">
        <v>424</v>
      </c>
      <c r="C549" s="63"/>
      <c r="D549" s="64"/>
      <c r="E549" s="65"/>
      <c r="F549" s="66"/>
      <c r="G549" s="63"/>
      <c r="H549" s="67"/>
      <c r="I549" s="68"/>
      <c r="J549" s="68"/>
      <c r="K549" s="32"/>
      <c r="L549" s="75">
        <v>549</v>
      </c>
      <c r="M549" s="75"/>
      <c r="N549" s="70"/>
      <c r="O549" s="77" t="s">
        <v>179</v>
      </c>
      <c r="P549" s="79">
        <v>44957.875347222223</v>
      </c>
      <c r="Q549" s="77" t="s">
        <v>1076</v>
      </c>
      <c r="R549" s="77">
        <v>0</v>
      </c>
      <c r="S549" s="77">
        <v>0</v>
      </c>
      <c r="T549" s="77">
        <v>0</v>
      </c>
      <c r="U549" s="77">
        <v>0</v>
      </c>
      <c r="V549" s="77">
        <v>73</v>
      </c>
      <c r="W549" s="82" t="s">
        <v>1846</v>
      </c>
      <c r="X549" s="80" t="str">
        <f>HYPERLINK("http://metodotdl.com.br/tdl/telegram")</f>
        <v>http://metodotdl.com.br/tdl/telegram</v>
      </c>
      <c r="Y549" s="77" t="s">
        <v>1978</v>
      </c>
      <c r="Z549" s="77"/>
      <c r="AA549" s="77" t="s">
        <v>2354</v>
      </c>
      <c r="AB549" s="77" t="s">
        <v>2632</v>
      </c>
      <c r="AC549" s="82" t="s">
        <v>2642</v>
      </c>
      <c r="AD549" s="77" t="s">
        <v>2670</v>
      </c>
      <c r="AE549" s="80" t="str">
        <f>HYPERLINK("https://twitter.com/metodotdl/status/1620527467164311552")</f>
        <v>https://twitter.com/metodotdl/status/1620527467164311552</v>
      </c>
      <c r="AF549" s="79">
        <v>44957.875347222223</v>
      </c>
      <c r="AG549" s="85">
        <v>44957</v>
      </c>
      <c r="AH549" s="82" t="s">
        <v>3182</v>
      </c>
      <c r="AI549" s="77" t="b">
        <v>0</v>
      </c>
      <c r="AJ549" s="77"/>
      <c r="AK549" s="77"/>
      <c r="AL549" s="77"/>
      <c r="AM549" s="77"/>
      <c r="AN549" s="77"/>
      <c r="AO549" s="77"/>
      <c r="AP549" s="77"/>
      <c r="AQ549" s="77" t="s">
        <v>3783</v>
      </c>
      <c r="AR549" s="77"/>
      <c r="AS549" s="77"/>
      <c r="AT549" s="77"/>
      <c r="AU549" s="77"/>
      <c r="AV549" s="80" t="str">
        <f>HYPERLINK("https://pbs.twimg.com/media/Fn1FJJMWIAEI3FU.jpg")</f>
        <v>https://pbs.twimg.com/media/Fn1FJJMWIAEI3FU.jpg</v>
      </c>
      <c r="AW549" s="82" t="s">
        <v>4600</v>
      </c>
      <c r="AX549" s="82" t="s">
        <v>4600</v>
      </c>
      <c r="AY549" s="77"/>
      <c r="AZ549" s="82" t="s">
        <v>5075</v>
      </c>
      <c r="BA549" s="82" t="s">
        <v>5075</v>
      </c>
      <c r="BB549" s="82" t="s">
        <v>5075</v>
      </c>
      <c r="BC549" s="82" t="s">
        <v>4600</v>
      </c>
      <c r="BD549" s="82" t="s">
        <v>5233</v>
      </c>
      <c r="BE549" s="77"/>
      <c r="BF549" s="77"/>
      <c r="BG549" s="77"/>
      <c r="BH549" s="77"/>
      <c r="BI549" s="77"/>
    </row>
    <row r="550" spans="1:61" x14ac:dyDescent="0.25">
      <c r="A550" s="62" t="s">
        <v>424</v>
      </c>
      <c r="B550" s="62" t="s">
        <v>424</v>
      </c>
      <c r="C550" s="63"/>
      <c r="D550" s="64"/>
      <c r="E550" s="65"/>
      <c r="F550" s="66"/>
      <c r="G550" s="63"/>
      <c r="H550" s="67"/>
      <c r="I550" s="68"/>
      <c r="J550" s="68"/>
      <c r="K550" s="32"/>
      <c r="L550" s="75">
        <v>550</v>
      </c>
      <c r="M550" s="75"/>
      <c r="N550" s="70"/>
      <c r="O550" s="77" t="s">
        <v>179</v>
      </c>
      <c r="P550" s="79">
        <v>44949.87537037037</v>
      </c>
      <c r="Q550" s="77" t="s">
        <v>1077</v>
      </c>
      <c r="R550" s="77">
        <v>0</v>
      </c>
      <c r="S550" s="77">
        <v>0</v>
      </c>
      <c r="T550" s="77">
        <v>0</v>
      </c>
      <c r="U550" s="77">
        <v>0</v>
      </c>
      <c r="V550" s="77">
        <v>59</v>
      </c>
      <c r="W550" s="82" t="s">
        <v>1846</v>
      </c>
      <c r="X550" s="80" t="str">
        <f>HYPERLINK("http://metodotdl.com.br/tdl/telegram")</f>
        <v>http://metodotdl.com.br/tdl/telegram</v>
      </c>
      <c r="Y550" s="77" t="s">
        <v>1978</v>
      </c>
      <c r="Z550" s="77"/>
      <c r="AA550" s="77" t="s">
        <v>2355</v>
      </c>
      <c r="AB550" s="77" t="s">
        <v>2632</v>
      </c>
      <c r="AC550" s="82" t="s">
        <v>2642</v>
      </c>
      <c r="AD550" s="77" t="s">
        <v>2670</v>
      </c>
      <c r="AE550" s="80" t="str">
        <f>HYPERLINK("https://twitter.com/metodotdl/status/1617628370430222339")</f>
        <v>https://twitter.com/metodotdl/status/1617628370430222339</v>
      </c>
      <c r="AF550" s="79">
        <v>44949.87537037037</v>
      </c>
      <c r="AG550" s="85">
        <v>44949</v>
      </c>
      <c r="AH550" s="82" t="s">
        <v>3183</v>
      </c>
      <c r="AI550" s="77" t="b">
        <v>0</v>
      </c>
      <c r="AJ550" s="77"/>
      <c r="AK550" s="77"/>
      <c r="AL550" s="77"/>
      <c r="AM550" s="77"/>
      <c r="AN550" s="77"/>
      <c r="AO550" s="77"/>
      <c r="AP550" s="77"/>
      <c r="AQ550" s="77" t="s">
        <v>3784</v>
      </c>
      <c r="AR550" s="77"/>
      <c r="AS550" s="77"/>
      <c r="AT550" s="77"/>
      <c r="AU550" s="77"/>
      <c r="AV550" s="80" t="str">
        <f>HYPERLINK("https://pbs.twimg.com/media/FnL4be1WAAElQFS.jpg")</f>
        <v>https://pbs.twimg.com/media/FnL4be1WAAElQFS.jpg</v>
      </c>
      <c r="AW550" s="82" t="s">
        <v>4601</v>
      </c>
      <c r="AX550" s="82" t="s">
        <v>4601</v>
      </c>
      <c r="AY550" s="77"/>
      <c r="AZ550" s="82" t="s">
        <v>5075</v>
      </c>
      <c r="BA550" s="82" t="s">
        <v>5075</v>
      </c>
      <c r="BB550" s="82" t="s">
        <v>5075</v>
      </c>
      <c r="BC550" s="82" t="s">
        <v>4601</v>
      </c>
      <c r="BD550" s="82" t="s">
        <v>5233</v>
      </c>
      <c r="BE550" s="77"/>
      <c r="BF550" s="77"/>
      <c r="BG550" s="77"/>
      <c r="BH550" s="77"/>
      <c r="BI550" s="77"/>
    </row>
    <row r="551" spans="1:61" x14ac:dyDescent="0.25">
      <c r="A551" s="62" t="s">
        <v>424</v>
      </c>
      <c r="B551" s="62" t="s">
        <v>424</v>
      </c>
      <c r="C551" s="63"/>
      <c r="D551" s="64"/>
      <c r="E551" s="65"/>
      <c r="F551" s="66"/>
      <c r="G551" s="63"/>
      <c r="H551" s="67"/>
      <c r="I551" s="68"/>
      <c r="J551" s="68"/>
      <c r="K551" s="32"/>
      <c r="L551" s="75">
        <v>551</v>
      </c>
      <c r="M551" s="75"/>
      <c r="N551" s="70"/>
      <c r="O551" s="77" t="s">
        <v>179</v>
      </c>
      <c r="P551" s="79">
        <v>44945.882060185184</v>
      </c>
      <c r="Q551" s="77" t="s">
        <v>1078</v>
      </c>
      <c r="R551" s="77">
        <v>0</v>
      </c>
      <c r="S551" s="77">
        <v>0</v>
      </c>
      <c r="T551" s="77">
        <v>0</v>
      </c>
      <c r="U551" s="77">
        <v>0</v>
      </c>
      <c r="V551" s="77">
        <v>75</v>
      </c>
      <c r="W551" s="82" t="s">
        <v>1846</v>
      </c>
      <c r="X551" s="80" t="str">
        <f>HYPERLINK("http://metodotdl.com.br/tdl/telegram")</f>
        <v>http://metodotdl.com.br/tdl/telegram</v>
      </c>
      <c r="Y551" s="77" t="s">
        <v>1978</v>
      </c>
      <c r="Z551" s="77"/>
      <c r="AA551" s="77" t="s">
        <v>2356</v>
      </c>
      <c r="AB551" s="77" t="s">
        <v>2632</v>
      </c>
      <c r="AC551" s="82" t="s">
        <v>2642</v>
      </c>
      <c r="AD551" s="77" t="s">
        <v>2670</v>
      </c>
      <c r="AE551" s="80" t="str">
        <f>HYPERLINK("https://twitter.com/metodotdl/status/1616181242390626304")</f>
        <v>https://twitter.com/metodotdl/status/1616181242390626304</v>
      </c>
      <c r="AF551" s="79">
        <v>44945.882060185184</v>
      </c>
      <c r="AG551" s="85">
        <v>44945</v>
      </c>
      <c r="AH551" s="82" t="s">
        <v>3184</v>
      </c>
      <c r="AI551" s="77" t="b">
        <v>0</v>
      </c>
      <c r="AJ551" s="77"/>
      <c r="AK551" s="77"/>
      <c r="AL551" s="77"/>
      <c r="AM551" s="77"/>
      <c r="AN551" s="77"/>
      <c r="AO551" s="77"/>
      <c r="AP551" s="77"/>
      <c r="AQ551" s="77" t="s">
        <v>3785</v>
      </c>
      <c r="AR551" s="77"/>
      <c r="AS551" s="77"/>
      <c r="AT551" s="77"/>
      <c r="AU551" s="77"/>
      <c r="AV551" s="80" t="str">
        <f>HYPERLINK("https://pbs.twimg.com/media/Fm3URlwWQBMGLoF.jpg")</f>
        <v>https://pbs.twimg.com/media/Fm3URlwWQBMGLoF.jpg</v>
      </c>
      <c r="AW551" s="82" t="s">
        <v>4602</v>
      </c>
      <c r="AX551" s="82" t="s">
        <v>4602</v>
      </c>
      <c r="AY551" s="77"/>
      <c r="AZ551" s="82" t="s">
        <v>5075</v>
      </c>
      <c r="BA551" s="82" t="s">
        <v>5075</v>
      </c>
      <c r="BB551" s="82" t="s">
        <v>5075</v>
      </c>
      <c r="BC551" s="82" t="s">
        <v>4602</v>
      </c>
      <c r="BD551" s="82" t="s">
        <v>5233</v>
      </c>
      <c r="BE551" s="77"/>
      <c r="BF551" s="77"/>
      <c r="BG551" s="77"/>
      <c r="BH551" s="77"/>
      <c r="BI551" s="77"/>
    </row>
    <row r="552" spans="1:61" x14ac:dyDescent="0.25">
      <c r="A552" s="62" t="s">
        <v>424</v>
      </c>
      <c r="B552" s="62" t="s">
        <v>424</v>
      </c>
      <c r="C552" s="63"/>
      <c r="D552" s="64"/>
      <c r="E552" s="65"/>
      <c r="F552" s="66"/>
      <c r="G552" s="63"/>
      <c r="H552" s="67"/>
      <c r="I552" s="68"/>
      <c r="J552" s="68"/>
      <c r="K552" s="32"/>
      <c r="L552" s="75">
        <v>552</v>
      </c>
      <c r="M552" s="75"/>
      <c r="N552" s="70"/>
      <c r="O552" s="77" t="s">
        <v>179</v>
      </c>
      <c r="P552" s="79">
        <v>44944.878495370373</v>
      </c>
      <c r="Q552" s="77" t="s">
        <v>1079</v>
      </c>
      <c r="R552" s="77">
        <v>0</v>
      </c>
      <c r="S552" s="77">
        <v>0</v>
      </c>
      <c r="T552" s="77">
        <v>0</v>
      </c>
      <c r="U552" s="77">
        <v>0</v>
      </c>
      <c r="V552" s="77">
        <v>82</v>
      </c>
      <c r="W552" s="82" t="s">
        <v>1846</v>
      </c>
      <c r="X552" s="80" t="str">
        <f>HYPERLINK("http://metodotdl.com.br/tdl/telegram")</f>
        <v>http://metodotdl.com.br/tdl/telegram</v>
      </c>
      <c r="Y552" s="77" t="s">
        <v>1978</v>
      </c>
      <c r="Z552" s="77"/>
      <c r="AA552" s="77" t="s">
        <v>2357</v>
      </c>
      <c r="AB552" s="77" t="s">
        <v>2632</v>
      </c>
      <c r="AC552" s="82" t="s">
        <v>2642</v>
      </c>
      <c r="AD552" s="77" t="s">
        <v>2670</v>
      </c>
      <c r="AE552" s="80" t="str">
        <f>HYPERLINK("https://twitter.com/metodotdl/status/1615817565082718208")</f>
        <v>https://twitter.com/metodotdl/status/1615817565082718208</v>
      </c>
      <c r="AF552" s="79">
        <v>44944.878495370373</v>
      </c>
      <c r="AG552" s="85">
        <v>44944</v>
      </c>
      <c r="AH552" s="82" t="s">
        <v>3185</v>
      </c>
      <c r="AI552" s="77" t="b">
        <v>0</v>
      </c>
      <c r="AJ552" s="77"/>
      <c r="AK552" s="77"/>
      <c r="AL552" s="77"/>
      <c r="AM552" s="77"/>
      <c r="AN552" s="77"/>
      <c r="AO552" s="77"/>
      <c r="AP552" s="77"/>
      <c r="AQ552" s="77" t="s">
        <v>3786</v>
      </c>
      <c r="AR552" s="77"/>
      <c r="AS552" s="77"/>
      <c r="AT552" s="77"/>
      <c r="AU552" s="77"/>
      <c r="AV552" s="80" t="str">
        <f>HYPERLINK("https://pbs.twimg.com/media/FmyJgwtXoA0F2iv.jpg")</f>
        <v>https://pbs.twimg.com/media/FmyJgwtXoA0F2iv.jpg</v>
      </c>
      <c r="AW552" s="82" t="s">
        <v>4603</v>
      </c>
      <c r="AX552" s="82" t="s">
        <v>4603</v>
      </c>
      <c r="AY552" s="77"/>
      <c r="AZ552" s="82" t="s">
        <v>5075</v>
      </c>
      <c r="BA552" s="82" t="s">
        <v>5075</v>
      </c>
      <c r="BB552" s="82" t="s">
        <v>5075</v>
      </c>
      <c r="BC552" s="82" t="s">
        <v>4603</v>
      </c>
      <c r="BD552" s="82" t="s">
        <v>5233</v>
      </c>
      <c r="BE552" s="77"/>
      <c r="BF552" s="77"/>
      <c r="BG552" s="77"/>
      <c r="BH552" s="77"/>
      <c r="BI552" s="77"/>
    </row>
    <row r="553" spans="1:61" x14ac:dyDescent="0.25">
      <c r="A553" s="62" t="s">
        <v>424</v>
      </c>
      <c r="B553" s="62" t="s">
        <v>424</v>
      </c>
      <c r="C553" s="63"/>
      <c r="D553" s="64"/>
      <c r="E553" s="65"/>
      <c r="F553" s="66"/>
      <c r="G553" s="63"/>
      <c r="H553" s="67"/>
      <c r="I553" s="68"/>
      <c r="J553" s="68"/>
      <c r="K553" s="32"/>
      <c r="L553" s="75">
        <v>553</v>
      </c>
      <c r="M553" s="75"/>
      <c r="N553" s="70"/>
      <c r="O553" s="77" t="s">
        <v>179</v>
      </c>
      <c r="P553" s="79">
        <v>45069.875567129631</v>
      </c>
      <c r="Q553" s="77" t="s">
        <v>1080</v>
      </c>
      <c r="R553" s="77">
        <v>0</v>
      </c>
      <c r="S553" s="77">
        <v>0</v>
      </c>
      <c r="T553" s="77">
        <v>0</v>
      </c>
      <c r="U553" s="77">
        <v>0</v>
      </c>
      <c r="V553" s="77">
        <v>80</v>
      </c>
      <c r="W553" s="82" t="s">
        <v>1846</v>
      </c>
      <c r="X553" s="80" t="str">
        <f>HYPERLINK("http://metodotdl.com.br/tdl/telegram")</f>
        <v>http://metodotdl.com.br/tdl/telegram</v>
      </c>
      <c r="Y553" s="77" t="s">
        <v>1978</v>
      </c>
      <c r="Z553" s="77"/>
      <c r="AA553" s="77" t="s">
        <v>2358</v>
      </c>
      <c r="AB553" s="77" t="s">
        <v>2632</v>
      </c>
      <c r="AC553" s="82" t="s">
        <v>2642</v>
      </c>
      <c r="AD553" s="77" t="s">
        <v>2670</v>
      </c>
      <c r="AE553" s="80" t="str">
        <f>HYPERLINK("https://twitter.com/metodotdl/status/1661114987295678478")</f>
        <v>https://twitter.com/metodotdl/status/1661114987295678478</v>
      </c>
      <c r="AF553" s="79">
        <v>45069.875567129631</v>
      </c>
      <c r="AG553" s="85">
        <v>45069</v>
      </c>
      <c r="AH553" s="82" t="s">
        <v>3186</v>
      </c>
      <c r="AI553" s="77" t="b">
        <v>0</v>
      </c>
      <c r="AJ553" s="77"/>
      <c r="AK553" s="77"/>
      <c r="AL553" s="77"/>
      <c r="AM553" s="77"/>
      <c r="AN553" s="77"/>
      <c r="AO553" s="77"/>
      <c r="AP553" s="77"/>
      <c r="AQ553" s="77" t="s">
        <v>3787</v>
      </c>
      <c r="AR553" s="77"/>
      <c r="AS553" s="77"/>
      <c r="AT553" s="77"/>
      <c r="AU553" s="77"/>
      <c r="AV553" s="80" t="str">
        <f>HYPERLINK("https://pbs.twimg.com/media/Fw13RzGWICgUFfi.jpg")</f>
        <v>https://pbs.twimg.com/media/Fw13RzGWICgUFfi.jpg</v>
      </c>
      <c r="AW553" s="82" t="s">
        <v>4604</v>
      </c>
      <c r="AX553" s="82" t="s">
        <v>4604</v>
      </c>
      <c r="AY553" s="77"/>
      <c r="AZ553" s="82" t="s">
        <v>5075</v>
      </c>
      <c r="BA553" s="82" t="s">
        <v>5075</v>
      </c>
      <c r="BB553" s="82" t="s">
        <v>5075</v>
      </c>
      <c r="BC553" s="82" t="s">
        <v>4604</v>
      </c>
      <c r="BD553" s="82" t="s">
        <v>5233</v>
      </c>
      <c r="BE553" s="77"/>
      <c r="BF553" s="77"/>
      <c r="BG553" s="77"/>
      <c r="BH553" s="77"/>
      <c r="BI553" s="77"/>
    </row>
    <row r="554" spans="1:61" x14ac:dyDescent="0.25">
      <c r="A554" s="62" t="s">
        <v>424</v>
      </c>
      <c r="B554" s="62" t="s">
        <v>424</v>
      </c>
      <c r="C554" s="63"/>
      <c r="D554" s="64"/>
      <c r="E554" s="65"/>
      <c r="F554" s="66"/>
      <c r="G554" s="63"/>
      <c r="H554" s="67"/>
      <c r="I554" s="68"/>
      <c r="J554" s="68"/>
      <c r="K554" s="32"/>
      <c r="L554" s="75">
        <v>554</v>
      </c>
      <c r="M554" s="75"/>
      <c r="N554" s="70"/>
      <c r="O554" s="77" t="s">
        <v>179</v>
      </c>
      <c r="P554" s="79">
        <v>45042.875625000001</v>
      </c>
      <c r="Q554" s="77" t="s">
        <v>1081</v>
      </c>
      <c r="R554" s="77">
        <v>0</v>
      </c>
      <c r="S554" s="77">
        <v>0</v>
      </c>
      <c r="T554" s="77">
        <v>0</v>
      </c>
      <c r="U554" s="77">
        <v>0</v>
      </c>
      <c r="V554" s="77">
        <v>75</v>
      </c>
      <c r="W554" s="82" t="s">
        <v>1846</v>
      </c>
      <c r="X554" s="80" t="str">
        <f>HYPERLINK("http://metodotdl.com.br/tdl/telegram")</f>
        <v>http://metodotdl.com.br/tdl/telegram</v>
      </c>
      <c r="Y554" s="77" t="s">
        <v>1978</v>
      </c>
      <c r="Z554" s="77"/>
      <c r="AA554" s="77" t="s">
        <v>2359</v>
      </c>
      <c r="AB554" s="77" t="s">
        <v>2632</v>
      </c>
      <c r="AC554" s="82" t="s">
        <v>2642</v>
      </c>
      <c r="AD554" s="77" t="s">
        <v>2670</v>
      </c>
      <c r="AE554" s="80" t="str">
        <f>HYPERLINK("https://twitter.com/metodotdl/status/1651330535623479299")</f>
        <v>https://twitter.com/metodotdl/status/1651330535623479299</v>
      </c>
      <c r="AF554" s="79">
        <v>45042.875625000001</v>
      </c>
      <c r="AG554" s="85">
        <v>45042</v>
      </c>
      <c r="AH554" s="82" t="s">
        <v>3187</v>
      </c>
      <c r="AI554" s="77" t="b">
        <v>0</v>
      </c>
      <c r="AJ554" s="77"/>
      <c r="AK554" s="77"/>
      <c r="AL554" s="77"/>
      <c r="AM554" s="77"/>
      <c r="AN554" s="77"/>
      <c r="AO554" s="77"/>
      <c r="AP554" s="77"/>
      <c r="AQ554" s="77" t="s">
        <v>3788</v>
      </c>
      <c r="AR554" s="77"/>
      <c r="AS554" s="77"/>
      <c r="AT554" s="77"/>
      <c r="AU554" s="77"/>
      <c r="AV554" s="80" t="str">
        <f>HYPERLINK("https://pbs.twimg.com/media/Fuq0XwBXgAISjQI.jpg")</f>
        <v>https://pbs.twimg.com/media/Fuq0XwBXgAISjQI.jpg</v>
      </c>
      <c r="AW554" s="82" t="s">
        <v>4605</v>
      </c>
      <c r="AX554" s="82" t="s">
        <v>4605</v>
      </c>
      <c r="AY554" s="77"/>
      <c r="AZ554" s="82" t="s">
        <v>5075</v>
      </c>
      <c r="BA554" s="82" t="s">
        <v>5075</v>
      </c>
      <c r="BB554" s="82" t="s">
        <v>5075</v>
      </c>
      <c r="BC554" s="82" t="s">
        <v>4605</v>
      </c>
      <c r="BD554" s="82" t="s">
        <v>5233</v>
      </c>
      <c r="BE554" s="77"/>
      <c r="BF554" s="77"/>
      <c r="BG554" s="77"/>
      <c r="BH554" s="77"/>
      <c r="BI554" s="77"/>
    </row>
    <row r="555" spans="1:61" x14ac:dyDescent="0.25">
      <c r="A555" s="62" t="s">
        <v>424</v>
      </c>
      <c r="B555" s="62" t="s">
        <v>424</v>
      </c>
      <c r="C555" s="63"/>
      <c r="D555" s="64"/>
      <c r="E555" s="65"/>
      <c r="F555" s="66"/>
      <c r="G555" s="63"/>
      <c r="H555" s="67"/>
      <c r="I555" s="68"/>
      <c r="J555" s="68"/>
      <c r="K555" s="32"/>
      <c r="L555" s="75">
        <v>555</v>
      </c>
      <c r="M555" s="75"/>
      <c r="N555" s="70"/>
      <c r="O555" s="77" t="s">
        <v>179</v>
      </c>
      <c r="P555" s="79">
        <v>45030.875671296293</v>
      </c>
      <c r="Q555" s="77" t="s">
        <v>1082</v>
      </c>
      <c r="R555" s="77">
        <v>0</v>
      </c>
      <c r="S555" s="77">
        <v>0</v>
      </c>
      <c r="T555" s="77">
        <v>0</v>
      </c>
      <c r="U555" s="77">
        <v>0</v>
      </c>
      <c r="V555" s="77">
        <v>87</v>
      </c>
      <c r="W555" s="82" t="s">
        <v>1846</v>
      </c>
      <c r="X555" s="80" t="str">
        <f>HYPERLINK("http://metodotdl.com.br/tdl/telegram")</f>
        <v>http://metodotdl.com.br/tdl/telegram</v>
      </c>
      <c r="Y555" s="77" t="s">
        <v>1978</v>
      </c>
      <c r="Z555" s="77"/>
      <c r="AA555" s="77" t="s">
        <v>2360</v>
      </c>
      <c r="AB555" s="77" t="s">
        <v>2632</v>
      </c>
      <c r="AC555" s="82" t="s">
        <v>2642</v>
      </c>
      <c r="AD555" s="77" t="s">
        <v>2670</v>
      </c>
      <c r="AE555" s="80" t="str">
        <f>HYPERLINK("https://twitter.com/metodotdl/status/1646981896826417155")</f>
        <v>https://twitter.com/metodotdl/status/1646981896826417155</v>
      </c>
      <c r="AF555" s="79">
        <v>45030.875671296293</v>
      </c>
      <c r="AG555" s="85">
        <v>45030</v>
      </c>
      <c r="AH555" s="82" t="s">
        <v>3175</v>
      </c>
      <c r="AI555" s="77" t="b">
        <v>0</v>
      </c>
      <c r="AJ555" s="77"/>
      <c r="AK555" s="77"/>
      <c r="AL555" s="77"/>
      <c r="AM555" s="77"/>
      <c r="AN555" s="77"/>
      <c r="AO555" s="77"/>
      <c r="AP555" s="77"/>
      <c r="AQ555" s="77" t="s">
        <v>3789</v>
      </c>
      <c r="AR555" s="77"/>
      <c r="AS555" s="77"/>
      <c r="AT555" s="77"/>
      <c r="AU555" s="77"/>
      <c r="AV555" s="80" t="str">
        <f>HYPERLINK("https://pbs.twimg.com/media/FttBTqBX0AQXynJ.jpg")</f>
        <v>https://pbs.twimg.com/media/FttBTqBX0AQXynJ.jpg</v>
      </c>
      <c r="AW555" s="82" t="s">
        <v>4606</v>
      </c>
      <c r="AX555" s="82" t="s">
        <v>4606</v>
      </c>
      <c r="AY555" s="77"/>
      <c r="AZ555" s="82" t="s">
        <v>5075</v>
      </c>
      <c r="BA555" s="82" t="s">
        <v>5075</v>
      </c>
      <c r="BB555" s="82" t="s">
        <v>5075</v>
      </c>
      <c r="BC555" s="82" t="s">
        <v>4606</v>
      </c>
      <c r="BD555" s="82" t="s">
        <v>5233</v>
      </c>
      <c r="BE555" s="77"/>
      <c r="BF555" s="77"/>
      <c r="BG555" s="77"/>
      <c r="BH555" s="77"/>
      <c r="BI555" s="77"/>
    </row>
    <row r="556" spans="1:61" x14ac:dyDescent="0.25">
      <c r="A556" s="62" t="s">
        <v>424</v>
      </c>
      <c r="B556" s="62" t="s">
        <v>424</v>
      </c>
      <c r="C556" s="63"/>
      <c r="D556" s="64"/>
      <c r="E556" s="65"/>
      <c r="F556" s="66"/>
      <c r="G556" s="63"/>
      <c r="H556" s="67"/>
      <c r="I556" s="68"/>
      <c r="J556" s="68"/>
      <c r="K556" s="32"/>
      <c r="L556" s="75">
        <v>556</v>
      </c>
      <c r="M556" s="75"/>
      <c r="N556" s="70"/>
      <c r="O556" s="77" t="s">
        <v>179</v>
      </c>
      <c r="P556" s="79">
        <v>44995.880023148151</v>
      </c>
      <c r="Q556" s="77" t="s">
        <v>1083</v>
      </c>
      <c r="R556" s="77">
        <v>0</v>
      </c>
      <c r="S556" s="77">
        <v>0</v>
      </c>
      <c r="T556" s="77">
        <v>0</v>
      </c>
      <c r="U556" s="77">
        <v>0</v>
      </c>
      <c r="V556" s="77">
        <v>52</v>
      </c>
      <c r="W556" s="82" t="s">
        <v>1846</v>
      </c>
      <c r="X556" s="80" t="str">
        <f>HYPERLINK("http://metodotdl.com.br/tdl/telegram")</f>
        <v>http://metodotdl.com.br/tdl/telegram</v>
      </c>
      <c r="Y556" s="77" t="s">
        <v>1978</v>
      </c>
      <c r="Z556" s="77"/>
      <c r="AA556" s="77" t="s">
        <v>2361</v>
      </c>
      <c r="AB556" s="77" t="s">
        <v>2632</v>
      </c>
      <c r="AC556" s="82" t="s">
        <v>2642</v>
      </c>
      <c r="AD556" s="77" t="s">
        <v>2670</v>
      </c>
      <c r="AE556" s="80" t="str">
        <f>HYPERLINK("https://twitter.com/metodotdl/status/1634299901432537088")</f>
        <v>https://twitter.com/metodotdl/status/1634299901432537088</v>
      </c>
      <c r="AF556" s="79">
        <v>44995.880023148151</v>
      </c>
      <c r="AG556" s="85">
        <v>44995</v>
      </c>
      <c r="AH556" s="82" t="s">
        <v>3188</v>
      </c>
      <c r="AI556" s="77" t="b">
        <v>0</v>
      </c>
      <c r="AJ556" s="77"/>
      <c r="AK556" s="77"/>
      <c r="AL556" s="77"/>
      <c r="AM556" s="77"/>
      <c r="AN556" s="77"/>
      <c r="AO556" s="77"/>
      <c r="AP556" s="77"/>
      <c r="AQ556" s="77" t="s">
        <v>3790</v>
      </c>
      <c r="AR556" s="77"/>
      <c r="AS556" s="77"/>
      <c r="AT556" s="77"/>
      <c r="AU556" s="77"/>
      <c r="AV556" s="80" t="str">
        <f>HYPERLINK("https://pbs.twimg.com/media/Fq4zGV7XoAI5Spo.jpg")</f>
        <v>https://pbs.twimg.com/media/Fq4zGV7XoAI5Spo.jpg</v>
      </c>
      <c r="AW556" s="82" t="s">
        <v>4607</v>
      </c>
      <c r="AX556" s="82" t="s">
        <v>4607</v>
      </c>
      <c r="AY556" s="77"/>
      <c r="AZ556" s="82" t="s">
        <v>5075</v>
      </c>
      <c r="BA556" s="82" t="s">
        <v>5075</v>
      </c>
      <c r="BB556" s="82" t="s">
        <v>5075</v>
      </c>
      <c r="BC556" s="82" t="s">
        <v>4607</v>
      </c>
      <c r="BD556" s="82" t="s">
        <v>5233</v>
      </c>
      <c r="BE556" s="77"/>
      <c r="BF556" s="77"/>
      <c r="BG556" s="77"/>
      <c r="BH556" s="77"/>
      <c r="BI556" s="77"/>
    </row>
    <row r="557" spans="1:61" x14ac:dyDescent="0.25">
      <c r="A557" s="62" t="s">
        <v>424</v>
      </c>
      <c r="B557" s="62" t="s">
        <v>424</v>
      </c>
      <c r="C557" s="63"/>
      <c r="D557" s="64"/>
      <c r="E557" s="65"/>
      <c r="F557" s="66"/>
      <c r="G557" s="63"/>
      <c r="H557" s="67"/>
      <c r="I557" s="68"/>
      <c r="J557" s="68"/>
      <c r="K557" s="32"/>
      <c r="L557" s="75">
        <v>557</v>
      </c>
      <c r="M557" s="75"/>
      <c r="N557" s="70"/>
      <c r="O557" s="77" t="s">
        <v>179</v>
      </c>
      <c r="P557" s="79">
        <v>44971.875358796293</v>
      </c>
      <c r="Q557" s="77" t="s">
        <v>1084</v>
      </c>
      <c r="R557" s="77">
        <v>0</v>
      </c>
      <c r="S557" s="77">
        <v>0</v>
      </c>
      <c r="T557" s="77">
        <v>0</v>
      </c>
      <c r="U557" s="77">
        <v>0</v>
      </c>
      <c r="V557" s="77">
        <v>42</v>
      </c>
      <c r="W557" s="82" t="s">
        <v>1846</v>
      </c>
      <c r="X557" s="80" t="str">
        <f>HYPERLINK("http://metodotdl.com.br/tdl/telegram")</f>
        <v>http://metodotdl.com.br/tdl/telegram</v>
      </c>
      <c r="Y557" s="77" t="s">
        <v>1978</v>
      </c>
      <c r="Z557" s="77"/>
      <c r="AA557" s="77" t="s">
        <v>2362</v>
      </c>
      <c r="AB557" s="77" t="s">
        <v>2632</v>
      </c>
      <c r="AC557" s="82" t="s">
        <v>2642</v>
      </c>
      <c r="AD557" s="77" t="s">
        <v>2670</v>
      </c>
      <c r="AE557" s="80" t="str">
        <f>HYPERLINK("https://twitter.com/metodotdl/status/1625600902097772544")</f>
        <v>https://twitter.com/metodotdl/status/1625600902097772544</v>
      </c>
      <c r="AF557" s="79">
        <v>44971.875358796293</v>
      </c>
      <c r="AG557" s="85">
        <v>44971</v>
      </c>
      <c r="AH557" s="82" t="s">
        <v>3189</v>
      </c>
      <c r="AI557" s="77" t="b">
        <v>0</v>
      </c>
      <c r="AJ557" s="77"/>
      <c r="AK557" s="77"/>
      <c r="AL557" s="77"/>
      <c r="AM557" s="77"/>
      <c r="AN557" s="77"/>
      <c r="AO557" s="77"/>
      <c r="AP557" s="77"/>
      <c r="AQ557" s="77" t="s">
        <v>3791</v>
      </c>
      <c r="AR557" s="77"/>
      <c r="AS557" s="77"/>
      <c r="AT557" s="77"/>
      <c r="AU557" s="77"/>
      <c r="AV557" s="80" t="str">
        <f>HYPERLINK("https://pbs.twimg.com/media/Fo9LZ9gWYAApYXx.jpg")</f>
        <v>https://pbs.twimg.com/media/Fo9LZ9gWYAApYXx.jpg</v>
      </c>
      <c r="AW557" s="82" t="s">
        <v>4608</v>
      </c>
      <c r="AX557" s="82" t="s">
        <v>4608</v>
      </c>
      <c r="AY557" s="77"/>
      <c r="AZ557" s="82" t="s">
        <v>5075</v>
      </c>
      <c r="BA557" s="82" t="s">
        <v>5075</v>
      </c>
      <c r="BB557" s="82" t="s">
        <v>5075</v>
      </c>
      <c r="BC557" s="82" t="s">
        <v>4608</v>
      </c>
      <c r="BD557" s="82" t="s">
        <v>5233</v>
      </c>
      <c r="BE557" s="77"/>
      <c r="BF557" s="77"/>
      <c r="BG557" s="77"/>
      <c r="BH557" s="77"/>
      <c r="BI557" s="77"/>
    </row>
    <row r="558" spans="1:61" x14ac:dyDescent="0.25">
      <c r="A558" s="62" t="s">
        <v>424</v>
      </c>
      <c r="B558" s="62" t="s">
        <v>424</v>
      </c>
      <c r="C558" s="63"/>
      <c r="D558" s="64"/>
      <c r="E558" s="65"/>
      <c r="F558" s="66"/>
      <c r="G558" s="63"/>
      <c r="H558" s="67"/>
      <c r="I558" s="68"/>
      <c r="J558" s="68"/>
      <c r="K558" s="32"/>
      <c r="L558" s="75">
        <v>558</v>
      </c>
      <c r="M558" s="75"/>
      <c r="N558" s="70"/>
      <c r="O558" s="77" t="s">
        <v>179</v>
      </c>
      <c r="P558" s="79">
        <v>44970.875543981485</v>
      </c>
      <c r="Q558" s="77" t="s">
        <v>1085</v>
      </c>
      <c r="R558" s="77">
        <v>0</v>
      </c>
      <c r="S558" s="77">
        <v>0</v>
      </c>
      <c r="T558" s="77">
        <v>0</v>
      </c>
      <c r="U558" s="77">
        <v>0</v>
      </c>
      <c r="V558" s="77">
        <v>50</v>
      </c>
      <c r="W558" s="82" t="s">
        <v>1846</v>
      </c>
      <c r="X558" s="80" t="str">
        <f>HYPERLINK("http://metodotdl.com.br/tdl/telegram")</f>
        <v>http://metodotdl.com.br/tdl/telegram</v>
      </c>
      <c r="Y558" s="77" t="s">
        <v>1978</v>
      </c>
      <c r="Z558" s="77"/>
      <c r="AA558" s="77" t="s">
        <v>2363</v>
      </c>
      <c r="AB558" s="77" t="s">
        <v>2632</v>
      </c>
      <c r="AC558" s="82" t="s">
        <v>2642</v>
      </c>
      <c r="AD558" s="77" t="s">
        <v>2670</v>
      </c>
      <c r="AE558" s="80" t="str">
        <f>HYPERLINK("https://twitter.com/metodotdl/status/1625238581420740608")</f>
        <v>https://twitter.com/metodotdl/status/1625238581420740608</v>
      </c>
      <c r="AF558" s="79">
        <v>44970.875543981485</v>
      </c>
      <c r="AG558" s="85">
        <v>44970</v>
      </c>
      <c r="AH558" s="82" t="s">
        <v>3190</v>
      </c>
      <c r="AI558" s="77" t="b">
        <v>0</v>
      </c>
      <c r="AJ558" s="77"/>
      <c r="AK558" s="77"/>
      <c r="AL558" s="77"/>
      <c r="AM558" s="77"/>
      <c r="AN558" s="77"/>
      <c r="AO558" s="77"/>
      <c r="AP558" s="77"/>
      <c r="AQ558" s="77" t="s">
        <v>3792</v>
      </c>
      <c r="AR558" s="77"/>
      <c r="AS558" s="77"/>
      <c r="AT558" s="77"/>
      <c r="AU558" s="77"/>
      <c r="AV558" s="80" t="str">
        <f>HYPERLINK("https://pbs.twimg.com/media/Fo4B4HpWcBIPufS.jpg")</f>
        <v>https://pbs.twimg.com/media/Fo4B4HpWcBIPufS.jpg</v>
      </c>
      <c r="AW558" s="82" t="s">
        <v>4609</v>
      </c>
      <c r="AX558" s="82" t="s">
        <v>4609</v>
      </c>
      <c r="AY558" s="77"/>
      <c r="AZ558" s="82" t="s">
        <v>5075</v>
      </c>
      <c r="BA558" s="82" t="s">
        <v>5075</v>
      </c>
      <c r="BB558" s="82" t="s">
        <v>5075</v>
      </c>
      <c r="BC558" s="82" t="s">
        <v>4609</v>
      </c>
      <c r="BD558" s="82" t="s">
        <v>5233</v>
      </c>
      <c r="BE558" s="77"/>
      <c r="BF558" s="77"/>
      <c r="BG558" s="77"/>
      <c r="BH558" s="77"/>
      <c r="BI558" s="77"/>
    </row>
    <row r="559" spans="1:61" x14ac:dyDescent="0.25">
      <c r="A559" s="62" t="s">
        <v>424</v>
      </c>
      <c r="B559" s="62" t="s">
        <v>424</v>
      </c>
      <c r="C559" s="63"/>
      <c r="D559" s="64"/>
      <c r="E559" s="65"/>
      <c r="F559" s="66"/>
      <c r="G559" s="63"/>
      <c r="H559" s="67"/>
      <c r="I559" s="68"/>
      <c r="J559" s="68"/>
      <c r="K559" s="32"/>
      <c r="L559" s="75">
        <v>559</v>
      </c>
      <c r="M559" s="75"/>
      <c r="N559" s="70"/>
      <c r="O559" s="77" t="s">
        <v>179</v>
      </c>
      <c r="P559" s="79">
        <v>44960.875358796293</v>
      </c>
      <c r="Q559" s="77" t="s">
        <v>1086</v>
      </c>
      <c r="R559" s="77">
        <v>0</v>
      </c>
      <c r="S559" s="77">
        <v>0</v>
      </c>
      <c r="T559" s="77">
        <v>0</v>
      </c>
      <c r="U559" s="77">
        <v>0</v>
      </c>
      <c r="V559" s="77">
        <v>85</v>
      </c>
      <c r="W559" s="82" t="s">
        <v>1846</v>
      </c>
      <c r="X559" s="80" t="str">
        <f>HYPERLINK("http://metodotdl.com.br/tdl/telegram")</f>
        <v>http://metodotdl.com.br/tdl/telegram</v>
      </c>
      <c r="Y559" s="77" t="s">
        <v>1978</v>
      </c>
      <c r="Z559" s="77"/>
      <c r="AA559" s="77" t="s">
        <v>2364</v>
      </c>
      <c r="AB559" s="77" t="s">
        <v>2632</v>
      </c>
      <c r="AC559" s="82" t="s">
        <v>2642</v>
      </c>
      <c r="AD559" s="77" t="s">
        <v>2670</v>
      </c>
      <c r="AE559" s="80" t="str">
        <f>HYPERLINK("https://twitter.com/metodotdl/status/1621614635605426177")</f>
        <v>https://twitter.com/metodotdl/status/1621614635605426177</v>
      </c>
      <c r="AF559" s="79">
        <v>44960.875358796293</v>
      </c>
      <c r="AG559" s="85">
        <v>44960</v>
      </c>
      <c r="AH559" s="82" t="s">
        <v>3189</v>
      </c>
      <c r="AI559" s="77" t="b">
        <v>0</v>
      </c>
      <c r="AJ559" s="77"/>
      <c r="AK559" s="77"/>
      <c r="AL559" s="77"/>
      <c r="AM559" s="77"/>
      <c r="AN559" s="77"/>
      <c r="AO559" s="77"/>
      <c r="AP559" s="77"/>
      <c r="AQ559" s="77" t="s">
        <v>3793</v>
      </c>
      <c r="AR559" s="77"/>
      <c r="AS559" s="77"/>
      <c r="AT559" s="77"/>
      <c r="AU559" s="77"/>
      <c r="AV559" s="80" t="str">
        <f>HYPERLINK("https://pbs.twimg.com/media/FoEh6t7XgAEBPSz.jpg")</f>
        <v>https://pbs.twimg.com/media/FoEh6t7XgAEBPSz.jpg</v>
      </c>
      <c r="AW559" s="82" t="s">
        <v>4610</v>
      </c>
      <c r="AX559" s="82" t="s">
        <v>4610</v>
      </c>
      <c r="AY559" s="77"/>
      <c r="AZ559" s="82" t="s">
        <v>5075</v>
      </c>
      <c r="BA559" s="82" t="s">
        <v>5075</v>
      </c>
      <c r="BB559" s="82" t="s">
        <v>5075</v>
      </c>
      <c r="BC559" s="82" t="s">
        <v>4610</v>
      </c>
      <c r="BD559" s="82" t="s">
        <v>5233</v>
      </c>
      <c r="BE559" s="77"/>
      <c r="BF559" s="77"/>
      <c r="BG559" s="77"/>
      <c r="BH559" s="77"/>
      <c r="BI559" s="77"/>
    </row>
    <row r="560" spans="1:61" x14ac:dyDescent="0.25">
      <c r="A560" s="62" t="s">
        <v>424</v>
      </c>
      <c r="B560" s="62" t="s">
        <v>424</v>
      </c>
      <c r="C560" s="63"/>
      <c r="D560" s="64"/>
      <c r="E560" s="65"/>
      <c r="F560" s="66"/>
      <c r="G560" s="63"/>
      <c r="H560" s="67"/>
      <c r="I560" s="68"/>
      <c r="J560" s="68"/>
      <c r="K560" s="32"/>
      <c r="L560" s="75">
        <v>560</v>
      </c>
      <c r="M560" s="75"/>
      <c r="N560" s="70"/>
      <c r="O560" s="77" t="s">
        <v>179</v>
      </c>
      <c r="P560" s="79">
        <v>44959.878946759258</v>
      </c>
      <c r="Q560" s="77" t="s">
        <v>1087</v>
      </c>
      <c r="R560" s="77">
        <v>0</v>
      </c>
      <c r="S560" s="77">
        <v>0</v>
      </c>
      <c r="T560" s="77">
        <v>0</v>
      </c>
      <c r="U560" s="77">
        <v>0</v>
      </c>
      <c r="V560" s="77">
        <v>64</v>
      </c>
      <c r="W560" s="82" t="s">
        <v>1846</v>
      </c>
      <c r="X560" s="80" t="str">
        <f>HYPERLINK("http://metodotdl.com.br/tdl/telegram")</f>
        <v>http://metodotdl.com.br/tdl/telegram</v>
      </c>
      <c r="Y560" s="77" t="s">
        <v>1978</v>
      </c>
      <c r="Z560" s="77"/>
      <c r="AA560" s="77" t="s">
        <v>2365</v>
      </c>
      <c r="AB560" s="77" t="s">
        <v>2632</v>
      </c>
      <c r="AC560" s="82" t="s">
        <v>2642</v>
      </c>
      <c r="AD560" s="77" t="s">
        <v>2670</v>
      </c>
      <c r="AE560" s="80" t="str">
        <f>HYPERLINK("https://twitter.com/metodotdl/status/1621253548150226946")</f>
        <v>https://twitter.com/metodotdl/status/1621253548150226946</v>
      </c>
      <c r="AF560" s="79">
        <v>44959.878946759258</v>
      </c>
      <c r="AG560" s="85">
        <v>44959</v>
      </c>
      <c r="AH560" s="82" t="s">
        <v>3191</v>
      </c>
      <c r="AI560" s="77" t="b">
        <v>0</v>
      </c>
      <c r="AJ560" s="77"/>
      <c r="AK560" s="77"/>
      <c r="AL560" s="77"/>
      <c r="AM560" s="77"/>
      <c r="AN560" s="77"/>
      <c r="AO560" s="77"/>
      <c r="AP560" s="77"/>
      <c r="AQ560" s="77" t="s">
        <v>3794</v>
      </c>
      <c r="AR560" s="77"/>
      <c r="AS560" s="77"/>
      <c r="AT560" s="77"/>
      <c r="AU560" s="77"/>
      <c r="AV560" s="80" t="str">
        <f>HYPERLINK("https://pbs.twimg.com/media/Fn_ZgknX0AA4Wq-.jpg")</f>
        <v>https://pbs.twimg.com/media/Fn_ZgknX0AA4Wq-.jpg</v>
      </c>
      <c r="AW560" s="82" t="s">
        <v>4611</v>
      </c>
      <c r="AX560" s="82" t="s">
        <v>4611</v>
      </c>
      <c r="AY560" s="77"/>
      <c r="AZ560" s="82" t="s">
        <v>5075</v>
      </c>
      <c r="BA560" s="82" t="s">
        <v>5075</v>
      </c>
      <c r="BB560" s="82" t="s">
        <v>5075</v>
      </c>
      <c r="BC560" s="82" t="s">
        <v>4611</v>
      </c>
      <c r="BD560" s="82" t="s">
        <v>5233</v>
      </c>
      <c r="BE560" s="77"/>
      <c r="BF560" s="77"/>
      <c r="BG560" s="77"/>
      <c r="BH560" s="77"/>
      <c r="BI560" s="77"/>
    </row>
    <row r="561" spans="1:61" x14ac:dyDescent="0.25">
      <c r="A561" s="62" t="s">
        <v>424</v>
      </c>
      <c r="B561" s="62" t="s">
        <v>424</v>
      </c>
      <c r="C561" s="63"/>
      <c r="D561" s="64"/>
      <c r="E561" s="65"/>
      <c r="F561" s="66"/>
      <c r="G561" s="63"/>
      <c r="H561" s="67"/>
      <c r="I561" s="68"/>
      <c r="J561" s="68"/>
      <c r="K561" s="32"/>
      <c r="L561" s="75">
        <v>561</v>
      </c>
      <c r="M561" s="75"/>
      <c r="N561" s="70"/>
      <c r="O561" s="77" t="s">
        <v>179</v>
      </c>
      <c r="P561" s="79">
        <v>44958.875381944446</v>
      </c>
      <c r="Q561" s="77" t="s">
        <v>1088</v>
      </c>
      <c r="R561" s="77">
        <v>0</v>
      </c>
      <c r="S561" s="77">
        <v>0</v>
      </c>
      <c r="T561" s="77">
        <v>0</v>
      </c>
      <c r="U561" s="77">
        <v>0</v>
      </c>
      <c r="V561" s="77">
        <v>80</v>
      </c>
      <c r="W561" s="82" t="s">
        <v>1846</v>
      </c>
      <c r="X561" s="80" t="str">
        <f>HYPERLINK("http://metodotdl.com.br/tdl/telegram")</f>
        <v>http://metodotdl.com.br/tdl/telegram</v>
      </c>
      <c r="Y561" s="77" t="s">
        <v>1978</v>
      </c>
      <c r="Z561" s="77"/>
      <c r="AA561" s="77" t="s">
        <v>2366</v>
      </c>
      <c r="AB561" s="77" t="s">
        <v>2632</v>
      </c>
      <c r="AC561" s="82" t="s">
        <v>2642</v>
      </c>
      <c r="AD561" s="77" t="s">
        <v>2670</v>
      </c>
      <c r="AE561" s="80" t="str">
        <f>HYPERLINK("https://twitter.com/metodotdl/status/1620889866463547392")</f>
        <v>https://twitter.com/metodotdl/status/1620889866463547392</v>
      </c>
      <c r="AF561" s="79">
        <v>44958.875381944446</v>
      </c>
      <c r="AG561" s="85">
        <v>44958</v>
      </c>
      <c r="AH561" s="82" t="s">
        <v>3180</v>
      </c>
      <c r="AI561" s="77" t="b">
        <v>0</v>
      </c>
      <c r="AJ561" s="77"/>
      <c r="AK561" s="77"/>
      <c r="AL561" s="77"/>
      <c r="AM561" s="77"/>
      <c r="AN561" s="77"/>
      <c r="AO561" s="77"/>
      <c r="AP561" s="77"/>
      <c r="AQ561" s="77" t="s">
        <v>3795</v>
      </c>
      <c r="AR561" s="77"/>
      <c r="AS561" s="77"/>
      <c r="AT561" s="77"/>
      <c r="AU561" s="77"/>
      <c r="AV561" s="80" t="str">
        <f>HYPERLINK("https://pbs.twimg.com/media/Fn6OvmaXoBMoOdT.jpg")</f>
        <v>https://pbs.twimg.com/media/Fn6OvmaXoBMoOdT.jpg</v>
      </c>
      <c r="AW561" s="82" t="s">
        <v>4612</v>
      </c>
      <c r="AX561" s="82" t="s">
        <v>4612</v>
      </c>
      <c r="AY561" s="77"/>
      <c r="AZ561" s="82" t="s">
        <v>5075</v>
      </c>
      <c r="BA561" s="82" t="s">
        <v>5075</v>
      </c>
      <c r="BB561" s="82" t="s">
        <v>5075</v>
      </c>
      <c r="BC561" s="82" t="s">
        <v>4612</v>
      </c>
      <c r="BD561" s="82" t="s">
        <v>5233</v>
      </c>
      <c r="BE561" s="77"/>
      <c r="BF561" s="77"/>
      <c r="BG561" s="77"/>
      <c r="BH561" s="77"/>
      <c r="BI561" s="77"/>
    </row>
    <row r="562" spans="1:61" x14ac:dyDescent="0.25">
      <c r="A562" s="62" t="s">
        <v>424</v>
      </c>
      <c r="B562" s="62" t="s">
        <v>424</v>
      </c>
      <c r="C562" s="63"/>
      <c r="D562" s="64"/>
      <c r="E562" s="65"/>
      <c r="F562" s="66"/>
      <c r="G562" s="63"/>
      <c r="H562" s="67"/>
      <c r="I562" s="68"/>
      <c r="J562" s="68"/>
      <c r="K562" s="32"/>
      <c r="L562" s="75">
        <v>562</v>
      </c>
      <c r="M562" s="75"/>
      <c r="N562" s="70"/>
      <c r="O562" s="77" t="s">
        <v>179</v>
      </c>
      <c r="P562" s="79">
        <v>44956.875625000001</v>
      </c>
      <c r="Q562" s="77" t="s">
        <v>1089</v>
      </c>
      <c r="R562" s="77">
        <v>0</v>
      </c>
      <c r="S562" s="77">
        <v>0</v>
      </c>
      <c r="T562" s="77">
        <v>0</v>
      </c>
      <c r="U562" s="77">
        <v>0</v>
      </c>
      <c r="V562" s="77">
        <v>96</v>
      </c>
      <c r="W562" s="82" t="s">
        <v>1846</v>
      </c>
      <c r="X562" s="80" t="str">
        <f>HYPERLINK("http://metodotdl.com.br/tdl/telegram")</f>
        <v>http://metodotdl.com.br/tdl/telegram</v>
      </c>
      <c r="Y562" s="77" t="s">
        <v>1978</v>
      </c>
      <c r="Z562" s="77"/>
      <c r="AA562" s="77" t="s">
        <v>2367</v>
      </c>
      <c r="AB562" s="77" t="s">
        <v>2632</v>
      </c>
      <c r="AC562" s="82" t="s">
        <v>2642</v>
      </c>
      <c r="AD562" s="77" t="s">
        <v>2670</v>
      </c>
      <c r="AE562" s="80" t="str">
        <f>HYPERLINK("https://twitter.com/metodotdl/status/1620165178510778368")</f>
        <v>https://twitter.com/metodotdl/status/1620165178510778368</v>
      </c>
      <c r="AF562" s="79">
        <v>44956.875625000001</v>
      </c>
      <c r="AG562" s="85">
        <v>44956</v>
      </c>
      <c r="AH562" s="82" t="s">
        <v>3187</v>
      </c>
      <c r="AI562" s="77" t="b">
        <v>0</v>
      </c>
      <c r="AJ562" s="77"/>
      <c r="AK562" s="77"/>
      <c r="AL562" s="77"/>
      <c r="AM562" s="77"/>
      <c r="AN562" s="77"/>
      <c r="AO562" s="77"/>
      <c r="AP562" s="77"/>
      <c r="AQ562" s="77" t="s">
        <v>3796</v>
      </c>
      <c r="AR562" s="77"/>
      <c r="AS562" s="77"/>
      <c r="AT562" s="77"/>
      <c r="AU562" s="77"/>
      <c r="AV562" s="80" t="str">
        <f>HYPERLINK("https://pbs.twimg.com/media/Fnv7pKjWYAAz7g8.jpg")</f>
        <v>https://pbs.twimg.com/media/Fnv7pKjWYAAz7g8.jpg</v>
      </c>
      <c r="AW562" s="82" t="s">
        <v>4613</v>
      </c>
      <c r="AX562" s="82" t="s">
        <v>4613</v>
      </c>
      <c r="AY562" s="77"/>
      <c r="AZ562" s="82" t="s">
        <v>5075</v>
      </c>
      <c r="BA562" s="82" t="s">
        <v>5075</v>
      </c>
      <c r="BB562" s="82" t="s">
        <v>5075</v>
      </c>
      <c r="BC562" s="82" t="s">
        <v>4613</v>
      </c>
      <c r="BD562" s="82" t="s">
        <v>5233</v>
      </c>
      <c r="BE562" s="77"/>
      <c r="BF562" s="77"/>
      <c r="BG562" s="77"/>
      <c r="BH562" s="77"/>
      <c r="BI562" s="77"/>
    </row>
    <row r="563" spans="1:61" x14ac:dyDescent="0.25">
      <c r="A563" s="62" t="s">
        <v>424</v>
      </c>
      <c r="B563" s="62" t="s">
        <v>424</v>
      </c>
      <c r="C563" s="63"/>
      <c r="D563" s="64"/>
      <c r="E563" s="65"/>
      <c r="F563" s="66"/>
      <c r="G563" s="63"/>
      <c r="H563" s="67"/>
      <c r="I563" s="68"/>
      <c r="J563" s="68"/>
      <c r="K563" s="32"/>
      <c r="L563" s="75">
        <v>563</v>
      </c>
      <c r="M563" s="75"/>
      <c r="N563" s="70"/>
      <c r="O563" s="77" t="s">
        <v>179</v>
      </c>
      <c r="P563" s="79">
        <v>44953.881990740738</v>
      </c>
      <c r="Q563" s="77" t="s">
        <v>1090</v>
      </c>
      <c r="R563" s="77">
        <v>0</v>
      </c>
      <c r="S563" s="77">
        <v>0</v>
      </c>
      <c r="T563" s="77">
        <v>0</v>
      </c>
      <c r="U563" s="77">
        <v>0</v>
      </c>
      <c r="V563" s="77">
        <v>83</v>
      </c>
      <c r="W563" s="82" t="s">
        <v>1846</v>
      </c>
      <c r="X563" s="80" t="str">
        <f>HYPERLINK("http://metodotdl.com.br/tdl/telegram")</f>
        <v>http://metodotdl.com.br/tdl/telegram</v>
      </c>
      <c r="Y563" s="77" t="s">
        <v>1978</v>
      </c>
      <c r="Z563" s="77"/>
      <c r="AA563" s="77" t="s">
        <v>2368</v>
      </c>
      <c r="AB563" s="77" t="s">
        <v>2632</v>
      </c>
      <c r="AC563" s="82" t="s">
        <v>2642</v>
      </c>
      <c r="AD563" s="77" t="s">
        <v>2670</v>
      </c>
      <c r="AE563" s="80" t="str">
        <f>HYPERLINK("https://twitter.com/metodotdl/status/1619080321613307915")</f>
        <v>https://twitter.com/metodotdl/status/1619080321613307915</v>
      </c>
      <c r="AF563" s="79">
        <v>44953.881990740738</v>
      </c>
      <c r="AG563" s="85">
        <v>44953</v>
      </c>
      <c r="AH563" s="82" t="s">
        <v>3192</v>
      </c>
      <c r="AI563" s="77" t="b">
        <v>0</v>
      </c>
      <c r="AJ563" s="77"/>
      <c r="AK563" s="77"/>
      <c r="AL563" s="77"/>
      <c r="AM563" s="77"/>
      <c r="AN563" s="77"/>
      <c r="AO563" s="77"/>
      <c r="AP563" s="77"/>
      <c r="AQ563" s="77" t="s">
        <v>3797</v>
      </c>
      <c r="AR563" s="77"/>
      <c r="AS563" s="77"/>
      <c r="AT563" s="77"/>
      <c r="AU563" s="77"/>
      <c r="AV563" s="80" t="str">
        <f>HYPERLINK("https://pbs.twimg.com/media/Fngg-LAWIBIwxB-.jpg")</f>
        <v>https://pbs.twimg.com/media/Fngg-LAWIBIwxB-.jpg</v>
      </c>
      <c r="AW563" s="82" t="s">
        <v>4614</v>
      </c>
      <c r="AX563" s="82" t="s">
        <v>4614</v>
      </c>
      <c r="AY563" s="77"/>
      <c r="AZ563" s="82" t="s">
        <v>5075</v>
      </c>
      <c r="BA563" s="82" t="s">
        <v>5075</v>
      </c>
      <c r="BB563" s="82" t="s">
        <v>5075</v>
      </c>
      <c r="BC563" s="82" t="s">
        <v>4614</v>
      </c>
      <c r="BD563" s="82" t="s">
        <v>5233</v>
      </c>
      <c r="BE563" s="77"/>
      <c r="BF563" s="77"/>
      <c r="BG563" s="77"/>
      <c r="BH563" s="77"/>
      <c r="BI563" s="77"/>
    </row>
    <row r="564" spans="1:61" x14ac:dyDescent="0.25">
      <c r="A564" s="62" t="s">
        <v>424</v>
      </c>
      <c r="B564" s="62" t="s">
        <v>424</v>
      </c>
      <c r="C564" s="63"/>
      <c r="D564" s="64"/>
      <c r="E564" s="65"/>
      <c r="F564" s="66"/>
      <c r="G564" s="63"/>
      <c r="H564" s="67"/>
      <c r="I564" s="68"/>
      <c r="J564" s="68"/>
      <c r="K564" s="32"/>
      <c r="L564" s="75">
        <v>564</v>
      </c>
      <c r="M564" s="75"/>
      <c r="N564" s="70"/>
      <c r="O564" s="77" t="s">
        <v>179</v>
      </c>
      <c r="P564" s="79">
        <v>44952.87537037037</v>
      </c>
      <c r="Q564" s="77" t="s">
        <v>1091</v>
      </c>
      <c r="R564" s="77">
        <v>0</v>
      </c>
      <c r="S564" s="77">
        <v>0</v>
      </c>
      <c r="T564" s="77">
        <v>0</v>
      </c>
      <c r="U564" s="77">
        <v>0</v>
      </c>
      <c r="V564" s="77">
        <v>64</v>
      </c>
      <c r="W564" s="82" t="s">
        <v>1846</v>
      </c>
      <c r="X564" s="80" t="str">
        <f>HYPERLINK("http://metodotdl.com.br/tdl/telegram")</f>
        <v>http://metodotdl.com.br/tdl/telegram</v>
      </c>
      <c r="Y564" s="77" t="s">
        <v>1978</v>
      </c>
      <c r="Z564" s="77"/>
      <c r="AA564" s="77" t="s">
        <v>2369</v>
      </c>
      <c r="AB564" s="77" t="s">
        <v>2632</v>
      </c>
      <c r="AC564" s="82" t="s">
        <v>2642</v>
      </c>
      <c r="AD564" s="77" t="s">
        <v>2670</v>
      </c>
      <c r="AE564" s="80" t="str">
        <f>HYPERLINK("https://twitter.com/metodotdl/status/1618715533381074944")</f>
        <v>https://twitter.com/metodotdl/status/1618715533381074944</v>
      </c>
      <c r="AF564" s="79">
        <v>44952.87537037037</v>
      </c>
      <c r="AG564" s="85">
        <v>44952</v>
      </c>
      <c r="AH564" s="82" t="s">
        <v>3183</v>
      </c>
      <c r="AI564" s="77" t="b">
        <v>0</v>
      </c>
      <c r="AJ564" s="77"/>
      <c r="AK564" s="77"/>
      <c r="AL564" s="77"/>
      <c r="AM564" s="77"/>
      <c r="AN564" s="77"/>
      <c r="AO564" s="77"/>
      <c r="AP564" s="77"/>
      <c r="AQ564" s="77" t="s">
        <v>3798</v>
      </c>
      <c r="AR564" s="77"/>
      <c r="AS564" s="77"/>
      <c r="AT564" s="77"/>
      <c r="AU564" s="77"/>
      <c r="AV564" s="80" t="str">
        <f>HYPERLINK("https://pbs.twimg.com/media/FnbVMtoXoAsw4Bh.jpg")</f>
        <v>https://pbs.twimg.com/media/FnbVMtoXoAsw4Bh.jpg</v>
      </c>
      <c r="AW564" s="82" t="s">
        <v>4615</v>
      </c>
      <c r="AX564" s="82" t="s">
        <v>4615</v>
      </c>
      <c r="AY564" s="77"/>
      <c r="AZ564" s="82" t="s">
        <v>5075</v>
      </c>
      <c r="BA564" s="82" t="s">
        <v>5075</v>
      </c>
      <c r="BB564" s="82" t="s">
        <v>5075</v>
      </c>
      <c r="BC564" s="82" t="s">
        <v>4615</v>
      </c>
      <c r="BD564" s="82" t="s">
        <v>5233</v>
      </c>
      <c r="BE564" s="77"/>
      <c r="BF564" s="77"/>
      <c r="BG564" s="77"/>
      <c r="BH564" s="77"/>
      <c r="BI564" s="77"/>
    </row>
    <row r="565" spans="1:61" x14ac:dyDescent="0.25">
      <c r="A565" s="62" t="s">
        <v>424</v>
      </c>
      <c r="B565" s="62" t="s">
        <v>424</v>
      </c>
      <c r="C565" s="63"/>
      <c r="D565" s="64"/>
      <c r="E565" s="65"/>
      <c r="F565" s="66"/>
      <c r="G565" s="63"/>
      <c r="H565" s="67"/>
      <c r="I565" s="68"/>
      <c r="J565" s="68"/>
      <c r="K565" s="32"/>
      <c r="L565" s="75">
        <v>565</v>
      </c>
      <c r="M565" s="75"/>
      <c r="N565" s="70"/>
      <c r="O565" s="77" t="s">
        <v>179</v>
      </c>
      <c r="P565" s="79">
        <v>44951.899317129632</v>
      </c>
      <c r="Q565" s="77" t="s">
        <v>1092</v>
      </c>
      <c r="R565" s="77">
        <v>0</v>
      </c>
      <c r="S565" s="77">
        <v>0</v>
      </c>
      <c r="T565" s="77">
        <v>0</v>
      </c>
      <c r="U565" s="77">
        <v>0</v>
      </c>
      <c r="V565" s="77">
        <v>75</v>
      </c>
      <c r="W565" s="82" t="s">
        <v>1846</v>
      </c>
      <c r="X565" s="80" t="str">
        <f>HYPERLINK("http://metodotdl.com.br/tdl/telegram")</f>
        <v>http://metodotdl.com.br/tdl/telegram</v>
      </c>
      <c r="Y565" s="77" t="s">
        <v>1978</v>
      </c>
      <c r="Z565" s="77"/>
      <c r="AA565" s="77" t="s">
        <v>2370</v>
      </c>
      <c r="AB565" s="77" t="s">
        <v>2632</v>
      </c>
      <c r="AC565" s="82" t="s">
        <v>2642</v>
      </c>
      <c r="AD565" s="77" t="s">
        <v>2670</v>
      </c>
      <c r="AE565" s="80" t="str">
        <f>HYPERLINK("https://twitter.com/metodotdl/status/1618361825728372745")</f>
        <v>https://twitter.com/metodotdl/status/1618361825728372745</v>
      </c>
      <c r="AF565" s="79">
        <v>44951.899317129632</v>
      </c>
      <c r="AG565" s="85">
        <v>44951</v>
      </c>
      <c r="AH565" s="82" t="s">
        <v>3193</v>
      </c>
      <c r="AI565" s="77" t="b">
        <v>0</v>
      </c>
      <c r="AJ565" s="77"/>
      <c r="AK565" s="77"/>
      <c r="AL565" s="77"/>
      <c r="AM565" s="77"/>
      <c r="AN565" s="77"/>
      <c r="AO565" s="77"/>
      <c r="AP565" s="77"/>
      <c r="AQ565" s="77" t="s">
        <v>3799</v>
      </c>
      <c r="AR565" s="77"/>
      <c r="AS565" s="77"/>
      <c r="AT565" s="77"/>
      <c r="AU565" s="77"/>
      <c r="AV565" s="80" t="str">
        <f>HYPERLINK("https://pbs.twimg.com/media/FnWTgTUXoAQ45VA.jpg")</f>
        <v>https://pbs.twimg.com/media/FnWTgTUXoAQ45VA.jpg</v>
      </c>
      <c r="AW565" s="82" t="s">
        <v>4616</v>
      </c>
      <c r="AX565" s="82" t="s">
        <v>4616</v>
      </c>
      <c r="AY565" s="77"/>
      <c r="AZ565" s="82" t="s">
        <v>5075</v>
      </c>
      <c r="BA565" s="82" t="s">
        <v>5075</v>
      </c>
      <c r="BB565" s="82" t="s">
        <v>5075</v>
      </c>
      <c r="BC565" s="82" t="s">
        <v>4616</v>
      </c>
      <c r="BD565" s="82" t="s">
        <v>5233</v>
      </c>
      <c r="BE565" s="77"/>
      <c r="BF565" s="77"/>
      <c r="BG565" s="77"/>
      <c r="BH565" s="77"/>
      <c r="BI565" s="77"/>
    </row>
    <row r="566" spans="1:61" x14ac:dyDescent="0.25">
      <c r="A566" s="62" t="s">
        <v>424</v>
      </c>
      <c r="B566" s="62" t="s">
        <v>424</v>
      </c>
      <c r="C566" s="63"/>
      <c r="D566" s="64"/>
      <c r="E566" s="65"/>
      <c r="F566" s="66"/>
      <c r="G566" s="63"/>
      <c r="H566" s="67"/>
      <c r="I566" s="68"/>
      <c r="J566" s="68"/>
      <c r="K566" s="32"/>
      <c r="L566" s="75">
        <v>566</v>
      </c>
      <c r="M566" s="75"/>
      <c r="N566" s="70"/>
      <c r="O566" s="77" t="s">
        <v>179</v>
      </c>
      <c r="P566" s="79">
        <v>44950.878495370373</v>
      </c>
      <c r="Q566" s="77" t="s">
        <v>1093</v>
      </c>
      <c r="R566" s="77">
        <v>0</v>
      </c>
      <c r="S566" s="77">
        <v>0</v>
      </c>
      <c r="T566" s="77">
        <v>0</v>
      </c>
      <c r="U566" s="77">
        <v>0</v>
      </c>
      <c r="V566" s="77">
        <v>70</v>
      </c>
      <c r="W566" s="82" t="s">
        <v>1846</v>
      </c>
      <c r="X566" s="80" t="str">
        <f>HYPERLINK("http://metodotdl.com.br/tdl/telegram")</f>
        <v>http://metodotdl.com.br/tdl/telegram</v>
      </c>
      <c r="Y566" s="77" t="s">
        <v>1978</v>
      </c>
      <c r="Z566" s="77"/>
      <c r="AA566" s="77" t="s">
        <v>2371</v>
      </c>
      <c r="AB566" s="77" t="s">
        <v>2632</v>
      </c>
      <c r="AC566" s="82" t="s">
        <v>2642</v>
      </c>
      <c r="AD566" s="77" t="s">
        <v>2670</v>
      </c>
      <c r="AE566" s="80" t="str">
        <f>HYPERLINK("https://twitter.com/metodotdl/status/1617991891986927617")</f>
        <v>https://twitter.com/metodotdl/status/1617991891986927617</v>
      </c>
      <c r="AF566" s="79">
        <v>44950.878495370373</v>
      </c>
      <c r="AG566" s="85">
        <v>44950</v>
      </c>
      <c r="AH566" s="82" t="s">
        <v>3185</v>
      </c>
      <c r="AI566" s="77" t="b">
        <v>0</v>
      </c>
      <c r="AJ566" s="77"/>
      <c r="AK566" s="77"/>
      <c r="AL566" s="77"/>
      <c r="AM566" s="77"/>
      <c r="AN566" s="77"/>
      <c r="AO566" s="77"/>
      <c r="AP566" s="77"/>
      <c r="AQ566" s="77" t="s">
        <v>3800</v>
      </c>
      <c r="AR566" s="77"/>
      <c r="AS566" s="77"/>
      <c r="AT566" s="77"/>
      <c r="AU566" s="77"/>
      <c r="AV566" s="80" t="str">
        <f>HYPERLINK("https://pbs.twimg.com/media/FnRDDS0X0BE5207.jpg")</f>
        <v>https://pbs.twimg.com/media/FnRDDS0X0BE5207.jpg</v>
      </c>
      <c r="AW566" s="82" t="s">
        <v>4617</v>
      </c>
      <c r="AX566" s="82" t="s">
        <v>4617</v>
      </c>
      <c r="AY566" s="77"/>
      <c r="AZ566" s="82" t="s">
        <v>5075</v>
      </c>
      <c r="BA566" s="82" t="s">
        <v>5075</v>
      </c>
      <c r="BB566" s="82" t="s">
        <v>5075</v>
      </c>
      <c r="BC566" s="82" t="s">
        <v>4617</v>
      </c>
      <c r="BD566" s="82" t="s">
        <v>5233</v>
      </c>
      <c r="BE566" s="77"/>
      <c r="BF566" s="77"/>
      <c r="BG566" s="77"/>
      <c r="BH566" s="77"/>
      <c r="BI566" s="77"/>
    </row>
    <row r="567" spans="1:61" x14ac:dyDescent="0.25">
      <c r="A567" s="62" t="s">
        <v>424</v>
      </c>
      <c r="B567" s="62" t="s">
        <v>424</v>
      </c>
      <c r="C567" s="63"/>
      <c r="D567" s="64"/>
      <c r="E567" s="65"/>
      <c r="F567" s="66"/>
      <c r="G567" s="63"/>
      <c r="H567" s="67"/>
      <c r="I567" s="68"/>
      <c r="J567" s="68"/>
      <c r="K567" s="32"/>
      <c r="L567" s="75">
        <v>567</v>
      </c>
      <c r="M567" s="75"/>
      <c r="N567" s="70"/>
      <c r="O567" s="77" t="s">
        <v>179</v>
      </c>
      <c r="P567" s="79">
        <v>45114.875543981485</v>
      </c>
      <c r="Q567" s="77" t="s">
        <v>1094</v>
      </c>
      <c r="R567" s="77">
        <v>0</v>
      </c>
      <c r="S567" s="77">
        <v>0</v>
      </c>
      <c r="T567" s="77">
        <v>0</v>
      </c>
      <c r="U567" s="77">
        <v>0</v>
      </c>
      <c r="V567" s="77">
        <v>64</v>
      </c>
      <c r="W567" s="82" t="s">
        <v>1846</v>
      </c>
      <c r="X567" s="80" t="str">
        <f>HYPERLINK("http://metodotdl.com.br/tdl/telegram")</f>
        <v>http://metodotdl.com.br/tdl/telegram</v>
      </c>
      <c r="Y567" s="77" t="s">
        <v>1978</v>
      </c>
      <c r="Z567" s="77"/>
      <c r="AA567" s="77" t="s">
        <v>2372</v>
      </c>
      <c r="AB567" s="77" t="s">
        <v>2632</v>
      </c>
      <c r="AC567" s="82" t="s">
        <v>2642</v>
      </c>
      <c r="AD567" s="77" t="s">
        <v>2670</v>
      </c>
      <c r="AE567" s="80" t="str">
        <f>HYPERLINK("https://twitter.com/metodotdl/status/1677422430388723713")</f>
        <v>https://twitter.com/metodotdl/status/1677422430388723713</v>
      </c>
      <c r="AF567" s="79">
        <v>45114.875543981485</v>
      </c>
      <c r="AG567" s="85">
        <v>45114</v>
      </c>
      <c r="AH567" s="82" t="s">
        <v>3190</v>
      </c>
      <c r="AI567" s="77" t="b">
        <v>0</v>
      </c>
      <c r="AJ567" s="77"/>
      <c r="AK567" s="77"/>
      <c r="AL567" s="77"/>
      <c r="AM567" s="77"/>
      <c r="AN567" s="77"/>
      <c r="AO567" s="77"/>
      <c r="AP567" s="77"/>
      <c r="AQ567" s="77" t="s">
        <v>3801</v>
      </c>
      <c r="AR567" s="77"/>
      <c r="AS567" s="77"/>
      <c r="AT567" s="77"/>
      <c r="AU567" s="77"/>
      <c r="AV567" s="80" t="str">
        <f>HYPERLINK("https://pbs.twimg.com/media/F0dmz60XwAAs9fZ.jpg")</f>
        <v>https://pbs.twimg.com/media/F0dmz60XwAAs9fZ.jpg</v>
      </c>
      <c r="AW567" s="82" t="s">
        <v>4618</v>
      </c>
      <c r="AX567" s="82" t="s">
        <v>4618</v>
      </c>
      <c r="AY567" s="77"/>
      <c r="AZ567" s="82" t="s">
        <v>5075</v>
      </c>
      <c r="BA567" s="82" t="s">
        <v>5075</v>
      </c>
      <c r="BB567" s="82" t="s">
        <v>5075</v>
      </c>
      <c r="BC567" s="82" t="s">
        <v>4618</v>
      </c>
      <c r="BD567" s="82" t="s">
        <v>5233</v>
      </c>
      <c r="BE567" s="77"/>
      <c r="BF567" s="77"/>
      <c r="BG567" s="77"/>
      <c r="BH567" s="77"/>
      <c r="BI567" s="77"/>
    </row>
    <row r="568" spans="1:61" x14ac:dyDescent="0.25">
      <c r="A568" s="62" t="s">
        <v>424</v>
      </c>
      <c r="B568" s="62" t="s">
        <v>424</v>
      </c>
      <c r="C568" s="63"/>
      <c r="D568" s="64"/>
      <c r="E568" s="65"/>
      <c r="F568" s="66"/>
      <c r="G568" s="63"/>
      <c r="H568" s="67"/>
      <c r="I568" s="68"/>
      <c r="J568" s="68"/>
      <c r="K568" s="32"/>
      <c r="L568" s="75">
        <v>568</v>
      </c>
      <c r="M568" s="75"/>
      <c r="N568" s="70"/>
      <c r="O568" s="77" t="s">
        <v>179</v>
      </c>
      <c r="P568" s="79">
        <v>45113.875543981485</v>
      </c>
      <c r="Q568" s="77" t="s">
        <v>1095</v>
      </c>
      <c r="R568" s="77">
        <v>0</v>
      </c>
      <c r="S568" s="77">
        <v>0</v>
      </c>
      <c r="T568" s="77">
        <v>0</v>
      </c>
      <c r="U568" s="77">
        <v>0</v>
      </c>
      <c r="V568" s="77">
        <v>66</v>
      </c>
      <c r="W568" s="82" t="s">
        <v>1846</v>
      </c>
      <c r="X568" s="80" t="str">
        <f>HYPERLINK("http://metodotdl.com.br/tdl/telegram")</f>
        <v>http://metodotdl.com.br/tdl/telegram</v>
      </c>
      <c r="Y568" s="77" t="s">
        <v>1978</v>
      </c>
      <c r="Z568" s="77"/>
      <c r="AA568" s="77" t="s">
        <v>2373</v>
      </c>
      <c r="AB568" s="77" t="s">
        <v>2632</v>
      </c>
      <c r="AC568" s="82" t="s">
        <v>2642</v>
      </c>
      <c r="AD568" s="77" t="s">
        <v>2670</v>
      </c>
      <c r="AE568" s="80" t="str">
        <f>HYPERLINK("https://twitter.com/metodotdl/status/1677060045341614080")</f>
        <v>https://twitter.com/metodotdl/status/1677060045341614080</v>
      </c>
      <c r="AF568" s="79">
        <v>45113.875543981485</v>
      </c>
      <c r="AG568" s="85">
        <v>45113</v>
      </c>
      <c r="AH568" s="82" t="s">
        <v>3190</v>
      </c>
      <c r="AI568" s="77" t="b">
        <v>0</v>
      </c>
      <c r="AJ568" s="77"/>
      <c r="AK568" s="77"/>
      <c r="AL568" s="77"/>
      <c r="AM568" s="77"/>
      <c r="AN568" s="77"/>
      <c r="AO568" s="77"/>
      <c r="AP568" s="77"/>
      <c r="AQ568" s="77" t="s">
        <v>3802</v>
      </c>
      <c r="AR568" s="77"/>
      <c r="AS568" s="77"/>
      <c r="AT568" s="77"/>
      <c r="AU568" s="77"/>
      <c r="AV568" s="80" t="str">
        <f>HYPERLINK("https://pbs.twimg.com/media/F0YdOVMWYAc_xyp.jpg")</f>
        <v>https://pbs.twimg.com/media/F0YdOVMWYAc_xyp.jpg</v>
      </c>
      <c r="AW568" s="82" t="s">
        <v>4619</v>
      </c>
      <c r="AX568" s="82" t="s">
        <v>4619</v>
      </c>
      <c r="AY568" s="77"/>
      <c r="AZ568" s="82" t="s">
        <v>5075</v>
      </c>
      <c r="BA568" s="82" t="s">
        <v>5075</v>
      </c>
      <c r="BB568" s="82" t="s">
        <v>5075</v>
      </c>
      <c r="BC568" s="82" t="s">
        <v>4619</v>
      </c>
      <c r="BD568" s="82" t="s">
        <v>5233</v>
      </c>
      <c r="BE568" s="77"/>
      <c r="BF568" s="77"/>
      <c r="BG568" s="77"/>
      <c r="BH568" s="77"/>
      <c r="BI568" s="77"/>
    </row>
    <row r="569" spans="1:61" x14ac:dyDescent="0.25">
      <c r="A569" s="62" t="s">
        <v>424</v>
      </c>
      <c r="B569" s="62" t="s">
        <v>424</v>
      </c>
      <c r="C569" s="63"/>
      <c r="D569" s="64"/>
      <c r="E569" s="65"/>
      <c r="F569" s="66"/>
      <c r="G569" s="63"/>
      <c r="H569" s="67"/>
      <c r="I569" s="68"/>
      <c r="J569" s="68"/>
      <c r="K569" s="32"/>
      <c r="L569" s="75">
        <v>569</v>
      </c>
      <c r="M569" s="75"/>
      <c r="N569" s="70"/>
      <c r="O569" s="77" t="s">
        <v>179</v>
      </c>
      <c r="P569" s="79">
        <v>45104.875636574077</v>
      </c>
      <c r="Q569" s="77" t="s">
        <v>1096</v>
      </c>
      <c r="R569" s="77">
        <v>0</v>
      </c>
      <c r="S569" s="77">
        <v>0</v>
      </c>
      <c r="T569" s="77">
        <v>0</v>
      </c>
      <c r="U569" s="77">
        <v>0</v>
      </c>
      <c r="V569" s="77">
        <v>58</v>
      </c>
      <c r="W569" s="82" t="s">
        <v>1846</v>
      </c>
      <c r="X569" s="80" t="str">
        <f>HYPERLINK("http://metodotdl.com.br/tdl/telegram")</f>
        <v>http://metodotdl.com.br/tdl/telegram</v>
      </c>
      <c r="Y569" s="77" t="s">
        <v>1978</v>
      </c>
      <c r="Z569" s="77"/>
      <c r="AA569" s="77" t="s">
        <v>2374</v>
      </c>
      <c r="AB569" s="77" t="s">
        <v>2632</v>
      </c>
      <c r="AC569" s="82" t="s">
        <v>2642</v>
      </c>
      <c r="AD569" s="77" t="s">
        <v>2670</v>
      </c>
      <c r="AE569" s="80" t="str">
        <f>HYPERLINK("https://twitter.com/metodotdl/status/1673798587220729857")</f>
        <v>https://twitter.com/metodotdl/status/1673798587220729857</v>
      </c>
      <c r="AF569" s="79">
        <v>45104.875636574077</v>
      </c>
      <c r="AG569" s="85">
        <v>45104</v>
      </c>
      <c r="AH569" s="82" t="s">
        <v>3174</v>
      </c>
      <c r="AI569" s="77" t="b">
        <v>0</v>
      </c>
      <c r="AJ569" s="77"/>
      <c r="AK569" s="77"/>
      <c r="AL569" s="77"/>
      <c r="AM569" s="77"/>
      <c r="AN569" s="77"/>
      <c r="AO569" s="77"/>
      <c r="AP569" s="77"/>
      <c r="AQ569" s="77" t="s">
        <v>3803</v>
      </c>
      <c r="AR569" s="77"/>
      <c r="AS569" s="77"/>
      <c r="AT569" s="77"/>
      <c r="AU569" s="77"/>
      <c r="AV569" s="80" t="str">
        <f>HYPERLINK("https://pbs.twimg.com/media/FzqG8bsXwAAxRBY.jpg")</f>
        <v>https://pbs.twimg.com/media/FzqG8bsXwAAxRBY.jpg</v>
      </c>
      <c r="AW569" s="82" t="s">
        <v>4620</v>
      </c>
      <c r="AX569" s="82" t="s">
        <v>4620</v>
      </c>
      <c r="AY569" s="77"/>
      <c r="AZ569" s="82" t="s">
        <v>5075</v>
      </c>
      <c r="BA569" s="82" t="s">
        <v>5075</v>
      </c>
      <c r="BB569" s="82" t="s">
        <v>5075</v>
      </c>
      <c r="BC569" s="82" t="s">
        <v>4620</v>
      </c>
      <c r="BD569" s="82" t="s">
        <v>5233</v>
      </c>
      <c r="BE569" s="77"/>
      <c r="BF569" s="77"/>
      <c r="BG569" s="77"/>
      <c r="BH569" s="77"/>
      <c r="BI569" s="77"/>
    </row>
    <row r="570" spans="1:61" x14ac:dyDescent="0.25">
      <c r="A570" s="62" t="s">
        <v>424</v>
      </c>
      <c r="B570" s="62" t="s">
        <v>424</v>
      </c>
      <c r="C570" s="63"/>
      <c r="D570" s="64"/>
      <c r="E570" s="65"/>
      <c r="F570" s="66"/>
      <c r="G570" s="63"/>
      <c r="H570" s="67"/>
      <c r="I570" s="68"/>
      <c r="J570" s="68"/>
      <c r="K570" s="32"/>
      <c r="L570" s="75">
        <v>570</v>
      </c>
      <c r="M570" s="75"/>
      <c r="N570" s="70"/>
      <c r="O570" s="77" t="s">
        <v>179</v>
      </c>
      <c r="P570" s="79">
        <v>45103.875578703701</v>
      </c>
      <c r="Q570" s="77" t="s">
        <v>1097</v>
      </c>
      <c r="R570" s="77">
        <v>0</v>
      </c>
      <c r="S570" s="77">
        <v>0</v>
      </c>
      <c r="T570" s="77">
        <v>0</v>
      </c>
      <c r="U570" s="77">
        <v>0</v>
      </c>
      <c r="V570" s="77">
        <v>58</v>
      </c>
      <c r="W570" s="82" t="s">
        <v>1846</v>
      </c>
      <c r="X570" s="80" t="str">
        <f>HYPERLINK("http://metodotdl.com.br/tdl/telegram")</f>
        <v>http://metodotdl.com.br/tdl/telegram</v>
      </c>
      <c r="Y570" s="77" t="s">
        <v>1978</v>
      </c>
      <c r="Z570" s="77"/>
      <c r="AA570" s="77" t="s">
        <v>2375</v>
      </c>
      <c r="AB570" s="77" t="s">
        <v>2632</v>
      </c>
      <c r="AC570" s="82" t="s">
        <v>2642</v>
      </c>
      <c r="AD570" s="77" t="s">
        <v>2670</v>
      </c>
      <c r="AE570" s="80" t="str">
        <f>HYPERLINK("https://twitter.com/metodotdl/status/1673436176378744834")</f>
        <v>https://twitter.com/metodotdl/status/1673436176378744834</v>
      </c>
      <c r="AF570" s="79">
        <v>45103.875578703701</v>
      </c>
      <c r="AG570" s="85">
        <v>45103</v>
      </c>
      <c r="AH570" s="82" t="s">
        <v>3177</v>
      </c>
      <c r="AI570" s="77" t="b">
        <v>0</v>
      </c>
      <c r="AJ570" s="77"/>
      <c r="AK570" s="77"/>
      <c r="AL570" s="77"/>
      <c r="AM570" s="77"/>
      <c r="AN570" s="77"/>
      <c r="AO570" s="77"/>
      <c r="AP570" s="77"/>
      <c r="AQ570" s="77" t="s">
        <v>3804</v>
      </c>
      <c r="AR570" s="77"/>
      <c r="AS570" s="77"/>
      <c r="AT570" s="77"/>
      <c r="AU570" s="77"/>
      <c r="AV570" s="80" t="str">
        <f>HYPERLINK("https://pbs.twimg.com/media/Fzk9VZgX0AAV6Bi.jpg")</f>
        <v>https://pbs.twimg.com/media/Fzk9VZgX0AAV6Bi.jpg</v>
      </c>
      <c r="AW570" s="82" t="s">
        <v>4621</v>
      </c>
      <c r="AX570" s="82" t="s">
        <v>4621</v>
      </c>
      <c r="AY570" s="77"/>
      <c r="AZ570" s="82" t="s">
        <v>5075</v>
      </c>
      <c r="BA570" s="82" t="s">
        <v>5075</v>
      </c>
      <c r="BB570" s="82" t="s">
        <v>5075</v>
      </c>
      <c r="BC570" s="82" t="s">
        <v>4621</v>
      </c>
      <c r="BD570" s="82" t="s">
        <v>5233</v>
      </c>
      <c r="BE570" s="77"/>
      <c r="BF570" s="77"/>
      <c r="BG570" s="77"/>
      <c r="BH570" s="77"/>
      <c r="BI570" s="77"/>
    </row>
    <row r="571" spans="1:61" x14ac:dyDescent="0.25">
      <c r="A571" s="62" t="s">
        <v>424</v>
      </c>
      <c r="B571" s="62" t="s">
        <v>424</v>
      </c>
      <c r="C571" s="63"/>
      <c r="D571" s="64"/>
      <c r="E571" s="65"/>
      <c r="F571" s="66"/>
      <c r="G571" s="63"/>
      <c r="H571" s="67"/>
      <c r="I571" s="68"/>
      <c r="J571" s="68"/>
      <c r="K571" s="32"/>
      <c r="L571" s="75">
        <v>571</v>
      </c>
      <c r="M571" s="75"/>
      <c r="N571" s="70"/>
      <c r="O571" s="77" t="s">
        <v>179</v>
      </c>
      <c r="P571" s="79">
        <v>45084.875590277778</v>
      </c>
      <c r="Q571" s="77" t="s">
        <v>1098</v>
      </c>
      <c r="R571" s="77">
        <v>0</v>
      </c>
      <c r="S571" s="77">
        <v>0</v>
      </c>
      <c r="T571" s="77">
        <v>0</v>
      </c>
      <c r="U571" s="77">
        <v>0</v>
      </c>
      <c r="V571" s="77">
        <v>48</v>
      </c>
      <c r="W571" s="82" t="s">
        <v>1846</v>
      </c>
      <c r="X571" s="80" t="str">
        <f>HYPERLINK("http://metodotdl.com.br/tdl/telegram")</f>
        <v>http://metodotdl.com.br/tdl/telegram</v>
      </c>
      <c r="Y571" s="77" t="s">
        <v>1978</v>
      </c>
      <c r="Z571" s="77"/>
      <c r="AA571" s="77" t="s">
        <v>2376</v>
      </c>
      <c r="AB571" s="77" t="s">
        <v>2632</v>
      </c>
      <c r="AC571" s="82" t="s">
        <v>2642</v>
      </c>
      <c r="AD571" s="77" t="s">
        <v>2670</v>
      </c>
      <c r="AE571" s="80" t="str">
        <f>HYPERLINK("https://twitter.com/metodotdl/status/1666550814100398081")</f>
        <v>https://twitter.com/metodotdl/status/1666550814100398081</v>
      </c>
      <c r="AF571" s="79">
        <v>45084.875590277778</v>
      </c>
      <c r="AG571" s="85">
        <v>45084</v>
      </c>
      <c r="AH571" s="82" t="s">
        <v>3194</v>
      </c>
      <c r="AI571" s="77" t="b">
        <v>0</v>
      </c>
      <c r="AJ571" s="77"/>
      <c r="AK571" s="77"/>
      <c r="AL571" s="77"/>
      <c r="AM571" s="77"/>
      <c r="AN571" s="77"/>
      <c r="AO571" s="77"/>
      <c r="AP571" s="77"/>
      <c r="AQ571" s="77" t="s">
        <v>3805</v>
      </c>
      <c r="AR571" s="77"/>
      <c r="AS571" s="77"/>
      <c r="AT571" s="77"/>
      <c r="AU571" s="77"/>
      <c r="AV571" s="80" t="str">
        <f>HYPERLINK("https://pbs.twimg.com/media/FyDHIgPXgAEhMV5.jpg")</f>
        <v>https://pbs.twimg.com/media/FyDHIgPXgAEhMV5.jpg</v>
      </c>
      <c r="AW571" s="82" t="s">
        <v>4622</v>
      </c>
      <c r="AX571" s="82" t="s">
        <v>4622</v>
      </c>
      <c r="AY571" s="77"/>
      <c r="AZ571" s="82" t="s">
        <v>5075</v>
      </c>
      <c r="BA571" s="82" t="s">
        <v>5075</v>
      </c>
      <c r="BB571" s="82" t="s">
        <v>5075</v>
      </c>
      <c r="BC571" s="82" t="s">
        <v>4622</v>
      </c>
      <c r="BD571" s="82" t="s">
        <v>5233</v>
      </c>
      <c r="BE571" s="77"/>
      <c r="BF571" s="77"/>
      <c r="BG571" s="77"/>
      <c r="BH571" s="77"/>
      <c r="BI571" s="77"/>
    </row>
    <row r="572" spans="1:61" x14ac:dyDescent="0.25">
      <c r="A572" s="62" t="s">
        <v>424</v>
      </c>
      <c r="B572" s="62" t="s">
        <v>424</v>
      </c>
      <c r="C572" s="63"/>
      <c r="D572" s="64"/>
      <c r="E572" s="65"/>
      <c r="F572" s="66"/>
      <c r="G572" s="63"/>
      <c r="H572" s="67"/>
      <c r="I572" s="68"/>
      <c r="J572" s="68"/>
      <c r="K572" s="32"/>
      <c r="L572" s="75">
        <v>572</v>
      </c>
      <c r="M572" s="75"/>
      <c r="N572" s="70"/>
      <c r="O572" s="77" t="s">
        <v>179</v>
      </c>
      <c r="P572" s="79">
        <v>45054.875625000001</v>
      </c>
      <c r="Q572" s="77" t="s">
        <v>1099</v>
      </c>
      <c r="R572" s="77">
        <v>0</v>
      </c>
      <c r="S572" s="77">
        <v>0</v>
      </c>
      <c r="T572" s="77">
        <v>0</v>
      </c>
      <c r="U572" s="77">
        <v>0</v>
      </c>
      <c r="V572" s="77">
        <v>74</v>
      </c>
      <c r="W572" s="82" t="s">
        <v>1846</v>
      </c>
      <c r="X572" s="80" t="str">
        <f>HYPERLINK("http://metodotdl.com.br/tdl/telegram")</f>
        <v>http://metodotdl.com.br/tdl/telegram</v>
      </c>
      <c r="Y572" s="77" t="s">
        <v>1978</v>
      </c>
      <c r="Z572" s="77"/>
      <c r="AA572" s="77" t="s">
        <v>2377</v>
      </c>
      <c r="AB572" s="77" t="s">
        <v>2632</v>
      </c>
      <c r="AC572" s="82" t="s">
        <v>2642</v>
      </c>
      <c r="AD572" s="77" t="s">
        <v>2670</v>
      </c>
      <c r="AE572" s="80" t="str">
        <f>HYPERLINK("https://twitter.com/metodotdl/status/1655679189540904962")</f>
        <v>https://twitter.com/metodotdl/status/1655679189540904962</v>
      </c>
      <c r="AF572" s="79">
        <v>45054.875625000001</v>
      </c>
      <c r="AG572" s="85">
        <v>45054</v>
      </c>
      <c r="AH572" s="82" t="s">
        <v>3187</v>
      </c>
      <c r="AI572" s="77" t="b">
        <v>0</v>
      </c>
      <c r="AJ572" s="77"/>
      <c r="AK572" s="77"/>
      <c r="AL572" s="77"/>
      <c r="AM572" s="77"/>
      <c r="AN572" s="77"/>
      <c r="AO572" s="77"/>
      <c r="AP572" s="77"/>
      <c r="AQ572" s="77" t="s">
        <v>3806</v>
      </c>
      <c r="AR572" s="77"/>
      <c r="AS572" s="77"/>
      <c r="AT572" s="77"/>
      <c r="AU572" s="77"/>
      <c r="AV572" s="80" t="str">
        <f>HYPERLINK("https://pbs.twimg.com/media/Fvoncu5WYAEVkzR.jpg")</f>
        <v>https://pbs.twimg.com/media/Fvoncu5WYAEVkzR.jpg</v>
      </c>
      <c r="AW572" s="82" t="s">
        <v>4623</v>
      </c>
      <c r="AX572" s="82" t="s">
        <v>4623</v>
      </c>
      <c r="AY572" s="77"/>
      <c r="AZ572" s="82" t="s">
        <v>5075</v>
      </c>
      <c r="BA572" s="82" t="s">
        <v>5075</v>
      </c>
      <c r="BB572" s="82" t="s">
        <v>5075</v>
      </c>
      <c r="BC572" s="82" t="s">
        <v>4623</v>
      </c>
      <c r="BD572" s="82" t="s">
        <v>5233</v>
      </c>
      <c r="BE572" s="77"/>
      <c r="BF572" s="77"/>
      <c r="BG572" s="77"/>
      <c r="BH572" s="77"/>
      <c r="BI572" s="77"/>
    </row>
    <row r="573" spans="1:61" x14ac:dyDescent="0.25">
      <c r="A573" s="62" t="s">
        <v>424</v>
      </c>
      <c r="B573" s="62" t="s">
        <v>424</v>
      </c>
      <c r="C573" s="63"/>
      <c r="D573" s="64"/>
      <c r="E573" s="65"/>
      <c r="F573" s="66"/>
      <c r="G573" s="63"/>
      <c r="H573" s="67"/>
      <c r="I573" s="68"/>
      <c r="J573" s="68"/>
      <c r="K573" s="32"/>
      <c r="L573" s="75">
        <v>573</v>
      </c>
      <c r="M573" s="75"/>
      <c r="N573" s="70"/>
      <c r="O573" s="77" t="s">
        <v>179</v>
      </c>
      <c r="P573" s="79">
        <v>45050.875671296293</v>
      </c>
      <c r="Q573" s="77" t="s">
        <v>1100</v>
      </c>
      <c r="R573" s="77">
        <v>0</v>
      </c>
      <c r="S573" s="77">
        <v>0</v>
      </c>
      <c r="T573" s="77">
        <v>0</v>
      </c>
      <c r="U573" s="77">
        <v>0</v>
      </c>
      <c r="V573" s="77">
        <v>81</v>
      </c>
      <c r="W573" s="82" t="s">
        <v>1846</v>
      </c>
      <c r="X573" s="80" t="str">
        <f>HYPERLINK("http://metodotdl.com.br/tdl/telegram")</f>
        <v>http://metodotdl.com.br/tdl/telegram</v>
      </c>
      <c r="Y573" s="77" t="s">
        <v>1978</v>
      </c>
      <c r="Z573" s="77"/>
      <c r="AA573" s="77" t="s">
        <v>2378</v>
      </c>
      <c r="AB573" s="77" t="s">
        <v>2632</v>
      </c>
      <c r="AC573" s="82" t="s">
        <v>2642</v>
      </c>
      <c r="AD573" s="77" t="s">
        <v>2670</v>
      </c>
      <c r="AE573" s="80" t="str">
        <f>HYPERLINK("https://twitter.com/metodotdl/status/1654229655182888966")</f>
        <v>https://twitter.com/metodotdl/status/1654229655182888966</v>
      </c>
      <c r="AF573" s="79">
        <v>45050.875671296293</v>
      </c>
      <c r="AG573" s="85">
        <v>45050</v>
      </c>
      <c r="AH573" s="82" t="s">
        <v>3175</v>
      </c>
      <c r="AI573" s="77" t="b">
        <v>0</v>
      </c>
      <c r="AJ573" s="77"/>
      <c r="AK573" s="77"/>
      <c r="AL573" s="77"/>
      <c r="AM573" s="77"/>
      <c r="AN573" s="77"/>
      <c r="AO573" s="77"/>
      <c r="AP573" s="77"/>
      <c r="AQ573" s="77" t="s">
        <v>3807</v>
      </c>
      <c r="AR573" s="77"/>
      <c r="AS573" s="77"/>
      <c r="AT573" s="77"/>
      <c r="AU573" s="77"/>
      <c r="AV573" s="80" t="str">
        <f>HYPERLINK("https://pbs.twimg.com/media/FvUBGsHXwAMvcdT.jpg")</f>
        <v>https://pbs.twimg.com/media/FvUBGsHXwAMvcdT.jpg</v>
      </c>
      <c r="AW573" s="82" t="s">
        <v>4624</v>
      </c>
      <c r="AX573" s="82" t="s">
        <v>4624</v>
      </c>
      <c r="AY573" s="77"/>
      <c r="AZ573" s="82" t="s">
        <v>5075</v>
      </c>
      <c r="BA573" s="82" t="s">
        <v>5075</v>
      </c>
      <c r="BB573" s="82" t="s">
        <v>5075</v>
      </c>
      <c r="BC573" s="82" t="s">
        <v>4624</v>
      </c>
      <c r="BD573" s="82" t="s">
        <v>5233</v>
      </c>
      <c r="BE573" s="77"/>
      <c r="BF573" s="77"/>
      <c r="BG573" s="77"/>
      <c r="BH573" s="77"/>
      <c r="BI573" s="77"/>
    </row>
    <row r="574" spans="1:61" x14ac:dyDescent="0.25">
      <c r="A574" s="62" t="s">
        <v>424</v>
      </c>
      <c r="B574" s="62" t="s">
        <v>424</v>
      </c>
      <c r="C574" s="63"/>
      <c r="D574" s="64"/>
      <c r="E574" s="65"/>
      <c r="F574" s="66"/>
      <c r="G574" s="63"/>
      <c r="H574" s="67"/>
      <c r="I574" s="68"/>
      <c r="J574" s="68"/>
      <c r="K574" s="32"/>
      <c r="L574" s="75">
        <v>574</v>
      </c>
      <c r="M574" s="75"/>
      <c r="N574" s="70"/>
      <c r="O574" s="77" t="s">
        <v>179</v>
      </c>
      <c r="P574" s="79">
        <v>45002.875451388885</v>
      </c>
      <c r="Q574" s="77" t="s">
        <v>1101</v>
      </c>
      <c r="R574" s="77">
        <v>0</v>
      </c>
      <c r="S574" s="77">
        <v>0</v>
      </c>
      <c r="T574" s="77">
        <v>0</v>
      </c>
      <c r="U574" s="77">
        <v>0</v>
      </c>
      <c r="V574" s="77">
        <v>67</v>
      </c>
      <c r="W574" s="82" t="s">
        <v>1846</v>
      </c>
      <c r="X574" s="80" t="str">
        <f>HYPERLINK("http://metodotdl.com.br/tdl/telegram")</f>
        <v>http://metodotdl.com.br/tdl/telegram</v>
      </c>
      <c r="Y574" s="77" t="s">
        <v>1978</v>
      </c>
      <c r="Z574" s="77"/>
      <c r="AA574" s="77" t="s">
        <v>2379</v>
      </c>
      <c r="AB574" s="77" t="s">
        <v>2632</v>
      </c>
      <c r="AC574" s="82" t="s">
        <v>2642</v>
      </c>
      <c r="AD574" s="77" t="s">
        <v>2670</v>
      </c>
      <c r="AE574" s="80" t="str">
        <f>HYPERLINK("https://twitter.com/metodotdl/status/1636834956335783943")</f>
        <v>https://twitter.com/metodotdl/status/1636834956335783943</v>
      </c>
      <c r="AF574" s="79">
        <v>45002.875451388885</v>
      </c>
      <c r="AG574" s="85">
        <v>45002</v>
      </c>
      <c r="AH574" s="82" t="s">
        <v>3195</v>
      </c>
      <c r="AI574" s="77" t="b">
        <v>0</v>
      </c>
      <c r="AJ574" s="77"/>
      <c r="AK574" s="77"/>
      <c r="AL574" s="77"/>
      <c r="AM574" s="77"/>
      <c r="AN574" s="77"/>
      <c r="AO574" s="77"/>
      <c r="AP574" s="77"/>
      <c r="AQ574" s="77" t="s">
        <v>3808</v>
      </c>
      <c r="AR574" s="77"/>
      <c r="AS574" s="77"/>
      <c r="AT574" s="77"/>
      <c r="AU574" s="77"/>
      <c r="AV574" s="80" t="str">
        <f>HYPERLINK("https://pbs.twimg.com/media/Frc0uBwWwAMf_i5.jpg")</f>
        <v>https://pbs.twimg.com/media/Frc0uBwWwAMf_i5.jpg</v>
      </c>
      <c r="AW574" s="82" t="s">
        <v>4625</v>
      </c>
      <c r="AX574" s="82" t="s">
        <v>4625</v>
      </c>
      <c r="AY574" s="77"/>
      <c r="AZ574" s="82" t="s">
        <v>5075</v>
      </c>
      <c r="BA574" s="82" t="s">
        <v>5075</v>
      </c>
      <c r="BB574" s="82" t="s">
        <v>5075</v>
      </c>
      <c r="BC574" s="82" t="s">
        <v>4625</v>
      </c>
      <c r="BD574" s="82" t="s">
        <v>5233</v>
      </c>
      <c r="BE574" s="77"/>
      <c r="BF574" s="77"/>
      <c r="BG574" s="77"/>
      <c r="BH574" s="77"/>
      <c r="BI574" s="77"/>
    </row>
    <row r="575" spans="1:61" x14ac:dyDescent="0.25">
      <c r="A575" s="62" t="s">
        <v>424</v>
      </c>
      <c r="B575" s="62" t="s">
        <v>424</v>
      </c>
      <c r="C575" s="63"/>
      <c r="D575" s="64"/>
      <c r="E575" s="65"/>
      <c r="F575" s="66"/>
      <c r="G575" s="63"/>
      <c r="H575" s="67"/>
      <c r="I575" s="68"/>
      <c r="J575" s="68"/>
      <c r="K575" s="32"/>
      <c r="L575" s="75">
        <v>575</v>
      </c>
      <c r="M575" s="75"/>
      <c r="N575" s="70"/>
      <c r="O575" s="77" t="s">
        <v>179</v>
      </c>
      <c r="P575" s="79">
        <v>45001.875416666669</v>
      </c>
      <c r="Q575" s="77" t="s">
        <v>1102</v>
      </c>
      <c r="R575" s="77">
        <v>0</v>
      </c>
      <c r="S575" s="77">
        <v>0</v>
      </c>
      <c r="T575" s="77">
        <v>0</v>
      </c>
      <c r="U575" s="77">
        <v>0</v>
      </c>
      <c r="V575" s="77">
        <v>41</v>
      </c>
      <c r="W575" s="82" t="s">
        <v>1846</v>
      </c>
      <c r="X575" s="80" t="str">
        <f>HYPERLINK("http://metodotdl.com.br/tdl/telegram")</f>
        <v>http://metodotdl.com.br/tdl/telegram</v>
      </c>
      <c r="Y575" s="77" t="s">
        <v>1978</v>
      </c>
      <c r="Z575" s="77"/>
      <c r="AA575" s="77" t="s">
        <v>2380</v>
      </c>
      <c r="AB575" s="77" t="s">
        <v>2632</v>
      </c>
      <c r="AC575" s="82" t="s">
        <v>2642</v>
      </c>
      <c r="AD575" s="77" t="s">
        <v>2670</v>
      </c>
      <c r="AE575" s="80" t="str">
        <f>HYPERLINK("https://twitter.com/metodotdl/status/1636472558630445060")</f>
        <v>https://twitter.com/metodotdl/status/1636472558630445060</v>
      </c>
      <c r="AF575" s="79">
        <v>45001.875416666669</v>
      </c>
      <c r="AG575" s="85">
        <v>45001</v>
      </c>
      <c r="AH575" s="82" t="s">
        <v>3181</v>
      </c>
      <c r="AI575" s="77" t="b">
        <v>0</v>
      </c>
      <c r="AJ575" s="77"/>
      <c r="AK575" s="77"/>
      <c r="AL575" s="77"/>
      <c r="AM575" s="77"/>
      <c r="AN575" s="77"/>
      <c r="AO575" s="77"/>
      <c r="AP575" s="77"/>
      <c r="AQ575" s="77" t="s">
        <v>3809</v>
      </c>
      <c r="AR575" s="77"/>
      <c r="AS575" s="77"/>
      <c r="AT575" s="77"/>
      <c r="AU575" s="77"/>
      <c r="AV575" s="80" t="str">
        <f>HYPERLINK("https://pbs.twimg.com/media/FrXrHnjXoAgpmWC.jpg")</f>
        <v>https://pbs.twimg.com/media/FrXrHnjXoAgpmWC.jpg</v>
      </c>
      <c r="AW575" s="82" t="s">
        <v>4626</v>
      </c>
      <c r="AX575" s="82" t="s">
        <v>4626</v>
      </c>
      <c r="AY575" s="77"/>
      <c r="AZ575" s="82" t="s">
        <v>5075</v>
      </c>
      <c r="BA575" s="82" t="s">
        <v>5075</v>
      </c>
      <c r="BB575" s="82" t="s">
        <v>5075</v>
      </c>
      <c r="BC575" s="82" t="s">
        <v>4626</v>
      </c>
      <c r="BD575" s="82" t="s">
        <v>5233</v>
      </c>
      <c r="BE575" s="77"/>
      <c r="BF575" s="77"/>
      <c r="BG575" s="77"/>
      <c r="BH575" s="77"/>
      <c r="BI575" s="77"/>
    </row>
    <row r="576" spans="1:61" x14ac:dyDescent="0.25">
      <c r="A576" s="62" t="s">
        <v>424</v>
      </c>
      <c r="B576" s="62" t="s">
        <v>424</v>
      </c>
      <c r="C576" s="63"/>
      <c r="D576" s="64"/>
      <c r="E576" s="65"/>
      <c r="F576" s="66"/>
      <c r="G576" s="63"/>
      <c r="H576" s="67"/>
      <c r="I576" s="68"/>
      <c r="J576" s="68"/>
      <c r="K576" s="32"/>
      <c r="L576" s="75">
        <v>576</v>
      </c>
      <c r="M576" s="75"/>
      <c r="N576" s="70"/>
      <c r="O576" s="77" t="s">
        <v>179</v>
      </c>
      <c r="P576" s="79">
        <v>45000.875393518516</v>
      </c>
      <c r="Q576" s="77" t="s">
        <v>1103</v>
      </c>
      <c r="R576" s="77">
        <v>0</v>
      </c>
      <c r="S576" s="77">
        <v>0</v>
      </c>
      <c r="T576" s="77">
        <v>0</v>
      </c>
      <c r="U576" s="77">
        <v>0</v>
      </c>
      <c r="V576" s="77">
        <v>41</v>
      </c>
      <c r="W576" s="82" t="s">
        <v>1846</v>
      </c>
      <c r="X576" s="80" t="str">
        <f>HYPERLINK("http://metodotdl.com.br/tdl/telegram")</f>
        <v>http://metodotdl.com.br/tdl/telegram</v>
      </c>
      <c r="Y576" s="77" t="s">
        <v>1978</v>
      </c>
      <c r="Z576" s="77"/>
      <c r="AA576" s="77" t="s">
        <v>2381</v>
      </c>
      <c r="AB576" s="77" t="s">
        <v>2632</v>
      </c>
      <c r="AC576" s="82" t="s">
        <v>2642</v>
      </c>
      <c r="AD576" s="77" t="s">
        <v>2670</v>
      </c>
      <c r="AE576" s="80" t="str">
        <f>HYPERLINK("https://twitter.com/metodotdl/status/1636110162393202689")</f>
        <v>https://twitter.com/metodotdl/status/1636110162393202689</v>
      </c>
      <c r="AF576" s="79">
        <v>45000.875393518516</v>
      </c>
      <c r="AG576" s="85">
        <v>45000</v>
      </c>
      <c r="AH576" s="82" t="s">
        <v>2901</v>
      </c>
      <c r="AI576" s="77" t="b">
        <v>0</v>
      </c>
      <c r="AJ576" s="77"/>
      <c r="AK576" s="77"/>
      <c r="AL576" s="77"/>
      <c r="AM576" s="77"/>
      <c r="AN576" s="77"/>
      <c r="AO576" s="77"/>
      <c r="AP576" s="77"/>
      <c r="AQ576" s="77" t="s">
        <v>3810</v>
      </c>
      <c r="AR576" s="77"/>
      <c r="AS576" s="77"/>
      <c r="AT576" s="77"/>
      <c r="AU576" s="77"/>
      <c r="AV576" s="80" t="str">
        <f>HYPERLINK("https://pbs.twimg.com/media/FrShhVzXsAAfNTn.jpg")</f>
        <v>https://pbs.twimg.com/media/FrShhVzXsAAfNTn.jpg</v>
      </c>
      <c r="AW576" s="82" t="s">
        <v>4627</v>
      </c>
      <c r="AX576" s="82" t="s">
        <v>4627</v>
      </c>
      <c r="AY576" s="77"/>
      <c r="AZ576" s="82" t="s">
        <v>5075</v>
      </c>
      <c r="BA576" s="82" t="s">
        <v>5075</v>
      </c>
      <c r="BB576" s="82" t="s">
        <v>5075</v>
      </c>
      <c r="BC576" s="82" t="s">
        <v>4627</v>
      </c>
      <c r="BD576" s="82" t="s">
        <v>5233</v>
      </c>
      <c r="BE576" s="77"/>
      <c r="BF576" s="77"/>
      <c r="BG576" s="77"/>
      <c r="BH576" s="77"/>
      <c r="BI576" s="77"/>
    </row>
    <row r="577" spans="1:61" x14ac:dyDescent="0.25">
      <c r="A577" s="62" t="s">
        <v>424</v>
      </c>
      <c r="B577" s="62" t="s">
        <v>424</v>
      </c>
      <c r="C577" s="63"/>
      <c r="D577" s="64"/>
      <c r="E577" s="65"/>
      <c r="F577" s="66"/>
      <c r="G577" s="63"/>
      <c r="H577" s="67"/>
      <c r="I577" s="68"/>
      <c r="J577" s="68"/>
      <c r="K577" s="32"/>
      <c r="L577" s="75">
        <v>577</v>
      </c>
      <c r="M577" s="75"/>
      <c r="N577" s="70"/>
      <c r="O577" s="77" t="s">
        <v>179</v>
      </c>
      <c r="P577" s="79">
        <v>44999.875358796293</v>
      </c>
      <c r="Q577" s="77" t="s">
        <v>1104</v>
      </c>
      <c r="R577" s="77">
        <v>0</v>
      </c>
      <c r="S577" s="77">
        <v>0</v>
      </c>
      <c r="T577" s="77">
        <v>0</v>
      </c>
      <c r="U577" s="77">
        <v>0</v>
      </c>
      <c r="V577" s="77">
        <v>53</v>
      </c>
      <c r="W577" s="82" t="s">
        <v>1846</v>
      </c>
      <c r="X577" s="80" t="str">
        <f>HYPERLINK("http://metodotdl.com.br/tdl/telegram")</f>
        <v>http://metodotdl.com.br/tdl/telegram</v>
      </c>
      <c r="Y577" s="77" t="s">
        <v>1978</v>
      </c>
      <c r="Z577" s="77"/>
      <c r="AA577" s="77" t="s">
        <v>2382</v>
      </c>
      <c r="AB577" s="77" t="s">
        <v>2632</v>
      </c>
      <c r="AC577" s="82" t="s">
        <v>2642</v>
      </c>
      <c r="AD577" s="77" t="s">
        <v>2670</v>
      </c>
      <c r="AE577" s="80" t="str">
        <f>HYPERLINK("https://twitter.com/metodotdl/status/1635747762460344320")</f>
        <v>https://twitter.com/metodotdl/status/1635747762460344320</v>
      </c>
      <c r="AF577" s="79">
        <v>44999.875358796293</v>
      </c>
      <c r="AG577" s="85">
        <v>44999</v>
      </c>
      <c r="AH577" s="82" t="s">
        <v>3189</v>
      </c>
      <c r="AI577" s="77" t="b">
        <v>0</v>
      </c>
      <c r="AJ577" s="77"/>
      <c r="AK577" s="77"/>
      <c r="AL577" s="77"/>
      <c r="AM577" s="77"/>
      <c r="AN577" s="77"/>
      <c r="AO577" s="77"/>
      <c r="AP577" s="77"/>
      <c r="AQ577" s="77" t="s">
        <v>3811</v>
      </c>
      <c r="AR577" s="77"/>
      <c r="AS577" s="77"/>
      <c r="AT577" s="77"/>
      <c r="AU577" s="77"/>
      <c r="AV577" s="80" t="str">
        <f>HYPERLINK("https://pbs.twimg.com/media/FrNX67tWIAQDS-C.jpg")</f>
        <v>https://pbs.twimg.com/media/FrNX67tWIAQDS-C.jpg</v>
      </c>
      <c r="AW577" s="82" t="s">
        <v>4628</v>
      </c>
      <c r="AX577" s="82" t="s">
        <v>4628</v>
      </c>
      <c r="AY577" s="77"/>
      <c r="AZ577" s="82" t="s">
        <v>5075</v>
      </c>
      <c r="BA577" s="82" t="s">
        <v>5075</v>
      </c>
      <c r="BB577" s="82" t="s">
        <v>5075</v>
      </c>
      <c r="BC577" s="82" t="s">
        <v>4628</v>
      </c>
      <c r="BD577" s="82" t="s">
        <v>5233</v>
      </c>
      <c r="BE577" s="77"/>
      <c r="BF577" s="77"/>
      <c r="BG577" s="77"/>
      <c r="BH577" s="77"/>
      <c r="BI577" s="77"/>
    </row>
    <row r="578" spans="1:61" x14ac:dyDescent="0.25">
      <c r="A578" s="62" t="s">
        <v>424</v>
      </c>
      <c r="B578" s="62" t="s">
        <v>424</v>
      </c>
      <c r="C578" s="63"/>
      <c r="D578" s="64"/>
      <c r="E578" s="65"/>
      <c r="F578" s="66"/>
      <c r="G578" s="63"/>
      <c r="H578" s="67"/>
      <c r="I578" s="68"/>
      <c r="J578" s="68"/>
      <c r="K578" s="32"/>
      <c r="L578" s="75">
        <v>578</v>
      </c>
      <c r="M578" s="75"/>
      <c r="N578" s="70"/>
      <c r="O578" s="77" t="s">
        <v>179</v>
      </c>
      <c r="P578" s="79">
        <v>44998.875486111108</v>
      </c>
      <c r="Q578" s="77" t="s">
        <v>1105</v>
      </c>
      <c r="R578" s="77">
        <v>0</v>
      </c>
      <c r="S578" s="77">
        <v>0</v>
      </c>
      <c r="T578" s="77">
        <v>0</v>
      </c>
      <c r="U578" s="77">
        <v>0</v>
      </c>
      <c r="V578" s="77">
        <v>43</v>
      </c>
      <c r="W578" s="82" t="s">
        <v>1846</v>
      </c>
      <c r="X578" s="80" t="str">
        <f>HYPERLINK("http://metodotdl.com.br/tdl/telegram")</f>
        <v>http://metodotdl.com.br/tdl/telegram</v>
      </c>
      <c r="Y578" s="77" t="s">
        <v>1978</v>
      </c>
      <c r="Z578" s="77"/>
      <c r="AA578" s="77" t="s">
        <v>2383</v>
      </c>
      <c r="AB578" s="77" t="s">
        <v>2632</v>
      </c>
      <c r="AC578" s="82" t="s">
        <v>2642</v>
      </c>
      <c r="AD578" s="77" t="s">
        <v>2670</v>
      </c>
      <c r="AE578" s="80" t="str">
        <f>HYPERLINK("https://twitter.com/metodotdl/status/1635385418664296455")</f>
        <v>https://twitter.com/metodotdl/status/1635385418664296455</v>
      </c>
      <c r="AF578" s="79">
        <v>44998.875486111108</v>
      </c>
      <c r="AG578" s="85">
        <v>44998</v>
      </c>
      <c r="AH578" s="82" t="s">
        <v>3196</v>
      </c>
      <c r="AI578" s="77" t="b">
        <v>0</v>
      </c>
      <c r="AJ578" s="77"/>
      <c r="AK578" s="77"/>
      <c r="AL578" s="77"/>
      <c r="AM578" s="77"/>
      <c r="AN578" s="77"/>
      <c r="AO578" s="77"/>
      <c r="AP578" s="77"/>
      <c r="AQ578" s="77" t="s">
        <v>3812</v>
      </c>
      <c r="AR578" s="77"/>
      <c r="AS578" s="77"/>
      <c r="AT578" s="77"/>
      <c r="AU578" s="77"/>
      <c r="AV578" s="80" t="str">
        <f>HYPERLINK("https://pbs.twimg.com/media/FrIOXvNXgAEbQAF.jpg")</f>
        <v>https://pbs.twimg.com/media/FrIOXvNXgAEbQAF.jpg</v>
      </c>
      <c r="AW578" s="82" t="s">
        <v>4629</v>
      </c>
      <c r="AX578" s="82" t="s">
        <v>4629</v>
      </c>
      <c r="AY578" s="77"/>
      <c r="AZ578" s="82" t="s">
        <v>5075</v>
      </c>
      <c r="BA578" s="82" t="s">
        <v>5075</v>
      </c>
      <c r="BB578" s="82" t="s">
        <v>5075</v>
      </c>
      <c r="BC578" s="82" t="s">
        <v>4629</v>
      </c>
      <c r="BD578" s="82" t="s">
        <v>5233</v>
      </c>
      <c r="BE578" s="77"/>
      <c r="BF578" s="77"/>
      <c r="BG578" s="77"/>
      <c r="BH578" s="77"/>
      <c r="BI578" s="77"/>
    </row>
    <row r="579" spans="1:61" x14ac:dyDescent="0.25">
      <c r="A579" s="62" t="s">
        <v>424</v>
      </c>
      <c r="B579" s="62" t="s">
        <v>424</v>
      </c>
      <c r="C579" s="63"/>
      <c r="D579" s="64"/>
      <c r="E579" s="65"/>
      <c r="F579" s="66"/>
      <c r="G579" s="63"/>
      <c r="H579" s="67"/>
      <c r="I579" s="68"/>
      <c r="J579" s="68"/>
      <c r="K579" s="32"/>
      <c r="L579" s="75">
        <v>579</v>
      </c>
      <c r="M579" s="75"/>
      <c r="N579" s="70"/>
      <c r="O579" s="77" t="s">
        <v>179</v>
      </c>
      <c r="P579" s="79">
        <v>45120.875567129631</v>
      </c>
      <c r="Q579" s="77" t="s">
        <v>1106</v>
      </c>
      <c r="R579" s="77">
        <v>0</v>
      </c>
      <c r="S579" s="77">
        <v>0</v>
      </c>
      <c r="T579" s="77">
        <v>0</v>
      </c>
      <c r="U579" s="77">
        <v>0</v>
      </c>
      <c r="V579" s="77">
        <v>66</v>
      </c>
      <c r="W579" s="82" t="s">
        <v>1846</v>
      </c>
      <c r="X579" s="80" t="str">
        <f>HYPERLINK("http://metodotdl.com.br/tdl/telegram")</f>
        <v>http://metodotdl.com.br/tdl/telegram</v>
      </c>
      <c r="Y579" s="77" t="s">
        <v>1978</v>
      </c>
      <c r="Z579" s="77"/>
      <c r="AA579" s="77" t="s">
        <v>2384</v>
      </c>
      <c r="AB579" s="77" t="s">
        <v>2632</v>
      </c>
      <c r="AC579" s="82" t="s">
        <v>2642</v>
      </c>
      <c r="AD579" s="77" t="s">
        <v>2670</v>
      </c>
      <c r="AE579" s="80" t="str">
        <f>HYPERLINK("https://twitter.com/metodotdl/status/1679596766310588424")</f>
        <v>https://twitter.com/metodotdl/status/1679596766310588424</v>
      </c>
      <c r="AF579" s="79">
        <v>45120.875567129631</v>
      </c>
      <c r="AG579" s="85">
        <v>45120</v>
      </c>
      <c r="AH579" s="82" t="s">
        <v>3186</v>
      </c>
      <c r="AI579" s="77" t="b">
        <v>0</v>
      </c>
      <c r="AJ579" s="77"/>
      <c r="AK579" s="77"/>
      <c r="AL579" s="77"/>
      <c r="AM579" s="77"/>
      <c r="AN579" s="77"/>
      <c r="AO579" s="77"/>
      <c r="AP579" s="77"/>
      <c r="AQ579" s="77" t="s">
        <v>3813</v>
      </c>
      <c r="AR579" s="77"/>
      <c r="AS579" s="77"/>
      <c r="AT579" s="77"/>
      <c r="AU579" s="77"/>
      <c r="AV579" s="80" t="str">
        <f>HYPERLINK("https://pbs.twimg.com/media/F08gW4tXgAAp4uP.jpg")</f>
        <v>https://pbs.twimg.com/media/F08gW4tXgAAp4uP.jpg</v>
      </c>
      <c r="AW579" s="82" t="s">
        <v>4630</v>
      </c>
      <c r="AX579" s="82" t="s">
        <v>4630</v>
      </c>
      <c r="AY579" s="77"/>
      <c r="AZ579" s="82" t="s">
        <v>5075</v>
      </c>
      <c r="BA579" s="82" t="s">
        <v>5075</v>
      </c>
      <c r="BB579" s="82" t="s">
        <v>5075</v>
      </c>
      <c r="BC579" s="82" t="s">
        <v>4630</v>
      </c>
      <c r="BD579" s="82" t="s">
        <v>5233</v>
      </c>
      <c r="BE579" s="77"/>
      <c r="BF579" s="77"/>
      <c r="BG579" s="77"/>
      <c r="BH579" s="77"/>
      <c r="BI579" s="77"/>
    </row>
    <row r="580" spans="1:61" x14ac:dyDescent="0.25">
      <c r="A580" s="62" t="s">
        <v>424</v>
      </c>
      <c r="B580" s="62" t="s">
        <v>424</v>
      </c>
      <c r="C580" s="63"/>
      <c r="D580" s="64"/>
      <c r="E580" s="65"/>
      <c r="F580" s="66"/>
      <c r="G580" s="63"/>
      <c r="H580" s="67"/>
      <c r="I580" s="68"/>
      <c r="J580" s="68"/>
      <c r="K580" s="32"/>
      <c r="L580" s="75">
        <v>580</v>
      </c>
      <c r="M580" s="75"/>
      <c r="N580" s="70"/>
      <c r="O580" s="77" t="s">
        <v>179</v>
      </c>
      <c r="P580" s="79">
        <v>45110.875509259262</v>
      </c>
      <c r="Q580" s="77" t="s">
        <v>1107</v>
      </c>
      <c r="R580" s="77">
        <v>0</v>
      </c>
      <c r="S580" s="77">
        <v>0</v>
      </c>
      <c r="T580" s="77">
        <v>0</v>
      </c>
      <c r="U580" s="77">
        <v>0</v>
      </c>
      <c r="V580" s="77">
        <v>67</v>
      </c>
      <c r="W580" s="82" t="s">
        <v>1846</v>
      </c>
      <c r="X580" s="80" t="str">
        <f>HYPERLINK("http://metodotdl.com.br/tdl/telegram")</f>
        <v>http://metodotdl.com.br/tdl/telegram</v>
      </c>
      <c r="Y580" s="77" t="s">
        <v>1978</v>
      </c>
      <c r="Z580" s="77"/>
      <c r="AA580" s="77" t="s">
        <v>2385</v>
      </c>
      <c r="AB580" s="77" t="s">
        <v>2632</v>
      </c>
      <c r="AC580" s="82" t="s">
        <v>2642</v>
      </c>
      <c r="AD580" s="77" t="s">
        <v>2670</v>
      </c>
      <c r="AE580" s="80" t="str">
        <f>HYPERLINK("https://twitter.com/metodotdl/status/1675972869736497153")</f>
        <v>https://twitter.com/metodotdl/status/1675972869736497153</v>
      </c>
      <c r="AF580" s="79">
        <v>45110.875509259262</v>
      </c>
      <c r="AG580" s="85">
        <v>45110</v>
      </c>
      <c r="AH580" s="82" t="s">
        <v>3197</v>
      </c>
      <c r="AI580" s="77" t="b">
        <v>0</v>
      </c>
      <c r="AJ580" s="77"/>
      <c r="AK580" s="77"/>
      <c r="AL580" s="77"/>
      <c r="AM580" s="77"/>
      <c r="AN580" s="77"/>
      <c r="AO580" s="77"/>
      <c r="AP580" s="77"/>
      <c r="AQ580" s="77" t="s">
        <v>3814</v>
      </c>
      <c r="AR580" s="77"/>
      <c r="AS580" s="77"/>
      <c r="AT580" s="77"/>
      <c r="AU580" s="77"/>
      <c r="AV580" s="80" t="str">
        <f>HYPERLINK("https://pbs.twimg.com/media/F0JAcW9WwAItTOS.jpg")</f>
        <v>https://pbs.twimg.com/media/F0JAcW9WwAItTOS.jpg</v>
      </c>
      <c r="AW580" s="82" t="s">
        <v>4631</v>
      </c>
      <c r="AX580" s="82" t="s">
        <v>4631</v>
      </c>
      <c r="AY580" s="77"/>
      <c r="AZ580" s="82" t="s">
        <v>5075</v>
      </c>
      <c r="BA580" s="82" t="s">
        <v>5075</v>
      </c>
      <c r="BB580" s="82" t="s">
        <v>5075</v>
      </c>
      <c r="BC580" s="82" t="s">
        <v>4631</v>
      </c>
      <c r="BD580" s="82" t="s">
        <v>5233</v>
      </c>
      <c r="BE580" s="77"/>
      <c r="BF580" s="77"/>
      <c r="BG580" s="77"/>
      <c r="BH580" s="77"/>
      <c r="BI580" s="77"/>
    </row>
    <row r="581" spans="1:61" x14ac:dyDescent="0.25">
      <c r="A581" s="62" t="s">
        <v>424</v>
      </c>
      <c r="B581" s="62" t="s">
        <v>424</v>
      </c>
      <c r="C581" s="63"/>
      <c r="D581" s="64"/>
      <c r="E581" s="65"/>
      <c r="F581" s="66"/>
      <c r="G581" s="63"/>
      <c r="H581" s="67"/>
      <c r="I581" s="68"/>
      <c r="J581" s="68"/>
      <c r="K581" s="32"/>
      <c r="L581" s="75">
        <v>581</v>
      </c>
      <c r="M581" s="75"/>
      <c r="N581" s="70"/>
      <c r="O581" s="77" t="s">
        <v>179</v>
      </c>
      <c r="P581" s="79">
        <v>45093.875555555554</v>
      </c>
      <c r="Q581" s="77" t="s">
        <v>1108</v>
      </c>
      <c r="R581" s="77">
        <v>0</v>
      </c>
      <c r="S581" s="77">
        <v>0</v>
      </c>
      <c r="T581" s="77">
        <v>0</v>
      </c>
      <c r="U581" s="77">
        <v>0</v>
      </c>
      <c r="V581" s="77">
        <v>98</v>
      </c>
      <c r="W581" s="82" t="s">
        <v>1846</v>
      </c>
      <c r="X581" s="80" t="str">
        <f>HYPERLINK("http://metodotdl.com.br/tdl/telegram")</f>
        <v>http://metodotdl.com.br/tdl/telegram</v>
      </c>
      <c r="Y581" s="77" t="s">
        <v>1978</v>
      </c>
      <c r="Z581" s="77"/>
      <c r="AA581" s="77" t="s">
        <v>2386</v>
      </c>
      <c r="AB581" s="77" t="s">
        <v>2632</v>
      </c>
      <c r="AC581" s="82" t="s">
        <v>2642</v>
      </c>
      <c r="AD581" s="77" t="s">
        <v>2670</v>
      </c>
      <c r="AE581" s="80" t="str">
        <f>HYPERLINK("https://twitter.com/metodotdl/status/1669812289925521410")</f>
        <v>https://twitter.com/metodotdl/status/1669812289925521410</v>
      </c>
      <c r="AF581" s="79">
        <v>45093.875555555554</v>
      </c>
      <c r="AG581" s="85">
        <v>45093</v>
      </c>
      <c r="AH581" s="82" t="s">
        <v>3198</v>
      </c>
      <c r="AI581" s="77" t="b">
        <v>0</v>
      </c>
      <c r="AJ581" s="77"/>
      <c r="AK581" s="77"/>
      <c r="AL581" s="77"/>
      <c r="AM581" s="77"/>
      <c r="AN581" s="77"/>
      <c r="AO581" s="77"/>
      <c r="AP581" s="77"/>
      <c r="AQ581" s="77" t="s">
        <v>3815</v>
      </c>
      <c r="AR581" s="77"/>
      <c r="AS581" s="77"/>
      <c r="AT581" s="77"/>
      <c r="AU581" s="77"/>
      <c r="AV581" s="80" t="str">
        <f>HYPERLINK("https://pbs.twimg.com/media/FyxdbaPWwAAUvrB.jpg")</f>
        <v>https://pbs.twimg.com/media/FyxdbaPWwAAUvrB.jpg</v>
      </c>
      <c r="AW581" s="82" t="s">
        <v>4632</v>
      </c>
      <c r="AX581" s="82" t="s">
        <v>4632</v>
      </c>
      <c r="AY581" s="77"/>
      <c r="AZ581" s="82" t="s">
        <v>5075</v>
      </c>
      <c r="BA581" s="82" t="s">
        <v>5075</v>
      </c>
      <c r="BB581" s="82" t="s">
        <v>5075</v>
      </c>
      <c r="BC581" s="82" t="s">
        <v>4632</v>
      </c>
      <c r="BD581" s="82" t="s">
        <v>5233</v>
      </c>
      <c r="BE581" s="77"/>
      <c r="BF581" s="77"/>
      <c r="BG581" s="77"/>
      <c r="BH581" s="77"/>
      <c r="BI581" s="77"/>
    </row>
    <row r="582" spans="1:61" x14ac:dyDescent="0.25">
      <c r="A582" s="62" t="s">
        <v>424</v>
      </c>
      <c r="B582" s="62" t="s">
        <v>424</v>
      </c>
      <c r="C582" s="63"/>
      <c r="D582" s="64"/>
      <c r="E582" s="65"/>
      <c r="F582" s="66"/>
      <c r="G582" s="63"/>
      <c r="H582" s="67"/>
      <c r="I582" s="68"/>
      <c r="J582" s="68"/>
      <c r="K582" s="32"/>
      <c r="L582" s="75">
        <v>582</v>
      </c>
      <c r="M582" s="75"/>
      <c r="N582" s="70"/>
      <c r="O582" s="77" t="s">
        <v>179</v>
      </c>
      <c r="P582" s="79">
        <v>45093.875532407408</v>
      </c>
      <c r="Q582" s="77" t="s">
        <v>1109</v>
      </c>
      <c r="R582" s="77">
        <v>0</v>
      </c>
      <c r="S582" s="77">
        <v>0</v>
      </c>
      <c r="T582" s="77">
        <v>0</v>
      </c>
      <c r="U582" s="77">
        <v>0</v>
      </c>
      <c r="V582" s="77">
        <v>88</v>
      </c>
      <c r="W582" s="82" t="s">
        <v>1846</v>
      </c>
      <c r="X582" s="80" t="str">
        <f>HYPERLINK("http://metodotdl.com.br/tdl/telegram")</f>
        <v>http://metodotdl.com.br/tdl/telegram</v>
      </c>
      <c r="Y582" s="77" t="s">
        <v>1978</v>
      </c>
      <c r="Z582" s="77"/>
      <c r="AA582" s="77" t="s">
        <v>2387</v>
      </c>
      <c r="AB582" s="77" t="s">
        <v>2632</v>
      </c>
      <c r="AC582" s="82" t="s">
        <v>2642</v>
      </c>
      <c r="AD582" s="77" t="s">
        <v>2670</v>
      </c>
      <c r="AE582" s="80" t="str">
        <f>HYPERLINK("https://twitter.com/metodotdl/status/1669812282719866883")</f>
        <v>https://twitter.com/metodotdl/status/1669812282719866883</v>
      </c>
      <c r="AF582" s="79">
        <v>45093.875532407408</v>
      </c>
      <c r="AG582" s="85">
        <v>45093</v>
      </c>
      <c r="AH582" s="82" t="s">
        <v>3199</v>
      </c>
      <c r="AI582" s="77" t="b">
        <v>0</v>
      </c>
      <c r="AJ582" s="77"/>
      <c r="AK582" s="77"/>
      <c r="AL582" s="77"/>
      <c r="AM582" s="77"/>
      <c r="AN582" s="77"/>
      <c r="AO582" s="77"/>
      <c r="AP582" s="77"/>
      <c r="AQ582" s="77" t="s">
        <v>3816</v>
      </c>
      <c r="AR582" s="77"/>
      <c r="AS582" s="77"/>
      <c r="AT582" s="77"/>
      <c r="AU582" s="77"/>
      <c r="AV582" s="80" t="str">
        <f>HYPERLINK("https://pbs.twimg.com/media/FyxdbANWwAENhzM.jpg")</f>
        <v>https://pbs.twimg.com/media/FyxdbANWwAENhzM.jpg</v>
      </c>
      <c r="AW582" s="82" t="s">
        <v>4633</v>
      </c>
      <c r="AX582" s="82" t="s">
        <v>4633</v>
      </c>
      <c r="AY582" s="77"/>
      <c r="AZ582" s="82" t="s">
        <v>5075</v>
      </c>
      <c r="BA582" s="82" t="s">
        <v>5075</v>
      </c>
      <c r="BB582" s="82" t="s">
        <v>5075</v>
      </c>
      <c r="BC582" s="82" t="s">
        <v>4633</v>
      </c>
      <c r="BD582" s="82" t="s">
        <v>5233</v>
      </c>
      <c r="BE582" s="77"/>
      <c r="BF582" s="77"/>
      <c r="BG582" s="77"/>
      <c r="BH582" s="77"/>
      <c r="BI582" s="77"/>
    </row>
    <row r="583" spans="1:61" x14ac:dyDescent="0.25">
      <c r="A583" s="62" t="s">
        <v>424</v>
      </c>
      <c r="B583" s="62" t="s">
        <v>424</v>
      </c>
      <c r="C583" s="63"/>
      <c r="D583" s="64"/>
      <c r="E583" s="65"/>
      <c r="F583" s="66"/>
      <c r="G583" s="63"/>
      <c r="H583" s="67"/>
      <c r="I583" s="68"/>
      <c r="J583" s="68"/>
      <c r="K583" s="32"/>
      <c r="L583" s="75">
        <v>583</v>
      </c>
      <c r="M583" s="75"/>
      <c r="N583" s="70"/>
      <c r="O583" s="77" t="s">
        <v>179</v>
      </c>
      <c r="P583" s="79">
        <v>45092.875636574077</v>
      </c>
      <c r="Q583" s="77" t="s">
        <v>1110</v>
      </c>
      <c r="R583" s="77">
        <v>0</v>
      </c>
      <c r="S583" s="77">
        <v>0</v>
      </c>
      <c r="T583" s="77">
        <v>0</v>
      </c>
      <c r="U583" s="77">
        <v>0</v>
      </c>
      <c r="V583" s="77">
        <v>71</v>
      </c>
      <c r="W583" s="82" t="s">
        <v>1846</v>
      </c>
      <c r="X583" s="80" t="str">
        <f>HYPERLINK("http://metodotdl.com.br/tdl/telegram")</f>
        <v>http://metodotdl.com.br/tdl/telegram</v>
      </c>
      <c r="Y583" s="77" t="s">
        <v>1978</v>
      </c>
      <c r="Z583" s="77"/>
      <c r="AA583" s="77" t="s">
        <v>2388</v>
      </c>
      <c r="AB583" s="77" t="s">
        <v>2632</v>
      </c>
      <c r="AC583" s="82" t="s">
        <v>2642</v>
      </c>
      <c r="AD583" s="77" t="s">
        <v>2670</v>
      </c>
      <c r="AE583" s="80" t="str">
        <f>HYPERLINK("https://twitter.com/metodotdl/status/1669449934733561857")</f>
        <v>https://twitter.com/metodotdl/status/1669449934733561857</v>
      </c>
      <c r="AF583" s="79">
        <v>45092.875636574077</v>
      </c>
      <c r="AG583" s="85">
        <v>45092</v>
      </c>
      <c r="AH583" s="82" t="s">
        <v>3174</v>
      </c>
      <c r="AI583" s="77" t="b">
        <v>0</v>
      </c>
      <c r="AJ583" s="77"/>
      <c r="AK583" s="77"/>
      <c r="AL583" s="77"/>
      <c r="AM583" s="77"/>
      <c r="AN583" s="77"/>
      <c r="AO583" s="77"/>
      <c r="AP583" s="77"/>
      <c r="AQ583" s="77" t="s">
        <v>3817</v>
      </c>
      <c r="AR583" s="77"/>
      <c r="AS583" s="77"/>
      <c r="AT583" s="77"/>
      <c r="AU583" s="77"/>
      <c r="AV583" s="80" t="str">
        <f>HYPERLINK("https://pbs.twimg.com/media/FysT3kxWcA0vQ9i.jpg")</f>
        <v>https://pbs.twimg.com/media/FysT3kxWcA0vQ9i.jpg</v>
      </c>
      <c r="AW583" s="82" t="s">
        <v>4634</v>
      </c>
      <c r="AX583" s="82" t="s">
        <v>4634</v>
      </c>
      <c r="AY583" s="77"/>
      <c r="AZ583" s="82" t="s">
        <v>5075</v>
      </c>
      <c r="BA583" s="82" t="s">
        <v>5075</v>
      </c>
      <c r="BB583" s="82" t="s">
        <v>5075</v>
      </c>
      <c r="BC583" s="82" t="s">
        <v>4634</v>
      </c>
      <c r="BD583" s="82" t="s">
        <v>5233</v>
      </c>
      <c r="BE583" s="77"/>
      <c r="BF583" s="77"/>
      <c r="BG583" s="77"/>
      <c r="BH583" s="77"/>
      <c r="BI583" s="77"/>
    </row>
    <row r="584" spans="1:61" x14ac:dyDescent="0.25">
      <c r="A584" s="62" t="s">
        <v>424</v>
      </c>
      <c r="B584" s="62" t="s">
        <v>424</v>
      </c>
      <c r="C584" s="63"/>
      <c r="D584" s="64"/>
      <c r="E584" s="65"/>
      <c r="F584" s="66"/>
      <c r="G584" s="63"/>
      <c r="H584" s="67"/>
      <c r="I584" s="68"/>
      <c r="J584" s="68"/>
      <c r="K584" s="32"/>
      <c r="L584" s="75">
        <v>584</v>
      </c>
      <c r="M584" s="75"/>
      <c r="N584" s="70"/>
      <c r="O584" s="77" t="s">
        <v>179</v>
      </c>
      <c r="P584" s="79">
        <v>45076.875636574077</v>
      </c>
      <c r="Q584" s="77" t="s">
        <v>1111</v>
      </c>
      <c r="R584" s="77">
        <v>0</v>
      </c>
      <c r="S584" s="77">
        <v>0</v>
      </c>
      <c r="T584" s="77">
        <v>0</v>
      </c>
      <c r="U584" s="77">
        <v>0</v>
      </c>
      <c r="V584" s="77">
        <v>75</v>
      </c>
      <c r="W584" s="82" t="s">
        <v>1846</v>
      </c>
      <c r="X584" s="80" t="str">
        <f>HYPERLINK("http://metodotdl.com.br/tdl/telegram")</f>
        <v>http://metodotdl.com.br/tdl/telegram</v>
      </c>
      <c r="Y584" s="77" t="s">
        <v>1978</v>
      </c>
      <c r="Z584" s="77"/>
      <c r="AA584" s="77" t="s">
        <v>2389</v>
      </c>
      <c r="AB584" s="77" t="s">
        <v>2632</v>
      </c>
      <c r="AC584" s="82" t="s">
        <v>2642</v>
      </c>
      <c r="AD584" s="77" t="s">
        <v>2670</v>
      </c>
      <c r="AE584" s="80" t="str">
        <f>HYPERLINK("https://twitter.com/metodotdl/status/1663651728145756160")</f>
        <v>https://twitter.com/metodotdl/status/1663651728145756160</v>
      </c>
      <c r="AF584" s="79">
        <v>45076.875636574077</v>
      </c>
      <c r="AG584" s="85">
        <v>45076</v>
      </c>
      <c r="AH584" s="82" t="s">
        <v>3174</v>
      </c>
      <c r="AI584" s="77" t="b">
        <v>0</v>
      </c>
      <c r="AJ584" s="77"/>
      <c r="AK584" s="77"/>
      <c r="AL584" s="77"/>
      <c r="AM584" s="77"/>
      <c r="AN584" s="77"/>
      <c r="AO584" s="77"/>
      <c r="AP584" s="77"/>
      <c r="AQ584" s="77" t="s">
        <v>3818</v>
      </c>
      <c r="AR584" s="77"/>
      <c r="AS584" s="77"/>
      <c r="AT584" s="77"/>
      <c r="AU584" s="77"/>
      <c r="AV584" s="80" t="str">
        <f>HYPERLINK("https://pbs.twimg.com/media/FxZ6bjTXgAM8KAk.jpg")</f>
        <v>https://pbs.twimg.com/media/FxZ6bjTXgAM8KAk.jpg</v>
      </c>
      <c r="AW584" s="82" t="s">
        <v>4635</v>
      </c>
      <c r="AX584" s="82" t="s">
        <v>4635</v>
      </c>
      <c r="AY584" s="77"/>
      <c r="AZ584" s="82" t="s">
        <v>5075</v>
      </c>
      <c r="BA584" s="82" t="s">
        <v>5075</v>
      </c>
      <c r="BB584" s="82" t="s">
        <v>5075</v>
      </c>
      <c r="BC584" s="82" t="s">
        <v>4635</v>
      </c>
      <c r="BD584" s="82" t="s">
        <v>5233</v>
      </c>
      <c r="BE584" s="77"/>
      <c r="BF584" s="77"/>
      <c r="BG584" s="77"/>
      <c r="BH584" s="77"/>
      <c r="BI584" s="77"/>
    </row>
    <row r="585" spans="1:61" x14ac:dyDescent="0.25">
      <c r="A585" s="62" t="s">
        <v>424</v>
      </c>
      <c r="B585" s="62" t="s">
        <v>424</v>
      </c>
      <c r="C585" s="63"/>
      <c r="D585" s="64"/>
      <c r="E585" s="65"/>
      <c r="F585" s="66"/>
      <c r="G585" s="63"/>
      <c r="H585" s="67"/>
      <c r="I585" s="68"/>
      <c r="J585" s="68"/>
      <c r="K585" s="32"/>
      <c r="L585" s="75">
        <v>585</v>
      </c>
      <c r="M585" s="75"/>
      <c r="N585" s="70"/>
      <c r="O585" s="77" t="s">
        <v>179</v>
      </c>
      <c r="P585" s="79">
        <v>45075.87568287037</v>
      </c>
      <c r="Q585" s="77" t="s">
        <v>1112</v>
      </c>
      <c r="R585" s="77">
        <v>0</v>
      </c>
      <c r="S585" s="77">
        <v>0</v>
      </c>
      <c r="T585" s="77">
        <v>0</v>
      </c>
      <c r="U585" s="77">
        <v>0</v>
      </c>
      <c r="V585" s="77">
        <v>87</v>
      </c>
      <c r="W585" s="82" t="s">
        <v>1846</v>
      </c>
      <c r="X585" s="80" t="str">
        <f>HYPERLINK("http://metodotdl.com.br/tdl/telegram")</f>
        <v>http://metodotdl.com.br/tdl/telegram</v>
      </c>
      <c r="Y585" s="77" t="s">
        <v>1978</v>
      </c>
      <c r="Z585" s="77"/>
      <c r="AA585" s="77" t="s">
        <v>2390</v>
      </c>
      <c r="AB585" s="77" t="s">
        <v>2632</v>
      </c>
      <c r="AC585" s="82" t="s">
        <v>2642</v>
      </c>
      <c r="AD585" s="77" t="s">
        <v>2670</v>
      </c>
      <c r="AE585" s="80" t="str">
        <f>HYPERLINK("https://twitter.com/metodotdl/status/1663289354423349248")</f>
        <v>https://twitter.com/metodotdl/status/1663289354423349248</v>
      </c>
      <c r="AF585" s="79">
        <v>45075.87568287037</v>
      </c>
      <c r="AG585" s="85">
        <v>45075</v>
      </c>
      <c r="AH585" s="82" t="s">
        <v>3200</v>
      </c>
      <c r="AI585" s="77" t="b">
        <v>0</v>
      </c>
      <c r="AJ585" s="77"/>
      <c r="AK585" s="77"/>
      <c r="AL585" s="77"/>
      <c r="AM585" s="77"/>
      <c r="AN585" s="77"/>
      <c r="AO585" s="77"/>
      <c r="AP585" s="77"/>
      <c r="AQ585" s="77" t="s">
        <v>3819</v>
      </c>
      <c r="AR585" s="77"/>
      <c r="AS585" s="77"/>
      <c r="AT585" s="77"/>
      <c r="AU585" s="77"/>
      <c r="AV585" s="80" t="str">
        <f>HYPERLINK("https://pbs.twimg.com/media/FxUw2m8XwAAP9aV.jpg")</f>
        <v>https://pbs.twimg.com/media/FxUw2m8XwAAP9aV.jpg</v>
      </c>
      <c r="AW585" s="82" t="s">
        <v>4636</v>
      </c>
      <c r="AX585" s="82" t="s">
        <v>4636</v>
      </c>
      <c r="AY585" s="77"/>
      <c r="AZ585" s="82" t="s">
        <v>5075</v>
      </c>
      <c r="BA585" s="82" t="s">
        <v>5075</v>
      </c>
      <c r="BB585" s="82" t="s">
        <v>5075</v>
      </c>
      <c r="BC585" s="82" t="s">
        <v>4636</v>
      </c>
      <c r="BD585" s="82" t="s">
        <v>5233</v>
      </c>
      <c r="BE585" s="77"/>
      <c r="BF585" s="77"/>
      <c r="BG585" s="77"/>
      <c r="BH585" s="77"/>
      <c r="BI585" s="77"/>
    </row>
    <row r="586" spans="1:61" x14ac:dyDescent="0.25">
      <c r="A586" s="62" t="s">
        <v>424</v>
      </c>
      <c r="B586" s="62" t="s">
        <v>424</v>
      </c>
      <c r="C586" s="63"/>
      <c r="D586" s="64"/>
      <c r="E586" s="65"/>
      <c r="F586" s="66"/>
      <c r="G586" s="63"/>
      <c r="H586" s="67"/>
      <c r="I586" s="68"/>
      <c r="J586" s="68"/>
      <c r="K586" s="32"/>
      <c r="L586" s="75">
        <v>586</v>
      </c>
      <c r="M586" s="75"/>
      <c r="N586" s="70"/>
      <c r="O586" s="77" t="s">
        <v>179</v>
      </c>
      <c r="P586" s="79">
        <v>45072.875717592593</v>
      </c>
      <c r="Q586" s="77" t="s">
        <v>1113</v>
      </c>
      <c r="R586" s="77">
        <v>0</v>
      </c>
      <c r="S586" s="77">
        <v>0</v>
      </c>
      <c r="T586" s="77">
        <v>0</v>
      </c>
      <c r="U586" s="77">
        <v>0</v>
      </c>
      <c r="V586" s="77">
        <v>109</v>
      </c>
      <c r="W586" s="82" t="s">
        <v>1846</v>
      </c>
      <c r="X586" s="80" t="str">
        <f>HYPERLINK("http://metodotdl.com.br/tdl/telegram")</f>
        <v>http://metodotdl.com.br/tdl/telegram</v>
      </c>
      <c r="Y586" s="77" t="s">
        <v>1978</v>
      </c>
      <c r="Z586" s="77"/>
      <c r="AA586" s="77" t="s">
        <v>2391</v>
      </c>
      <c r="AB586" s="77" t="s">
        <v>2632</v>
      </c>
      <c r="AC586" s="82" t="s">
        <v>2642</v>
      </c>
      <c r="AD586" s="77" t="s">
        <v>2670</v>
      </c>
      <c r="AE586" s="80" t="str">
        <f>HYPERLINK("https://twitter.com/metodotdl/status/1662202204197978112")</f>
        <v>https://twitter.com/metodotdl/status/1662202204197978112</v>
      </c>
      <c r="AF586" s="79">
        <v>45072.875717592593</v>
      </c>
      <c r="AG586" s="85">
        <v>45072</v>
      </c>
      <c r="AH586" s="82" t="s">
        <v>3201</v>
      </c>
      <c r="AI586" s="77" t="b">
        <v>0</v>
      </c>
      <c r="AJ586" s="77"/>
      <c r="AK586" s="77"/>
      <c r="AL586" s="77"/>
      <c r="AM586" s="77"/>
      <c r="AN586" s="77"/>
      <c r="AO586" s="77"/>
      <c r="AP586" s="77"/>
      <c r="AQ586" s="77" t="s">
        <v>3820</v>
      </c>
      <c r="AR586" s="77"/>
      <c r="AS586" s="77"/>
      <c r="AT586" s="77"/>
      <c r="AU586" s="77"/>
      <c r="AV586" s="80" t="str">
        <f>HYPERLINK("https://pbs.twimg.com/media/FxFUGG5WAAMlavN.jpg")</f>
        <v>https://pbs.twimg.com/media/FxFUGG5WAAMlavN.jpg</v>
      </c>
      <c r="AW586" s="82" t="s">
        <v>4637</v>
      </c>
      <c r="AX586" s="82" t="s">
        <v>4637</v>
      </c>
      <c r="AY586" s="77"/>
      <c r="AZ586" s="82" t="s">
        <v>5075</v>
      </c>
      <c r="BA586" s="82" t="s">
        <v>5075</v>
      </c>
      <c r="BB586" s="82" t="s">
        <v>5075</v>
      </c>
      <c r="BC586" s="82" t="s">
        <v>4637</v>
      </c>
      <c r="BD586" s="82" t="s">
        <v>5233</v>
      </c>
      <c r="BE586" s="77"/>
      <c r="BF586" s="77"/>
      <c r="BG586" s="77"/>
      <c r="BH586" s="77"/>
      <c r="BI586" s="77"/>
    </row>
    <row r="587" spans="1:61" x14ac:dyDescent="0.25">
      <c r="A587" s="62" t="s">
        <v>424</v>
      </c>
      <c r="B587" s="62" t="s">
        <v>424</v>
      </c>
      <c r="C587" s="63"/>
      <c r="D587" s="64"/>
      <c r="E587" s="65"/>
      <c r="F587" s="66"/>
      <c r="G587" s="63"/>
      <c r="H587" s="67"/>
      <c r="I587" s="68"/>
      <c r="J587" s="68"/>
      <c r="K587" s="32"/>
      <c r="L587" s="75">
        <v>587</v>
      </c>
      <c r="M587" s="75"/>
      <c r="N587" s="70"/>
      <c r="O587" s="77" t="s">
        <v>179</v>
      </c>
      <c r="P587" s="79">
        <v>45071.875648148147</v>
      </c>
      <c r="Q587" s="77" t="s">
        <v>1114</v>
      </c>
      <c r="R587" s="77">
        <v>0</v>
      </c>
      <c r="S587" s="77">
        <v>0</v>
      </c>
      <c r="T587" s="77">
        <v>0</v>
      </c>
      <c r="U587" s="77">
        <v>0</v>
      </c>
      <c r="V587" s="77">
        <v>75</v>
      </c>
      <c r="W587" s="82" t="s">
        <v>1846</v>
      </c>
      <c r="X587" s="80" t="str">
        <f>HYPERLINK("http://metodotdl.com.br/tdl/telegram")</f>
        <v>http://metodotdl.com.br/tdl/telegram</v>
      </c>
      <c r="Y587" s="77" t="s">
        <v>1978</v>
      </c>
      <c r="Z587" s="77"/>
      <c r="AA587" s="77" t="s">
        <v>2392</v>
      </c>
      <c r="AB587" s="77" t="s">
        <v>2632</v>
      </c>
      <c r="AC587" s="82" t="s">
        <v>2642</v>
      </c>
      <c r="AD587" s="77" t="s">
        <v>2670</v>
      </c>
      <c r="AE587" s="80" t="str">
        <f>HYPERLINK("https://twitter.com/metodotdl/status/1661839792974209030")</f>
        <v>https://twitter.com/metodotdl/status/1661839792974209030</v>
      </c>
      <c r="AF587" s="79">
        <v>45071.875648148147</v>
      </c>
      <c r="AG587" s="85">
        <v>45071</v>
      </c>
      <c r="AH587" s="82" t="s">
        <v>3202</v>
      </c>
      <c r="AI587" s="77" t="b">
        <v>0</v>
      </c>
      <c r="AJ587" s="77"/>
      <c r="AK587" s="77"/>
      <c r="AL587" s="77"/>
      <c r="AM587" s="77"/>
      <c r="AN587" s="77"/>
      <c r="AO587" s="77"/>
      <c r="AP587" s="77"/>
      <c r="AQ587" s="77" t="s">
        <v>3821</v>
      </c>
      <c r="AR587" s="77"/>
      <c r="AS587" s="77"/>
      <c r="AT587" s="77"/>
      <c r="AU587" s="77"/>
      <c r="AV587" s="80" t="str">
        <f>HYPERLINK("https://pbs.twimg.com/media/FxAKfBvWIBQ914o.jpg")</f>
        <v>https://pbs.twimg.com/media/FxAKfBvWIBQ914o.jpg</v>
      </c>
      <c r="AW587" s="82" t="s">
        <v>4638</v>
      </c>
      <c r="AX587" s="82" t="s">
        <v>4638</v>
      </c>
      <c r="AY587" s="77"/>
      <c r="AZ587" s="82" t="s">
        <v>5075</v>
      </c>
      <c r="BA587" s="82" t="s">
        <v>5075</v>
      </c>
      <c r="BB587" s="82" t="s">
        <v>5075</v>
      </c>
      <c r="BC587" s="82" t="s">
        <v>4638</v>
      </c>
      <c r="BD587" s="82" t="s">
        <v>5233</v>
      </c>
      <c r="BE587" s="77"/>
      <c r="BF587" s="77"/>
      <c r="BG587" s="77"/>
      <c r="BH587" s="77"/>
      <c r="BI587" s="77"/>
    </row>
    <row r="588" spans="1:61" x14ac:dyDescent="0.25">
      <c r="A588" s="62" t="s">
        <v>424</v>
      </c>
      <c r="B588" s="62" t="s">
        <v>424</v>
      </c>
      <c r="C588" s="63"/>
      <c r="D588" s="64"/>
      <c r="E588" s="65"/>
      <c r="F588" s="66"/>
      <c r="G588" s="63"/>
      <c r="H588" s="67"/>
      <c r="I588" s="68"/>
      <c r="J588" s="68"/>
      <c r="K588" s="32"/>
      <c r="L588" s="75">
        <v>588</v>
      </c>
      <c r="M588" s="75"/>
      <c r="N588" s="70"/>
      <c r="O588" s="77" t="s">
        <v>179</v>
      </c>
      <c r="P588" s="79">
        <v>45070.875648148147</v>
      </c>
      <c r="Q588" s="77" t="s">
        <v>1115</v>
      </c>
      <c r="R588" s="77">
        <v>0</v>
      </c>
      <c r="S588" s="77">
        <v>0</v>
      </c>
      <c r="T588" s="77">
        <v>0</v>
      </c>
      <c r="U588" s="77">
        <v>0</v>
      </c>
      <c r="V588" s="77">
        <v>96</v>
      </c>
      <c r="W588" s="82" t="s">
        <v>1846</v>
      </c>
      <c r="X588" s="80" t="str">
        <f>HYPERLINK("http://metodotdl.com.br/tdl/telegram")</f>
        <v>http://metodotdl.com.br/tdl/telegram</v>
      </c>
      <c r="Y588" s="77" t="s">
        <v>1978</v>
      </c>
      <c r="Z588" s="77"/>
      <c r="AA588" s="77" t="s">
        <v>2393</v>
      </c>
      <c r="AB588" s="77" t="s">
        <v>2632</v>
      </c>
      <c r="AC588" s="82" t="s">
        <v>2642</v>
      </c>
      <c r="AD588" s="77" t="s">
        <v>2670</v>
      </c>
      <c r="AE588" s="80" t="str">
        <f>HYPERLINK("https://twitter.com/metodotdl/status/1661477404739502080")</f>
        <v>https://twitter.com/metodotdl/status/1661477404739502080</v>
      </c>
      <c r="AF588" s="79">
        <v>45070.875648148147</v>
      </c>
      <c r="AG588" s="85">
        <v>45070</v>
      </c>
      <c r="AH588" s="82" t="s">
        <v>3202</v>
      </c>
      <c r="AI588" s="77" t="b">
        <v>0</v>
      </c>
      <c r="AJ588" s="77"/>
      <c r="AK588" s="77"/>
      <c r="AL588" s="77"/>
      <c r="AM588" s="77"/>
      <c r="AN588" s="77"/>
      <c r="AO588" s="77"/>
      <c r="AP588" s="77"/>
      <c r="AQ588" s="77" t="s">
        <v>3822</v>
      </c>
      <c r="AR588" s="77"/>
      <c r="AS588" s="77"/>
      <c r="AT588" s="77"/>
      <c r="AU588" s="77"/>
      <c r="AV588" s="80" t="str">
        <f>HYPERLINK("https://pbs.twimg.com/media/Fw7A5IZWYAAhoMW.jpg")</f>
        <v>https://pbs.twimg.com/media/Fw7A5IZWYAAhoMW.jpg</v>
      </c>
      <c r="AW588" s="82" t="s">
        <v>4639</v>
      </c>
      <c r="AX588" s="82" t="s">
        <v>4639</v>
      </c>
      <c r="AY588" s="77"/>
      <c r="AZ588" s="82" t="s">
        <v>5075</v>
      </c>
      <c r="BA588" s="82" t="s">
        <v>5075</v>
      </c>
      <c r="BB588" s="82" t="s">
        <v>5075</v>
      </c>
      <c r="BC588" s="82" t="s">
        <v>4639</v>
      </c>
      <c r="BD588" s="82" t="s">
        <v>5233</v>
      </c>
      <c r="BE588" s="77"/>
      <c r="BF588" s="77"/>
      <c r="BG588" s="77"/>
      <c r="BH588" s="77"/>
      <c r="BI588" s="77"/>
    </row>
    <row r="589" spans="1:61" x14ac:dyDescent="0.25">
      <c r="A589" s="62" t="s">
        <v>424</v>
      </c>
      <c r="B589" s="62" t="s">
        <v>424</v>
      </c>
      <c r="C589" s="63"/>
      <c r="D589" s="64"/>
      <c r="E589" s="65"/>
      <c r="F589" s="66"/>
      <c r="G589" s="63"/>
      <c r="H589" s="67"/>
      <c r="I589" s="68"/>
      <c r="J589" s="68"/>
      <c r="K589" s="32"/>
      <c r="L589" s="75">
        <v>589</v>
      </c>
      <c r="M589" s="75"/>
      <c r="N589" s="70"/>
      <c r="O589" s="77" t="s">
        <v>179</v>
      </c>
      <c r="P589" s="79">
        <v>45028.878807870373</v>
      </c>
      <c r="Q589" s="77" t="s">
        <v>1116</v>
      </c>
      <c r="R589" s="77">
        <v>0</v>
      </c>
      <c r="S589" s="77">
        <v>0</v>
      </c>
      <c r="T589" s="77">
        <v>0</v>
      </c>
      <c r="U589" s="77">
        <v>0</v>
      </c>
      <c r="V589" s="77">
        <v>58</v>
      </c>
      <c r="W589" s="82" t="s">
        <v>1846</v>
      </c>
      <c r="X589" s="80" t="str">
        <f>HYPERLINK("http://metodotdl.com.br/tdl/telegram")</f>
        <v>http://metodotdl.com.br/tdl/telegram</v>
      </c>
      <c r="Y589" s="77" t="s">
        <v>1978</v>
      </c>
      <c r="Z589" s="77"/>
      <c r="AA589" s="77" t="s">
        <v>2394</v>
      </c>
      <c r="AB589" s="77" t="s">
        <v>2632</v>
      </c>
      <c r="AC589" s="82" t="s">
        <v>2642</v>
      </c>
      <c r="AD589" s="77" t="s">
        <v>2670</v>
      </c>
      <c r="AE589" s="80" t="str">
        <f>HYPERLINK("https://twitter.com/metodotdl/status/1646258259521568768")</f>
        <v>https://twitter.com/metodotdl/status/1646258259521568768</v>
      </c>
      <c r="AF589" s="79">
        <v>45028.878807870373</v>
      </c>
      <c r="AG589" s="85">
        <v>45028</v>
      </c>
      <c r="AH589" s="82" t="s">
        <v>3203</v>
      </c>
      <c r="AI589" s="77" t="b">
        <v>0</v>
      </c>
      <c r="AJ589" s="77"/>
      <c r="AK589" s="77"/>
      <c r="AL589" s="77"/>
      <c r="AM589" s="77"/>
      <c r="AN589" s="77"/>
      <c r="AO589" s="77"/>
      <c r="AP589" s="77"/>
      <c r="AQ589" s="77" t="s">
        <v>3823</v>
      </c>
      <c r="AR589" s="77"/>
      <c r="AS589" s="77"/>
      <c r="AT589" s="77"/>
      <c r="AU589" s="77"/>
      <c r="AV589" s="80" t="str">
        <f>HYPERLINK("https://pbs.twimg.com/media/FtivKVxXoAMjgwK.png")</f>
        <v>https://pbs.twimg.com/media/FtivKVxXoAMjgwK.png</v>
      </c>
      <c r="AW589" s="82" t="s">
        <v>4640</v>
      </c>
      <c r="AX589" s="82" t="s">
        <v>4640</v>
      </c>
      <c r="AY589" s="77"/>
      <c r="AZ589" s="82" t="s">
        <v>5075</v>
      </c>
      <c r="BA589" s="82" t="s">
        <v>5075</v>
      </c>
      <c r="BB589" s="82" t="s">
        <v>5075</v>
      </c>
      <c r="BC589" s="82" t="s">
        <v>4640</v>
      </c>
      <c r="BD589" s="82" t="s">
        <v>5233</v>
      </c>
      <c r="BE589" s="77"/>
      <c r="BF589" s="77"/>
      <c r="BG589" s="77"/>
      <c r="BH589" s="77"/>
      <c r="BI589" s="77"/>
    </row>
    <row r="590" spans="1:61" x14ac:dyDescent="0.25">
      <c r="A590" s="62" t="s">
        <v>424</v>
      </c>
      <c r="B590" s="62" t="s">
        <v>424</v>
      </c>
      <c r="C590" s="63"/>
      <c r="D590" s="64"/>
      <c r="E590" s="65"/>
      <c r="F590" s="66"/>
      <c r="G590" s="63"/>
      <c r="H590" s="67"/>
      <c r="I590" s="68"/>
      <c r="J590" s="68"/>
      <c r="K590" s="32"/>
      <c r="L590" s="75">
        <v>590</v>
      </c>
      <c r="M590" s="75"/>
      <c r="N590" s="70"/>
      <c r="O590" s="77" t="s">
        <v>179</v>
      </c>
      <c r="P590" s="79">
        <v>45027.875659722224</v>
      </c>
      <c r="Q590" s="77" t="s">
        <v>1117</v>
      </c>
      <c r="R590" s="77">
        <v>0</v>
      </c>
      <c r="S590" s="77">
        <v>0</v>
      </c>
      <c r="T590" s="77">
        <v>0</v>
      </c>
      <c r="U590" s="77">
        <v>0</v>
      </c>
      <c r="V590" s="77">
        <v>63</v>
      </c>
      <c r="W590" s="82" t="s">
        <v>1846</v>
      </c>
      <c r="X590" s="80" t="str">
        <f>HYPERLINK("http://metodotdl.com.br/tdl/telegram")</f>
        <v>http://metodotdl.com.br/tdl/telegram</v>
      </c>
      <c r="Y590" s="77" t="s">
        <v>1978</v>
      </c>
      <c r="Z590" s="77"/>
      <c r="AA590" s="77" t="s">
        <v>2395</v>
      </c>
      <c r="AB590" s="77" t="s">
        <v>2632</v>
      </c>
      <c r="AC590" s="82" t="s">
        <v>2642</v>
      </c>
      <c r="AD590" s="77" t="s">
        <v>2670</v>
      </c>
      <c r="AE590" s="80" t="str">
        <f>HYPERLINK("https://twitter.com/metodotdl/status/1645894729136046080")</f>
        <v>https://twitter.com/metodotdl/status/1645894729136046080</v>
      </c>
      <c r="AF590" s="79">
        <v>45027.875659722224</v>
      </c>
      <c r="AG590" s="85">
        <v>45027</v>
      </c>
      <c r="AH590" s="82" t="s">
        <v>3204</v>
      </c>
      <c r="AI590" s="77" t="b">
        <v>0</v>
      </c>
      <c r="AJ590" s="77"/>
      <c r="AK590" s="77"/>
      <c r="AL590" s="77"/>
      <c r="AM590" s="77"/>
      <c r="AN590" s="77"/>
      <c r="AO590" s="77"/>
      <c r="AP590" s="77"/>
      <c r="AQ590" s="77" t="s">
        <v>3824</v>
      </c>
      <c r="AR590" s="77"/>
      <c r="AS590" s="77"/>
      <c r="AT590" s="77"/>
      <c r="AU590" s="77"/>
      <c r="AV590" s="80" t="str">
        <f>HYPERLINK("https://pbs.twimg.com/media/FtdkiKMWcAM022_.jpg")</f>
        <v>https://pbs.twimg.com/media/FtdkiKMWcAM022_.jpg</v>
      </c>
      <c r="AW590" s="82" t="s">
        <v>4641</v>
      </c>
      <c r="AX590" s="82" t="s">
        <v>4641</v>
      </c>
      <c r="AY590" s="77"/>
      <c r="AZ590" s="82" t="s">
        <v>5075</v>
      </c>
      <c r="BA590" s="82" t="s">
        <v>5075</v>
      </c>
      <c r="BB590" s="82" t="s">
        <v>5075</v>
      </c>
      <c r="BC590" s="82" t="s">
        <v>4641</v>
      </c>
      <c r="BD590" s="82" t="s">
        <v>5233</v>
      </c>
      <c r="BE590" s="77"/>
      <c r="BF590" s="77"/>
      <c r="BG590" s="77"/>
      <c r="BH590" s="77"/>
      <c r="BI590" s="77"/>
    </row>
    <row r="591" spans="1:61" x14ac:dyDescent="0.25">
      <c r="A591" s="62" t="s">
        <v>424</v>
      </c>
      <c r="B591" s="62" t="s">
        <v>424</v>
      </c>
      <c r="C591" s="63"/>
      <c r="D591" s="64"/>
      <c r="E591" s="65"/>
      <c r="F591" s="66"/>
      <c r="G591" s="63"/>
      <c r="H591" s="67"/>
      <c r="I591" s="68"/>
      <c r="J591" s="68"/>
      <c r="K591" s="32"/>
      <c r="L591" s="75">
        <v>591</v>
      </c>
      <c r="M591" s="75"/>
      <c r="N591" s="70"/>
      <c r="O591" s="77" t="s">
        <v>179</v>
      </c>
      <c r="P591" s="79">
        <v>45026.875636574077</v>
      </c>
      <c r="Q591" s="77" t="s">
        <v>1118</v>
      </c>
      <c r="R591" s="77">
        <v>0</v>
      </c>
      <c r="S591" s="77">
        <v>0</v>
      </c>
      <c r="T591" s="77">
        <v>0</v>
      </c>
      <c r="U591" s="77">
        <v>0</v>
      </c>
      <c r="V591" s="77">
        <v>84</v>
      </c>
      <c r="W591" s="82" t="s">
        <v>1846</v>
      </c>
      <c r="X591" s="80" t="str">
        <f>HYPERLINK("http://metodotdl.com.br/tdl/telegram")</f>
        <v>http://metodotdl.com.br/tdl/telegram</v>
      </c>
      <c r="Y591" s="77" t="s">
        <v>1978</v>
      </c>
      <c r="Z591" s="77"/>
      <c r="AA591" s="77" t="s">
        <v>2396</v>
      </c>
      <c r="AB591" s="77" t="s">
        <v>2632</v>
      </c>
      <c r="AC591" s="82" t="s">
        <v>2642</v>
      </c>
      <c r="AD591" s="77" t="s">
        <v>2670</v>
      </c>
      <c r="AE591" s="80" t="str">
        <f>HYPERLINK("https://twitter.com/metodotdl/status/1645532335494889474")</f>
        <v>https://twitter.com/metodotdl/status/1645532335494889474</v>
      </c>
      <c r="AF591" s="79">
        <v>45026.875636574077</v>
      </c>
      <c r="AG591" s="85">
        <v>45026</v>
      </c>
      <c r="AH591" s="82" t="s">
        <v>3174</v>
      </c>
      <c r="AI591" s="77" t="b">
        <v>0</v>
      </c>
      <c r="AJ591" s="77"/>
      <c r="AK591" s="77"/>
      <c r="AL591" s="77"/>
      <c r="AM591" s="77"/>
      <c r="AN591" s="77"/>
      <c r="AO591" s="77"/>
      <c r="AP591" s="77"/>
      <c r="AQ591" s="77" t="s">
        <v>3825</v>
      </c>
      <c r="AR591" s="77"/>
      <c r="AS591" s="77"/>
      <c r="AT591" s="77"/>
      <c r="AU591" s="77"/>
      <c r="AV591" s="80" t="str">
        <f>HYPERLINK("https://pbs.twimg.com/media/FtYa8GFWYAEmMOs.jpg")</f>
        <v>https://pbs.twimg.com/media/FtYa8GFWYAEmMOs.jpg</v>
      </c>
      <c r="AW591" s="82" t="s">
        <v>4642</v>
      </c>
      <c r="AX591" s="82" t="s">
        <v>4642</v>
      </c>
      <c r="AY591" s="77"/>
      <c r="AZ591" s="82" t="s">
        <v>5075</v>
      </c>
      <c r="BA591" s="82" t="s">
        <v>5075</v>
      </c>
      <c r="BB591" s="82" t="s">
        <v>5075</v>
      </c>
      <c r="BC591" s="82" t="s">
        <v>4642</v>
      </c>
      <c r="BD591" s="82" t="s">
        <v>5233</v>
      </c>
      <c r="BE591" s="77"/>
      <c r="BF591" s="77"/>
      <c r="BG591" s="77"/>
      <c r="BH591" s="77"/>
      <c r="BI591" s="77"/>
    </row>
    <row r="592" spans="1:61" x14ac:dyDescent="0.25">
      <c r="A592" s="62" t="s">
        <v>424</v>
      </c>
      <c r="B592" s="62" t="s">
        <v>424</v>
      </c>
      <c r="C592" s="63"/>
      <c r="D592" s="64"/>
      <c r="E592" s="65"/>
      <c r="F592" s="66"/>
      <c r="G592" s="63"/>
      <c r="H592" s="67"/>
      <c r="I592" s="68"/>
      <c r="J592" s="68"/>
      <c r="K592" s="32"/>
      <c r="L592" s="75">
        <v>592</v>
      </c>
      <c r="M592" s="75"/>
      <c r="N592" s="70"/>
      <c r="O592" s="77" t="s">
        <v>179</v>
      </c>
      <c r="P592" s="79">
        <v>45022.875706018516</v>
      </c>
      <c r="Q592" s="77" t="s">
        <v>1119</v>
      </c>
      <c r="R592" s="77">
        <v>0</v>
      </c>
      <c r="S592" s="77">
        <v>0</v>
      </c>
      <c r="T592" s="77">
        <v>0</v>
      </c>
      <c r="U592" s="77">
        <v>0</v>
      </c>
      <c r="V592" s="77">
        <v>89</v>
      </c>
      <c r="W592" s="82" t="s">
        <v>1846</v>
      </c>
      <c r="X592" s="80" t="str">
        <f>HYPERLINK("http://metodotdl.com.br/tdl/telegram")</f>
        <v>http://metodotdl.com.br/tdl/telegram</v>
      </c>
      <c r="Y592" s="77" t="s">
        <v>1978</v>
      </c>
      <c r="Z592" s="77"/>
      <c r="AA592" s="77" t="s">
        <v>2397</v>
      </c>
      <c r="AB592" s="77" t="s">
        <v>2632</v>
      </c>
      <c r="AC592" s="82" t="s">
        <v>2642</v>
      </c>
      <c r="AD592" s="77" t="s">
        <v>2670</v>
      </c>
      <c r="AE592" s="80" t="str">
        <f>HYPERLINK("https://twitter.com/metodotdl/status/1644082805398286337")</f>
        <v>https://twitter.com/metodotdl/status/1644082805398286337</v>
      </c>
      <c r="AF592" s="79">
        <v>45022.875706018516</v>
      </c>
      <c r="AG592" s="85">
        <v>45022</v>
      </c>
      <c r="AH592" s="82" t="s">
        <v>3205</v>
      </c>
      <c r="AI592" s="77" t="b">
        <v>0</v>
      </c>
      <c r="AJ592" s="77"/>
      <c r="AK592" s="77"/>
      <c r="AL592" s="77"/>
      <c r="AM592" s="77"/>
      <c r="AN592" s="77"/>
      <c r="AO592" s="77"/>
      <c r="AP592" s="77"/>
      <c r="AQ592" s="77" t="s">
        <v>3826</v>
      </c>
      <c r="AR592" s="77"/>
      <c r="AS592" s="77"/>
      <c r="AT592" s="77"/>
      <c r="AU592" s="77"/>
      <c r="AV592" s="80" t="str">
        <f>HYPERLINK("https://pbs.twimg.com/media/FtD0mVKXgAMuBGu.jpg")</f>
        <v>https://pbs.twimg.com/media/FtD0mVKXgAMuBGu.jpg</v>
      </c>
      <c r="AW592" s="82" t="s">
        <v>4643</v>
      </c>
      <c r="AX592" s="82" t="s">
        <v>4643</v>
      </c>
      <c r="AY592" s="77"/>
      <c r="AZ592" s="82" t="s">
        <v>5075</v>
      </c>
      <c r="BA592" s="82" t="s">
        <v>5075</v>
      </c>
      <c r="BB592" s="82" t="s">
        <v>5075</v>
      </c>
      <c r="BC592" s="82" t="s">
        <v>4643</v>
      </c>
      <c r="BD592" s="82" t="s">
        <v>5233</v>
      </c>
      <c r="BE592" s="77"/>
      <c r="BF592" s="77"/>
      <c r="BG592" s="77"/>
      <c r="BH592" s="77"/>
      <c r="BI592" s="77"/>
    </row>
    <row r="593" spans="1:61" x14ac:dyDescent="0.25">
      <c r="A593" s="62" t="s">
        <v>424</v>
      </c>
      <c r="B593" s="62" t="s">
        <v>424</v>
      </c>
      <c r="C593" s="63"/>
      <c r="D593" s="64"/>
      <c r="E593" s="65"/>
      <c r="F593" s="66"/>
      <c r="G593" s="63"/>
      <c r="H593" s="67"/>
      <c r="I593" s="68"/>
      <c r="J593" s="68"/>
      <c r="K593" s="32"/>
      <c r="L593" s="75">
        <v>593</v>
      </c>
      <c r="M593" s="75"/>
      <c r="N593" s="70"/>
      <c r="O593" s="77" t="s">
        <v>179</v>
      </c>
      <c r="P593" s="79">
        <v>45021.87572916667</v>
      </c>
      <c r="Q593" s="77" t="s">
        <v>1120</v>
      </c>
      <c r="R593" s="77">
        <v>0</v>
      </c>
      <c r="S593" s="77">
        <v>0</v>
      </c>
      <c r="T593" s="77">
        <v>0</v>
      </c>
      <c r="U593" s="77">
        <v>0</v>
      </c>
      <c r="V593" s="77">
        <v>65</v>
      </c>
      <c r="W593" s="82" t="s">
        <v>1846</v>
      </c>
      <c r="X593" s="80" t="str">
        <f>HYPERLINK("http://metodotdl.com.br/tdl/telegram")</f>
        <v>http://metodotdl.com.br/tdl/telegram</v>
      </c>
      <c r="Y593" s="77" t="s">
        <v>1978</v>
      </c>
      <c r="Z593" s="77"/>
      <c r="AA593" s="77" t="s">
        <v>2398</v>
      </c>
      <c r="AB593" s="77" t="s">
        <v>2632</v>
      </c>
      <c r="AC593" s="82" t="s">
        <v>2642</v>
      </c>
      <c r="AD593" s="77" t="s">
        <v>2670</v>
      </c>
      <c r="AE593" s="80" t="str">
        <f>HYPERLINK("https://twitter.com/metodotdl/status/1643720429855469572")</f>
        <v>https://twitter.com/metodotdl/status/1643720429855469572</v>
      </c>
      <c r="AF593" s="79">
        <v>45021.87572916667</v>
      </c>
      <c r="AG593" s="85">
        <v>45021</v>
      </c>
      <c r="AH593" s="82" t="s">
        <v>2904</v>
      </c>
      <c r="AI593" s="77" t="b">
        <v>0</v>
      </c>
      <c r="AJ593" s="77"/>
      <c r="AK593" s="77"/>
      <c r="AL593" s="77"/>
      <c r="AM593" s="77"/>
      <c r="AN593" s="77"/>
      <c r="AO593" s="77"/>
      <c r="AP593" s="77"/>
      <c r="AQ593" s="77" t="s">
        <v>3827</v>
      </c>
      <c r="AR593" s="77"/>
      <c r="AS593" s="77"/>
      <c r="AT593" s="77"/>
      <c r="AU593" s="77"/>
      <c r="AV593" s="80" t="str">
        <f>HYPERLINK("https://pbs.twimg.com/media/Fs-rBSUXwAIl4iW.jpg")</f>
        <v>https://pbs.twimg.com/media/Fs-rBSUXwAIl4iW.jpg</v>
      </c>
      <c r="AW593" s="82" t="s">
        <v>4644</v>
      </c>
      <c r="AX593" s="82" t="s">
        <v>4644</v>
      </c>
      <c r="AY593" s="77"/>
      <c r="AZ593" s="82" t="s">
        <v>5075</v>
      </c>
      <c r="BA593" s="82" t="s">
        <v>5075</v>
      </c>
      <c r="BB593" s="82" t="s">
        <v>5075</v>
      </c>
      <c r="BC593" s="82" t="s">
        <v>4644</v>
      </c>
      <c r="BD593" s="82" t="s">
        <v>5233</v>
      </c>
      <c r="BE593" s="77"/>
      <c r="BF593" s="77"/>
      <c r="BG593" s="77"/>
      <c r="BH593" s="77"/>
      <c r="BI593" s="77"/>
    </row>
    <row r="594" spans="1:61" x14ac:dyDescent="0.25">
      <c r="A594" s="62" t="s">
        <v>424</v>
      </c>
      <c r="B594" s="62" t="s">
        <v>424</v>
      </c>
      <c r="C594" s="63"/>
      <c r="D594" s="64"/>
      <c r="E594" s="65"/>
      <c r="F594" s="66"/>
      <c r="G594" s="63"/>
      <c r="H594" s="67"/>
      <c r="I594" s="68"/>
      <c r="J594" s="68"/>
      <c r="K594" s="32"/>
      <c r="L594" s="75">
        <v>594</v>
      </c>
      <c r="M594" s="75"/>
      <c r="N594" s="70"/>
      <c r="O594" s="77" t="s">
        <v>179</v>
      </c>
      <c r="P594" s="79">
        <v>44943.875740740739</v>
      </c>
      <c r="Q594" s="77" t="s">
        <v>1121</v>
      </c>
      <c r="R594" s="77">
        <v>0</v>
      </c>
      <c r="S594" s="77">
        <v>0</v>
      </c>
      <c r="T594" s="77">
        <v>0</v>
      </c>
      <c r="U594" s="77">
        <v>0</v>
      </c>
      <c r="V594" s="77">
        <v>81</v>
      </c>
      <c r="W594" s="82" t="s">
        <v>1846</v>
      </c>
      <c r="X594" s="80" t="str">
        <f>HYPERLINK("http://metodotdl.com.br/tdl/telegram")</f>
        <v>http://metodotdl.com.br/tdl/telegram</v>
      </c>
      <c r="Y594" s="77" t="s">
        <v>1978</v>
      </c>
      <c r="Z594" s="77"/>
      <c r="AA594" s="77" t="s">
        <v>2399</v>
      </c>
      <c r="AB594" s="77" t="s">
        <v>2632</v>
      </c>
      <c r="AC594" s="82" t="s">
        <v>2642</v>
      </c>
      <c r="AD594" s="77" t="s">
        <v>2670</v>
      </c>
      <c r="AE594" s="80" t="str">
        <f>HYPERLINK("https://twitter.com/metodotdl/status/1615454177810948103")</f>
        <v>https://twitter.com/metodotdl/status/1615454177810948103</v>
      </c>
      <c r="AF594" s="79">
        <v>44943.875740740739</v>
      </c>
      <c r="AG594" s="85">
        <v>44943</v>
      </c>
      <c r="AH594" s="82" t="s">
        <v>3206</v>
      </c>
      <c r="AI594" s="77" t="b">
        <v>0</v>
      </c>
      <c r="AJ594" s="77"/>
      <c r="AK594" s="77"/>
      <c r="AL594" s="77"/>
      <c r="AM594" s="77"/>
      <c r="AN594" s="77"/>
      <c r="AO594" s="77"/>
      <c r="AP594" s="77"/>
      <c r="AQ594" s="77" t="s">
        <v>3828</v>
      </c>
      <c r="AR594" s="77"/>
      <c r="AS594" s="77"/>
      <c r="AT594" s="77"/>
      <c r="AU594" s="77"/>
      <c r="AV594" s="80" t="str">
        <f>HYPERLINK("https://pbs.twimg.com/media/Fms_A3rXoAcXnpi.jpg")</f>
        <v>https://pbs.twimg.com/media/Fms_A3rXoAcXnpi.jpg</v>
      </c>
      <c r="AW594" s="82" t="s">
        <v>4645</v>
      </c>
      <c r="AX594" s="82" t="s">
        <v>4645</v>
      </c>
      <c r="AY594" s="77"/>
      <c r="AZ594" s="82" t="s">
        <v>5075</v>
      </c>
      <c r="BA594" s="82" t="s">
        <v>5075</v>
      </c>
      <c r="BB594" s="82" t="s">
        <v>5075</v>
      </c>
      <c r="BC594" s="82" t="s">
        <v>4645</v>
      </c>
      <c r="BD594" s="82" t="s">
        <v>5233</v>
      </c>
      <c r="BE594" s="77"/>
      <c r="BF594" s="77"/>
      <c r="BG594" s="77"/>
      <c r="BH594" s="77"/>
      <c r="BI594" s="77"/>
    </row>
    <row r="595" spans="1:61" x14ac:dyDescent="0.25">
      <c r="A595" s="62" t="s">
        <v>424</v>
      </c>
      <c r="B595" s="62" t="s">
        <v>424</v>
      </c>
      <c r="C595" s="63"/>
      <c r="D595" s="64"/>
      <c r="E595" s="65"/>
      <c r="F595" s="66"/>
      <c r="G595" s="63"/>
      <c r="H595" s="67"/>
      <c r="I595" s="68"/>
      <c r="J595" s="68"/>
      <c r="K595" s="32"/>
      <c r="L595" s="75">
        <v>595</v>
      </c>
      <c r="M595" s="75"/>
      <c r="N595" s="70"/>
      <c r="O595" s="77" t="s">
        <v>179</v>
      </c>
      <c r="P595" s="79">
        <v>44942.875289351854</v>
      </c>
      <c r="Q595" s="77" t="s">
        <v>1122</v>
      </c>
      <c r="R595" s="77">
        <v>0</v>
      </c>
      <c r="S595" s="77">
        <v>0</v>
      </c>
      <c r="T595" s="77">
        <v>0</v>
      </c>
      <c r="U595" s="77">
        <v>0</v>
      </c>
      <c r="V595" s="77">
        <v>76</v>
      </c>
      <c r="W595" s="82" t="s">
        <v>1846</v>
      </c>
      <c r="X595" s="80" t="str">
        <f>HYPERLINK("http://metodotdl.com.br/tdl/telegram")</f>
        <v>http://metodotdl.com.br/tdl/telegram</v>
      </c>
      <c r="Y595" s="77" t="s">
        <v>1978</v>
      </c>
      <c r="Z595" s="77"/>
      <c r="AA595" s="77" t="s">
        <v>2400</v>
      </c>
      <c r="AB595" s="77" t="s">
        <v>2632</v>
      </c>
      <c r="AC595" s="82" t="s">
        <v>2642</v>
      </c>
      <c r="AD595" s="77" t="s">
        <v>2670</v>
      </c>
      <c r="AE595" s="80" t="str">
        <f>HYPERLINK("https://twitter.com/metodotdl/status/1615091628791717889")</f>
        <v>https://twitter.com/metodotdl/status/1615091628791717889</v>
      </c>
      <c r="AF595" s="79">
        <v>44942.875289351854</v>
      </c>
      <c r="AG595" s="85">
        <v>44942</v>
      </c>
      <c r="AH595" s="82" t="s">
        <v>3207</v>
      </c>
      <c r="AI595" s="77" t="b">
        <v>0</v>
      </c>
      <c r="AJ595" s="77"/>
      <c r="AK595" s="77"/>
      <c r="AL595" s="77"/>
      <c r="AM595" s="77"/>
      <c r="AN595" s="77"/>
      <c r="AO595" s="77"/>
      <c r="AP595" s="77"/>
      <c r="AQ595" s="77" t="s">
        <v>3829</v>
      </c>
      <c r="AR595" s="77"/>
      <c r="AS595" s="77"/>
      <c r="AT595" s="77"/>
      <c r="AU595" s="77"/>
      <c r="AV595" s="80" t="str">
        <f>HYPERLINK("https://pbs.twimg.com/media/Fmn1RwmXoA08KCY.jpg")</f>
        <v>https://pbs.twimg.com/media/Fmn1RwmXoA08KCY.jpg</v>
      </c>
      <c r="AW595" s="82" t="s">
        <v>4646</v>
      </c>
      <c r="AX595" s="82" t="s">
        <v>4646</v>
      </c>
      <c r="AY595" s="77"/>
      <c r="AZ595" s="82" t="s">
        <v>5075</v>
      </c>
      <c r="BA595" s="82" t="s">
        <v>5075</v>
      </c>
      <c r="BB595" s="82" t="s">
        <v>5075</v>
      </c>
      <c r="BC595" s="82" t="s">
        <v>4646</v>
      </c>
      <c r="BD595" s="82" t="s">
        <v>5233</v>
      </c>
      <c r="BE595" s="77"/>
      <c r="BF595" s="77"/>
      <c r="BG595" s="77"/>
      <c r="BH595" s="77"/>
      <c r="BI595" s="77"/>
    </row>
    <row r="596" spans="1:61" x14ac:dyDescent="0.25">
      <c r="A596" s="62" t="s">
        <v>424</v>
      </c>
      <c r="B596" s="62" t="s">
        <v>424</v>
      </c>
      <c r="C596" s="63"/>
      <c r="D596" s="64"/>
      <c r="E596" s="65"/>
      <c r="F596" s="66"/>
      <c r="G596" s="63"/>
      <c r="H596" s="67"/>
      <c r="I596" s="68"/>
      <c r="J596" s="68"/>
      <c r="K596" s="32"/>
      <c r="L596" s="75">
        <v>596</v>
      </c>
      <c r="M596" s="75"/>
      <c r="N596" s="70"/>
      <c r="O596" s="77" t="s">
        <v>179</v>
      </c>
      <c r="P596" s="79">
        <v>44939.875439814816</v>
      </c>
      <c r="Q596" s="77" t="s">
        <v>1123</v>
      </c>
      <c r="R596" s="77">
        <v>0</v>
      </c>
      <c r="S596" s="77">
        <v>0</v>
      </c>
      <c r="T596" s="77">
        <v>0</v>
      </c>
      <c r="U596" s="77">
        <v>0</v>
      </c>
      <c r="V596" s="77">
        <v>66</v>
      </c>
      <c r="W596" s="82" t="s">
        <v>1846</v>
      </c>
      <c r="X596" s="80" t="str">
        <f>HYPERLINK("http://metodotdl.com.br/tdl/telegram")</f>
        <v>http://metodotdl.com.br/tdl/telegram</v>
      </c>
      <c r="Y596" s="77" t="s">
        <v>1978</v>
      </c>
      <c r="Z596" s="77"/>
      <c r="AA596" s="77" t="s">
        <v>2401</v>
      </c>
      <c r="AB596" s="77" t="s">
        <v>2632</v>
      </c>
      <c r="AC596" s="82" t="s">
        <v>2642</v>
      </c>
      <c r="AD596" s="77" t="s">
        <v>2670</v>
      </c>
      <c r="AE596" s="80" t="str">
        <f>HYPERLINK("https://twitter.com/metodotdl/status/1614004517200068609")</f>
        <v>https://twitter.com/metodotdl/status/1614004517200068609</v>
      </c>
      <c r="AF596" s="79">
        <v>44939.875439814816</v>
      </c>
      <c r="AG596" s="85">
        <v>44939</v>
      </c>
      <c r="AH596" s="82" t="s">
        <v>3208</v>
      </c>
      <c r="AI596" s="77" t="b">
        <v>0</v>
      </c>
      <c r="AJ596" s="77"/>
      <c r="AK596" s="77"/>
      <c r="AL596" s="77"/>
      <c r="AM596" s="77"/>
      <c r="AN596" s="77"/>
      <c r="AO596" s="77"/>
      <c r="AP596" s="77"/>
      <c r="AQ596" s="77" t="s">
        <v>3830</v>
      </c>
      <c r="AR596" s="77"/>
      <c r="AS596" s="77"/>
      <c r="AT596" s="77"/>
      <c r="AU596" s="77"/>
      <c r="AV596" s="80" t="str">
        <f>HYPERLINK("https://pbs.twimg.com/media/FmYYjeoXEAAkFU-.jpg")</f>
        <v>https://pbs.twimg.com/media/FmYYjeoXEAAkFU-.jpg</v>
      </c>
      <c r="AW596" s="82" t="s">
        <v>4647</v>
      </c>
      <c r="AX596" s="82" t="s">
        <v>4647</v>
      </c>
      <c r="AY596" s="77"/>
      <c r="AZ596" s="82" t="s">
        <v>5075</v>
      </c>
      <c r="BA596" s="82" t="s">
        <v>5075</v>
      </c>
      <c r="BB596" s="82" t="s">
        <v>5075</v>
      </c>
      <c r="BC596" s="82" t="s">
        <v>4647</v>
      </c>
      <c r="BD596" s="82" t="s">
        <v>5233</v>
      </c>
      <c r="BE596" s="77"/>
      <c r="BF596" s="77"/>
      <c r="BG596" s="77"/>
      <c r="BH596" s="77"/>
      <c r="BI596" s="77"/>
    </row>
    <row r="597" spans="1:61" x14ac:dyDescent="0.25">
      <c r="A597" s="62" t="s">
        <v>424</v>
      </c>
      <c r="B597" s="62" t="s">
        <v>424</v>
      </c>
      <c r="C597" s="63"/>
      <c r="D597" s="64"/>
      <c r="E597" s="65"/>
      <c r="F597" s="66"/>
      <c r="G597" s="63"/>
      <c r="H597" s="67"/>
      <c r="I597" s="68"/>
      <c r="J597" s="68"/>
      <c r="K597" s="32"/>
      <c r="L597" s="75">
        <v>597</v>
      </c>
      <c r="M597" s="75"/>
      <c r="N597" s="70"/>
      <c r="O597" s="77" t="s">
        <v>179</v>
      </c>
      <c r="P597" s="79">
        <v>44938.875787037039</v>
      </c>
      <c r="Q597" s="77" t="s">
        <v>1124</v>
      </c>
      <c r="R597" s="77">
        <v>0</v>
      </c>
      <c r="S597" s="77">
        <v>0</v>
      </c>
      <c r="T597" s="77">
        <v>0</v>
      </c>
      <c r="U597" s="77">
        <v>0</v>
      </c>
      <c r="V597" s="77">
        <v>50</v>
      </c>
      <c r="W597" s="82" t="s">
        <v>1846</v>
      </c>
      <c r="X597" s="80" t="str">
        <f>HYPERLINK("http://metodotdl.com.br/tdl/telegram")</f>
        <v>http://metodotdl.com.br/tdl/telegram</v>
      </c>
      <c r="Y597" s="77" t="s">
        <v>1978</v>
      </c>
      <c r="Z597" s="77"/>
      <c r="AA597" s="77" t="s">
        <v>2402</v>
      </c>
      <c r="AB597" s="77" t="s">
        <v>2632</v>
      </c>
      <c r="AC597" s="82" t="s">
        <v>2642</v>
      </c>
      <c r="AD597" s="77" t="s">
        <v>2670</v>
      </c>
      <c r="AE597" s="80" t="str">
        <f>HYPERLINK("https://twitter.com/metodotdl/status/1613642255616679942")</f>
        <v>https://twitter.com/metodotdl/status/1613642255616679942</v>
      </c>
      <c r="AF597" s="79">
        <v>44938.875787037039</v>
      </c>
      <c r="AG597" s="85">
        <v>44938</v>
      </c>
      <c r="AH597" s="82" t="s">
        <v>3209</v>
      </c>
      <c r="AI597" s="77" t="b">
        <v>0</v>
      </c>
      <c r="AJ597" s="77"/>
      <c r="AK597" s="77"/>
      <c r="AL597" s="77"/>
      <c r="AM597" s="77"/>
      <c r="AN597" s="77"/>
      <c r="AO597" s="77"/>
      <c r="AP597" s="77"/>
      <c r="AQ597" s="77" t="s">
        <v>3831</v>
      </c>
      <c r="AR597" s="77"/>
      <c r="AS597" s="77"/>
      <c r="AT597" s="77"/>
      <c r="AU597" s="77"/>
      <c r="AV597" s="80" t="str">
        <f>HYPERLINK("https://pbs.twimg.com/media/FmTPFFoWYAAb2Pb.jpg")</f>
        <v>https://pbs.twimg.com/media/FmTPFFoWYAAb2Pb.jpg</v>
      </c>
      <c r="AW597" s="82" t="s">
        <v>4648</v>
      </c>
      <c r="AX597" s="82" t="s">
        <v>4648</v>
      </c>
      <c r="AY597" s="77"/>
      <c r="AZ597" s="82" t="s">
        <v>5075</v>
      </c>
      <c r="BA597" s="82" t="s">
        <v>5075</v>
      </c>
      <c r="BB597" s="82" t="s">
        <v>5075</v>
      </c>
      <c r="BC597" s="82" t="s">
        <v>4648</v>
      </c>
      <c r="BD597" s="82" t="s">
        <v>5233</v>
      </c>
      <c r="BE597" s="77"/>
      <c r="BF597" s="77"/>
      <c r="BG597" s="77"/>
      <c r="BH597" s="77"/>
      <c r="BI597" s="77"/>
    </row>
    <row r="598" spans="1:61" x14ac:dyDescent="0.25">
      <c r="A598" s="62" t="s">
        <v>424</v>
      </c>
      <c r="B598" s="62" t="s">
        <v>424</v>
      </c>
      <c r="C598" s="63"/>
      <c r="D598" s="64"/>
      <c r="E598" s="65"/>
      <c r="F598" s="66"/>
      <c r="G598" s="63"/>
      <c r="H598" s="67"/>
      <c r="I598" s="68"/>
      <c r="J598" s="68"/>
      <c r="K598" s="32"/>
      <c r="L598" s="75">
        <v>598</v>
      </c>
      <c r="M598" s="75"/>
      <c r="N598" s="70"/>
      <c r="O598" s="77" t="s">
        <v>179</v>
      </c>
      <c r="P598" s="79">
        <v>44937.875381944446</v>
      </c>
      <c r="Q598" s="77" t="s">
        <v>1125</v>
      </c>
      <c r="R598" s="77">
        <v>0</v>
      </c>
      <c r="S598" s="77">
        <v>0</v>
      </c>
      <c r="T598" s="77">
        <v>0</v>
      </c>
      <c r="U598" s="77">
        <v>0</v>
      </c>
      <c r="V598" s="77">
        <v>49</v>
      </c>
      <c r="W598" s="82" t="s">
        <v>1846</v>
      </c>
      <c r="X598" s="80" t="str">
        <f>HYPERLINK("http://metodotdl.com.br/tdl/telegram")</f>
        <v>http://metodotdl.com.br/tdl/telegram</v>
      </c>
      <c r="Y598" s="77" t="s">
        <v>1978</v>
      </c>
      <c r="Z598" s="77"/>
      <c r="AA598" s="77" t="s">
        <v>2403</v>
      </c>
      <c r="AB598" s="77" t="s">
        <v>2632</v>
      </c>
      <c r="AC598" s="82" t="s">
        <v>2642</v>
      </c>
      <c r="AD598" s="77" t="s">
        <v>2670</v>
      </c>
      <c r="AE598" s="80" t="str">
        <f>HYPERLINK("https://twitter.com/metodotdl/status/1613279720409534466")</f>
        <v>https://twitter.com/metodotdl/status/1613279720409534466</v>
      </c>
      <c r="AF598" s="79">
        <v>44937.875381944446</v>
      </c>
      <c r="AG598" s="85">
        <v>44937</v>
      </c>
      <c r="AH598" s="82" t="s">
        <v>3180</v>
      </c>
      <c r="AI598" s="77" t="b">
        <v>0</v>
      </c>
      <c r="AJ598" s="77"/>
      <c r="AK598" s="77"/>
      <c r="AL598" s="77"/>
      <c r="AM598" s="77"/>
      <c r="AN598" s="77"/>
      <c r="AO598" s="77"/>
      <c r="AP598" s="77"/>
      <c r="AQ598" s="77" t="s">
        <v>3832</v>
      </c>
      <c r="AR598" s="77"/>
      <c r="AS598" s="77"/>
      <c r="AT598" s="77"/>
      <c r="AU598" s="77"/>
      <c r="AV598" s="80" t="str">
        <f>HYPERLINK("https://pbs.twimg.com/media/FmOFWy9WQAAZzwX.jpg")</f>
        <v>https://pbs.twimg.com/media/FmOFWy9WQAAZzwX.jpg</v>
      </c>
      <c r="AW598" s="82" t="s">
        <v>4649</v>
      </c>
      <c r="AX598" s="82" t="s">
        <v>4649</v>
      </c>
      <c r="AY598" s="77"/>
      <c r="AZ598" s="82" t="s">
        <v>5075</v>
      </c>
      <c r="BA598" s="82" t="s">
        <v>5075</v>
      </c>
      <c r="BB598" s="82" t="s">
        <v>5075</v>
      </c>
      <c r="BC598" s="82" t="s">
        <v>4649</v>
      </c>
      <c r="BD598" s="82" t="s">
        <v>5233</v>
      </c>
      <c r="BE598" s="77"/>
      <c r="BF598" s="77"/>
      <c r="BG598" s="77"/>
      <c r="BH598" s="77"/>
      <c r="BI598" s="77"/>
    </row>
    <row r="599" spans="1:61" x14ac:dyDescent="0.25">
      <c r="A599" s="62" t="s">
        <v>424</v>
      </c>
      <c r="B599" s="62" t="s">
        <v>424</v>
      </c>
      <c r="C599" s="63"/>
      <c r="D599" s="64"/>
      <c r="E599" s="65"/>
      <c r="F599" s="66"/>
      <c r="G599" s="63"/>
      <c r="H599" s="67"/>
      <c r="I599" s="68"/>
      <c r="J599" s="68"/>
      <c r="K599" s="32"/>
      <c r="L599" s="75">
        <v>599</v>
      </c>
      <c r="M599" s="75"/>
      <c r="N599" s="70"/>
      <c r="O599" s="77" t="s">
        <v>179</v>
      </c>
      <c r="P599" s="79">
        <v>44936.87537037037</v>
      </c>
      <c r="Q599" s="77" t="s">
        <v>1126</v>
      </c>
      <c r="R599" s="77">
        <v>0</v>
      </c>
      <c r="S599" s="77">
        <v>0</v>
      </c>
      <c r="T599" s="77">
        <v>0</v>
      </c>
      <c r="U599" s="77">
        <v>0</v>
      </c>
      <c r="V599" s="77">
        <v>50</v>
      </c>
      <c r="W599" s="82" t="s">
        <v>1846</v>
      </c>
      <c r="X599" s="80" t="str">
        <f>HYPERLINK("http://metodotdl.com.br/tdl/telegram")</f>
        <v>http://metodotdl.com.br/tdl/telegram</v>
      </c>
      <c r="Y599" s="77" t="s">
        <v>1978</v>
      </c>
      <c r="Z599" s="77"/>
      <c r="AA599" s="77" t="s">
        <v>2404</v>
      </c>
      <c r="AB599" s="77" t="s">
        <v>2632</v>
      </c>
      <c r="AC599" s="82" t="s">
        <v>2642</v>
      </c>
      <c r="AD599" s="77" t="s">
        <v>2670</v>
      </c>
      <c r="AE599" s="80" t="str">
        <f>HYPERLINK("https://twitter.com/metodotdl/status/1612917330970812441")</f>
        <v>https://twitter.com/metodotdl/status/1612917330970812441</v>
      </c>
      <c r="AF599" s="79">
        <v>44936.87537037037</v>
      </c>
      <c r="AG599" s="85">
        <v>44936</v>
      </c>
      <c r="AH599" s="82" t="s">
        <v>3183</v>
      </c>
      <c r="AI599" s="77" t="b">
        <v>0</v>
      </c>
      <c r="AJ599" s="77"/>
      <c r="AK599" s="77"/>
      <c r="AL599" s="77"/>
      <c r="AM599" s="77"/>
      <c r="AN599" s="77"/>
      <c r="AO599" s="77"/>
      <c r="AP599" s="77"/>
      <c r="AQ599" s="77" t="s">
        <v>3833</v>
      </c>
      <c r="AR599" s="77"/>
      <c r="AS599" s="77"/>
      <c r="AT599" s="77"/>
      <c r="AU599" s="77"/>
      <c r="AV599" s="80" t="str">
        <f>HYPERLINK("https://pbs.twimg.com/media/FmI7w8IWIAAVMtC.jpg")</f>
        <v>https://pbs.twimg.com/media/FmI7w8IWIAAVMtC.jpg</v>
      </c>
      <c r="AW599" s="82" t="s">
        <v>4650</v>
      </c>
      <c r="AX599" s="82" t="s">
        <v>4650</v>
      </c>
      <c r="AY599" s="77"/>
      <c r="AZ599" s="82" t="s">
        <v>5075</v>
      </c>
      <c r="BA599" s="82" t="s">
        <v>5075</v>
      </c>
      <c r="BB599" s="82" t="s">
        <v>5075</v>
      </c>
      <c r="BC599" s="82" t="s">
        <v>4650</v>
      </c>
      <c r="BD599" s="82" t="s">
        <v>5233</v>
      </c>
      <c r="BE599" s="77"/>
      <c r="BF599" s="77"/>
      <c r="BG599" s="77"/>
      <c r="BH599" s="77"/>
      <c r="BI599" s="77"/>
    </row>
    <row r="600" spans="1:61" x14ac:dyDescent="0.25">
      <c r="A600" s="62" t="s">
        <v>424</v>
      </c>
      <c r="B600" s="62" t="s">
        <v>424</v>
      </c>
      <c r="C600" s="63"/>
      <c r="D600" s="64"/>
      <c r="E600" s="65"/>
      <c r="F600" s="66"/>
      <c r="G600" s="63"/>
      <c r="H600" s="67"/>
      <c r="I600" s="68"/>
      <c r="J600" s="68"/>
      <c r="K600" s="32"/>
      <c r="L600" s="75">
        <v>600</v>
      </c>
      <c r="M600" s="75"/>
      <c r="N600" s="70"/>
      <c r="O600" s="77" t="s">
        <v>179</v>
      </c>
      <c r="P600" s="79">
        <v>44935.875694444447</v>
      </c>
      <c r="Q600" s="77" t="s">
        <v>1127</v>
      </c>
      <c r="R600" s="77">
        <v>0</v>
      </c>
      <c r="S600" s="77">
        <v>0</v>
      </c>
      <c r="T600" s="77">
        <v>0</v>
      </c>
      <c r="U600" s="77">
        <v>0</v>
      </c>
      <c r="V600" s="77">
        <v>60</v>
      </c>
      <c r="W600" s="82" t="s">
        <v>1846</v>
      </c>
      <c r="X600" s="80" t="str">
        <f>HYPERLINK("http://metodotdl.com.br/tdl/telegram")</f>
        <v>http://metodotdl.com.br/tdl/telegram</v>
      </c>
      <c r="Y600" s="77" t="s">
        <v>1978</v>
      </c>
      <c r="Z600" s="77"/>
      <c r="AA600" s="77" t="s">
        <v>2405</v>
      </c>
      <c r="AB600" s="77" t="s">
        <v>2632</v>
      </c>
      <c r="AC600" s="82" t="s">
        <v>2642</v>
      </c>
      <c r="AD600" s="77" t="s">
        <v>2670</v>
      </c>
      <c r="AE600" s="80" t="str">
        <f>HYPERLINK("https://twitter.com/metodotdl/status/1612555060835241997")</f>
        <v>https://twitter.com/metodotdl/status/1612555060835241997</v>
      </c>
      <c r="AF600" s="79">
        <v>44935.875694444447</v>
      </c>
      <c r="AG600" s="85">
        <v>44935</v>
      </c>
      <c r="AH600" s="82" t="s">
        <v>2792</v>
      </c>
      <c r="AI600" s="77" t="b">
        <v>0</v>
      </c>
      <c r="AJ600" s="77"/>
      <c r="AK600" s="77"/>
      <c r="AL600" s="77"/>
      <c r="AM600" s="77"/>
      <c r="AN600" s="77"/>
      <c r="AO600" s="77"/>
      <c r="AP600" s="77"/>
      <c r="AQ600" s="77" t="s">
        <v>3834</v>
      </c>
      <c r="AR600" s="77"/>
      <c r="AS600" s="77"/>
      <c r="AT600" s="77"/>
      <c r="AU600" s="77"/>
      <c r="AV600" s="80" t="str">
        <f>HYPERLINK("https://pbs.twimg.com/media/FmDySDAX0BAWrrq.jpg")</f>
        <v>https://pbs.twimg.com/media/FmDySDAX0BAWrrq.jpg</v>
      </c>
      <c r="AW600" s="82" t="s">
        <v>4651</v>
      </c>
      <c r="AX600" s="82" t="s">
        <v>4651</v>
      </c>
      <c r="AY600" s="77"/>
      <c r="AZ600" s="82" t="s">
        <v>5075</v>
      </c>
      <c r="BA600" s="82" t="s">
        <v>5075</v>
      </c>
      <c r="BB600" s="82" t="s">
        <v>5075</v>
      </c>
      <c r="BC600" s="82" t="s">
        <v>4651</v>
      </c>
      <c r="BD600" s="82" t="s">
        <v>5233</v>
      </c>
      <c r="BE600" s="77"/>
      <c r="BF600" s="77"/>
      <c r="BG600" s="77"/>
      <c r="BH600" s="77"/>
      <c r="BI600" s="77"/>
    </row>
    <row r="601" spans="1:61" x14ac:dyDescent="0.25">
      <c r="A601" s="62" t="s">
        <v>424</v>
      </c>
      <c r="B601" s="62" t="s">
        <v>424</v>
      </c>
      <c r="C601" s="63"/>
      <c r="D601" s="64"/>
      <c r="E601" s="65"/>
      <c r="F601" s="66"/>
      <c r="G601" s="63"/>
      <c r="H601" s="67"/>
      <c r="I601" s="68"/>
      <c r="J601" s="68"/>
      <c r="K601" s="32"/>
      <c r="L601" s="75">
        <v>601</v>
      </c>
      <c r="M601" s="75"/>
      <c r="N601" s="70"/>
      <c r="O601" s="77" t="s">
        <v>179</v>
      </c>
      <c r="P601" s="79">
        <v>44932.875497685185</v>
      </c>
      <c r="Q601" s="77" t="s">
        <v>1128</v>
      </c>
      <c r="R601" s="77">
        <v>0</v>
      </c>
      <c r="S601" s="77">
        <v>0</v>
      </c>
      <c r="T601" s="77">
        <v>0</v>
      </c>
      <c r="U601" s="77">
        <v>0</v>
      </c>
      <c r="V601" s="77">
        <v>78</v>
      </c>
      <c r="W601" s="82" t="s">
        <v>1846</v>
      </c>
      <c r="X601" s="80" t="str">
        <f>HYPERLINK("http://metodotdl.com.br/tdl/telegram")</f>
        <v>http://metodotdl.com.br/tdl/telegram</v>
      </c>
      <c r="Y601" s="77" t="s">
        <v>1978</v>
      </c>
      <c r="Z601" s="77"/>
      <c r="AA601" s="77" t="s">
        <v>2406</v>
      </c>
      <c r="AB601" s="77" t="s">
        <v>2632</v>
      </c>
      <c r="AC601" s="82" t="s">
        <v>2642</v>
      </c>
      <c r="AD601" s="77" t="s">
        <v>2670</v>
      </c>
      <c r="AE601" s="80" t="str">
        <f>HYPERLINK("https://twitter.com/metodotdl/status/1611467824588881925")</f>
        <v>https://twitter.com/metodotdl/status/1611467824588881925</v>
      </c>
      <c r="AF601" s="79">
        <v>44932.875497685185</v>
      </c>
      <c r="AG601" s="85">
        <v>44932</v>
      </c>
      <c r="AH601" s="82" t="s">
        <v>3210</v>
      </c>
      <c r="AI601" s="77" t="b">
        <v>0</v>
      </c>
      <c r="AJ601" s="77"/>
      <c r="AK601" s="77"/>
      <c r="AL601" s="77"/>
      <c r="AM601" s="77"/>
      <c r="AN601" s="77"/>
      <c r="AO601" s="77"/>
      <c r="AP601" s="77"/>
      <c r="AQ601" s="77" t="s">
        <v>3835</v>
      </c>
      <c r="AR601" s="77"/>
      <c r="AS601" s="77"/>
      <c r="AT601" s="77"/>
      <c r="AU601" s="77"/>
      <c r="AV601" s="80" t="str">
        <f>HYPERLINK("https://pbs.twimg.com/media/Fl0VcknWAAIy0el.jpg")</f>
        <v>https://pbs.twimg.com/media/Fl0VcknWAAIy0el.jpg</v>
      </c>
      <c r="AW601" s="82" t="s">
        <v>4652</v>
      </c>
      <c r="AX601" s="82" t="s">
        <v>4652</v>
      </c>
      <c r="AY601" s="77"/>
      <c r="AZ601" s="82" t="s">
        <v>5075</v>
      </c>
      <c r="BA601" s="82" t="s">
        <v>5075</v>
      </c>
      <c r="BB601" s="82" t="s">
        <v>5075</v>
      </c>
      <c r="BC601" s="82" t="s">
        <v>4652</v>
      </c>
      <c r="BD601" s="82" t="s">
        <v>5233</v>
      </c>
      <c r="BE601" s="77"/>
      <c r="BF601" s="77"/>
      <c r="BG601" s="77"/>
      <c r="BH601" s="77"/>
      <c r="BI601" s="77"/>
    </row>
    <row r="602" spans="1:61" x14ac:dyDescent="0.25">
      <c r="A602" s="62" t="s">
        <v>424</v>
      </c>
      <c r="B602" s="62" t="s">
        <v>424</v>
      </c>
      <c r="C602" s="63"/>
      <c r="D602" s="64"/>
      <c r="E602" s="65"/>
      <c r="F602" s="66"/>
      <c r="G602" s="63"/>
      <c r="H602" s="67"/>
      <c r="I602" s="68"/>
      <c r="J602" s="68"/>
      <c r="K602" s="32"/>
      <c r="L602" s="75">
        <v>602</v>
      </c>
      <c r="M602" s="75"/>
      <c r="N602" s="70"/>
      <c r="O602" s="77" t="s">
        <v>179</v>
      </c>
      <c r="P602" s="79">
        <v>45119.875567129631</v>
      </c>
      <c r="Q602" s="77" t="s">
        <v>1129</v>
      </c>
      <c r="R602" s="77">
        <v>0</v>
      </c>
      <c r="S602" s="77">
        <v>0</v>
      </c>
      <c r="T602" s="77">
        <v>0</v>
      </c>
      <c r="U602" s="77">
        <v>0</v>
      </c>
      <c r="V602" s="77">
        <v>61</v>
      </c>
      <c r="W602" s="82" t="s">
        <v>1846</v>
      </c>
      <c r="X602" s="80" t="str">
        <f>HYPERLINK("http://metodotdl.com.br/tdl/telegram")</f>
        <v>http://metodotdl.com.br/tdl/telegram</v>
      </c>
      <c r="Y602" s="77" t="s">
        <v>1978</v>
      </c>
      <c r="Z602" s="77"/>
      <c r="AA602" s="77" t="s">
        <v>2407</v>
      </c>
      <c r="AB602" s="77" t="s">
        <v>2632</v>
      </c>
      <c r="AC602" s="82" t="s">
        <v>2642</v>
      </c>
      <c r="AD602" s="77" t="s">
        <v>2670</v>
      </c>
      <c r="AE602" s="80" t="str">
        <f>HYPERLINK("https://twitter.com/metodotdl/status/1679234380441477121")</f>
        <v>https://twitter.com/metodotdl/status/1679234380441477121</v>
      </c>
      <c r="AF602" s="79">
        <v>45119.875567129631</v>
      </c>
      <c r="AG602" s="85">
        <v>45119</v>
      </c>
      <c r="AH602" s="82" t="s">
        <v>3186</v>
      </c>
      <c r="AI602" s="77" t="b">
        <v>0</v>
      </c>
      <c r="AJ602" s="77"/>
      <c r="AK602" s="77"/>
      <c r="AL602" s="77"/>
      <c r="AM602" s="77"/>
      <c r="AN602" s="77"/>
      <c r="AO602" s="77"/>
      <c r="AP602" s="77"/>
      <c r="AQ602" s="77" t="s">
        <v>3836</v>
      </c>
      <c r="AR602" s="77"/>
      <c r="AS602" s="77"/>
      <c r="AT602" s="77"/>
      <c r="AU602" s="77"/>
      <c r="AV602" s="80" t="str">
        <f>HYPERLINK("https://pbs.twimg.com/media/F03WxSJX0AIrdS4.jpg")</f>
        <v>https://pbs.twimg.com/media/F03WxSJX0AIrdS4.jpg</v>
      </c>
      <c r="AW602" s="82" t="s">
        <v>4653</v>
      </c>
      <c r="AX602" s="82" t="s">
        <v>4653</v>
      </c>
      <c r="AY602" s="77"/>
      <c r="AZ602" s="82" t="s">
        <v>5075</v>
      </c>
      <c r="BA602" s="82" t="s">
        <v>5075</v>
      </c>
      <c r="BB602" s="82" t="s">
        <v>5075</v>
      </c>
      <c r="BC602" s="82" t="s">
        <v>4653</v>
      </c>
      <c r="BD602" s="82" t="s">
        <v>5233</v>
      </c>
      <c r="BE602" s="77"/>
      <c r="BF602" s="77"/>
      <c r="BG602" s="77"/>
      <c r="BH602" s="77"/>
      <c r="BI602" s="77"/>
    </row>
    <row r="603" spans="1:61" x14ac:dyDescent="0.25">
      <c r="A603" s="62" t="s">
        <v>424</v>
      </c>
      <c r="B603" s="62" t="s">
        <v>424</v>
      </c>
      <c r="C603" s="63"/>
      <c r="D603" s="64"/>
      <c r="E603" s="65"/>
      <c r="F603" s="66"/>
      <c r="G603" s="63"/>
      <c r="H603" s="67"/>
      <c r="I603" s="68"/>
      <c r="J603" s="68"/>
      <c r="K603" s="32"/>
      <c r="L603" s="75">
        <v>603</v>
      </c>
      <c r="M603" s="75"/>
      <c r="N603" s="70"/>
      <c r="O603" s="77" t="s">
        <v>179</v>
      </c>
      <c r="P603" s="79">
        <v>45098.885775462964</v>
      </c>
      <c r="Q603" s="77" t="s">
        <v>1130</v>
      </c>
      <c r="R603" s="77">
        <v>0</v>
      </c>
      <c r="S603" s="77">
        <v>0</v>
      </c>
      <c r="T603" s="77">
        <v>0</v>
      </c>
      <c r="U603" s="77">
        <v>0</v>
      </c>
      <c r="V603" s="77">
        <v>57</v>
      </c>
      <c r="W603" s="82" t="s">
        <v>1846</v>
      </c>
      <c r="X603" s="80" t="str">
        <f>HYPERLINK("http://metodotdl.com.br/tdl/telegram")</f>
        <v>http://metodotdl.com.br/tdl/telegram</v>
      </c>
      <c r="Y603" s="77" t="s">
        <v>1978</v>
      </c>
      <c r="Z603" s="77"/>
      <c r="AA603" s="77" t="s">
        <v>2408</v>
      </c>
      <c r="AB603" s="77" t="s">
        <v>2632</v>
      </c>
      <c r="AC603" s="82" t="s">
        <v>2642</v>
      </c>
      <c r="AD603" s="77" t="s">
        <v>2670</v>
      </c>
      <c r="AE603" s="80" t="str">
        <f>HYPERLINK("https://twitter.com/metodotdl/status/1671627932870012933")</f>
        <v>https://twitter.com/metodotdl/status/1671627932870012933</v>
      </c>
      <c r="AF603" s="79">
        <v>45098.885775462964</v>
      </c>
      <c r="AG603" s="85">
        <v>45098</v>
      </c>
      <c r="AH603" s="82" t="s">
        <v>3211</v>
      </c>
      <c r="AI603" s="77" t="b">
        <v>0</v>
      </c>
      <c r="AJ603" s="77"/>
      <c r="AK603" s="77"/>
      <c r="AL603" s="77"/>
      <c r="AM603" s="77"/>
      <c r="AN603" s="77"/>
      <c r="AO603" s="77"/>
      <c r="AP603" s="77"/>
      <c r="AQ603" s="77" t="s">
        <v>3837</v>
      </c>
      <c r="AR603" s="77"/>
      <c r="AS603" s="77"/>
      <c r="AT603" s="77"/>
      <c r="AU603" s="77"/>
      <c r="AV603" s="80" t="str">
        <f>HYPERLINK("https://pbs.twimg.com/media/FzLQvybXsAANWm8.jpg")</f>
        <v>https://pbs.twimg.com/media/FzLQvybXsAANWm8.jpg</v>
      </c>
      <c r="AW603" s="82" t="s">
        <v>4654</v>
      </c>
      <c r="AX603" s="82" t="s">
        <v>4654</v>
      </c>
      <c r="AY603" s="77"/>
      <c r="AZ603" s="82" t="s">
        <v>5075</v>
      </c>
      <c r="BA603" s="82" t="s">
        <v>5075</v>
      </c>
      <c r="BB603" s="82" t="s">
        <v>5075</v>
      </c>
      <c r="BC603" s="82" t="s">
        <v>4654</v>
      </c>
      <c r="BD603" s="82" t="s">
        <v>5233</v>
      </c>
      <c r="BE603" s="77"/>
      <c r="BF603" s="77"/>
      <c r="BG603" s="77"/>
      <c r="BH603" s="77"/>
      <c r="BI603" s="77"/>
    </row>
    <row r="604" spans="1:61" x14ac:dyDescent="0.25">
      <c r="A604" s="62" t="s">
        <v>424</v>
      </c>
      <c r="B604" s="62" t="s">
        <v>424</v>
      </c>
      <c r="C604" s="63"/>
      <c r="D604" s="64"/>
      <c r="E604" s="65"/>
      <c r="F604" s="66"/>
      <c r="G604" s="63"/>
      <c r="H604" s="67"/>
      <c r="I604" s="68"/>
      <c r="J604" s="68"/>
      <c r="K604" s="32"/>
      <c r="L604" s="75">
        <v>604</v>
      </c>
      <c r="M604" s="75"/>
      <c r="N604" s="70"/>
      <c r="O604" s="77" t="s">
        <v>179</v>
      </c>
      <c r="P604" s="79">
        <v>45097.875578703701</v>
      </c>
      <c r="Q604" s="77" t="s">
        <v>1131</v>
      </c>
      <c r="R604" s="77">
        <v>0</v>
      </c>
      <c r="S604" s="77">
        <v>0</v>
      </c>
      <c r="T604" s="77">
        <v>0</v>
      </c>
      <c r="U604" s="77">
        <v>0</v>
      </c>
      <c r="V604" s="77">
        <v>49</v>
      </c>
      <c r="W604" s="82" t="s">
        <v>1846</v>
      </c>
      <c r="X604" s="80" t="str">
        <f>HYPERLINK("http://metodotdl.com.br/tdl/telegram")</f>
        <v>http://metodotdl.com.br/tdl/telegram</v>
      </c>
      <c r="Y604" s="77" t="s">
        <v>1978</v>
      </c>
      <c r="Z604" s="77"/>
      <c r="AA604" s="77" t="s">
        <v>2409</v>
      </c>
      <c r="AB604" s="77" t="s">
        <v>2632</v>
      </c>
      <c r="AC604" s="82" t="s">
        <v>2642</v>
      </c>
      <c r="AD604" s="77" t="s">
        <v>2670</v>
      </c>
      <c r="AE604" s="80" t="str">
        <f>HYPERLINK("https://twitter.com/metodotdl/status/1671261849289990144")</f>
        <v>https://twitter.com/metodotdl/status/1671261849289990144</v>
      </c>
      <c r="AF604" s="79">
        <v>45097.875578703701</v>
      </c>
      <c r="AG604" s="85">
        <v>45097</v>
      </c>
      <c r="AH604" s="82" t="s">
        <v>3177</v>
      </c>
      <c r="AI604" s="77" t="b">
        <v>0</v>
      </c>
      <c r="AJ604" s="77"/>
      <c r="AK604" s="77"/>
      <c r="AL604" s="77"/>
      <c r="AM604" s="77"/>
      <c r="AN604" s="77"/>
      <c r="AO604" s="77"/>
      <c r="AP604" s="77"/>
      <c r="AQ604" s="77" t="s">
        <v>3838</v>
      </c>
      <c r="AR604" s="77"/>
      <c r="AS604" s="77"/>
      <c r="AT604" s="77"/>
      <c r="AU604" s="77"/>
      <c r="AV604" s="80" t="str">
        <f>HYPERLINK("https://pbs.twimg.com/media/FzGDy6EWIAE5hvM.jpg")</f>
        <v>https://pbs.twimg.com/media/FzGDy6EWIAE5hvM.jpg</v>
      </c>
      <c r="AW604" s="82" t="s">
        <v>4655</v>
      </c>
      <c r="AX604" s="82" t="s">
        <v>4655</v>
      </c>
      <c r="AY604" s="77"/>
      <c r="AZ604" s="82" t="s">
        <v>5075</v>
      </c>
      <c r="BA604" s="82" t="s">
        <v>5075</v>
      </c>
      <c r="BB604" s="82" t="s">
        <v>5075</v>
      </c>
      <c r="BC604" s="82" t="s">
        <v>4655</v>
      </c>
      <c r="BD604" s="82" t="s">
        <v>5233</v>
      </c>
      <c r="BE604" s="77"/>
      <c r="BF604" s="77"/>
      <c r="BG604" s="77"/>
      <c r="BH604" s="77"/>
      <c r="BI604" s="77"/>
    </row>
    <row r="605" spans="1:61" x14ac:dyDescent="0.25">
      <c r="A605" s="62" t="s">
        <v>424</v>
      </c>
      <c r="B605" s="62" t="s">
        <v>424</v>
      </c>
      <c r="C605" s="63"/>
      <c r="D605" s="64"/>
      <c r="E605" s="65"/>
      <c r="F605" s="66"/>
      <c r="G605" s="63"/>
      <c r="H605" s="67"/>
      <c r="I605" s="68"/>
      <c r="J605" s="68"/>
      <c r="K605" s="32"/>
      <c r="L605" s="75">
        <v>605</v>
      </c>
      <c r="M605" s="75"/>
      <c r="N605" s="70"/>
      <c r="O605" s="77" t="s">
        <v>179</v>
      </c>
      <c r="P605" s="79">
        <v>45079.871736111112</v>
      </c>
      <c r="Q605" s="77" t="s">
        <v>1132</v>
      </c>
      <c r="R605" s="77">
        <v>0</v>
      </c>
      <c r="S605" s="77">
        <v>0</v>
      </c>
      <c r="T605" s="77">
        <v>0</v>
      </c>
      <c r="U605" s="77">
        <v>0</v>
      </c>
      <c r="V605" s="77">
        <v>117</v>
      </c>
      <c r="W605" s="82" t="s">
        <v>1846</v>
      </c>
      <c r="X605" s="80" t="str">
        <f>HYPERLINK("http://metodotdl.com.br/tdl/telegram")</f>
        <v>http://metodotdl.com.br/tdl/telegram</v>
      </c>
      <c r="Y605" s="77" t="s">
        <v>1978</v>
      </c>
      <c r="Z605" s="77"/>
      <c r="AA605" s="77" t="s">
        <v>2410</v>
      </c>
      <c r="AB605" s="77" t="s">
        <v>2632</v>
      </c>
      <c r="AC605" s="82" t="s">
        <v>2642</v>
      </c>
      <c r="AD605" s="77" t="s">
        <v>2670</v>
      </c>
      <c r="AE605" s="80" t="str">
        <f>HYPERLINK("https://twitter.com/metodotdl/status/1664737478400458764")</f>
        <v>https://twitter.com/metodotdl/status/1664737478400458764</v>
      </c>
      <c r="AF605" s="79">
        <v>45079.871736111112</v>
      </c>
      <c r="AG605" s="85">
        <v>45079</v>
      </c>
      <c r="AH605" s="82" t="s">
        <v>3212</v>
      </c>
      <c r="AI605" s="77" t="b">
        <v>0</v>
      </c>
      <c r="AJ605" s="77"/>
      <c r="AK605" s="77"/>
      <c r="AL605" s="77"/>
      <c r="AM605" s="77"/>
      <c r="AN605" s="77"/>
      <c r="AO605" s="77"/>
      <c r="AP605" s="77"/>
      <c r="AQ605" s="77" t="s">
        <v>3839</v>
      </c>
      <c r="AR605" s="77"/>
      <c r="AS605" s="77"/>
      <c r="AT605" s="77"/>
      <c r="AU605" s="77"/>
      <c r="AV605" s="80" t="str">
        <f>HYPERLINK("https://pbs.twimg.com/media/FxpV6h-WwAUNTOu.jpg")</f>
        <v>https://pbs.twimg.com/media/FxpV6h-WwAUNTOu.jpg</v>
      </c>
      <c r="AW605" s="82" t="s">
        <v>4656</v>
      </c>
      <c r="AX605" s="82" t="s">
        <v>4656</v>
      </c>
      <c r="AY605" s="77"/>
      <c r="AZ605" s="82" t="s">
        <v>5075</v>
      </c>
      <c r="BA605" s="82" t="s">
        <v>5075</v>
      </c>
      <c r="BB605" s="82" t="s">
        <v>5075</v>
      </c>
      <c r="BC605" s="82" t="s">
        <v>4656</v>
      </c>
      <c r="BD605" s="82" t="s">
        <v>5233</v>
      </c>
      <c r="BE605" s="77"/>
      <c r="BF605" s="77"/>
      <c r="BG605" s="77"/>
      <c r="BH605" s="77"/>
      <c r="BI605" s="77"/>
    </row>
    <row r="606" spans="1:61" x14ac:dyDescent="0.25">
      <c r="A606" s="62" t="s">
        <v>424</v>
      </c>
      <c r="B606" s="62" t="s">
        <v>424</v>
      </c>
      <c r="C606" s="63"/>
      <c r="D606" s="64"/>
      <c r="E606" s="65"/>
      <c r="F606" s="66"/>
      <c r="G606" s="63"/>
      <c r="H606" s="67"/>
      <c r="I606" s="68"/>
      <c r="J606" s="68"/>
      <c r="K606" s="32"/>
      <c r="L606" s="75">
        <v>606</v>
      </c>
      <c r="M606" s="75"/>
      <c r="N606" s="70"/>
      <c r="O606" s="77" t="s">
        <v>179</v>
      </c>
      <c r="P606" s="79">
        <v>45078.875590277778</v>
      </c>
      <c r="Q606" s="77" t="s">
        <v>1133</v>
      </c>
      <c r="R606" s="77">
        <v>0</v>
      </c>
      <c r="S606" s="77">
        <v>0</v>
      </c>
      <c r="T606" s="77">
        <v>0</v>
      </c>
      <c r="U606" s="77">
        <v>0</v>
      </c>
      <c r="V606" s="77">
        <v>115</v>
      </c>
      <c r="W606" s="82" t="s">
        <v>1846</v>
      </c>
      <c r="X606" s="80" t="str">
        <f>HYPERLINK("http://metodotdl.com.br/tdl/telegram")</f>
        <v>http://metodotdl.com.br/tdl/telegram</v>
      </c>
      <c r="Y606" s="77" t="s">
        <v>1978</v>
      </c>
      <c r="Z606" s="77"/>
      <c r="AA606" s="77" t="s">
        <v>2411</v>
      </c>
      <c r="AB606" s="77" t="s">
        <v>2632</v>
      </c>
      <c r="AC606" s="82" t="s">
        <v>2642</v>
      </c>
      <c r="AD606" s="77" t="s">
        <v>2670</v>
      </c>
      <c r="AE606" s="80" t="str">
        <f>HYPERLINK("https://twitter.com/metodotdl/status/1664376486852263936")</f>
        <v>https://twitter.com/metodotdl/status/1664376486852263936</v>
      </c>
      <c r="AF606" s="79">
        <v>45078.875590277778</v>
      </c>
      <c r="AG606" s="85">
        <v>45078</v>
      </c>
      <c r="AH606" s="82" t="s">
        <v>3194</v>
      </c>
      <c r="AI606" s="77" t="b">
        <v>0</v>
      </c>
      <c r="AJ606" s="77"/>
      <c r="AK606" s="77"/>
      <c r="AL606" s="77"/>
      <c r="AM606" s="77"/>
      <c r="AN606" s="77"/>
      <c r="AO606" s="77"/>
      <c r="AP606" s="77"/>
      <c r="AQ606" s="77" t="s">
        <v>3840</v>
      </c>
      <c r="AR606" s="77"/>
      <c r="AS606" s="77"/>
      <c r="AT606" s="77"/>
      <c r="AU606" s="77"/>
      <c r="AV606" s="80" t="str">
        <f>HYPERLINK("https://pbs.twimg.com/media/FxkNmC1WcAAWGh0.jpg")</f>
        <v>https://pbs.twimg.com/media/FxkNmC1WcAAWGh0.jpg</v>
      </c>
      <c r="AW606" s="82" t="s">
        <v>4657</v>
      </c>
      <c r="AX606" s="82" t="s">
        <v>4657</v>
      </c>
      <c r="AY606" s="77"/>
      <c r="AZ606" s="82" t="s">
        <v>5075</v>
      </c>
      <c r="BA606" s="82" t="s">
        <v>5075</v>
      </c>
      <c r="BB606" s="82" t="s">
        <v>5075</v>
      </c>
      <c r="BC606" s="82" t="s">
        <v>4657</v>
      </c>
      <c r="BD606" s="82" t="s">
        <v>5233</v>
      </c>
      <c r="BE606" s="77"/>
      <c r="BF606" s="77"/>
      <c r="BG606" s="77"/>
      <c r="BH606" s="77"/>
      <c r="BI606" s="77"/>
    </row>
    <row r="607" spans="1:61" x14ac:dyDescent="0.25">
      <c r="A607" s="62" t="s">
        <v>424</v>
      </c>
      <c r="B607" s="62" t="s">
        <v>424</v>
      </c>
      <c r="C607" s="63"/>
      <c r="D607" s="64"/>
      <c r="E607" s="65"/>
      <c r="F607" s="66"/>
      <c r="G607" s="63"/>
      <c r="H607" s="67"/>
      <c r="I607" s="68"/>
      <c r="J607" s="68"/>
      <c r="K607" s="32"/>
      <c r="L607" s="75">
        <v>607</v>
      </c>
      <c r="M607" s="75"/>
      <c r="N607" s="70"/>
      <c r="O607" s="77" t="s">
        <v>179</v>
      </c>
      <c r="P607" s="79">
        <v>45077.875671296293</v>
      </c>
      <c r="Q607" s="77" t="s">
        <v>1134</v>
      </c>
      <c r="R607" s="77">
        <v>0</v>
      </c>
      <c r="S607" s="77">
        <v>0</v>
      </c>
      <c r="T607" s="77">
        <v>0</v>
      </c>
      <c r="U607" s="77">
        <v>0</v>
      </c>
      <c r="V607" s="77">
        <v>80</v>
      </c>
      <c r="W607" s="82" t="s">
        <v>1846</v>
      </c>
      <c r="X607" s="80" t="str">
        <f>HYPERLINK("http://metodotdl.com.br/tdl/telegram")</f>
        <v>http://metodotdl.com.br/tdl/telegram</v>
      </c>
      <c r="Y607" s="77" t="s">
        <v>1978</v>
      </c>
      <c r="Z607" s="77"/>
      <c r="AA607" s="77" t="s">
        <v>2412</v>
      </c>
      <c r="AB607" s="77" t="s">
        <v>2632</v>
      </c>
      <c r="AC607" s="82" t="s">
        <v>2642</v>
      </c>
      <c r="AD607" s="77" t="s">
        <v>2670</v>
      </c>
      <c r="AE607" s="80" t="str">
        <f>HYPERLINK("https://twitter.com/metodotdl/status/1664014126559928321")</f>
        <v>https://twitter.com/metodotdl/status/1664014126559928321</v>
      </c>
      <c r="AF607" s="79">
        <v>45077.875671296293</v>
      </c>
      <c r="AG607" s="85">
        <v>45077</v>
      </c>
      <c r="AH607" s="82" t="s">
        <v>3175</v>
      </c>
      <c r="AI607" s="77" t="b">
        <v>0</v>
      </c>
      <c r="AJ607" s="77"/>
      <c r="AK607" s="77"/>
      <c r="AL607" s="77"/>
      <c r="AM607" s="77"/>
      <c r="AN607" s="77"/>
      <c r="AO607" s="77"/>
      <c r="AP607" s="77"/>
      <c r="AQ607" s="77" t="s">
        <v>3841</v>
      </c>
      <c r="AR607" s="77"/>
      <c r="AS607" s="77"/>
      <c r="AT607" s="77"/>
      <c r="AU607" s="77"/>
      <c r="AV607" s="80" t="str">
        <f>HYPERLINK("https://pbs.twimg.com/media/FxfEB6lX0AYWh8B.jpg")</f>
        <v>https://pbs.twimg.com/media/FxfEB6lX0AYWh8B.jpg</v>
      </c>
      <c r="AW607" s="82" t="s">
        <v>4658</v>
      </c>
      <c r="AX607" s="82" t="s">
        <v>4658</v>
      </c>
      <c r="AY607" s="77"/>
      <c r="AZ607" s="82" t="s">
        <v>5075</v>
      </c>
      <c r="BA607" s="82" t="s">
        <v>5075</v>
      </c>
      <c r="BB607" s="82" t="s">
        <v>5075</v>
      </c>
      <c r="BC607" s="82" t="s">
        <v>4658</v>
      </c>
      <c r="BD607" s="82" t="s">
        <v>5233</v>
      </c>
      <c r="BE607" s="77"/>
      <c r="BF607" s="77"/>
      <c r="BG607" s="77"/>
      <c r="BH607" s="77"/>
      <c r="BI607" s="77"/>
    </row>
    <row r="608" spans="1:61" x14ac:dyDescent="0.25">
      <c r="A608" s="62" t="s">
        <v>424</v>
      </c>
      <c r="B608" s="62" t="s">
        <v>424</v>
      </c>
      <c r="C608" s="63"/>
      <c r="D608" s="64"/>
      <c r="E608" s="65"/>
      <c r="F608" s="66"/>
      <c r="G608" s="63"/>
      <c r="H608" s="67"/>
      <c r="I608" s="68"/>
      <c r="J608" s="68"/>
      <c r="K608" s="32"/>
      <c r="L608" s="75">
        <v>608</v>
      </c>
      <c r="M608" s="75"/>
      <c r="N608" s="70"/>
      <c r="O608" s="77" t="s">
        <v>179</v>
      </c>
      <c r="P608" s="79">
        <v>45040.875671296293</v>
      </c>
      <c r="Q608" s="77" t="s">
        <v>1135</v>
      </c>
      <c r="R608" s="77">
        <v>0</v>
      </c>
      <c r="S608" s="77">
        <v>0</v>
      </c>
      <c r="T608" s="77">
        <v>0</v>
      </c>
      <c r="U608" s="77">
        <v>0</v>
      </c>
      <c r="V608" s="77">
        <v>70</v>
      </c>
      <c r="W608" s="82" t="s">
        <v>1846</v>
      </c>
      <c r="X608" s="80" t="str">
        <f>HYPERLINK("http://metodotdl.com.br/tdl/telegram")</f>
        <v>http://metodotdl.com.br/tdl/telegram</v>
      </c>
      <c r="Y608" s="77" t="s">
        <v>1978</v>
      </c>
      <c r="Z608" s="77"/>
      <c r="AA608" s="77" t="s">
        <v>2413</v>
      </c>
      <c r="AB608" s="77" t="s">
        <v>2632</v>
      </c>
      <c r="AC608" s="82" t="s">
        <v>2642</v>
      </c>
      <c r="AD608" s="77" t="s">
        <v>2670</v>
      </c>
      <c r="AE608" s="80" t="str">
        <f>HYPERLINK("https://twitter.com/metodotdl/status/1650605775704694805")</f>
        <v>https://twitter.com/metodotdl/status/1650605775704694805</v>
      </c>
      <c r="AF608" s="79">
        <v>45040.875671296293</v>
      </c>
      <c r="AG608" s="85">
        <v>45040</v>
      </c>
      <c r="AH608" s="82" t="s">
        <v>3175</v>
      </c>
      <c r="AI608" s="77" t="b">
        <v>0</v>
      </c>
      <c r="AJ608" s="77"/>
      <c r="AK608" s="77"/>
      <c r="AL608" s="77"/>
      <c r="AM608" s="77"/>
      <c r="AN608" s="77"/>
      <c r="AO608" s="77"/>
      <c r="AP608" s="77"/>
      <c r="AQ608" s="77" t="s">
        <v>3842</v>
      </c>
      <c r="AR608" s="77"/>
      <c r="AS608" s="77"/>
      <c r="AT608" s="77"/>
      <c r="AU608" s="77"/>
      <c r="AV608" s="80" t="str">
        <f>HYPERLINK("https://pbs.twimg.com/media/FughNLfWIAgWOhI.jpg")</f>
        <v>https://pbs.twimg.com/media/FughNLfWIAgWOhI.jpg</v>
      </c>
      <c r="AW608" s="82" t="s">
        <v>4659</v>
      </c>
      <c r="AX608" s="82" t="s">
        <v>4659</v>
      </c>
      <c r="AY608" s="77"/>
      <c r="AZ608" s="82" t="s">
        <v>5075</v>
      </c>
      <c r="BA608" s="82" t="s">
        <v>5075</v>
      </c>
      <c r="BB608" s="82" t="s">
        <v>5075</v>
      </c>
      <c r="BC608" s="82" t="s">
        <v>4659</v>
      </c>
      <c r="BD608" s="82" t="s">
        <v>5233</v>
      </c>
      <c r="BE608" s="77"/>
      <c r="BF608" s="77"/>
      <c r="BG608" s="77"/>
      <c r="BH608" s="77"/>
      <c r="BI608" s="77"/>
    </row>
    <row r="609" spans="1:61" x14ac:dyDescent="0.25">
      <c r="A609" s="62" t="s">
        <v>424</v>
      </c>
      <c r="B609" s="62" t="s">
        <v>424</v>
      </c>
      <c r="C609" s="63"/>
      <c r="D609" s="64"/>
      <c r="E609" s="65"/>
      <c r="F609" s="66"/>
      <c r="G609" s="63"/>
      <c r="H609" s="67"/>
      <c r="I609" s="68"/>
      <c r="J609" s="68"/>
      <c r="K609" s="32"/>
      <c r="L609" s="75">
        <v>609</v>
      </c>
      <c r="M609" s="75"/>
      <c r="N609" s="70"/>
      <c r="O609" s="77" t="s">
        <v>179</v>
      </c>
      <c r="P609" s="79">
        <v>45036.882141203707</v>
      </c>
      <c r="Q609" s="77" t="s">
        <v>1136</v>
      </c>
      <c r="R609" s="77">
        <v>0</v>
      </c>
      <c r="S609" s="77">
        <v>0</v>
      </c>
      <c r="T609" s="77">
        <v>0</v>
      </c>
      <c r="U609" s="77">
        <v>0</v>
      </c>
      <c r="V609" s="77">
        <v>82</v>
      </c>
      <c r="W609" s="82" t="s">
        <v>1846</v>
      </c>
      <c r="X609" s="80" t="str">
        <f>HYPERLINK("http://metodotdl.com.br/tdl/telegram")</f>
        <v>http://metodotdl.com.br/tdl/telegram</v>
      </c>
      <c r="Y609" s="77" t="s">
        <v>1978</v>
      </c>
      <c r="Z609" s="77"/>
      <c r="AA609" s="77" t="s">
        <v>2414</v>
      </c>
      <c r="AB609" s="77" t="s">
        <v>2632</v>
      </c>
      <c r="AC609" s="82" t="s">
        <v>2642</v>
      </c>
      <c r="AD609" s="77" t="s">
        <v>2670</v>
      </c>
      <c r="AE609" s="80" t="str">
        <f>HYPERLINK("https://twitter.com/metodotdl/status/1649158570997415939")</f>
        <v>https://twitter.com/metodotdl/status/1649158570997415939</v>
      </c>
      <c r="AF609" s="79">
        <v>45036.882141203707</v>
      </c>
      <c r="AG609" s="85">
        <v>45036</v>
      </c>
      <c r="AH609" s="82" t="s">
        <v>3213</v>
      </c>
      <c r="AI609" s="77" t="b">
        <v>0</v>
      </c>
      <c r="AJ609" s="77"/>
      <c r="AK609" s="77"/>
      <c r="AL609" s="77"/>
      <c r="AM609" s="77"/>
      <c r="AN609" s="77"/>
      <c r="AO609" s="77"/>
      <c r="AP609" s="77"/>
      <c r="AQ609" s="77" t="s">
        <v>3843</v>
      </c>
      <c r="AR609" s="77"/>
      <c r="AS609" s="77"/>
      <c r="AT609" s="77"/>
      <c r="AU609" s="77"/>
      <c r="AV609" s="80" t="str">
        <f>HYPERLINK("https://pbs.twimg.com/media/FuL8-woWIAQD_ir.jpg")</f>
        <v>https://pbs.twimg.com/media/FuL8-woWIAQD_ir.jpg</v>
      </c>
      <c r="AW609" s="82" t="s">
        <v>4660</v>
      </c>
      <c r="AX609" s="82" t="s">
        <v>4660</v>
      </c>
      <c r="AY609" s="77"/>
      <c r="AZ609" s="82" t="s">
        <v>5075</v>
      </c>
      <c r="BA609" s="82" t="s">
        <v>5075</v>
      </c>
      <c r="BB609" s="82" t="s">
        <v>5075</v>
      </c>
      <c r="BC609" s="82" t="s">
        <v>4660</v>
      </c>
      <c r="BD609" s="82" t="s">
        <v>5233</v>
      </c>
      <c r="BE609" s="77"/>
      <c r="BF609" s="77"/>
      <c r="BG609" s="77"/>
      <c r="BH609" s="77"/>
      <c r="BI609" s="77"/>
    </row>
    <row r="610" spans="1:61" x14ac:dyDescent="0.25">
      <c r="A610" s="62" t="s">
        <v>424</v>
      </c>
      <c r="B610" s="62" t="s">
        <v>424</v>
      </c>
      <c r="C610" s="63"/>
      <c r="D610" s="64"/>
      <c r="E610" s="65"/>
      <c r="F610" s="66"/>
      <c r="G610" s="63"/>
      <c r="H610" s="67"/>
      <c r="I610" s="68"/>
      <c r="J610" s="68"/>
      <c r="K610" s="32"/>
      <c r="L610" s="75">
        <v>610</v>
      </c>
      <c r="M610" s="75"/>
      <c r="N610" s="70"/>
      <c r="O610" s="77" t="s">
        <v>179</v>
      </c>
      <c r="P610" s="79">
        <v>45035.875601851854</v>
      </c>
      <c r="Q610" s="77" t="s">
        <v>1137</v>
      </c>
      <c r="R610" s="77">
        <v>0</v>
      </c>
      <c r="S610" s="77">
        <v>0</v>
      </c>
      <c r="T610" s="77">
        <v>0</v>
      </c>
      <c r="U610" s="77">
        <v>0</v>
      </c>
      <c r="V610" s="77">
        <v>56</v>
      </c>
      <c r="W610" s="82" t="s">
        <v>1846</v>
      </c>
      <c r="X610" s="80" t="str">
        <f>HYPERLINK("http://metodotdl.com.br/tdl/telegram")</f>
        <v>http://metodotdl.com.br/tdl/telegram</v>
      </c>
      <c r="Y610" s="77" t="s">
        <v>1978</v>
      </c>
      <c r="Z610" s="77"/>
      <c r="AA610" s="77" t="s">
        <v>2415</v>
      </c>
      <c r="AB610" s="77" t="s">
        <v>2632</v>
      </c>
      <c r="AC610" s="82" t="s">
        <v>2642</v>
      </c>
      <c r="AD610" s="77" t="s">
        <v>2670</v>
      </c>
      <c r="AE610" s="80" t="str">
        <f>HYPERLINK("https://twitter.com/metodotdl/status/1648793812221714433")</f>
        <v>https://twitter.com/metodotdl/status/1648793812221714433</v>
      </c>
      <c r="AF610" s="79">
        <v>45035.875601851854</v>
      </c>
      <c r="AG610" s="85">
        <v>45035</v>
      </c>
      <c r="AH610" s="82" t="s">
        <v>3176</v>
      </c>
      <c r="AI610" s="77" t="b">
        <v>0</v>
      </c>
      <c r="AJ610" s="77"/>
      <c r="AK610" s="77"/>
      <c r="AL610" s="77"/>
      <c r="AM610" s="77"/>
      <c r="AN610" s="77"/>
      <c r="AO610" s="77"/>
      <c r="AP610" s="77"/>
      <c r="AQ610" s="77" t="s">
        <v>3844</v>
      </c>
      <c r="AR610" s="77"/>
      <c r="AS610" s="77"/>
      <c r="AT610" s="77"/>
      <c r="AU610" s="77"/>
      <c r="AV610" s="80" t="str">
        <f>HYPERLINK("https://pbs.twimg.com/media/FuGxPAgWwAESsxS.jpg")</f>
        <v>https://pbs.twimg.com/media/FuGxPAgWwAESsxS.jpg</v>
      </c>
      <c r="AW610" s="82" t="s">
        <v>4661</v>
      </c>
      <c r="AX610" s="82" t="s">
        <v>4661</v>
      </c>
      <c r="AY610" s="77"/>
      <c r="AZ610" s="82" t="s">
        <v>5075</v>
      </c>
      <c r="BA610" s="82" t="s">
        <v>5075</v>
      </c>
      <c r="BB610" s="82" t="s">
        <v>5075</v>
      </c>
      <c r="BC610" s="82" t="s">
        <v>4661</v>
      </c>
      <c r="BD610" s="82" t="s">
        <v>5233</v>
      </c>
      <c r="BE610" s="77"/>
      <c r="BF610" s="77"/>
      <c r="BG610" s="77"/>
      <c r="BH610" s="77"/>
      <c r="BI610" s="77"/>
    </row>
    <row r="611" spans="1:61" x14ac:dyDescent="0.25">
      <c r="A611" s="62" t="s">
        <v>424</v>
      </c>
      <c r="B611" s="62" t="s">
        <v>424</v>
      </c>
      <c r="C611" s="63"/>
      <c r="D611" s="64"/>
      <c r="E611" s="65"/>
      <c r="F611" s="66"/>
      <c r="G611" s="63"/>
      <c r="H611" s="67"/>
      <c r="I611" s="68"/>
      <c r="J611" s="68"/>
      <c r="K611" s="32"/>
      <c r="L611" s="75">
        <v>611</v>
      </c>
      <c r="M611" s="75"/>
      <c r="N611" s="70"/>
      <c r="O611" s="77" t="s">
        <v>179</v>
      </c>
      <c r="P611" s="79">
        <v>45034.875601851854</v>
      </c>
      <c r="Q611" s="77" t="s">
        <v>1138</v>
      </c>
      <c r="R611" s="77">
        <v>0</v>
      </c>
      <c r="S611" s="77">
        <v>0</v>
      </c>
      <c r="T611" s="77">
        <v>0</v>
      </c>
      <c r="U611" s="77">
        <v>0</v>
      </c>
      <c r="V611" s="77">
        <v>77</v>
      </c>
      <c r="W611" s="82" t="s">
        <v>1846</v>
      </c>
      <c r="X611" s="80" t="str">
        <f>HYPERLINK("http://metodotdl.com.br/tdl/telegram")</f>
        <v>http://metodotdl.com.br/tdl/telegram</v>
      </c>
      <c r="Y611" s="77" t="s">
        <v>1978</v>
      </c>
      <c r="Z611" s="77"/>
      <c r="AA611" s="77" t="s">
        <v>2416</v>
      </c>
      <c r="AB611" s="77" t="s">
        <v>2632</v>
      </c>
      <c r="AC611" s="82" t="s">
        <v>2642</v>
      </c>
      <c r="AD611" s="77" t="s">
        <v>2670</v>
      </c>
      <c r="AE611" s="80" t="str">
        <f>HYPERLINK("https://twitter.com/metodotdl/status/1648431422221459457")</f>
        <v>https://twitter.com/metodotdl/status/1648431422221459457</v>
      </c>
      <c r="AF611" s="79">
        <v>45034.875601851854</v>
      </c>
      <c r="AG611" s="85">
        <v>45034</v>
      </c>
      <c r="AH611" s="82" t="s">
        <v>3176</v>
      </c>
      <c r="AI611" s="77" t="b">
        <v>0</v>
      </c>
      <c r="AJ611" s="77"/>
      <c r="AK611" s="77"/>
      <c r="AL611" s="77"/>
      <c r="AM611" s="77"/>
      <c r="AN611" s="77"/>
      <c r="AO611" s="77"/>
      <c r="AP611" s="77"/>
      <c r="AQ611" s="77" t="s">
        <v>3845</v>
      </c>
      <c r="AR611" s="77"/>
      <c r="AS611" s="77"/>
      <c r="AT611" s="77"/>
      <c r="AU611" s="77"/>
      <c r="AV611" s="80" t="str">
        <f>HYPERLINK("https://pbs.twimg.com/media/FuBnpFNX0AIS5te.jpg")</f>
        <v>https://pbs.twimg.com/media/FuBnpFNX0AIS5te.jpg</v>
      </c>
      <c r="AW611" s="82" t="s">
        <v>4662</v>
      </c>
      <c r="AX611" s="82" t="s">
        <v>4662</v>
      </c>
      <c r="AY611" s="77"/>
      <c r="AZ611" s="82" t="s">
        <v>5075</v>
      </c>
      <c r="BA611" s="82" t="s">
        <v>5075</v>
      </c>
      <c r="BB611" s="82" t="s">
        <v>5075</v>
      </c>
      <c r="BC611" s="82" t="s">
        <v>4662</v>
      </c>
      <c r="BD611" s="82" t="s">
        <v>5233</v>
      </c>
      <c r="BE611" s="77"/>
      <c r="BF611" s="77"/>
      <c r="BG611" s="77"/>
      <c r="BH611" s="77"/>
      <c r="BI611" s="77"/>
    </row>
    <row r="612" spans="1:61" x14ac:dyDescent="0.25">
      <c r="A612" s="62" t="s">
        <v>424</v>
      </c>
      <c r="B612" s="62" t="s">
        <v>424</v>
      </c>
      <c r="C612" s="63"/>
      <c r="D612" s="64"/>
      <c r="E612" s="65"/>
      <c r="F612" s="66"/>
      <c r="G612" s="63"/>
      <c r="H612" s="67"/>
      <c r="I612" s="68"/>
      <c r="J612" s="68"/>
      <c r="K612" s="32"/>
      <c r="L612" s="75">
        <v>612</v>
      </c>
      <c r="M612" s="75"/>
      <c r="N612" s="70"/>
      <c r="O612" s="77" t="s">
        <v>179</v>
      </c>
      <c r="P612" s="79">
        <v>44981.870555555557</v>
      </c>
      <c r="Q612" s="77" t="s">
        <v>1139</v>
      </c>
      <c r="R612" s="77">
        <v>1</v>
      </c>
      <c r="S612" s="77">
        <v>1</v>
      </c>
      <c r="T612" s="77">
        <v>0</v>
      </c>
      <c r="U612" s="77">
        <v>0</v>
      </c>
      <c r="V612" s="77">
        <v>77</v>
      </c>
      <c r="W612" s="82" t="s">
        <v>1846</v>
      </c>
      <c r="X612" s="80" t="str">
        <f>HYPERLINK("http://metodotdl.com.br/tdl/telegram")</f>
        <v>http://metodotdl.com.br/tdl/telegram</v>
      </c>
      <c r="Y612" s="77" t="s">
        <v>1978</v>
      </c>
      <c r="Z612" s="77"/>
      <c r="AA612" s="77" t="s">
        <v>2417</v>
      </c>
      <c r="AB612" s="77" t="s">
        <v>2632</v>
      </c>
      <c r="AC612" s="82" t="s">
        <v>2642</v>
      </c>
      <c r="AD612" s="77" t="s">
        <v>2670</v>
      </c>
      <c r="AE612" s="80" t="str">
        <f>HYPERLINK("https://twitter.com/metodotdl/status/1629223039446532096")</f>
        <v>https://twitter.com/metodotdl/status/1629223039446532096</v>
      </c>
      <c r="AF612" s="79">
        <v>44981.870555555557</v>
      </c>
      <c r="AG612" s="85">
        <v>44981</v>
      </c>
      <c r="AH612" s="82" t="s">
        <v>3214</v>
      </c>
      <c r="AI612" s="77" t="b">
        <v>0</v>
      </c>
      <c r="AJ612" s="77"/>
      <c r="AK612" s="77"/>
      <c r="AL612" s="77"/>
      <c r="AM612" s="77"/>
      <c r="AN612" s="77"/>
      <c r="AO612" s="77"/>
      <c r="AP612" s="77"/>
      <c r="AQ612" s="77" t="s">
        <v>3846</v>
      </c>
      <c r="AR612" s="77"/>
      <c r="AS612" s="77"/>
      <c r="AT612" s="77"/>
      <c r="AU612" s="77"/>
      <c r="AV612" s="80" t="str">
        <f>HYPERLINK("https://pbs.twimg.com/media/FpwpuGWWIAMe5vY.jpg")</f>
        <v>https://pbs.twimg.com/media/FpwpuGWWIAMe5vY.jpg</v>
      </c>
      <c r="AW612" s="82" t="s">
        <v>4663</v>
      </c>
      <c r="AX612" s="82" t="s">
        <v>4663</v>
      </c>
      <c r="AY612" s="77"/>
      <c r="AZ612" s="82" t="s">
        <v>5075</v>
      </c>
      <c r="BA612" s="82" t="s">
        <v>5075</v>
      </c>
      <c r="BB612" s="82" t="s">
        <v>5075</v>
      </c>
      <c r="BC612" s="82" t="s">
        <v>4663</v>
      </c>
      <c r="BD612" s="82" t="s">
        <v>5233</v>
      </c>
      <c r="BE612" s="77"/>
      <c r="BF612" s="77"/>
      <c r="BG612" s="77"/>
      <c r="BH612" s="77"/>
      <c r="BI612" s="77"/>
    </row>
    <row r="613" spans="1:61" x14ac:dyDescent="0.25">
      <c r="A613" s="62" t="s">
        <v>424</v>
      </c>
      <c r="B613" s="62" t="s">
        <v>424</v>
      </c>
      <c r="C613" s="63"/>
      <c r="D613" s="64"/>
      <c r="E613" s="65"/>
      <c r="F613" s="66"/>
      <c r="G613" s="63"/>
      <c r="H613" s="67"/>
      <c r="I613" s="68"/>
      <c r="J613" s="68"/>
      <c r="K613" s="32"/>
      <c r="L613" s="75">
        <v>613</v>
      </c>
      <c r="M613" s="75"/>
      <c r="N613" s="70"/>
      <c r="O613" s="77" t="s">
        <v>179</v>
      </c>
      <c r="P613" s="79">
        <v>44980.875393518516</v>
      </c>
      <c r="Q613" s="77" t="s">
        <v>1140</v>
      </c>
      <c r="R613" s="77">
        <v>0</v>
      </c>
      <c r="S613" s="77">
        <v>0</v>
      </c>
      <c r="T613" s="77">
        <v>0</v>
      </c>
      <c r="U613" s="77">
        <v>0</v>
      </c>
      <c r="V613" s="77">
        <v>55</v>
      </c>
      <c r="W613" s="82" t="s">
        <v>1846</v>
      </c>
      <c r="X613" s="80" t="str">
        <f>HYPERLINK("http://metodotdl.com.br/tdl/telegram")</f>
        <v>http://metodotdl.com.br/tdl/telegram</v>
      </c>
      <c r="Y613" s="77" t="s">
        <v>1978</v>
      </c>
      <c r="Z613" s="77"/>
      <c r="AA613" s="77" t="s">
        <v>2418</v>
      </c>
      <c r="AB613" s="77" t="s">
        <v>2632</v>
      </c>
      <c r="AC613" s="82" t="s">
        <v>2642</v>
      </c>
      <c r="AD613" s="77" t="s">
        <v>2670</v>
      </c>
      <c r="AE613" s="80" t="str">
        <f>HYPERLINK("https://twitter.com/metodotdl/status/1628862401989705731")</f>
        <v>https://twitter.com/metodotdl/status/1628862401989705731</v>
      </c>
      <c r="AF613" s="79">
        <v>44980.875393518516</v>
      </c>
      <c r="AG613" s="85">
        <v>44980</v>
      </c>
      <c r="AH613" s="82" t="s">
        <v>2901</v>
      </c>
      <c r="AI613" s="77" t="b">
        <v>0</v>
      </c>
      <c r="AJ613" s="77"/>
      <c r="AK613" s="77"/>
      <c r="AL613" s="77"/>
      <c r="AM613" s="77"/>
      <c r="AN613" s="77"/>
      <c r="AO613" s="77"/>
      <c r="AP613" s="77"/>
      <c r="AQ613" s="77" t="s">
        <v>3847</v>
      </c>
      <c r="AR613" s="77"/>
      <c r="AS613" s="77"/>
      <c r="AT613" s="77"/>
      <c r="AU613" s="77"/>
      <c r="AV613" s="80" t="str">
        <f>HYPERLINK("https://pbs.twimg.com/media/FprhuO0WAAAsx43.jpg")</f>
        <v>https://pbs.twimg.com/media/FprhuO0WAAAsx43.jpg</v>
      </c>
      <c r="AW613" s="82" t="s">
        <v>4664</v>
      </c>
      <c r="AX613" s="82" t="s">
        <v>4664</v>
      </c>
      <c r="AY613" s="77"/>
      <c r="AZ613" s="82" t="s">
        <v>5075</v>
      </c>
      <c r="BA613" s="82" t="s">
        <v>5075</v>
      </c>
      <c r="BB613" s="82" t="s">
        <v>5075</v>
      </c>
      <c r="BC613" s="82" t="s">
        <v>4664</v>
      </c>
      <c r="BD613" s="82" t="s">
        <v>5233</v>
      </c>
      <c r="BE613" s="77"/>
      <c r="BF613" s="77"/>
      <c r="BG613" s="77"/>
      <c r="BH613" s="77"/>
      <c r="BI613" s="77"/>
    </row>
    <row r="614" spans="1:61" x14ac:dyDescent="0.25">
      <c r="A614" s="62" t="s">
        <v>424</v>
      </c>
      <c r="B614" s="62" t="s">
        <v>424</v>
      </c>
      <c r="C614" s="63"/>
      <c r="D614" s="64"/>
      <c r="E614" s="65"/>
      <c r="F614" s="66"/>
      <c r="G614" s="63"/>
      <c r="H614" s="67"/>
      <c r="I614" s="68"/>
      <c r="J614" s="68"/>
      <c r="K614" s="32"/>
      <c r="L614" s="75">
        <v>614</v>
      </c>
      <c r="M614" s="75"/>
      <c r="N614" s="70"/>
      <c r="O614" s="77" t="s">
        <v>179</v>
      </c>
      <c r="P614" s="79">
        <v>44979.875381944446</v>
      </c>
      <c r="Q614" s="77" t="s">
        <v>1141</v>
      </c>
      <c r="R614" s="77">
        <v>0</v>
      </c>
      <c r="S614" s="77">
        <v>0</v>
      </c>
      <c r="T614" s="77">
        <v>0</v>
      </c>
      <c r="U614" s="77">
        <v>0</v>
      </c>
      <c r="V614" s="77">
        <v>80</v>
      </c>
      <c r="W614" s="82" t="s">
        <v>1846</v>
      </c>
      <c r="X614" s="80" t="str">
        <f>HYPERLINK("http://metodotdl.com.br/tdl/telegram")</f>
        <v>http://metodotdl.com.br/tdl/telegram</v>
      </c>
      <c r="Y614" s="77" t="s">
        <v>1978</v>
      </c>
      <c r="Z614" s="77"/>
      <c r="AA614" s="77" t="s">
        <v>2419</v>
      </c>
      <c r="AB614" s="77" t="s">
        <v>2632</v>
      </c>
      <c r="AC614" s="82" t="s">
        <v>2642</v>
      </c>
      <c r="AD614" s="77" t="s">
        <v>2670</v>
      </c>
      <c r="AE614" s="80" t="str">
        <f>HYPERLINK("https://twitter.com/metodotdl/status/1628500011758632962")</f>
        <v>https://twitter.com/metodotdl/status/1628500011758632962</v>
      </c>
      <c r="AF614" s="79">
        <v>44979.875381944446</v>
      </c>
      <c r="AG614" s="85">
        <v>44979</v>
      </c>
      <c r="AH614" s="82" t="s">
        <v>3180</v>
      </c>
      <c r="AI614" s="77" t="b">
        <v>0</v>
      </c>
      <c r="AJ614" s="77"/>
      <c r="AK614" s="77"/>
      <c r="AL614" s="77"/>
      <c r="AM614" s="77"/>
      <c r="AN614" s="77"/>
      <c r="AO614" s="77"/>
      <c r="AP614" s="77"/>
      <c r="AQ614" s="77" t="s">
        <v>3848</v>
      </c>
      <c r="AR614" s="77"/>
      <c r="AS614" s="77"/>
      <c r="AT614" s="77"/>
      <c r="AU614" s="77"/>
      <c r="AV614" s="80" t="str">
        <f>HYPERLINK("https://pbs.twimg.com/media/FpmYIU1WAAIZ8fS.jpg")</f>
        <v>https://pbs.twimg.com/media/FpmYIU1WAAIZ8fS.jpg</v>
      </c>
      <c r="AW614" s="82" t="s">
        <v>4665</v>
      </c>
      <c r="AX614" s="82" t="s">
        <v>4665</v>
      </c>
      <c r="AY614" s="77"/>
      <c r="AZ614" s="82" t="s">
        <v>5075</v>
      </c>
      <c r="BA614" s="82" t="s">
        <v>5075</v>
      </c>
      <c r="BB614" s="82" t="s">
        <v>5075</v>
      </c>
      <c r="BC614" s="82" t="s">
        <v>4665</v>
      </c>
      <c r="BD614" s="82" t="s">
        <v>5233</v>
      </c>
      <c r="BE614" s="77"/>
      <c r="BF614" s="77"/>
      <c r="BG614" s="77"/>
      <c r="BH614" s="77"/>
      <c r="BI614" s="77"/>
    </row>
    <row r="615" spans="1:61" x14ac:dyDescent="0.25">
      <c r="A615" s="62" t="s">
        <v>424</v>
      </c>
      <c r="B615" s="62" t="s">
        <v>424</v>
      </c>
      <c r="C615" s="63"/>
      <c r="D615" s="64"/>
      <c r="E615" s="65"/>
      <c r="F615" s="66"/>
      <c r="G615" s="63"/>
      <c r="H615" s="67"/>
      <c r="I615" s="68"/>
      <c r="J615" s="68"/>
      <c r="K615" s="32"/>
      <c r="L615" s="75">
        <v>615</v>
      </c>
      <c r="M615" s="75"/>
      <c r="N615" s="70"/>
      <c r="O615" s="77" t="s">
        <v>179</v>
      </c>
      <c r="P615" s="79">
        <v>44974.875381944446</v>
      </c>
      <c r="Q615" s="77" t="s">
        <v>1142</v>
      </c>
      <c r="R615" s="77">
        <v>0</v>
      </c>
      <c r="S615" s="77">
        <v>0</v>
      </c>
      <c r="T615" s="77">
        <v>0</v>
      </c>
      <c r="U615" s="77">
        <v>0</v>
      </c>
      <c r="V615" s="77">
        <v>61</v>
      </c>
      <c r="W615" s="82" t="s">
        <v>1846</v>
      </c>
      <c r="X615" s="80" t="str">
        <f>HYPERLINK("http://metodotdl.com.br/tdl/telegram")</f>
        <v>http://metodotdl.com.br/tdl/telegram</v>
      </c>
      <c r="Y615" s="77" t="s">
        <v>1978</v>
      </c>
      <c r="Z615" s="77"/>
      <c r="AA615" s="77" t="s">
        <v>2420</v>
      </c>
      <c r="AB615" s="77" t="s">
        <v>2632</v>
      </c>
      <c r="AC615" s="82" t="s">
        <v>2642</v>
      </c>
      <c r="AD615" s="77" t="s">
        <v>2670</v>
      </c>
      <c r="AE615" s="80" t="str">
        <f>HYPERLINK("https://twitter.com/metodotdl/status/1626688072023789574")</f>
        <v>https://twitter.com/metodotdl/status/1626688072023789574</v>
      </c>
      <c r="AF615" s="79">
        <v>44974.875381944446</v>
      </c>
      <c r="AG615" s="85">
        <v>44974</v>
      </c>
      <c r="AH615" s="82" t="s">
        <v>3180</v>
      </c>
      <c r="AI615" s="77" t="b">
        <v>0</v>
      </c>
      <c r="AJ615" s="77"/>
      <c r="AK615" s="77"/>
      <c r="AL615" s="77"/>
      <c r="AM615" s="77"/>
      <c r="AN615" s="77"/>
      <c r="AO615" s="77"/>
      <c r="AP615" s="77"/>
      <c r="AQ615" s="77" t="s">
        <v>3849</v>
      </c>
      <c r="AR615" s="77"/>
      <c r="AS615" s="77"/>
      <c r="AT615" s="77"/>
      <c r="AU615" s="77"/>
      <c r="AV615" s="80" t="str">
        <f>HYPERLINK("https://pbs.twimg.com/media/FpMoLkGWYAADEsP.jpg")</f>
        <v>https://pbs.twimg.com/media/FpMoLkGWYAADEsP.jpg</v>
      </c>
      <c r="AW615" s="82" t="s">
        <v>4666</v>
      </c>
      <c r="AX615" s="82" t="s">
        <v>4666</v>
      </c>
      <c r="AY615" s="77"/>
      <c r="AZ615" s="82" t="s">
        <v>5075</v>
      </c>
      <c r="BA615" s="82" t="s">
        <v>5075</v>
      </c>
      <c r="BB615" s="82" t="s">
        <v>5075</v>
      </c>
      <c r="BC615" s="82" t="s">
        <v>4666</v>
      </c>
      <c r="BD615" s="82" t="s">
        <v>5233</v>
      </c>
      <c r="BE615" s="77"/>
      <c r="BF615" s="77"/>
      <c r="BG615" s="77"/>
      <c r="BH615" s="77"/>
      <c r="BI615" s="77"/>
    </row>
    <row r="616" spans="1:61" x14ac:dyDescent="0.25">
      <c r="A616" s="62" t="s">
        <v>424</v>
      </c>
      <c r="B616" s="62" t="s">
        <v>424</v>
      </c>
      <c r="C616" s="63"/>
      <c r="D616" s="64"/>
      <c r="E616" s="65"/>
      <c r="F616" s="66"/>
      <c r="G616" s="63"/>
      <c r="H616" s="67"/>
      <c r="I616" s="68"/>
      <c r="J616" s="68"/>
      <c r="K616" s="32"/>
      <c r="L616" s="75">
        <v>616</v>
      </c>
      <c r="M616" s="75"/>
      <c r="N616" s="70"/>
      <c r="O616" s="77" t="s">
        <v>179</v>
      </c>
      <c r="P616" s="79">
        <v>44973.875416666669</v>
      </c>
      <c r="Q616" s="77" t="s">
        <v>1143</v>
      </c>
      <c r="R616" s="77">
        <v>0</v>
      </c>
      <c r="S616" s="77">
        <v>0</v>
      </c>
      <c r="T616" s="77">
        <v>0</v>
      </c>
      <c r="U616" s="77">
        <v>0</v>
      </c>
      <c r="V616" s="77">
        <v>47</v>
      </c>
      <c r="W616" s="82" t="s">
        <v>1846</v>
      </c>
      <c r="X616" s="80" t="str">
        <f>HYPERLINK("http://metodotdl.com.br/tdl/telegram")</f>
        <v>http://metodotdl.com.br/tdl/telegram</v>
      </c>
      <c r="Y616" s="77" t="s">
        <v>1978</v>
      </c>
      <c r="Z616" s="77"/>
      <c r="AA616" s="77" t="s">
        <v>2421</v>
      </c>
      <c r="AB616" s="77" t="s">
        <v>2632</v>
      </c>
      <c r="AC616" s="82" t="s">
        <v>2642</v>
      </c>
      <c r="AD616" s="77" t="s">
        <v>2670</v>
      </c>
      <c r="AE616" s="80" t="str">
        <f>HYPERLINK("https://twitter.com/metodotdl/status/1626325697533825026")</f>
        <v>https://twitter.com/metodotdl/status/1626325697533825026</v>
      </c>
      <c r="AF616" s="79">
        <v>44973.875416666669</v>
      </c>
      <c r="AG616" s="85">
        <v>44973</v>
      </c>
      <c r="AH616" s="82" t="s">
        <v>3181</v>
      </c>
      <c r="AI616" s="77" t="b">
        <v>0</v>
      </c>
      <c r="AJ616" s="77"/>
      <c r="AK616" s="77"/>
      <c r="AL616" s="77"/>
      <c r="AM616" s="77"/>
      <c r="AN616" s="77"/>
      <c r="AO616" s="77"/>
      <c r="AP616" s="77"/>
      <c r="AQ616" s="77" t="s">
        <v>3850</v>
      </c>
      <c r="AR616" s="77"/>
      <c r="AS616" s="77"/>
      <c r="AT616" s="77"/>
      <c r="AU616" s="77"/>
      <c r="AV616" s="80" t="str">
        <f>HYPERLINK("https://pbs.twimg.com/media/FpHemk3WYAAejZF.jpg")</f>
        <v>https://pbs.twimg.com/media/FpHemk3WYAAejZF.jpg</v>
      </c>
      <c r="AW616" s="82" t="s">
        <v>4667</v>
      </c>
      <c r="AX616" s="82" t="s">
        <v>4667</v>
      </c>
      <c r="AY616" s="77"/>
      <c r="AZ616" s="82" t="s">
        <v>5075</v>
      </c>
      <c r="BA616" s="82" t="s">
        <v>5075</v>
      </c>
      <c r="BB616" s="82" t="s">
        <v>5075</v>
      </c>
      <c r="BC616" s="82" t="s">
        <v>4667</v>
      </c>
      <c r="BD616" s="82" t="s">
        <v>5233</v>
      </c>
      <c r="BE616" s="77"/>
      <c r="BF616" s="77"/>
      <c r="BG616" s="77"/>
      <c r="BH616" s="77"/>
      <c r="BI616" s="77"/>
    </row>
    <row r="617" spans="1:61" x14ac:dyDescent="0.25">
      <c r="A617" s="62" t="s">
        <v>424</v>
      </c>
      <c r="B617" s="62" t="s">
        <v>424</v>
      </c>
      <c r="C617" s="63"/>
      <c r="D617" s="64"/>
      <c r="E617" s="65"/>
      <c r="F617" s="66"/>
      <c r="G617" s="63"/>
      <c r="H617" s="67"/>
      <c r="I617" s="68"/>
      <c r="J617" s="68"/>
      <c r="K617" s="32"/>
      <c r="L617" s="75">
        <v>617</v>
      </c>
      <c r="M617" s="75"/>
      <c r="N617" s="70"/>
      <c r="O617" s="77" t="s">
        <v>179</v>
      </c>
      <c r="P617" s="79">
        <v>44972.875439814816</v>
      </c>
      <c r="Q617" s="77" t="s">
        <v>1144</v>
      </c>
      <c r="R617" s="77">
        <v>0</v>
      </c>
      <c r="S617" s="77">
        <v>0</v>
      </c>
      <c r="T617" s="77">
        <v>0</v>
      </c>
      <c r="U617" s="77">
        <v>0</v>
      </c>
      <c r="V617" s="77">
        <v>58</v>
      </c>
      <c r="W617" s="82" t="s">
        <v>1846</v>
      </c>
      <c r="X617" s="80" t="str">
        <f>HYPERLINK("http://metodotdl.com.br/tdl/telegram")</f>
        <v>http://metodotdl.com.br/tdl/telegram</v>
      </c>
      <c r="Y617" s="77" t="s">
        <v>1978</v>
      </c>
      <c r="Z617" s="77"/>
      <c r="AA617" s="77" t="s">
        <v>2422</v>
      </c>
      <c r="AB617" s="77" t="s">
        <v>2632</v>
      </c>
      <c r="AC617" s="82" t="s">
        <v>2642</v>
      </c>
      <c r="AD617" s="77" t="s">
        <v>2670</v>
      </c>
      <c r="AE617" s="80" t="str">
        <f>HYPERLINK("https://twitter.com/metodotdl/status/1625963318421717003")</f>
        <v>https://twitter.com/metodotdl/status/1625963318421717003</v>
      </c>
      <c r="AF617" s="79">
        <v>44972.875439814816</v>
      </c>
      <c r="AG617" s="85">
        <v>44972</v>
      </c>
      <c r="AH617" s="82" t="s">
        <v>3208</v>
      </c>
      <c r="AI617" s="77" t="b">
        <v>0</v>
      </c>
      <c r="AJ617" s="77"/>
      <c r="AK617" s="77"/>
      <c r="AL617" s="77"/>
      <c r="AM617" s="77"/>
      <c r="AN617" s="77"/>
      <c r="AO617" s="77"/>
      <c r="AP617" s="77"/>
      <c r="AQ617" s="77" t="s">
        <v>3851</v>
      </c>
      <c r="AR617" s="77"/>
      <c r="AS617" s="77"/>
      <c r="AT617" s="77"/>
      <c r="AU617" s="77"/>
      <c r="AV617" s="80" t="str">
        <f>HYPERLINK("https://pbs.twimg.com/media/FpCVBNSXgAAfSPi.jpg")</f>
        <v>https://pbs.twimg.com/media/FpCVBNSXgAAfSPi.jpg</v>
      </c>
      <c r="AW617" s="82" t="s">
        <v>4668</v>
      </c>
      <c r="AX617" s="82" t="s">
        <v>4668</v>
      </c>
      <c r="AY617" s="77"/>
      <c r="AZ617" s="82" t="s">
        <v>5075</v>
      </c>
      <c r="BA617" s="82" t="s">
        <v>5075</v>
      </c>
      <c r="BB617" s="82" t="s">
        <v>5075</v>
      </c>
      <c r="BC617" s="82" t="s">
        <v>4668</v>
      </c>
      <c r="BD617" s="82" t="s">
        <v>5233</v>
      </c>
      <c r="BE617" s="77"/>
      <c r="BF617" s="77"/>
      <c r="BG617" s="77"/>
      <c r="BH617" s="77"/>
      <c r="BI617" s="77"/>
    </row>
    <row r="618" spans="1:61" x14ac:dyDescent="0.25">
      <c r="A618" s="62" t="s">
        <v>424</v>
      </c>
      <c r="B618" s="62" t="s">
        <v>424</v>
      </c>
      <c r="C618" s="63"/>
      <c r="D618" s="64"/>
      <c r="E618" s="65"/>
      <c r="F618" s="66"/>
      <c r="G618" s="63"/>
      <c r="H618" s="67"/>
      <c r="I618" s="68"/>
      <c r="J618" s="68"/>
      <c r="K618" s="32"/>
      <c r="L618" s="75">
        <v>618</v>
      </c>
      <c r="M618" s="75"/>
      <c r="N618" s="70"/>
      <c r="O618" s="77" t="s">
        <v>179</v>
      </c>
      <c r="P618" s="79">
        <v>45124.887511574074</v>
      </c>
      <c r="Q618" s="77" t="s">
        <v>1145</v>
      </c>
      <c r="R618" s="77">
        <v>0</v>
      </c>
      <c r="S618" s="77">
        <v>0</v>
      </c>
      <c r="T618" s="77">
        <v>0</v>
      </c>
      <c r="U618" s="77">
        <v>0</v>
      </c>
      <c r="V618" s="77">
        <v>87</v>
      </c>
      <c r="W618" s="82" t="s">
        <v>1846</v>
      </c>
      <c r="X618" s="80" t="str">
        <f>HYPERLINK("http://metodotdl.com.br/tdl/telegram")</f>
        <v>http://metodotdl.com.br/tdl/telegram</v>
      </c>
      <c r="Y618" s="77" t="s">
        <v>1978</v>
      </c>
      <c r="Z618" s="77"/>
      <c r="AA618" s="77" t="s">
        <v>2423</v>
      </c>
      <c r="AB618" s="77" t="s">
        <v>2632</v>
      </c>
      <c r="AC618" s="82" t="s">
        <v>2642</v>
      </c>
      <c r="AD618" s="77" t="s">
        <v>2670</v>
      </c>
      <c r="AE618" s="80" t="str">
        <f>HYPERLINK("https://twitter.com/metodotdl/status/1681050647464927233")</f>
        <v>https://twitter.com/metodotdl/status/1681050647464927233</v>
      </c>
      <c r="AF618" s="79">
        <v>45124.887511574074</v>
      </c>
      <c r="AG618" s="85">
        <v>45124</v>
      </c>
      <c r="AH618" s="82" t="s">
        <v>3215</v>
      </c>
      <c r="AI618" s="77" t="b">
        <v>0</v>
      </c>
      <c r="AJ618" s="77"/>
      <c r="AK618" s="77"/>
      <c r="AL618" s="77"/>
      <c r="AM618" s="77"/>
      <c r="AN618" s="77"/>
      <c r="AO618" s="77"/>
      <c r="AP618" s="77"/>
      <c r="AQ618" s="77" t="s">
        <v>3852</v>
      </c>
      <c r="AR618" s="77"/>
      <c r="AS618" s="77"/>
      <c r="AT618" s="77"/>
      <c r="AU618" s="77"/>
      <c r="AV618" s="80" t="str">
        <f>HYPERLINK("https://pbs.twimg.com/media/F1RKp5uXoAAxs7q.jpg")</f>
        <v>https://pbs.twimg.com/media/F1RKp5uXoAAxs7q.jpg</v>
      </c>
      <c r="AW618" s="82" t="s">
        <v>4669</v>
      </c>
      <c r="AX618" s="82" t="s">
        <v>4669</v>
      </c>
      <c r="AY618" s="77"/>
      <c r="AZ618" s="82" t="s">
        <v>5075</v>
      </c>
      <c r="BA618" s="82" t="s">
        <v>5075</v>
      </c>
      <c r="BB618" s="82" t="s">
        <v>5075</v>
      </c>
      <c r="BC618" s="82" t="s">
        <v>4669</v>
      </c>
      <c r="BD618" s="82" t="s">
        <v>5233</v>
      </c>
      <c r="BE618" s="77"/>
      <c r="BF618" s="77"/>
      <c r="BG618" s="77"/>
      <c r="BH618" s="77"/>
      <c r="BI618" s="77"/>
    </row>
    <row r="619" spans="1:61" x14ac:dyDescent="0.25">
      <c r="A619" s="62" t="s">
        <v>424</v>
      </c>
      <c r="B619" s="62" t="s">
        <v>424</v>
      </c>
      <c r="C619" s="63"/>
      <c r="D619" s="64"/>
      <c r="E619" s="65"/>
      <c r="F619" s="66"/>
      <c r="G619" s="63"/>
      <c r="H619" s="67"/>
      <c r="I619" s="68"/>
      <c r="J619" s="68"/>
      <c r="K619" s="32"/>
      <c r="L619" s="75">
        <v>619</v>
      </c>
      <c r="M619" s="75"/>
      <c r="N619" s="70"/>
      <c r="O619" s="77" t="s">
        <v>179</v>
      </c>
      <c r="P619" s="79">
        <v>45105.875555555554</v>
      </c>
      <c r="Q619" s="77" t="s">
        <v>1146</v>
      </c>
      <c r="R619" s="77">
        <v>0</v>
      </c>
      <c r="S619" s="77">
        <v>0</v>
      </c>
      <c r="T619" s="77">
        <v>0</v>
      </c>
      <c r="U619" s="77">
        <v>0</v>
      </c>
      <c r="V619" s="77">
        <v>37</v>
      </c>
      <c r="W619" s="82" t="s">
        <v>1846</v>
      </c>
      <c r="X619" s="80" t="str">
        <f>HYPERLINK("http://metodotdl.com.br/tdl/telegram")</f>
        <v>http://metodotdl.com.br/tdl/telegram</v>
      </c>
      <c r="Y619" s="77" t="s">
        <v>1978</v>
      </c>
      <c r="Z619" s="77"/>
      <c r="AA619" s="77" t="s">
        <v>2424</v>
      </c>
      <c r="AB619" s="77" t="s">
        <v>2632</v>
      </c>
      <c r="AC619" s="82" t="s">
        <v>2642</v>
      </c>
      <c r="AD619" s="77" t="s">
        <v>2670</v>
      </c>
      <c r="AE619" s="80" t="str">
        <f>HYPERLINK("https://twitter.com/metodotdl/status/1674160945835171840")</f>
        <v>https://twitter.com/metodotdl/status/1674160945835171840</v>
      </c>
      <c r="AF619" s="79">
        <v>45105.875555555554</v>
      </c>
      <c r="AG619" s="85">
        <v>45105</v>
      </c>
      <c r="AH619" s="82" t="s">
        <v>3198</v>
      </c>
      <c r="AI619" s="77" t="b">
        <v>0</v>
      </c>
      <c r="AJ619" s="77"/>
      <c r="AK619" s="77"/>
      <c r="AL619" s="77"/>
      <c r="AM619" s="77"/>
      <c r="AN619" s="77"/>
      <c r="AO619" s="77"/>
      <c r="AP619" s="77"/>
      <c r="AQ619" s="77" t="s">
        <v>3853</v>
      </c>
      <c r="AR619" s="77"/>
      <c r="AS619" s="77"/>
      <c r="AT619" s="77"/>
      <c r="AU619" s="77"/>
      <c r="AV619" s="80" t="str">
        <f>HYPERLINK("https://pbs.twimg.com/media/FzvQghgWAAEgH1K.jpg")</f>
        <v>https://pbs.twimg.com/media/FzvQghgWAAEgH1K.jpg</v>
      </c>
      <c r="AW619" s="82" t="s">
        <v>4670</v>
      </c>
      <c r="AX619" s="82" t="s">
        <v>4670</v>
      </c>
      <c r="AY619" s="77"/>
      <c r="AZ619" s="82" t="s">
        <v>5075</v>
      </c>
      <c r="BA619" s="82" t="s">
        <v>5075</v>
      </c>
      <c r="BB619" s="82" t="s">
        <v>5075</v>
      </c>
      <c r="BC619" s="82" t="s">
        <v>4670</v>
      </c>
      <c r="BD619" s="82" t="s">
        <v>5233</v>
      </c>
      <c r="BE619" s="77"/>
      <c r="BF619" s="77"/>
      <c r="BG619" s="77"/>
      <c r="BH619" s="77"/>
      <c r="BI619" s="77"/>
    </row>
    <row r="620" spans="1:61" x14ac:dyDescent="0.25">
      <c r="A620" s="62" t="s">
        <v>424</v>
      </c>
      <c r="B620" s="62" t="s">
        <v>424</v>
      </c>
      <c r="C620" s="63"/>
      <c r="D620" s="64"/>
      <c r="E620" s="65"/>
      <c r="F620" s="66"/>
      <c r="G620" s="63"/>
      <c r="H620" s="67"/>
      <c r="I620" s="68"/>
      <c r="J620" s="68"/>
      <c r="K620" s="32"/>
      <c r="L620" s="75">
        <v>620</v>
      </c>
      <c r="M620" s="75"/>
      <c r="N620" s="70"/>
      <c r="O620" s="77" t="s">
        <v>179</v>
      </c>
      <c r="P620" s="79">
        <v>45096.875625000001</v>
      </c>
      <c r="Q620" s="77" t="s">
        <v>1147</v>
      </c>
      <c r="R620" s="77">
        <v>0</v>
      </c>
      <c r="S620" s="77">
        <v>0</v>
      </c>
      <c r="T620" s="77">
        <v>0</v>
      </c>
      <c r="U620" s="77">
        <v>0</v>
      </c>
      <c r="V620" s="77">
        <v>85</v>
      </c>
      <c r="W620" s="82" t="s">
        <v>1846</v>
      </c>
      <c r="X620" s="80" t="str">
        <f>HYPERLINK("http://metodotdl.com.br/tdl/telegram")</f>
        <v>http://metodotdl.com.br/tdl/telegram</v>
      </c>
      <c r="Y620" s="77" t="s">
        <v>1978</v>
      </c>
      <c r="Z620" s="77"/>
      <c r="AA620" s="77" t="s">
        <v>2425</v>
      </c>
      <c r="AB620" s="77" t="s">
        <v>2632</v>
      </c>
      <c r="AC620" s="82" t="s">
        <v>2642</v>
      </c>
      <c r="AD620" s="77" t="s">
        <v>2670</v>
      </c>
      <c r="AE620" s="80" t="str">
        <f>HYPERLINK("https://twitter.com/metodotdl/status/1670899481070510084")</f>
        <v>https://twitter.com/metodotdl/status/1670899481070510084</v>
      </c>
      <c r="AF620" s="79">
        <v>45096.875625000001</v>
      </c>
      <c r="AG620" s="85">
        <v>45096</v>
      </c>
      <c r="AH620" s="82" t="s">
        <v>3187</v>
      </c>
      <c r="AI620" s="77" t="b">
        <v>0</v>
      </c>
      <c r="AJ620" s="77"/>
      <c r="AK620" s="77"/>
      <c r="AL620" s="77"/>
      <c r="AM620" s="77"/>
      <c r="AN620" s="77"/>
      <c r="AO620" s="77"/>
      <c r="AP620" s="77"/>
      <c r="AQ620" s="77" t="s">
        <v>3854</v>
      </c>
      <c r="AR620" s="77"/>
      <c r="AS620" s="77"/>
      <c r="AT620" s="77"/>
      <c r="AU620" s="77"/>
      <c r="AV620" s="80" t="str">
        <f>HYPERLINK("https://pbs.twimg.com/media/FzA6ORXWAAECiPh.jpg")</f>
        <v>https://pbs.twimg.com/media/FzA6ORXWAAECiPh.jpg</v>
      </c>
      <c r="AW620" s="82" t="s">
        <v>4671</v>
      </c>
      <c r="AX620" s="82" t="s">
        <v>4671</v>
      </c>
      <c r="AY620" s="77"/>
      <c r="AZ620" s="82" t="s">
        <v>5075</v>
      </c>
      <c r="BA620" s="82" t="s">
        <v>5075</v>
      </c>
      <c r="BB620" s="82" t="s">
        <v>5075</v>
      </c>
      <c r="BC620" s="82" t="s">
        <v>4671</v>
      </c>
      <c r="BD620" s="82" t="s">
        <v>5233</v>
      </c>
      <c r="BE620" s="77"/>
      <c r="BF620" s="77"/>
      <c r="BG620" s="77"/>
      <c r="BH620" s="77"/>
      <c r="BI620" s="77"/>
    </row>
    <row r="621" spans="1:61" x14ac:dyDescent="0.25">
      <c r="A621" s="62" t="s">
        <v>424</v>
      </c>
      <c r="B621" s="62" t="s">
        <v>424</v>
      </c>
      <c r="C621" s="63"/>
      <c r="D621" s="64"/>
      <c r="E621" s="65"/>
      <c r="F621" s="66"/>
      <c r="G621" s="63"/>
      <c r="H621" s="67"/>
      <c r="I621" s="68"/>
      <c r="J621" s="68"/>
      <c r="K621" s="32"/>
      <c r="L621" s="75">
        <v>621</v>
      </c>
      <c r="M621" s="75"/>
      <c r="N621" s="70"/>
      <c r="O621" s="77" t="s">
        <v>179</v>
      </c>
      <c r="P621" s="79">
        <v>45065.875613425924</v>
      </c>
      <c r="Q621" s="77" t="s">
        <v>1148</v>
      </c>
      <c r="R621" s="77">
        <v>0</v>
      </c>
      <c r="S621" s="77">
        <v>0</v>
      </c>
      <c r="T621" s="77">
        <v>0</v>
      </c>
      <c r="U621" s="77">
        <v>0</v>
      </c>
      <c r="V621" s="77">
        <v>86</v>
      </c>
      <c r="W621" s="82" t="s">
        <v>1846</v>
      </c>
      <c r="X621" s="80" t="str">
        <f>HYPERLINK("http://metodotdl.com.br/tdl/telegram")</f>
        <v>http://metodotdl.com.br/tdl/telegram</v>
      </c>
      <c r="Y621" s="77" t="s">
        <v>1978</v>
      </c>
      <c r="Z621" s="77"/>
      <c r="AA621" s="77" t="s">
        <v>2426</v>
      </c>
      <c r="AB621" s="77" t="s">
        <v>2632</v>
      </c>
      <c r="AC621" s="82" t="s">
        <v>2642</v>
      </c>
      <c r="AD621" s="77" t="s">
        <v>2670</v>
      </c>
      <c r="AE621" s="80" t="str">
        <f>HYPERLINK("https://twitter.com/metodotdl/status/1659665452828704781")</f>
        <v>https://twitter.com/metodotdl/status/1659665452828704781</v>
      </c>
      <c r="AF621" s="79">
        <v>45065.875613425924</v>
      </c>
      <c r="AG621" s="85">
        <v>45065</v>
      </c>
      <c r="AH621" s="82" t="s">
        <v>3216</v>
      </c>
      <c r="AI621" s="77" t="b">
        <v>0</v>
      </c>
      <c r="AJ621" s="77"/>
      <c r="AK621" s="77"/>
      <c r="AL621" s="77"/>
      <c r="AM621" s="77"/>
      <c r="AN621" s="77"/>
      <c r="AO621" s="77"/>
      <c r="AP621" s="77"/>
      <c r="AQ621" s="77" t="s">
        <v>3855</v>
      </c>
      <c r="AR621" s="77"/>
      <c r="AS621" s="77"/>
      <c r="AT621" s="77"/>
      <c r="AU621" s="77"/>
      <c r="AV621" s="80" t="str">
        <f>HYPERLINK("https://pbs.twimg.com/media/FwhQ70-XwAMVVl9.jpg")</f>
        <v>https://pbs.twimg.com/media/FwhQ70-XwAMVVl9.jpg</v>
      </c>
      <c r="AW621" s="82" t="s">
        <v>4672</v>
      </c>
      <c r="AX621" s="82" t="s">
        <v>4672</v>
      </c>
      <c r="AY621" s="77"/>
      <c r="AZ621" s="82" t="s">
        <v>5075</v>
      </c>
      <c r="BA621" s="82" t="s">
        <v>5075</v>
      </c>
      <c r="BB621" s="82" t="s">
        <v>5075</v>
      </c>
      <c r="BC621" s="82" t="s">
        <v>4672</v>
      </c>
      <c r="BD621" s="82" t="s">
        <v>5233</v>
      </c>
      <c r="BE621" s="77"/>
      <c r="BF621" s="77"/>
      <c r="BG621" s="77"/>
      <c r="BH621" s="77"/>
      <c r="BI621" s="77"/>
    </row>
    <row r="622" spans="1:61" x14ac:dyDescent="0.25">
      <c r="A622" s="62" t="s">
        <v>424</v>
      </c>
      <c r="B622" s="62" t="s">
        <v>424</v>
      </c>
      <c r="C622" s="63"/>
      <c r="D622" s="64"/>
      <c r="E622" s="65"/>
      <c r="F622" s="66"/>
      <c r="G622" s="63"/>
      <c r="H622" s="67"/>
      <c r="I622" s="68"/>
      <c r="J622" s="68"/>
      <c r="K622" s="32"/>
      <c r="L622" s="75">
        <v>622</v>
      </c>
      <c r="M622" s="75"/>
      <c r="N622" s="70"/>
      <c r="O622" s="77" t="s">
        <v>179</v>
      </c>
      <c r="P622" s="79">
        <v>45064.875578703701</v>
      </c>
      <c r="Q622" s="77" t="s">
        <v>1149</v>
      </c>
      <c r="R622" s="77">
        <v>0</v>
      </c>
      <c r="S622" s="77">
        <v>0</v>
      </c>
      <c r="T622" s="77">
        <v>0</v>
      </c>
      <c r="U622" s="77">
        <v>0</v>
      </c>
      <c r="V622" s="77">
        <v>73</v>
      </c>
      <c r="W622" s="82" t="s">
        <v>1846</v>
      </c>
      <c r="X622" s="80" t="str">
        <f>HYPERLINK("http://metodotdl.com.br/tdl/telegram")</f>
        <v>http://metodotdl.com.br/tdl/telegram</v>
      </c>
      <c r="Y622" s="77" t="s">
        <v>1978</v>
      </c>
      <c r="Z622" s="77"/>
      <c r="AA622" s="77" t="s">
        <v>2427</v>
      </c>
      <c r="AB622" s="77" t="s">
        <v>2632</v>
      </c>
      <c r="AC622" s="82" t="s">
        <v>2642</v>
      </c>
      <c r="AD622" s="77" t="s">
        <v>2670</v>
      </c>
      <c r="AE622" s="80" t="str">
        <f>HYPERLINK("https://twitter.com/metodotdl/status/1659303052753469451")</f>
        <v>https://twitter.com/metodotdl/status/1659303052753469451</v>
      </c>
      <c r="AF622" s="79">
        <v>45064.875578703701</v>
      </c>
      <c r="AG622" s="85">
        <v>45064</v>
      </c>
      <c r="AH622" s="82" t="s">
        <v>3177</v>
      </c>
      <c r="AI622" s="77" t="b">
        <v>0</v>
      </c>
      <c r="AJ622" s="77"/>
      <c r="AK622" s="77"/>
      <c r="AL622" s="77"/>
      <c r="AM622" s="77"/>
      <c r="AN622" s="77"/>
      <c r="AO622" s="77"/>
      <c r="AP622" s="77"/>
      <c r="AQ622" s="77" t="s">
        <v>3856</v>
      </c>
      <c r="AR622" s="77"/>
      <c r="AS622" s="77"/>
      <c r="AT622" s="77"/>
      <c r="AU622" s="77"/>
      <c r="AV622" s="80" t="str">
        <f>HYPERLINK("https://pbs.twimg.com/media/FwcHVU-X0AET9cS.jpg")</f>
        <v>https://pbs.twimg.com/media/FwcHVU-X0AET9cS.jpg</v>
      </c>
      <c r="AW622" s="82" t="s">
        <v>4673</v>
      </c>
      <c r="AX622" s="82" t="s">
        <v>4673</v>
      </c>
      <c r="AY622" s="77"/>
      <c r="AZ622" s="82" t="s">
        <v>5075</v>
      </c>
      <c r="BA622" s="82" t="s">
        <v>5075</v>
      </c>
      <c r="BB622" s="82" t="s">
        <v>5075</v>
      </c>
      <c r="BC622" s="82" t="s">
        <v>4673</v>
      </c>
      <c r="BD622" s="82" t="s">
        <v>5233</v>
      </c>
      <c r="BE622" s="77"/>
      <c r="BF622" s="77"/>
      <c r="BG622" s="77"/>
      <c r="BH622" s="77"/>
      <c r="BI622" s="77"/>
    </row>
    <row r="623" spans="1:61" x14ac:dyDescent="0.25">
      <c r="A623" s="62" t="s">
        <v>424</v>
      </c>
      <c r="B623" s="62" t="s">
        <v>424</v>
      </c>
      <c r="C623" s="63"/>
      <c r="D623" s="64"/>
      <c r="E623" s="65"/>
      <c r="F623" s="66"/>
      <c r="G623" s="63"/>
      <c r="H623" s="67"/>
      <c r="I623" s="68"/>
      <c r="J623" s="68"/>
      <c r="K623" s="32"/>
      <c r="L623" s="75">
        <v>623</v>
      </c>
      <c r="M623" s="75"/>
      <c r="N623" s="70"/>
      <c r="O623" s="77" t="s">
        <v>179</v>
      </c>
      <c r="P623" s="79">
        <v>45063.875613425924</v>
      </c>
      <c r="Q623" s="77" t="s">
        <v>1150</v>
      </c>
      <c r="R623" s="77">
        <v>0</v>
      </c>
      <c r="S623" s="77">
        <v>0</v>
      </c>
      <c r="T623" s="77">
        <v>0</v>
      </c>
      <c r="U623" s="77">
        <v>0</v>
      </c>
      <c r="V623" s="77">
        <v>74</v>
      </c>
      <c r="W623" s="82" t="s">
        <v>1846</v>
      </c>
      <c r="X623" s="80" t="str">
        <f>HYPERLINK("http://metodotdl.com.br/tdl/telegram")</f>
        <v>http://metodotdl.com.br/tdl/telegram</v>
      </c>
      <c r="Y623" s="77" t="s">
        <v>1978</v>
      </c>
      <c r="Z623" s="77"/>
      <c r="AA623" s="77" t="s">
        <v>2428</v>
      </c>
      <c r="AB623" s="77" t="s">
        <v>2632</v>
      </c>
      <c r="AC623" s="82" t="s">
        <v>2642</v>
      </c>
      <c r="AD623" s="77" t="s">
        <v>2670</v>
      </c>
      <c r="AE623" s="80" t="str">
        <f>HYPERLINK("https://twitter.com/metodotdl/status/1658940675524526080")</f>
        <v>https://twitter.com/metodotdl/status/1658940675524526080</v>
      </c>
      <c r="AF623" s="79">
        <v>45063.875613425924</v>
      </c>
      <c r="AG623" s="85">
        <v>45063</v>
      </c>
      <c r="AH623" s="82" t="s">
        <v>3216</v>
      </c>
      <c r="AI623" s="77" t="b">
        <v>0</v>
      </c>
      <c r="AJ623" s="77"/>
      <c r="AK623" s="77"/>
      <c r="AL623" s="77"/>
      <c r="AM623" s="77"/>
      <c r="AN623" s="77"/>
      <c r="AO623" s="77"/>
      <c r="AP623" s="77"/>
      <c r="AQ623" s="77" t="s">
        <v>3857</v>
      </c>
      <c r="AR623" s="77"/>
      <c r="AS623" s="77"/>
      <c r="AT623" s="77"/>
      <c r="AU623" s="77"/>
      <c r="AV623" s="80" t="str">
        <f>HYPERLINK("https://pbs.twimg.com/media/FwW9wNeWAAMVsY-.jpg")</f>
        <v>https://pbs.twimg.com/media/FwW9wNeWAAMVsY-.jpg</v>
      </c>
      <c r="AW623" s="82" t="s">
        <v>4674</v>
      </c>
      <c r="AX623" s="82" t="s">
        <v>4674</v>
      </c>
      <c r="AY623" s="77"/>
      <c r="AZ623" s="82" t="s">
        <v>5075</v>
      </c>
      <c r="BA623" s="82" t="s">
        <v>5075</v>
      </c>
      <c r="BB623" s="82" t="s">
        <v>5075</v>
      </c>
      <c r="BC623" s="82" t="s">
        <v>4674</v>
      </c>
      <c r="BD623" s="82" t="s">
        <v>5233</v>
      </c>
      <c r="BE623" s="77"/>
      <c r="BF623" s="77"/>
      <c r="BG623" s="77"/>
      <c r="BH623" s="77"/>
      <c r="BI623" s="77"/>
    </row>
    <row r="624" spans="1:61" x14ac:dyDescent="0.25">
      <c r="A624" s="62" t="s">
        <v>424</v>
      </c>
      <c r="B624" s="62" t="s">
        <v>424</v>
      </c>
      <c r="C624" s="63"/>
      <c r="D624" s="64"/>
      <c r="E624" s="65"/>
      <c r="F624" s="66"/>
      <c r="G624" s="63"/>
      <c r="H624" s="67"/>
      <c r="I624" s="68"/>
      <c r="J624" s="68"/>
      <c r="K624" s="32"/>
      <c r="L624" s="75">
        <v>624</v>
      </c>
      <c r="M624" s="75"/>
      <c r="N624" s="70"/>
      <c r="O624" s="77" t="s">
        <v>179</v>
      </c>
      <c r="P624" s="79">
        <v>45019.875659722224</v>
      </c>
      <c r="Q624" s="77" t="s">
        <v>1151</v>
      </c>
      <c r="R624" s="77">
        <v>0</v>
      </c>
      <c r="S624" s="77">
        <v>0</v>
      </c>
      <c r="T624" s="77">
        <v>0</v>
      </c>
      <c r="U624" s="77">
        <v>0</v>
      </c>
      <c r="V624" s="77">
        <v>68</v>
      </c>
      <c r="W624" s="82" t="s">
        <v>1846</v>
      </c>
      <c r="X624" s="80" t="str">
        <f>HYPERLINK("http://metodotdl.com.br/tdl/telegram")</f>
        <v>http://metodotdl.com.br/tdl/telegram</v>
      </c>
      <c r="Y624" s="77" t="s">
        <v>1978</v>
      </c>
      <c r="Z624" s="77"/>
      <c r="AA624" s="77" t="s">
        <v>2429</v>
      </c>
      <c r="AB624" s="77" t="s">
        <v>2632</v>
      </c>
      <c r="AC624" s="82" t="s">
        <v>2642</v>
      </c>
      <c r="AD624" s="77" t="s">
        <v>2670</v>
      </c>
      <c r="AE624" s="80" t="str">
        <f>HYPERLINK("https://twitter.com/metodotdl/status/1642995625082978306")</f>
        <v>https://twitter.com/metodotdl/status/1642995625082978306</v>
      </c>
      <c r="AF624" s="79">
        <v>45019.875659722224</v>
      </c>
      <c r="AG624" s="85">
        <v>45019</v>
      </c>
      <c r="AH624" s="82" t="s">
        <v>3204</v>
      </c>
      <c r="AI624" s="77" t="b">
        <v>0</v>
      </c>
      <c r="AJ624" s="77"/>
      <c r="AK624" s="77"/>
      <c r="AL624" s="77"/>
      <c r="AM624" s="77"/>
      <c r="AN624" s="77"/>
      <c r="AO624" s="77"/>
      <c r="AP624" s="77"/>
      <c r="AQ624" s="77" t="s">
        <v>3858</v>
      </c>
      <c r="AR624" s="77"/>
      <c r="AS624" s="77"/>
      <c r="AT624" s="77"/>
      <c r="AU624" s="77"/>
      <c r="AV624" s="80" t="str">
        <f>HYPERLINK("https://pbs.twimg.com/media/Fs0X0E0XoAAYeE2.jpg")</f>
        <v>https://pbs.twimg.com/media/Fs0X0E0XoAAYeE2.jpg</v>
      </c>
      <c r="AW624" s="82" t="s">
        <v>4675</v>
      </c>
      <c r="AX624" s="82" t="s">
        <v>4675</v>
      </c>
      <c r="AY624" s="77"/>
      <c r="AZ624" s="82" t="s">
        <v>5075</v>
      </c>
      <c r="BA624" s="82" t="s">
        <v>5075</v>
      </c>
      <c r="BB624" s="82" t="s">
        <v>5075</v>
      </c>
      <c r="BC624" s="82" t="s">
        <v>4675</v>
      </c>
      <c r="BD624" s="82" t="s">
        <v>5233</v>
      </c>
      <c r="BE624" s="77"/>
      <c r="BF624" s="77"/>
      <c r="BG624" s="77"/>
      <c r="BH624" s="77"/>
      <c r="BI624" s="77"/>
    </row>
    <row r="625" spans="1:61" x14ac:dyDescent="0.25">
      <c r="A625" s="62" t="s">
        <v>424</v>
      </c>
      <c r="B625" s="62" t="s">
        <v>424</v>
      </c>
      <c r="C625" s="63"/>
      <c r="D625" s="64"/>
      <c r="E625" s="65"/>
      <c r="F625" s="66"/>
      <c r="G625" s="63"/>
      <c r="H625" s="67"/>
      <c r="I625" s="68"/>
      <c r="J625" s="68"/>
      <c r="K625" s="32"/>
      <c r="L625" s="75">
        <v>625</v>
      </c>
      <c r="M625" s="75"/>
      <c r="N625" s="70"/>
      <c r="O625" s="77" t="s">
        <v>179</v>
      </c>
      <c r="P625" s="79">
        <v>45016.875636574077</v>
      </c>
      <c r="Q625" s="77" t="s">
        <v>1152</v>
      </c>
      <c r="R625" s="77">
        <v>0</v>
      </c>
      <c r="S625" s="77">
        <v>0</v>
      </c>
      <c r="T625" s="77">
        <v>0</v>
      </c>
      <c r="U625" s="77">
        <v>0</v>
      </c>
      <c r="V625" s="77">
        <v>76</v>
      </c>
      <c r="W625" s="82" t="s">
        <v>1846</v>
      </c>
      <c r="X625" s="80" t="str">
        <f>HYPERLINK("http://metodotdl.com.br/tdl/telegram")</f>
        <v>http://metodotdl.com.br/tdl/telegram</v>
      </c>
      <c r="Y625" s="77" t="s">
        <v>1978</v>
      </c>
      <c r="Z625" s="77"/>
      <c r="AA625" s="77" t="s">
        <v>2430</v>
      </c>
      <c r="AB625" s="77" t="s">
        <v>2632</v>
      </c>
      <c r="AC625" s="82" t="s">
        <v>2642</v>
      </c>
      <c r="AD625" s="77" t="s">
        <v>2670</v>
      </c>
      <c r="AE625" s="80" t="str">
        <f>HYPERLINK("https://twitter.com/metodotdl/status/1641908454427066371")</f>
        <v>https://twitter.com/metodotdl/status/1641908454427066371</v>
      </c>
      <c r="AF625" s="79">
        <v>45016.875636574077</v>
      </c>
      <c r="AG625" s="85">
        <v>45016</v>
      </c>
      <c r="AH625" s="82" t="s">
        <v>3174</v>
      </c>
      <c r="AI625" s="77" t="b">
        <v>0</v>
      </c>
      <c r="AJ625" s="77"/>
      <c r="AK625" s="77"/>
      <c r="AL625" s="77"/>
      <c r="AM625" s="77"/>
      <c r="AN625" s="77"/>
      <c r="AO625" s="77"/>
      <c r="AP625" s="77"/>
      <c r="AQ625" s="77" t="s">
        <v>3859</v>
      </c>
      <c r="AR625" s="77"/>
      <c r="AS625" s="77"/>
      <c r="AT625" s="77"/>
      <c r="AU625" s="77"/>
      <c r="AV625" s="80" t="str">
        <f>HYPERLINK("https://pbs.twimg.com/media/Fsk7CbQXoAI-YXM.jpg")</f>
        <v>https://pbs.twimg.com/media/Fsk7CbQXoAI-YXM.jpg</v>
      </c>
      <c r="AW625" s="82" t="s">
        <v>4676</v>
      </c>
      <c r="AX625" s="82" t="s">
        <v>4676</v>
      </c>
      <c r="AY625" s="77"/>
      <c r="AZ625" s="82" t="s">
        <v>5075</v>
      </c>
      <c r="BA625" s="82" t="s">
        <v>5075</v>
      </c>
      <c r="BB625" s="82" t="s">
        <v>5075</v>
      </c>
      <c r="BC625" s="82" t="s">
        <v>4676</v>
      </c>
      <c r="BD625" s="82" t="s">
        <v>5233</v>
      </c>
      <c r="BE625" s="77"/>
      <c r="BF625" s="77"/>
      <c r="BG625" s="77"/>
      <c r="BH625" s="77"/>
      <c r="BI625" s="77"/>
    </row>
    <row r="626" spans="1:61" x14ac:dyDescent="0.25">
      <c r="A626" s="62" t="s">
        <v>424</v>
      </c>
      <c r="B626" s="62" t="s">
        <v>424</v>
      </c>
      <c r="C626" s="63"/>
      <c r="D626" s="64"/>
      <c r="E626" s="65"/>
      <c r="F626" s="66"/>
      <c r="G626" s="63"/>
      <c r="H626" s="67"/>
      <c r="I626" s="68"/>
      <c r="J626" s="68"/>
      <c r="K626" s="32"/>
      <c r="L626" s="75">
        <v>626</v>
      </c>
      <c r="M626" s="75"/>
      <c r="N626" s="70"/>
      <c r="O626" s="77" t="s">
        <v>179</v>
      </c>
      <c r="P626" s="79">
        <v>45015.87572916667</v>
      </c>
      <c r="Q626" s="77" t="s">
        <v>1153</v>
      </c>
      <c r="R626" s="77">
        <v>0</v>
      </c>
      <c r="S626" s="77">
        <v>0</v>
      </c>
      <c r="T626" s="77">
        <v>0</v>
      </c>
      <c r="U626" s="77">
        <v>0</v>
      </c>
      <c r="V626" s="77">
        <v>68</v>
      </c>
      <c r="W626" s="82" t="s">
        <v>1846</v>
      </c>
      <c r="X626" s="80" t="str">
        <f>HYPERLINK("http://metodotdl.com.br/tdl/telegram")</f>
        <v>http://metodotdl.com.br/tdl/telegram</v>
      </c>
      <c r="Y626" s="77" t="s">
        <v>1978</v>
      </c>
      <c r="Z626" s="77"/>
      <c r="AA626" s="77" t="s">
        <v>2431</v>
      </c>
      <c r="AB626" s="77" t="s">
        <v>2632</v>
      </c>
      <c r="AC626" s="82" t="s">
        <v>2642</v>
      </c>
      <c r="AD626" s="77" t="s">
        <v>2670</v>
      </c>
      <c r="AE626" s="80" t="str">
        <f>HYPERLINK("https://twitter.com/metodotdl/status/1641546099218366465")</f>
        <v>https://twitter.com/metodotdl/status/1641546099218366465</v>
      </c>
      <c r="AF626" s="79">
        <v>45015.87572916667</v>
      </c>
      <c r="AG626" s="85">
        <v>45015</v>
      </c>
      <c r="AH626" s="82" t="s">
        <v>2904</v>
      </c>
      <c r="AI626" s="77" t="b">
        <v>0</v>
      </c>
      <c r="AJ626" s="77"/>
      <c r="AK626" s="77"/>
      <c r="AL626" s="77"/>
      <c r="AM626" s="77"/>
      <c r="AN626" s="77"/>
      <c r="AO626" s="77"/>
      <c r="AP626" s="77"/>
      <c r="AQ626" s="77" t="s">
        <v>3860</v>
      </c>
      <c r="AR626" s="77"/>
      <c r="AS626" s="77"/>
      <c r="AT626" s="77"/>
      <c r="AU626" s="77"/>
      <c r="AV626" s="80" t="str">
        <f>HYPERLINK("https://pbs.twimg.com/media/Fsfxei8XwAAWg7x.jpg")</f>
        <v>https://pbs.twimg.com/media/Fsfxei8XwAAWg7x.jpg</v>
      </c>
      <c r="AW626" s="82" t="s">
        <v>4677</v>
      </c>
      <c r="AX626" s="82" t="s">
        <v>4677</v>
      </c>
      <c r="AY626" s="77"/>
      <c r="AZ626" s="82" t="s">
        <v>5075</v>
      </c>
      <c r="BA626" s="82" t="s">
        <v>5075</v>
      </c>
      <c r="BB626" s="82" t="s">
        <v>5075</v>
      </c>
      <c r="BC626" s="82" t="s">
        <v>4677</v>
      </c>
      <c r="BD626" s="82" t="s">
        <v>5233</v>
      </c>
      <c r="BE626" s="77"/>
      <c r="BF626" s="77"/>
      <c r="BG626" s="77"/>
      <c r="BH626" s="77"/>
      <c r="BI626" s="77"/>
    </row>
    <row r="627" spans="1:61" x14ac:dyDescent="0.25">
      <c r="A627" s="62" t="s">
        <v>424</v>
      </c>
      <c r="B627" s="62" t="s">
        <v>424</v>
      </c>
      <c r="C627" s="63"/>
      <c r="D627" s="64"/>
      <c r="E627" s="65"/>
      <c r="F627" s="66"/>
      <c r="G627" s="63"/>
      <c r="H627" s="67"/>
      <c r="I627" s="68"/>
      <c r="J627" s="68"/>
      <c r="K627" s="32"/>
      <c r="L627" s="75">
        <v>627</v>
      </c>
      <c r="M627" s="75"/>
      <c r="N627" s="70"/>
      <c r="O627" s="77" t="s">
        <v>179</v>
      </c>
      <c r="P627" s="79">
        <v>44965.875659722224</v>
      </c>
      <c r="Q627" s="77" t="s">
        <v>1154</v>
      </c>
      <c r="R627" s="77">
        <v>0</v>
      </c>
      <c r="S627" s="77">
        <v>0</v>
      </c>
      <c r="T627" s="77">
        <v>0</v>
      </c>
      <c r="U627" s="77">
        <v>0</v>
      </c>
      <c r="V627" s="77">
        <v>71</v>
      </c>
      <c r="W627" s="82" t="s">
        <v>1846</v>
      </c>
      <c r="X627" s="80" t="str">
        <f>HYPERLINK("http://metodotdl.com.br/tdl/telegram")</f>
        <v>http://metodotdl.com.br/tdl/telegram</v>
      </c>
      <c r="Y627" s="77" t="s">
        <v>1978</v>
      </c>
      <c r="Z627" s="77"/>
      <c r="AA627" s="77" t="s">
        <v>2432</v>
      </c>
      <c r="AB627" s="77" t="s">
        <v>2632</v>
      </c>
      <c r="AC627" s="82" t="s">
        <v>2642</v>
      </c>
      <c r="AD627" s="77" t="s">
        <v>2670</v>
      </c>
      <c r="AE627" s="80" t="str">
        <f>HYPERLINK("https://twitter.com/metodotdl/status/1623426682798366720")</f>
        <v>https://twitter.com/metodotdl/status/1623426682798366720</v>
      </c>
      <c r="AF627" s="79">
        <v>44965.875659722224</v>
      </c>
      <c r="AG627" s="85">
        <v>44965</v>
      </c>
      <c r="AH627" s="82" t="s">
        <v>3204</v>
      </c>
      <c r="AI627" s="77" t="b">
        <v>0</v>
      </c>
      <c r="AJ627" s="77"/>
      <c r="AK627" s="77"/>
      <c r="AL627" s="77"/>
      <c r="AM627" s="77"/>
      <c r="AN627" s="77"/>
      <c r="AO627" s="77"/>
      <c r="AP627" s="77"/>
      <c r="AQ627" s="77" t="s">
        <v>3861</v>
      </c>
      <c r="AR627" s="77"/>
      <c r="AS627" s="77"/>
      <c r="AT627" s="77"/>
      <c r="AU627" s="77"/>
      <c r="AV627" s="80" t="str">
        <f>HYPERLINK("https://pbs.twimg.com/media/FoeR9vkWYAobga5.jpg")</f>
        <v>https://pbs.twimg.com/media/FoeR9vkWYAobga5.jpg</v>
      </c>
      <c r="AW627" s="82" t="s">
        <v>4678</v>
      </c>
      <c r="AX627" s="82" t="s">
        <v>4678</v>
      </c>
      <c r="AY627" s="77"/>
      <c r="AZ627" s="82" t="s">
        <v>5075</v>
      </c>
      <c r="BA627" s="82" t="s">
        <v>5075</v>
      </c>
      <c r="BB627" s="82" t="s">
        <v>5075</v>
      </c>
      <c r="BC627" s="82" t="s">
        <v>4678</v>
      </c>
      <c r="BD627" s="82" t="s">
        <v>5233</v>
      </c>
      <c r="BE627" s="77"/>
      <c r="BF627" s="77"/>
      <c r="BG627" s="77"/>
      <c r="BH627" s="77"/>
      <c r="BI627" s="77"/>
    </row>
    <row r="628" spans="1:61" x14ac:dyDescent="0.25">
      <c r="A628" s="62" t="s">
        <v>424</v>
      </c>
      <c r="B628" s="62" t="s">
        <v>424</v>
      </c>
      <c r="C628" s="63"/>
      <c r="D628" s="64"/>
      <c r="E628" s="65"/>
      <c r="F628" s="66"/>
      <c r="G628" s="63"/>
      <c r="H628" s="67"/>
      <c r="I628" s="68"/>
      <c r="J628" s="68"/>
      <c r="K628" s="32"/>
      <c r="L628" s="75">
        <v>628</v>
      </c>
      <c r="M628" s="75"/>
      <c r="N628" s="70"/>
      <c r="O628" s="77" t="s">
        <v>179</v>
      </c>
      <c r="P628" s="79">
        <v>44964.875393518516</v>
      </c>
      <c r="Q628" s="77" t="s">
        <v>1155</v>
      </c>
      <c r="R628" s="77">
        <v>0</v>
      </c>
      <c r="S628" s="77">
        <v>0</v>
      </c>
      <c r="T628" s="77">
        <v>0</v>
      </c>
      <c r="U628" s="77">
        <v>0</v>
      </c>
      <c r="V628" s="77">
        <v>59</v>
      </c>
      <c r="W628" s="82" t="s">
        <v>1846</v>
      </c>
      <c r="X628" s="80" t="str">
        <f>HYPERLINK("http://metodotdl.com.br/tdl/telegram")</f>
        <v>http://metodotdl.com.br/tdl/telegram</v>
      </c>
      <c r="Y628" s="77" t="s">
        <v>1978</v>
      </c>
      <c r="Z628" s="77"/>
      <c r="AA628" s="77" t="s">
        <v>2433</v>
      </c>
      <c r="AB628" s="77" t="s">
        <v>2632</v>
      </c>
      <c r="AC628" s="82" t="s">
        <v>2642</v>
      </c>
      <c r="AD628" s="77" t="s">
        <v>2670</v>
      </c>
      <c r="AE628" s="80" t="str">
        <f>HYPERLINK("https://twitter.com/metodotdl/status/1623064196689674241")</f>
        <v>https://twitter.com/metodotdl/status/1623064196689674241</v>
      </c>
      <c r="AF628" s="79">
        <v>44964.875393518516</v>
      </c>
      <c r="AG628" s="85">
        <v>44964</v>
      </c>
      <c r="AH628" s="82" t="s">
        <v>2901</v>
      </c>
      <c r="AI628" s="77" t="b">
        <v>0</v>
      </c>
      <c r="AJ628" s="77"/>
      <c r="AK628" s="77"/>
      <c r="AL628" s="77"/>
      <c r="AM628" s="77"/>
      <c r="AN628" s="77"/>
      <c r="AO628" s="77"/>
      <c r="AP628" s="77"/>
      <c r="AQ628" s="77" t="s">
        <v>3862</v>
      </c>
      <c r="AR628" s="77"/>
      <c r="AS628" s="77"/>
      <c r="AT628" s="77"/>
      <c r="AU628" s="77"/>
      <c r="AV628" s="80" t="str">
        <f>HYPERLINK("https://pbs.twimg.com/media/FoZISRcWcBEVYgQ.jpg")</f>
        <v>https://pbs.twimg.com/media/FoZISRcWcBEVYgQ.jpg</v>
      </c>
      <c r="AW628" s="82" t="s">
        <v>4679</v>
      </c>
      <c r="AX628" s="82" t="s">
        <v>4679</v>
      </c>
      <c r="AY628" s="77"/>
      <c r="AZ628" s="82" t="s">
        <v>5075</v>
      </c>
      <c r="BA628" s="82" t="s">
        <v>5075</v>
      </c>
      <c r="BB628" s="82" t="s">
        <v>5075</v>
      </c>
      <c r="BC628" s="82" t="s">
        <v>4679</v>
      </c>
      <c r="BD628" s="82" t="s">
        <v>5233</v>
      </c>
      <c r="BE628" s="77"/>
      <c r="BF628" s="77"/>
      <c r="BG628" s="77"/>
      <c r="BH628" s="77"/>
      <c r="BI628" s="77"/>
    </row>
    <row r="629" spans="1:61" x14ac:dyDescent="0.25">
      <c r="A629" s="62" t="s">
        <v>424</v>
      </c>
      <c r="B629" s="62" t="s">
        <v>424</v>
      </c>
      <c r="C629" s="63"/>
      <c r="D629" s="64"/>
      <c r="E629" s="65"/>
      <c r="F629" s="66"/>
      <c r="G629" s="63"/>
      <c r="H629" s="67"/>
      <c r="I629" s="68"/>
      <c r="J629" s="68"/>
      <c r="K629" s="32"/>
      <c r="L629" s="75">
        <v>629</v>
      </c>
      <c r="M629" s="75"/>
      <c r="N629" s="70"/>
      <c r="O629" s="77" t="s">
        <v>179</v>
      </c>
      <c r="P629" s="79">
        <v>44963.87537037037</v>
      </c>
      <c r="Q629" s="77" t="s">
        <v>1156</v>
      </c>
      <c r="R629" s="77">
        <v>0</v>
      </c>
      <c r="S629" s="77">
        <v>0</v>
      </c>
      <c r="T629" s="77">
        <v>0</v>
      </c>
      <c r="U629" s="77">
        <v>0</v>
      </c>
      <c r="V629" s="77">
        <v>61</v>
      </c>
      <c r="W629" s="82" t="s">
        <v>1846</v>
      </c>
      <c r="X629" s="80" t="str">
        <f>HYPERLINK("http://metodotdl.com.br/tdl/telegram")</f>
        <v>http://metodotdl.com.br/tdl/telegram</v>
      </c>
      <c r="Y629" s="77" t="s">
        <v>1978</v>
      </c>
      <c r="Z629" s="77"/>
      <c r="AA629" s="77" t="s">
        <v>2434</v>
      </c>
      <c r="AB629" s="77" t="s">
        <v>2632</v>
      </c>
      <c r="AC629" s="82" t="s">
        <v>2642</v>
      </c>
      <c r="AD629" s="77" t="s">
        <v>2670</v>
      </c>
      <c r="AE629" s="80" t="str">
        <f>HYPERLINK("https://twitter.com/metodotdl/status/1622701799554646016")</f>
        <v>https://twitter.com/metodotdl/status/1622701799554646016</v>
      </c>
      <c r="AF629" s="79">
        <v>44963.87537037037</v>
      </c>
      <c r="AG629" s="85">
        <v>44963</v>
      </c>
      <c r="AH629" s="82" t="s">
        <v>3183</v>
      </c>
      <c r="AI629" s="77" t="b">
        <v>0</v>
      </c>
      <c r="AJ629" s="77"/>
      <c r="AK629" s="77"/>
      <c r="AL629" s="77"/>
      <c r="AM629" s="77"/>
      <c r="AN629" s="77"/>
      <c r="AO629" s="77"/>
      <c r="AP629" s="77"/>
      <c r="AQ629" s="77" t="s">
        <v>3863</v>
      </c>
      <c r="AR629" s="77"/>
      <c r="AS629" s="77"/>
      <c r="AT629" s="77"/>
      <c r="AU629" s="77"/>
      <c r="AV629" s="80" t="str">
        <f>HYPERLINK("https://pbs.twimg.com/media/FoT-r_YXgBU5abk.jpg")</f>
        <v>https://pbs.twimg.com/media/FoT-r_YXgBU5abk.jpg</v>
      </c>
      <c r="AW629" s="82" t="s">
        <v>4680</v>
      </c>
      <c r="AX629" s="82" t="s">
        <v>4680</v>
      </c>
      <c r="AY629" s="77"/>
      <c r="AZ629" s="82" t="s">
        <v>5075</v>
      </c>
      <c r="BA629" s="82" t="s">
        <v>5075</v>
      </c>
      <c r="BB629" s="82" t="s">
        <v>5075</v>
      </c>
      <c r="BC629" s="82" t="s">
        <v>4680</v>
      </c>
      <c r="BD629" s="82" t="s">
        <v>5233</v>
      </c>
      <c r="BE629" s="77"/>
      <c r="BF629" s="77"/>
      <c r="BG629" s="77"/>
      <c r="BH629" s="77"/>
      <c r="BI629" s="77"/>
    </row>
    <row r="630" spans="1:61" x14ac:dyDescent="0.25">
      <c r="A630" s="62" t="s">
        <v>424</v>
      </c>
      <c r="B630" s="62" t="s">
        <v>424</v>
      </c>
      <c r="C630" s="63"/>
      <c r="D630" s="64"/>
      <c r="E630" s="65"/>
      <c r="F630" s="66"/>
      <c r="G630" s="63"/>
      <c r="H630" s="67"/>
      <c r="I630" s="68"/>
      <c r="J630" s="68"/>
      <c r="K630" s="32"/>
      <c r="L630" s="75">
        <v>630</v>
      </c>
      <c r="M630" s="75"/>
      <c r="N630" s="70"/>
      <c r="O630" s="77" t="s">
        <v>179</v>
      </c>
      <c r="P630" s="79">
        <v>44931.875416666669</v>
      </c>
      <c r="Q630" s="77" t="s">
        <v>1157</v>
      </c>
      <c r="R630" s="77">
        <v>0</v>
      </c>
      <c r="S630" s="77">
        <v>0</v>
      </c>
      <c r="T630" s="77">
        <v>0</v>
      </c>
      <c r="U630" s="77">
        <v>0</v>
      </c>
      <c r="V630" s="77">
        <v>80</v>
      </c>
      <c r="W630" s="82" t="s">
        <v>1846</v>
      </c>
      <c r="X630" s="80" t="str">
        <f>HYPERLINK("http://metodotdl.com.br/tdl/telegram")</f>
        <v>http://metodotdl.com.br/tdl/telegram</v>
      </c>
      <c r="Y630" s="77" t="s">
        <v>1978</v>
      </c>
      <c r="Z630" s="77"/>
      <c r="AA630" s="77" t="s">
        <v>2435</v>
      </c>
      <c r="AB630" s="77" t="s">
        <v>2632</v>
      </c>
      <c r="AC630" s="82" t="s">
        <v>2642</v>
      </c>
      <c r="AD630" s="77" t="s">
        <v>2670</v>
      </c>
      <c r="AE630" s="80" t="str">
        <f>HYPERLINK("https://twitter.com/metodotdl/status/1611105405282689024")</f>
        <v>https://twitter.com/metodotdl/status/1611105405282689024</v>
      </c>
      <c r="AF630" s="79">
        <v>44931.875416666669</v>
      </c>
      <c r="AG630" s="85">
        <v>44931</v>
      </c>
      <c r="AH630" s="82" t="s">
        <v>3181</v>
      </c>
      <c r="AI630" s="77" t="b">
        <v>0</v>
      </c>
      <c r="AJ630" s="77"/>
      <c r="AK630" s="77"/>
      <c r="AL630" s="77"/>
      <c r="AM630" s="77"/>
      <c r="AN630" s="77"/>
      <c r="AO630" s="77"/>
      <c r="AP630" s="77"/>
      <c r="AQ630" s="77" t="s">
        <v>3864</v>
      </c>
      <c r="AR630" s="77"/>
      <c r="AS630" s="77"/>
      <c r="AT630" s="77"/>
      <c r="AU630" s="77"/>
      <c r="AV630" s="80" t="str">
        <f>HYPERLINK("https://pbs.twimg.com/media/FlvL1AoX0AUIgcn.jpg")</f>
        <v>https://pbs.twimg.com/media/FlvL1AoX0AUIgcn.jpg</v>
      </c>
      <c r="AW630" s="82" t="s">
        <v>4681</v>
      </c>
      <c r="AX630" s="82" t="s">
        <v>4681</v>
      </c>
      <c r="AY630" s="77"/>
      <c r="AZ630" s="82" t="s">
        <v>5075</v>
      </c>
      <c r="BA630" s="82" t="s">
        <v>5075</v>
      </c>
      <c r="BB630" s="82" t="s">
        <v>5075</v>
      </c>
      <c r="BC630" s="82" t="s">
        <v>4681</v>
      </c>
      <c r="BD630" s="82" t="s">
        <v>5233</v>
      </c>
      <c r="BE630" s="77"/>
      <c r="BF630" s="77"/>
      <c r="BG630" s="77"/>
      <c r="BH630" s="77"/>
      <c r="BI630" s="77"/>
    </row>
    <row r="631" spans="1:61" x14ac:dyDescent="0.25">
      <c r="A631" s="62" t="s">
        <v>424</v>
      </c>
      <c r="B631" s="62" t="s">
        <v>424</v>
      </c>
      <c r="C631" s="63"/>
      <c r="D631" s="64"/>
      <c r="E631" s="65"/>
      <c r="F631" s="66"/>
      <c r="G631" s="63"/>
      <c r="H631" s="67"/>
      <c r="I631" s="68"/>
      <c r="J631" s="68"/>
      <c r="K631" s="32"/>
      <c r="L631" s="75">
        <v>631</v>
      </c>
      <c r="M631" s="75"/>
      <c r="N631" s="70"/>
      <c r="O631" s="77" t="s">
        <v>179</v>
      </c>
      <c r="P631" s="79">
        <v>44930.875462962962</v>
      </c>
      <c r="Q631" s="77" t="s">
        <v>1158</v>
      </c>
      <c r="R631" s="77">
        <v>0</v>
      </c>
      <c r="S631" s="77">
        <v>0</v>
      </c>
      <c r="T631" s="77">
        <v>0</v>
      </c>
      <c r="U631" s="77">
        <v>0</v>
      </c>
      <c r="V631" s="77">
        <v>78</v>
      </c>
      <c r="W631" s="82" t="s">
        <v>1846</v>
      </c>
      <c r="X631" s="80" t="str">
        <f>HYPERLINK("http://metodotdl.com.br/tdl/telegram")</f>
        <v>http://metodotdl.com.br/tdl/telegram</v>
      </c>
      <c r="Y631" s="77" t="s">
        <v>1978</v>
      </c>
      <c r="Z631" s="77"/>
      <c r="AA631" s="77" t="s">
        <v>2436</v>
      </c>
      <c r="AB631" s="77" t="s">
        <v>2632</v>
      </c>
      <c r="AC631" s="82" t="s">
        <v>2642</v>
      </c>
      <c r="AD631" s="77" t="s">
        <v>2670</v>
      </c>
      <c r="AE631" s="80" t="str">
        <f>HYPERLINK("https://twitter.com/metodotdl/status/1610743036316721152")</f>
        <v>https://twitter.com/metodotdl/status/1610743036316721152</v>
      </c>
      <c r="AF631" s="79">
        <v>44930.875462962962</v>
      </c>
      <c r="AG631" s="85">
        <v>44930</v>
      </c>
      <c r="AH631" s="82" t="s">
        <v>3217</v>
      </c>
      <c r="AI631" s="77" t="b">
        <v>0</v>
      </c>
      <c r="AJ631" s="77"/>
      <c r="AK631" s="77"/>
      <c r="AL631" s="77"/>
      <c r="AM631" s="77"/>
      <c r="AN631" s="77"/>
      <c r="AO631" s="77"/>
      <c r="AP631" s="77"/>
      <c r="AQ631" s="77" t="s">
        <v>3865</v>
      </c>
      <c r="AR631" s="77"/>
      <c r="AS631" s="77"/>
      <c r="AT631" s="77"/>
      <c r="AU631" s="77"/>
      <c r="AV631" s="80" t="str">
        <f>HYPERLINK("https://pbs.twimg.com/media/FlqCQUeWAAYzQ9R.jpg")</f>
        <v>https://pbs.twimg.com/media/FlqCQUeWAAYzQ9R.jpg</v>
      </c>
      <c r="AW631" s="82" t="s">
        <v>4682</v>
      </c>
      <c r="AX631" s="82" t="s">
        <v>4682</v>
      </c>
      <c r="AY631" s="77"/>
      <c r="AZ631" s="82" t="s">
        <v>5075</v>
      </c>
      <c r="BA631" s="82" t="s">
        <v>5075</v>
      </c>
      <c r="BB631" s="82" t="s">
        <v>5075</v>
      </c>
      <c r="BC631" s="82" t="s">
        <v>4682</v>
      </c>
      <c r="BD631" s="82" t="s">
        <v>5233</v>
      </c>
      <c r="BE631" s="77"/>
      <c r="BF631" s="77"/>
      <c r="BG631" s="77"/>
      <c r="BH631" s="77"/>
      <c r="BI631" s="77"/>
    </row>
    <row r="632" spans="1:61" x14ac:dyDescent="0.25">
      <c r="A632" s="62" t="s">
        <v>424</v>
      </c>
      <c r="B632" s="62" t="s">
        <v>424</v>
      </c>
      <c r="C632" s="63"/>
      <c r="D632" s="64"/>
      <c r="E632" s="65"/>
      <c r="F632" s="66"/>
      <c r="G632" s="63"/>
      <c r="H632" s="67"/>
      <c r="I632" s="68"/>
      <c r="J632" s="68"/>
      <c r="K632" s="32"/>
      <c r="L632" s="75">
        <v>632</v>
      </c>
      <c r="M632" s="75"/>
      <c r="N632" s="70"/>
      <c r="O632" s="77" t="s">
        <v>179</v>
      </c>
      <c r="P632" s="79">
        <v>44929.875555555554</v>
      </c>
      <c r="Q632" s="77" t="s">
        <v>1159</v>
      </c>
      <c r="R632" s="77">
        <v>0</v>
      </c>
      <c r="S632" s="77">
        <v>0</v>
      </c>
      <c r="T632" s="77">
        <v>0</v>
      </c>
      <c r="U632" s="77">
        <v>0</v>
      </c>
      <c r="V632" s="77">
        <v>48</v>
      </c>
      <c r="W632" s="82" t="s">
        <v>1846</v>
      </c>
      <c r="X632" s="80" t="str">
        <f>HYPERLINK("http://metodotdl.com.br/tdl/telegram")</f>
        <v>http://metodotdl.com.br/tdl/telegram</v>
      </c>
      <c r="Y632" s="77" t="s">
        <v>1978</v>
      </c>
      <c r="Z632" s="77"/>
      <c r="AA632" s="77" t="s">
        <v>2437</v>
      </c>
      <c r="AB632" s="77" t="s">
        <v>2632</v>
      </c>
      <c r="AC632" s="82" t="s">
        <v>2642</v>
      </c>
      <c r="AD632" s="77" t="s">
        <v>2670</v>
      </c>
      <c r="AE632" s="80" t="str">
        <f>HYPERLINK("https://twitter.com/metodotdl/status/1610380680394842114")</f>
        <v>https://twitter.com/metodotdl/status/1610380680394842114</v>
      </c>
      <c r="AF632" s="79">
        <v>44929.875555555554</v>
      </c>
      <c r="AG632" s="85">
        <v>44929</v>
      </c>
      <c r="AH632" s="82" t="s">
        <v>3198</v>
      </c>
      <c r="AI632" s="77" t="b">
        <v>0</v>
      </c>
      <c r="AJ632" s="77"/>
      <c r="AK632" s="77"/>
      <c r="AL632" s="77"/>
      <c r="AM632" s="77"/>
      <c r="AN632" s="77"/>
      <c r="AO632" s="77"/>
      <c r="AP632" s="77"/>
      <c r="AQ632" s="77" t="s">
        <v>3866</v>
      </c>
      <c r="AR632" s="77"/>
      <c r="AS632" s="77"/>
      <c r="AT632" s="77"/>
      <c r="AU632" s="77"/>
      <c r="AV632" s="80" t="str">
        <f>HYPERLINK("https://pbs.twimg.com/media/Flk4sfJWQAMfUx-.jpg")</f>
        <v>https://pbs.twimg.com/media/Flk4sfJWQAMfUx-.jpg</v>
      </c>
      <c r="AW632" s="82" t="s">
        <v>4683</v>
      </c>
      <c r="AX632" s="82" t="s">
        <v>4683</v>
      </c>
      <c r="AY632" s="77"/>
      <c r="AZ632" s="82" t="s">
        <v>5075</v>
      </c>
      <c r="BA632" s="82" t="s">
        <v>5075</v>
      </c>
      <c r="BB632" s="82" t="s">
        <v>5075</v>
      </c>
      <c r="BC632" s="82" t="s">
        <v>4683</v>
      </c>
      <c r="BD632" s="82" t="s">
        <v>5233</v>
      </c>
      <c r="BE632" s="77"/>
      <c r="BF632" s="77"/>
      <c r="BG632" s="77"/>
      <c r="BH632" s="77"/>
      <c r="BI632" s="77"/>
    </row>
    <row r="633" spans="1:61" x14ac:dyDescent="0.25">
      <c r="A633" s="62" t="s">
        <v>424</v>
      </c>
      <c r="B633" s="62" t="s">
        <v>424</v>
      </c>
      <c r="C633" s="63"/>
      <c r="D633" s="64"/>
      <c r="E633" s="65"/>
      <c r="F633" s="66"/>
      <c r="G633" s="63"/>
      <c r="H633" s="67"/>
      <c r="I633" s="68"/>
      <c r="J633" s="68"/>
      <c r="K633" s="32"/>
      <c r="L633" s="75">
        <v>633</v>
      </c>
      <c r="M633" s="75"/>
      <c r="N633" s="70"/>
      <c r="O633" s="77" t="s">
        <v>179</v>
      </c>
      <c r="P633" s="79">
        <v>44928.875416666669</v>
      </c>
      <c r="Q633" s="77" t="s">
        <v>1160</v>
      </c>
      <c r="R633" s="77">
        <v>0</v>
      </c>
      <c r="S633" s="77">
        <v>0</v>
      </c>
      <c r="T633" s="77">
        <v>0</v>
      </c>
      <c r="U633" s="77">
        <v>0</v>
      </c>
      <c r="V633" s="77">
        <v>92</v>
      </c>
      <c r="W633" s="82" t="s">
        <v>1846</v>
      </c>
      <c r="X633" s="80" t="str">
        <f>HYPERLINK("http://metodotdl.com.br/tdl/telegram")</f>
        <v>http://metodotdl.com.br/tdl/telegram</v>
      </c>
      <c r="Y633" s="77" t="s">
        <v>1978</v>
      </c>
      <c r="Z633" s="77"/>
      <c r="AA633" s="77" t="s">
        <v>2438</v>
      </c>
      <c r="AB633" s="77" t="s">
        <v>2632</v>
      </c>
      <c r="AC633" s="82" t="s">
        <v>2642</v>
      </c>
      <c r="AD633" s="77" t="s">
        <v>2670</v>
      </c>
      <c r="AE633" s="80" t="str">
        <f>HYPERLINK("https://twitter.com/metodotdl/status/1610018243955113993")</f>
        <v>https://twitter.com/metodotdl/status/1610018243955113993</v>
      </c>
      <c r="AF633" s="79">
        <v>44928.875416666669</v>
      </c>
      <c r="AG633" s="85">
        <v>44928</v>
      </c>
      <c r="AH633" s="82" t="s">
        <v>3181</v>
      </c>
      <c r="AI633" s="77" t="b">
        <v>0</v>
      </c>
      <c r="AJ633" s="77"/>
      <c r="AK633" s="77"/>
      <c r="AL633" s="77"/>
      <c r="AM633" s="77"/>
      <c r="AN633" s="77"/>
      <c r="AO633" s="77"/>
      <c r="AP633" s="77"/>
      <c r="AQ633" s="77" t="s">
        <v>3867</v>
      </c>
      <c r="AR633" s="77"/>
      <c r="AS633" s="77"/>
      <c r="AT633" s="77"/>
      <c r="AU633" s="77"/>
      <c r="AV633" s="80" t="str">
        <f>HYPERLINK("https://pbs.twimg.com/media/FlfvD7aXEAE11cO.jpg")</f>
        <v>https://pbs.twimg.com/media/FlfvD7aXEAE11cO.jpg</v>
      </c>
      <c r="AW633" s="82" t="s">
        <v>4684</v>
      </c>
      <c r="AX633" s="82" t="s">
        <v>4684</v>
      </c>
      <c r="AY633" s="77"/>
      <c r="AZ633" s="82" t="s">
        <v>5075</v>
      </c>
      <c r="BA633" s="82" t="s">
        <v>5075</v>
      </c>
      <c r="BB633" s="82" t="s">
        <v>5075</v>
      </c>
      <c r="BC633" s="82" t="s">
        <v>4684</v>
      </c>
      <c r="BD633" s="82" t="s">
        <v>5233</v>
      </c>
      <c r="BE633" s="77"/>
      <c r="BF633" s="77"/>
      <c r="BG633" s="77"/>
      <c r="BH633" s="77"/>
      <c r="BI633" s="77"/>
    </row>
    <row r="634" spans="1:61" x14ac:dyDescent="0.25">
      <c r="A634" s="62" t="s">
        <v>424</v>
      </c>
      <c r="B634" s="62" t="s">
        <v>424</v>
      </c>
      <c r="C634" s="63"/>
      <c r="D634" s="64"/>
      <c r="E634" s="65"/>
      <c r="F634" s="66"/>
      <c r="G634" s="63"/>
      <c r="H634" s="67"/>
      <c r="I634" s="68"/>
      <c r="J634" s="68"/>
      <c r="K634" s="32"/>
      <c r="L634" s="75">
        <v>634</v>
      </c>
      <c r="M634" s="75"/>
      <c r="N634" s="70"/>
      <c r="O634" s="77" t="s">
        <v>179</v>
      </c>
      <c r="P634" s="79">
        <v>45140.878877314812</v>
      </c>
      <c r="Q634" s="77" t="s">
        <v>1161</v>
      </c>
      <c r="R634" s="77">
        <v>0</v>
      </c>
      <c r="S634" s="77">
        <v>0</v>
      </c>
      <c r="T634" s="77">
        <v>0</v>
      </c>
      <c r="U634" s="77">
        <v>0</v>
      </c>
      <c r="V634" s="77">
        <v>46</v>
      </c>
      <c r="W634" s="82" t="s">
        <v>1846</v>
      </c>
      <c r="X634" s="80" t="str">
        <f>HYPERLINK("http://metodotdl.com.br/tdl/telegram")</f>
        <v>http://metodotdl.com.br/tdl/telegram</v>
      </c>
      <c r="Y634" s="77" t="s">
        <v>1978</v>
      </c>
      <c r="Z634" s="77"/>
      <c r="AA634" s="77" t="s">
        <v>2439</v>
      </c>
      <c r="AB634" s="77" t="s">
        <v>2632</v>
      </c>
      <c r="AC634" s="82" t="s">
        <v>2642</v>
      </c>
      <c r="AD634" s="77" t="s">
        <v>2670</v>
      </c>
      <c r="AE634" s="80" t="str">
        <f>HYPERLINK("https://twitter.com/metodotdl/status/1686845724892246016")</f>
        <v>https://twitter.com/metodotdl/status/1686845724892246016</v>
      </c>
      <c r="AF634" s="79">
        <v>45140.878877314812</v>
      </c>
      <c r="AG634" s="85">
        <v>45140</v>
      </c>
      <c r="AH634" s="82" t="s">
        <v>3218</v>
      </c>
      <c r="AI634" s="77" t="b">
        <v>0</v>
      </c>
      <c r="AJ634" s="77"/>
      <c r="AK634" s="77"/>
      <c r="AL634" s="77"/>
      <c r="AM634" s="77"/>
      <c r="AN634" s="77"/>
      <c r="AO634" s="77"/>
      <c r="AP634" s="77"/>
      <c r="AQ634" s="77" t="s">
        <v>3868</v>
      </c>
      <c r="AR634" s="77"/>
      <c r="AS634" s="77"/>
      <c r="AT634" s="77"/>
      <c r="AU634" s="77"/>
      <c r="AV634" s="80" t="str">
        <f>HYPERLINK("https://pbs.twimg.com/media/F2jhP0zWsAEHuG9.jpg")</f>
        <v>https://pbs.twimg.com/media/F2jhP0zWsAEHuG9.jpg</v>
      </c>
      <c r="AW634" s="82" t="s">
        <v>4685</v>
      </c>
      <c r="AX634" s="82" t="s">
        <v>4685</v>
      </c>
      <c r="AY634" s="77"/>
      <c r="AZ634" s="82" t="s">
        <v>5075</v>
      </c>
      <c r="BA634" s="82" t="s">
        <v>5075</v>
      </c>
      <c r="BB634" s="82" t="s">
        <v>5075</v>
      </c>
      <c r="BC634" s="82" t="s">
        <v>4685</v>
      </c>
      <c r="BD634" s="82" t="s">
        <v>5233</v>
      </c>
      <c r="BE634" s="77"/>
      <c r="BF634" s="77"/>
      <c r="BG634" s="77"/>
      <c r="BH634" s="77"/>
      <c r="BI634" s="77"/>
    </row>
    <row r="635" spans="1:61" x14ac:dyDescent="0.25">
      <c r="A635" s="62" t="s">
        <v>424</v>
      </c>
      <c r="B635" s="62" t="s">
        <v>424</v>
      </c>
      <c r="C635" s="63"/>
      <c r="D635" s="64"/>
      <c r="E635" s="65"/>
      <c r="F635" s="66"/>
      <c r="G635" s="63"/>
      <c r="H635" s="67"/>
      <c r="I635" s="68"/>
      <c r="J635" s="68"/>
      <c r="K635" s="32"/>
      <c r="L635" s="75">
        <v>635</v>
      </c>
      <c r="M635" s="75"/>
      <c r="N635" s="70"/>
      <c r="O635" s="77" t="s">
        <v>179</v>
      </c>
      <c r="P635" s="79">
        <v>45118.871701388889</v>
      </c>
      <c r="Q635" s="77" t="s">
        <v>1162</v>
      </c>
      <c r="R635" s="77">
        <v>0</v>
      </c>
      <c r="S635" s="77">
        <v>0</v>
      </c>
      <c r="T635" s="77">
        <v>0</v>
      </c>
      <c r="U635" s="77">
        <v>0</v>
      </c>
      <c r="V635" s="77">
        <v>63</v>
      </c>
      <c r="W635" s="82" t="s">
        <v>1846</v>
      </c>
      <c r="X635" s="80" t="str">
        <f>HYPERLINK("http://metodotdl.com.br/tdl/telegram")</f>
        <v>http://metodotdl.com.br/tdl/telegram</v>
      </c>
      <c r="Y635" s="77" t="s">
        <v>1978</v>
      </c>
      <c r="Z635" s="77"/>
      <c r="AA635" s="77" t="s">
        <v>2440</v>
      </c>
      <c r="AB635" s="77" t="s">
        <v>2632</v>
      </c>
      <c r="AC635" s="82" t="s">
        <v>2642</v>
      </c>
      <c r="AD635" s="77" t="s">
        <v>2670</v>
      </c>
      <c r="AE635" s="80" t="str">
        <f>HYPERLINK("https://twitter.com/metodotdl/status/1678870592391446529")</f>
        <v>https://twitter.com/metodotdl/status/1678870592391446529</v>
      </c>
      <c r="AF635" s="79">
        <v>45118.871701388889</v>
      </c>
      <c r="AG635" s="85">
        <v>45118</v>
      </c>
      <c r="AH635" s="82" t="s">
        <v>3219</v>
      </c>
      <c r="AI635" s="77" t="b">
        <v>0</v>
      </c>
      <c r="AJ635" s="77"/>
      <c r="AK635" s="77"/>
      <c r="AL635" s="77"/>
      <c r="AM635" s="77"/>
      <c r="AN635" s="77"/>
      <c r="AO635" s="77"/>
      <c r="AP635" s="77"/>
      <c r="AQ635" s="77" t="s">
        <v>3869</v>
      </c>
      <c r="AR635" s="77"/>
      <c r="AS635" s="77"/>
      <c r="AT635" s="77"/>
      <c r="AU635" s="77"/>
      <c r="AV635" s="80" t="str">
        <f>HYPERLINK("https://pbs.twimg.com/media/F0yL6C5WwAA7_0m.jpg")</f>
        <v>https://pbs.twimg.com/media/F0yL6C5WwAA7_0m.jpg</v>
      </c>
      <c r="AW635" s="82" t="s">
        <v>4686</v>
      </c>
      <c r="AX635" s="82" t="s">
        <v>4686</v>
      </c>
      <c r="AY635" s="77"/>
      <c r="AZ635" s="82" t="s">
        <v>5075</v>
      </c>
      <c r="BA635" s="82" t="s">
        <v>5075</v>
      </c>
      <c r="BB635" s="82" t="s">
        <v>5075</v>
      </c>
      <c r="BC635" s="82" t="s">
        <v>4686</v>
      </c>
      <c r="BD635" s="82" t="s">
        <v>5233</v>
      </c>
      <c r="BE635" s="77"/>
      <c r="BF635" s="77"/>
      <c r="BG635" s="77"/>
      <c r="BH635" s="77"/>
      <c r="BI635" s="77"/>
    </row>
    <row r="636" spans="1:61" x14ac:dyDescent="0.25">
      <c r="A636" s="62" t="s">
        <v>424</v>
      </c>
      <c r="B636" s="62" t="s">
        <v>424</v>
      </c>
      <c r="C636" s="63"/>
      <c r="D636" s="64"/>
      <c r="E636" s="65"/>
      <c r="F636" s="66"/>
      <c r="G636" s="63"/>
      <c r="H636" s="67"/>
      <c r="I636" s="68"/>
      <c r="J636" s="68"/>
      <c r="K636" s="32"/>
      <c r="L636" s="75">
        <v>636</v>
      </c>
      <c r="M636" s="75"/>
      <c r="N636" s="70"/>
      <c r="O636" s="77" t="s">
        <v>179</v>
      </c>
      <c r="P636" s="79">
        <v>45107.875648148147</v>
      </c>
      <c r="Q636" s="77" t="s">
        <v>1163</v>
      </c>
      <c r="R636" s="77">
        <v>0</v>
      </c>
      <c r="S636" s="77">
        <v>0</v>
      </c>
      <c r="T636" s="77">
        <v>0</v>
      </c>
      <c r="U636" s="77">
        <v>0</v>
      </c>
      <c r="V636" s="77">
        <v>80</v>
      </c>
      <c r="W636" s="82" t="s">
        <v>1846</v>
      </c>
      <c r="X636" s="80" t="str">
        <f>HYPERLINK("http://metodotdl.com.br/tdl/telegram")</f>
        <v>http://metodotdl.com.br/tdl/telegram</v>
      </c>
      <c r="Y636" s="77" t="s">
        <v>1978</v>
      </c>
      <c r="Z636" s="77"/>
      <c r="AA636" s="77" t="s">
        <v>2441</v>
      </c>
      <c r="AB636" s="77" t="s">
        <v>2632</v>
      </c>
      <c r="AC636" s="82" t="s">
        <v>2642</v>
      </c>
      <c r="AD636" s="77" t="s">
        <v>2670</v>
      </c>
      <c r="AE636" s="80" t="str">
        <f>HYPERLINK("https://twitter.com/metodotdl/status/1674885753778610185")</f>
        <v>https://twitter.com/metodotdl/status/1674885753778610185</v>
      </c>
      <c r="AF636" s="79">
        <v>45107.875648148147</v>
      </c>
      <c r="AG636" s="85">
        <v>45107</v>
      </c>
      <c r="AH636" s="82" t="s">
        <v>3202</v>
      </c>
      <c r="AI636" s="77" t="b">
        <v>0</v>
      </c>
      <c r="AJ636" s="77"/>
      <c r="AK636" s="77"/>
      <c r="AL636" s="77"/>
      <c r="AM636" s="77"/>
      <c r="AN636" s="77"/>
      <c r="AO636" s="77"/>
      <c r="AP636" s="77"/>
      <c r="AQ636" s="77" t="s">
        <v>3870</v>
      </c>
      <c r="AR636" s="77"/>
      <c r="AS636" s="77"/>
      <c r="AT636" s="77"/>
      <c r="AU636" s="77"/>
      <c r="AV636" s="80" t="str">
        <f>HYPERLINK("https://pbs.twimg.com/media/Fz5jt2gXwAU-xFv.jpg")</f>
        <v>https://pbs.twimg.com/media/Fz5jt2gXwAU-xFv.jpg</v>
      </c>
      <c r="AW636" s="82" t="s">
        <v>4687</v>
      </c>
      <c r="AX636" s="82" t="s">
        <v>4687</v>
      </c>
      <c r="AY636" s="77"/>
      <c r="AZ636" s="82" t="s">
        <v>5075</v>
      </c>
      <c r="BA636" s="82" t="s">
        <v>5075</v>
      </c>
      <c r="BB636" s="82" t="s">
        <v>5075</v>
      </c>
      <c r="BC636" s="82" t="s">
        <v>4687</v>
      </c>
      <c r="BD636" s="82" t="s">
        <v>5233</v>
      </c>
      <c r="BE636" s="77"/>
      <c r="BF636" s="77"/>
      <c r="BG636" s="77"/>
      <c r="BH636" s="77"/>
      <c r="BI636" s="77"/>
    </row>
    <row r="637" spans="1:61" x14ac:dyDescent="0.25">
      <c r="A637" s="62" t="s">
        <v>424</v>
      </c>
      <c r="B637" s="62" t="s">
        <v>424</v>
      </c>
      <c r="C637" s="63"/>
      <c r="D637" s="64"/>
      <c r="E637" s="65"/>
      <c r="F637" s="66"/>
      <c r="G637" s="63"/>
      <c r="H637" s="67"/>
      <c r="I637" s="68"/>
      <c r="J637" s="68"/>
      <c r="K637" s="32"/>
      <c r="L637" s="75">
        <v>637</v>
      </c>
      <c r="M637" s="75"/>
      <c r="N637" s="70"/>
      <c r="O637" s="77" t="s">
        <v>179</v>
      </c>
      <c r="P637" s="79">
        <v>45106.875567129631</v>
      </c>
      <c r="Q637" s="77" t="s">
        <v>1164</v>
      </c>
      <c r="R637" s="77">
        <v>0</v>
      </c>
      <c r="S637" s="77">
        <v>0</v>
      </c>
      <c r="T637" s="77">
        <v>0</v>
      </c>
      <c r="U637" s="77">
        <v>0</v>
      </c>
      <c r="V637" s="77">
        <v>68</v>
      </c>
      <c r="W637" s="82" t="s">
        <v>1846</v>
      </c>
      <c r="X637" s="80" t="str">
        <f>HYPERLINK("http://metodotdl.com.br/tdl/telegram")</f>
        <v>http://metodotdl.com.br/tdl/telegram</v>
      </c>
      <c r="Y637" s="77" t="s">
        <v>1978</v>
      </c>
      <c r="Z637" s="77"/>
      <c r="AA637" s="77" t="s">
        <v>2442</v>
      </c>
      <c r="AB637" s="77" t="s">
        <v>2632</v>
      </c>
      <c r="AC637" s="82" t="s">
        <v>2642</v>
      </c>
      <c r="AD637" s="77" t="s">
        <v>2670</v>
      </c>
      <c r="AE637" s="80" t="str">
        <f>HYPERLINK("https://twitter.com/metodotdl/status/1674523338654269440")</f>
        <v>https://twitter.com/metodotdl/status/1674523338654269440</v>
      </c>
      <c r="AF637" s="79">
        <v>45106.875567129631</v>
      </c>
      <c r="AG637" s="85">
        <v>45106</v>
      </c>
      <c r="AH637" s="82" t="s">
        <v>3186</v>
      </c>
      <c r="AI637" s="77" t="b">
        <v>0</v>
      </c>
      <c r="AJ637" s="77"/>
      <c r="AK637" s="77"/>
      <c r="AL637" s="77"/>
      <c r="AM637" s="77"/>
      <c r="AN637" s="77"/>
      <c r="AO637" s="77"/>
      <c r="AP637" s="77"/>
      <c r="AQ637" s="77" t="s">
        <v>3871</v>
      </c>
      <c r="AR637" s="77"/>
      <c r="AS637" s="77"/>
      <c r="AT637" s="77"/>
      <c r="AU637" s="77"/>
      <c r="AV637" s="80" t="str">
        <f>HYPERLINK("https://pbs.twimg.com/media/Fz0aGe4XwAYQWo7.jpg")</f>
        <v>https://pbs.twimg.com/media/Fz0aGe4XwAYQWo7.jpg</v>
      </c>
      <c r="AW637" s="82" t="s">
        <v>4688</v>
      </c>
      <c r="AX637" s="82" t="s">
        <v>4688</v>
      </c>
      <c r="AY637" s="77"/>
      <c r="AZ637" s="82" t="s">
        <v>5075</v>
      </c>
      <c r="BA637" s="82" t="s">
        <v>5075</v>
      </c>
      <c r="BB637" s="82" t="s">
        <v>5075</v>
      </c>
      <c r="BC637" s="82" t="s">
        <v>4688</v>
      </c>
      <c r="BD637" s="82" t="s">
        <v>5233</v>
      </c>
      <c r="BE637" s="77"/>
      <c r="BF637" s="77"/>
      <c r="BG637" s="77"/>
      <c r="BH637" s="77"/>
      <c r="BI637" s="77"/>
    </row>
    <row r="638" spans="1:61" x14ac:dyDescent="0.25">
      <c r="A638" s="62" t="s">
        <v>424</v>
      </c>
      <c r="B638" s="62" t="s">
        <v>424</v>
      </c>
      <c r="C638" s="63"/>
      <c r="D638" s="64"/>
      <c r="E638" s="65"/>
      <c r="F638" s="66"/>
      <c r="G638" s="63"/>
      <c r="H638" s="67"/>
      <c r="I638" s="68"/>
      <c r="J638" s="68"/>
      <c r="K638" s="32"/>
      <c r="L638" s="75">
        <v>638</v>
      </c>
      <c r="M638" s="75"/>
      <c r="N638" s="70"/>
      <c r="O638" s="77" t="s">
        <v>179</v>
      </c>
      <c r="P638" s="79">
        <v>45090.876585648148</v>
      </c>
      <c r="Q638" s="77" t="s">
        <v>1165</v>
      </c>
      <c r="R638" s="77">
        <v>0</v>
      </c>
      <c r="S638" s="77">
        <v>0</v>
      </c>
      <c r="T638" s="77">
        <v>0</v>
      </c>
      <c r="U638" s="77">
        <v>0</v>
      </c>
      <c r="V638" s="77">
        <v>65</v>
      </c>
      <c r="W638" s="82" t="s">
        <v>1846</v>
      </c>
      <c r="X638" s="80" t="str">
        <f>HYPERLINK("http://metodotdl.com.br/tdl/telegram")</f>
        <v>http://metodotdl.com.br/tdl/telegram</v>
      </c>
      <c r="Y638" s="77" t="s">
        <v>1978</v>
      </c>
      <c r="Z638" s="77"/>
      <c r="AA638" s="77" t="s">
        <v>2443</v>
      </c>
      <c r="AB638" s="77" t="s">
        <v>2632</v>
      </c>
      <c r="AC638" s="82" t="s">
        <v>2642</v>
      </c>
      <c r="AD638" s="77" t="s">
        <v>2670</v>
      </c>
      <c r="AE638" s="80" t="str">
        <f>HYPERLINK("https://twitter.com/metodotdl/status/1668725500800376832")</f>
        <v>https://twitter.com/metodotdl/status/1668725500800376832</v>
      </c>
      <c r="AF638" s="79">
        <v>45090.876585648148</v>
      </c>
      <c r="AG638" s="85">
        <v>45090</v>
      </c>
      <c r="AH638" s="82" t="s">
        <v>3220</v>
      </c>
      <c r="AI638" s="77" t="b">
        <v>0</v>
      </c>
      <c r="AJ638" s="77"/>
      <c r="AK638" s="77"/>
      <c r="AL638" s="77"/>
      <c r="AM638" s="77"/>
      <c r="AN638" s="77"/>
      <c r="AO638" s="77"/>
      <c r="AP638" s="77"/>
      <c r="AQ638" s="77" t="s">
        <v>3872</v>
      </c>
      <c r="AR638" s="77"/>
      <c r="AS638" s="77"/>
      <c r="AT638" s="77"/>
      <c r="AU638" s="77"/>
      <c r="AV638" s="80" t="str">
        <f>HYPERLINK("https://pbs.twimg.com/media/FyiA__CWYAA0B31.jpg")</f>
        <v>https://pbs.twimg.com/media/FyiA__CWYAA0B31.jpg</v>
      </c>
      <c r="AW638" s="82" t="s">
        <v>4689</v>
      </c>
      <c r="AX638" s="82" t="s">
        <v>4689</v>
      </c>
      <c r="AY638" s="77"/>
      <c r="AZ638" s="82" t="s">
        <v>5075</v>
      </c>
      <c r="BA638" s="82" t="s">
        <v>5075</v>
      </c>
      <c r="BB638" s="82" t="s">
        <v>5075</v>
      </c>
      <c r="BC638" s="82" t="s">
        <v>4689</v>
      </c>
      <c r="BD638" s="82" t="s">
        <v>5233</v>
      </c>
      <c r="BE638" s="77"/>
      <c r="BF638" s="77"/>
      <c r="BG638" s="77"/>
      <c r="BH638" s="77"/>
      <c r="BI638" s="77"/>
    </row>
    <row r="639" spans="1:61" x14ac:dyDescent="0.25">
      <c r="A639" s="62" t="s">
        <v>424</v>
      </c>
      <c r="B639" s="62" t="s">
        <v>424</v>
      </c>
      <c r="C639" s="63"/>
      <c r="D639" s="64"/>
      <c r="E639" s="65"/>
      <c r="F639" s="66"/>
      <c r="G639" s="63"/>
      <c r="H639" s="67"/>
      <c r="I639" s="68"/>
      <c r="J639" s="68"/>
      <c r="K639" s="32"/>
      <c r="L639" s="75">
        <v>639</v>
      </c>
      <c r="M639" s="75"/>
      <c r="N639" s="70"/>
      <c r="O639" s="77" t="s">
        <v>179</v>
      </c>
      <c r="P639" s="79">
        <v>45089.875578703701</v>
      </c>
      <c r="Q639" s="77" t="s">
        <v>1166</v>
      </c>
      <c r="R639" s="77">
        <v>0</v>
      </c>
      <c r="S639" s="77">
        <v>0</v>
      </c>
      <c r="T639" s="77">
        <v>0</v>
      </c>
      <c r="U639" s="77">
        <v>0</v>
      </c>
      <c r="V639" s="77">
        <v>64</v>
      </c>
      <c r="W639" s="82" t="s">
        <v>1846</v>
      </c>
      <c r="X639" s="80" t="str">
        <f>HYPERLINK("http://metodotdl.com.br/tdl/telegram")</f>
        <v>http://metodotdl.com.br/tdl/telegram</v>
      </c>
      <c r="Y639" s="77" t="s">
        <v>1978</v>
      </c>
      <c r="Z639" s="77"/>
      <c r="AA639" s="77" t="s">
        <v>2444</v>
      </c>
      <c r="AB639" s="77" t="s">
        <v>2632</v>
      </c>
      <c r="AC639" s="82" t="s">
        <v>2642</v>
      </c>
      <c r="AD639" s="77" t="s">
        <v>2670</v>
      </c>
      <c r="AE639" s="80" t="str">
        <f>HYPERLINK("https://twitter.com/metodotdl/status/1668362748999135234")</f>
        <v>https://twitter.com/metodotdl/status/1668362748999135234</v>
      </c>
      <c r="AF639" s="79">
        <v>45089.875578703701</v>
      </c>
      <c r="AG639" s="85">
        <v>45089</v>
      </c>
      <c r="AH639" s="82" t="s">
        <v>3177</v>
      </c>
      <c r="AI639" s="77" t="b">
        <v>0</v>
      </c>
      <c r="AJ639" s="77"/>
      <c r="AK639" s="77"/>
      <c r="AL639" s="77"/>
      <c r="AM639" s="77"/>
      <c r="AN639" s="77"/>
      <c r="AO639" s="77"/>
      <c r="AP639" s="77"/>
      <c r="AQ639" s="77" t="s">
        <v>3873</v>
      </c>
      <c r="AR639" s="77"/>
      <c r="AS639" s="77"/>
      <c r="AT639" s="77"/>
      <c r="AU639" s="77"/>
      <c r="AV639" s="80" t="str">
        <f>HYPERLINK("https://pbs.twimg.com/media/Fyc3FCcWcA8ff0O.jpg")</f>
        <v>https://pbs.twimg.com/media/Fyc3FCcWcA8ff0O.jpg</v>
      </c>
      <c r="AW639" s="82" t="s">
        <v>4690</v>
      </c>
      <c r="AX639" s="82" t="s">
        <v>4690</v>
      </c>
      <c r="AY639" s="77"/>
      <c r="AZ639" s="82" t="s">
        <v>5075</v>
      </c>
      <c r="BA639" s="82" t="s">
        <v>5075</v>
      </c>
      <c r="BB639" s="82" t="s">
        <v>5075</v>
      </c>
      <c r="BC639" s="82" t="s">
        <v>4690</v>
      </c>
      <c r="BD639" s="82" t="s">
        <v>5233</v>
      </c>
      <c r="BE639" s="77"/>
      <c r="BF639" s="77"/>
      <c r="BG639" s="77"/>
      <c r="BH639" s="77"/>
      <c r="BI639" s="77"/>
    </row>
    <row r="640" spans="1:61" x14ac:dyDescent="0.25">
      <c r="A640" s="62" t="s">
        <v>424</v>
      </c>
      <c r="B640" s="62" t="s">
        <v>424</v>
      </c>
      <c r="C640" s="63"/>
      <c r="D640" s="64"/>
      <c r="E640" s="65"/>
      <c r="F640" s="66"/>
      <c r="G640" s="63"/>
      <c r="H640" s="67"/>
      <c r="I640" s="68"/>
      <c r="J640" s="68"/>
      <c r="K640" s="32"/>
      <c r="L640" s="75">
        <v>640</v>
      </c>
      <c r="M640" s="75"/>
      <c r="N640" s="70"/>
      <c r="O640" s="77" t="s">
        <v>179</v>
      </c>
      <c r="P640" s="79">
        <v>45058.878819444442</v>
      </c>
      <c r="Q640" s="77" t="s">
        <v>1167</v>
      </c>
      <c r="R640" s="77">
        <v>0</v>
      </c>
      <c r="S640" s="77">
        <v>0</v>
      </c>
      <c r="T640" s="77">
        <v>0</v>
      </c>
      <c r="U640" s="77">
        <v>0</v>
      </c>
      <c r="V640" s="77">
        <v>77</v>
      </c>
      <c r="W640" s="82" t="s">
        <v>1846</v>
      </c>
      <c r="X640" s="80" t="str">
        <f>HYPERLINK("http://metodotdl.com.br/tdl/telegram")</f>
        <v>http://metodotdl.com.br/tdl/telegram</v>
      </c>
      <c r="Y640" s="77" t="s">
        <v>1978</v>
      </c>
      <c r="Z640" s="77"/>
      <c r="AA640" s="77" t="s">
        <v>2445</v>
      </c>
      <c r="AB640" s="77" t="s">
        <v>2632</v>
      </c>
      <c r="AC640" s="82" t="s">
        <v>2642</v>
      </c>
      <c r="AD640" s="77" t="s">
        <v>2670</v>
      </c>
      <c r="AE640" s="80" t="str">
        <f>HYPERLINK("https://twitter.com/metodotdl/status/1657129899063230464")</f>
        <v>https://twitter.com/metodotdl/status/1657129899063230464</v>
      </c>
      <c r="AF640" s="79">
        <v>45058.878819444442</v>
      </c>
      <c r="AG640" s="85">
        <v>45058</v>
      </c>
      <c r="AH640" s="82" t="s">
        <v>3221</v>
      </c>
      <c r="AI640" s="77" t="b">
        <v>0</v>
      </c>
      <c r="AJ640" s="77"/>
      <c r="AK640" s="77"/>
      <c r="AL640" s="77"/>
      <c r="AM640" s="77"/>
      <c r="AN640" s="77"/>
      <c r="AO640" s="77"/>
      <c r="AP640" s="77"/>
      <c r="AQ640" s="77" t="s">
        <v>3874</v>
      </c>
      <c r="AR640" s="77"/>
      <c r="AS640" s="77"/>
      <c r="AT640" s="77"/>
      <c r="AU640" s="77"/>
      <c r="AV640" s="80" t="str">
        <f>HYPERLINK("https://pbs.twimg.com/media/Fv9O3KKWAAQ-PJ6.png")</f>
        <v>https://pbs.twimg.com/media/Fv9O3KKWAAQ-PJ6.png</v>
      </c>
      <c r="AW640" s="82" t="s">
        <v>4691</v>
      </c>
      <c r="AX640" s="82" t="s">
        <v>4691</v>
      </c>
      <c r="AY640" s="77"/>
      <c r="AZ640" s="82" t="s">
        <v>5075</v>
      </c>
      <c r="BA640" s="82" t="s">
        <v>5075</v>
      </c>
      <c r="BB640" s="82" t="s">
        <v>5075</v>
      </c>
      <c r="BC640" s="82" t="s">
        <v>4691</v>
      </c>
      <c r="BD640" s="82" t="s">
        <v>5233</v>
      </c>
      <c r="BE640" s="77"/>
      <c r="BF640" s="77"/>
      <c r="BG640" s="77"/>
      <c r="BH640" s="77"/>
      <c r="BI640" s="77"/>
    </row>
    <row r="641" spans="1:61" x14ac:dyDescent="0.25">
      <c r="A641" s="62" t="s">
        <v>424</v>
      </c>
      <c r="B641" s="62" t="s">
        <v>424</v>
      </c>
      <c r="C641" s="63"/>
      <c r="D641" s="64"/>
      <c r="E641" s="65"/>
      <c r="F641" s="66"/>
      <c r="G641" s="63"/>
      <c r="H641" s="67"/>
      <c r="I641" s="68"/>
      <c r="J641" s="68"/>
      <c r="K641" s="32"/>
      <c r="L641" s="75">
        <v>641</v>
      </c>
      <c r="M641" s="75"/>
      <c r="N641" s="70"/>
      <c r="O641" s="77" t="s">
        <v>179</v>
      </c>
      <c r="P641" s="79">
        <v>45057.875659722224</v>
      </c>
      <c r="Q641" s="77" t="s">
        <v>1168</v>
      </c>
      <c r="R641" s="77">
        <v>0</v>
      </c>
      <c r="S641" s="77">
        <v>0</v>
      </c>
      <c r="T641" s="77">
        <v>0</v>
      </c>
      <c r="U641" s="77">
        <v>0</v>
      </c>
      <c r="V641" s="77">
        <v>56</v>
      </c>
      <c r="W641" s="82" t="s">
        <v>1846</v>
      </c>
      <c r="X641" s="80" t="str">
        <f>HYPERLINK("http://metodotdl.com.br/tdl/telegram")</f>
        <v>http://metodotdl.com.br/tdl/telegram</v>
      </c>
      <c r="Y641" s="77" t="s">
        <v>1978</v>
      </c>
      <c r="Z641" s="77"/>
      <c r="AA641" s="77" t="s">
        <v>2446</v>
      </c>
      <c r="AB641" s="77" t="s">
        <v>2632</v>
      </c>
      <c r="AC641" s="82" t="s">
        <v>2642</v>
      </c>
      <c r="AD641" s="77" t="s">
        <v>2670</v>
      </c>
      <c r="AE641" s="80" t="str">
        <f>HYPERLINK("https://twitter.com/metodotdl/status/1656766367616442369")</f>
        <v>https://twitter.com/metodotdl/status/1656766367616442369</v>
      </c>
      <c r="AF641" s="79">
        <v>45057.875659722224</v>
      </c>
      <c r="AG641" s="85">
        <v>45057</v>
      </c>
      <c r="AH641" s="82" t="s">
        <v>3204</v>
      </c>
      <c r="AI641" s="77" t="b">
        <v>0</v>
      </c>
      <c r="AJ641" s="77"/>
      <c r="AK641" s="77"/>
      <c r="AL641" s="77"/>
      <c r="AM641" s="77"/>
      <c r="AN641" s="77"/>
      <c r="AO641" s="77"/>
      <c r="AP641" s="77"/>
      <c r="AQ641" s="77" t="s">
        <v>3875</v>
      </c>
      <c r="AR641" s="77"/>
      <c r="AS641" s="77"/>
      <c r="AT641" s="77"/>
      <c r="AU641" s="77"/>
      <c r="AV641" s="80" t="str">
        <f>HYPERLINK("https://pbs.twimg.com/media/Fv4EO1XaMAImetw.png")</f>
        <v>https://pbs.twimg.com/media/Fv4EO1XaMAImetw.png</v>
      </c>
      <c r="AW641" s="82" t="s">
        <v>4692</v>
      </c>
      <c r="AX641" s="82" t="s">
        <v>4692</v>
      </c>
      <c r="AY641" s="77"/>
      <c r="AZ641" s="82" t="s">
        <v>5075</v>
      </c>
      <c r="BA641" s="82" t="s">
        <v>5075</v>
      </c>
      <c r="BB641" s="82" t="s">
        <v>5075</v>
      </c>
      <c r="BC641" s="82" t="s">
        <v>4692</v>
      </c>
      <c r="BD641" s="82" t="s">
        <v>5233</v>
      </c>
      <c r="BE641" s="77"/>
      <c r="BF641" s="77"/>
      <c r="BG641" s="77"/>
      <c r="BH641" s="77"/>
      <c r="BI641" s="77"/>
    </row>
    <row r="642" spans="1:61" x14ac:dyDescent="0.25">
      <c r="A642" s="62" t="s">
        <v>424</v>
      </c>
      <c r="B642" s="62" t="s">
        <v>424</v>
      </c>
      <c r="C642" s="63"/>
      <c r="D642" s="64"/>
      <c r="E642" s="65"/>
      <c r="F642" s="66"/>
      <c r="G642" s="63"/>
      <c r="H642" s="67"/>
      <c r="I642" s="68"/>
      <c r="J642" s="68"/>
      <c r="K642" s="32"/>
      <c r="L642" s="75">
        <v>642</v>
      </c>
      <c r="M642" s="75"/>
      <c r="N642" s="70"/>
      <c r="O642" s="77" t="s">
        <v>179</v>
      </c>
      <c r="P642" s="79">
        <v>45056.875590277778</v>
      </c>
      <c r="Q642" s="77" t="s">
        <v>1169</v>
      </c>
      <c r="R642" s="77">
        <v>0</v>
      </c>
      <c r="S642" s="77">
        <v>0</v>
      </c>
      <c r="T642" s="77">
        <v>0</v>
      </c>
      <c r="U642" s="77">
        <v>0</v>
      </c>
      <c r="V642" s="77">
        <v>71</v>
      </c>
      <c r="W642" s="82" t="s">
        <v>1846</v>
      </c>
      <c r="X642" s="80" t="str">
        <f>HYPERLINK("http://metodotdl.com.br/tdl/telegram")</f>
        <v>http://metodotdl.com.br/tdl/telegram</v>
      </c>
      <c r="Y642" s="77" t="s">
        <v>1978</v>
      </c>
      <c r="Z642" s="77"/>
      <c r="AA642" s="77" t="s">
        <v>2447</v>
      </c>
      <c r="AB642" s="77" t="s">
        <v>2632</v>
      </c>
      <c r="AC642" s="82" t="s">
        <v>2642</v>
      </c>
      <c r="AD642" s="77" t="s">
        <v>2670</v>
      </c>
      <c r="AE642" s="80" t="str">
        <f>HYPERLINK("https://twitter.com/metodotdl/status/1656403952747831296")</f>
        <v>https://twitter.com/metodotdl/status/1656403952747831296</v>
      </c>
      <c r="AF642" s="79">
        <v>45056.875590277778</v>
      </c>
      <c r="AG642" s="85">
        <v>45056</v>
      </c>
      <c r="AH642" s="82" t="s">
        <v>3194</v>
      </c>
      <c r="AI642" s="77" t="b">
        <v>0</v>
      </c>
      <c r="AJ642" s="77"/>
      <c r="AK642" s="77"/>
      <c r="AL642" s="77"/>
      <c r="AM642" s="77"/>
      <c r="AN642" s="77"/>
      <c r="AO642" s="77"/>
      <c r="AP642" s="77"/>
      <c r="AQ642" s="77" t="s">
        <v>3876</v>
      </c>
      <c r="AR642" s="77"/>
      <c r="AS642" s="77"/>
      <c r="AT642" s="77"/>
      <c r="AU642" s="77"/>
      <c r="AV642" s="80" t="str">
        <f>HYPERLINK("https://pbs.twimg.com/media/Fvy6ne2XwAMf7XL.png")</f>
        <v>https://pbs.twimg.com/media/Fvy6ne2XwAMf7XL.png</v>
      </c>
      <c r="AW642" s="82" t="s">
        <v>4693</v>
      </c>
      <c r="AX642" s="82" t="s">
        <v>4693</v>
      </c>
      <c r="AY642" s="77"/>
      <c r="AZ642" s="82" t="s">
        <v>5075</v>
      </c>
      <c r="BA642" s="82" t="s">
        <v>5075</v>
      </c>
      <c r="BB642" s="82" t="s">
        <v>5075</v>
      </c>
      <c r="BC642" s="82" t="s">
        <v>4693</v>
      </c>
      <c r="BD642" s="82" t="s">
        <v>5233</v>
      </c>
      <c r="BE642" s="77"/>
      <c r="BF642" s="77"/>
      <c r="BG642" s="77"/>
      <c r="BH642" s="77"/>
      <c r="BI642" s="77"/>
    </row>
    <row r="643" spans="1:61" x14ac:dyDescent="0.25">
      <c r="A643" s="62" t="s">
        <v>424</v>
      </c>
      <c r="B643" s="62" t="s">
        <v>424</v>
      </c>
      <c r="C643" s="63"/>
      <c r="D643" s="64"/>
      <c r="E643" s="65"/>
      <c r="F643" s="66"/>
      <c r="G643" s="63"/>
      <c r="H643" s="67"/>
      <c r="I643" s="68"/>
      <c r="J643" s="68"/>
      <c r="K643" s="32"/>
      <c r="L643" s="75">
        <v>643</v>
      </c>
      <c r="M643" s="75"/>
      <c r="N643" s="70"/>
      <c r="O643" s="77" t="s">
        <v>179</v>
      </c>
      <c r="P643" s="79">
        <v>45055.875613425924</v>
      </c>
      <c r="Q643" s="77" t="s">
        <v>1170</v>
      </c>
      <c r="R643" s="77">
        <v>0</v>
      </c>
      <c r="S643" s="77">
        <v>0</v>
      </c>
      <c r="T643" s="77">
        <v>0</v>
      </c>
      <c r="U643" s="77">
        <v>0</v>
      </c>
      <c r="V643" s="77">
        <v>59</v>
      </c>
      <c r="W643" s="82" t="s">
        <v>1846</v>
      </c>
      <c r="X643" s="80" t="str">
        <f>HYPERLINK("http://metodotdl.com.br/tdl/telegram")</f>
        <v>http://metodotdl.com.br/tdl/telegram</v>
      </c>
      <c r="Y643" s="77" t="s">
        <v>1978</v>
      </c>
      <c r="Z643" s="77"/>
      <c r="AA643" s="77" t="s">
        <v>2448</v>
      </c>
      <c r="AB643" s="77" t="s">
        <v>2632</v>
      </c>
      <c r="AC643" s="82" t="s">
        <v>2642</v>
      </c>
      <c r="AD643" s="77" t="s">
        <v>2670</v>
      </c>
      <c r="AE643" s="80" t="str">
        <f>HYPERLINK("https://twitter.com/metodotdl/status/1656041573866455059")</f>
        <v>https://twitter.com/metodotdl/status/1656041573866455059</v>
      </c>
      <c r="AF643" s="79">
        <v>45055.875613425924</v>
      </c>
      <c r="AG643" s="85">
        <v>45055</v>
      </c>
      <c r="AH643" s="82" t="s">
        <v>3216</v>
      </c>
      <c r="AI643" s="77" t="b">
        <v>0</v>
      </c>
      <c r="AJ643" s="77"/>
      <c r="AK643" s="77"/>
      <c r="AL643" s="77"/>
      <c r="AM643" s="77"/>
      <c r="AN643" s="77"/>
      <c r="AO643" s="77"/>
      <c r="AP643" s="77"/>
      <c r="AQ643" s="77" t="s">
        <v>3877</v>
      </c>
      <c r="AR643" s="77"/>
      <c r="AS643" s="77"/>
      <c r="AT643" s="77"/>
      <c r="AU643" s="77"/>
      <c r="AV643" s="80" t="str">
        <f>HYPERLINK("https://pbs.twimg.com/media/FvtxCRJWwAEBGZX.png")</f>
        <v>https://pbs.twimg.com/media/FvtxCRJWwAEBGZX.png</v>
      </c>
      <c r="AW643" s="82" t="s">
        <v>4694</v>
      </c>
      <c r="AX643" s="82" t="s">
        <v>4694</v>
      </c>
      <c r="AY643" s="77"/>
      <c r="AZ643" s="82" t="s">
        <v>5075</v>
      </c>
      <c r="BA643" s="82" t="s">
        <v>5075</v>
      </c>
      <c r="BB643" s="82" t="s">
        <v>5075</v>
      </c>
      <c r="BC643" s="82" t="s">
        <v>4694</v>
      </c>
      <c r="BD643" s="82" t="s">
        <v>5233</v>
      </c>
      <c r="BE643" s="77"/>
      <c r="BF643" s="77"/>
      <c r="BG643" s="77"/>
      <c r="BH643" s="77"/>
      <c r="BI643" s="77"/>
    </row>
    <row r="644" spans="1:61" x14ac:dyDescent="0.25">
      <c r="A644" s="62" t="s">
        <v>424</v>
      </c>
      <c r="B644" s="62" t="s">
        <v>424</v>
      </c>
      <c r="C644" s="63"/>
      <c r="D644" s="64"/>
      <c r="E644" s="65"/>
      <c r="F644" s="66"/>
      <c r="G644" s="63"/>
      <c r="H644" s="67"/>
      <c r="I644" s="68"/>
      <c r="J644" s="68"/>
      <c r="K644" s="32"/>
      <c r="L644" s="75">
        <v>644</v>
      </c>
      <c r="M644" s="75"/>
      <c r="N644" s="70"/>
      <c r="O644" s="77" t="s">
        <v>179</v>
      </c>
      <c r="P644" s="79">
        <v>45014.875625000001</v>
      </c>
      <c r="Q644" s="77" t="s">
        <v>1171</v>
      </c>
      <c r="R644" s="77">
        <v>0</v>
      </c>
      <c r="S644" s="77">
        <v>0</v>
      </c>
      <c r="T644" s="77">
        <v>0</v>
      </c>
      <c r="U644" s="77">
        <v>0</v>
      </c>
      <c r="V644" s="77">
        <v>42</v>
      </c>
      <c r="W644" s="82" t="s">
        <v>1846</v>
      </c>
      <c r="X644" s="80" t="str">
        <f>HYPERLINK("http://metodotdl.com.br/tdl/telegram")</f>
        <v>http://metodotdl.com.br/tdl/telegram</v>
      </c>
      <c r="Y644" s="77" t="s">
        <v>1978</v>
      </c>
      <c r="Z644" s="77"/>
      <c r="AA644" s="77" t="s">
        <v>2449</v>
      </c>
      <c r="AB644" s="77" t="s">
        <v>2632</v>
      </c>
      <c r="AC644" s="82" t="s">
        <v>2642</v>
      </c>
      <c r="AD644" s="77" t="s">
        <v>2670</v>
      </c>
      <c r="AE644" s="80" t="str">
        <f>HYPERLINK("https://twitter.com/metodotdl/status/1641183673318817793")</f>
        <v>https://twitter.com/metodotdl/status/1641183673318817793</v>
      </c>
      <c r="AF644" s="79">
        <v>45014.875625000001</v>
      </c>
      <c r="AG644" s="85">
        <v>45014</v>
      </c>
      <c r="AH644" s="82" t="s">
        <v>3187</v>
      </c>
      <c r="AI644" s="77" t="b">
        <v>0</v>
      </c>
      <c r="AJ644" s="77"/>
      <c r="AK644" s="77"/>
      <c r="AL644" s="77"/>
      <c r="AM644" s="77"/>
      <c r="AN644" s="77"/>
      <c r="AO644" s="77"/>
      <c r="AP644" s="77"/>
      <c r="AQ644" s="77" t="s">
        <v>3878</v>
      </c>
      <c r="AR644" s="77"/>
      <c r="AS644" s="77"/>
      <c r="AT644" s="77"/>
      <c r="AU644" s="77"/>
      <c r="AV644" s="80" t="str">
        <f>HYPERLINK("https://pbs.twimg.com/media/Fsan2muWcAccIIZ.jpg")</f>
        <v>https://pbs.twimg.com/media/Fsan2muWcAccIIZ.jpg</v>
      </c>
      <c r="AW644" s="82" t="s">
        <v>4695</v>
      </c>
      <c r="AX644" s="82" t="s">
        <v>4695</v>
      </c>
      <c r="AY644" s="77"/>
      <c r="AZ644" s="82" t="s">
        <v>5075</v>
      </c>
      <c r="BA644" s="82" t="s">
        <v>5075</v>
      </c>
      <c r="BB644" s="82" t="s">
        <v>5075</v>
      </c>
      <c r="BC644" s="82" t="s">
        <v>4695</v>
      </c>
      <c r="BD644" s="82" t="s">
        <v>5233</v>
      </c>
      <c r="BE644" s="77"/>
      <c r="BF644" s="77"/>
      <c r="BG644" s="77"/>
      <c r="BH644" s="77"/>
      <c r="BI644" s="77"/>
    </row>
    <row r="645" spans="1:61" x14ac:dyDescent="0.25">
      <c r="A645" s="62" t="s">
        <v>424</v>
      </c>
      <c r="B645" s="62" t="s">
        <v>424</v>
      </c>
      <c r="C645" s="63"/>
      <c r="D645" s="64"/>
      <c r="E645" s="65"/>
      <c r="F645" s="66"/>
      <c r="G645" s="63"/>
      <c r="H645" s="67"/>
      <c r="I645" s="68"/>
      <c r="J645" s="68"/>
      <c r="K645" s="32"/>
      <c r="L645" s="75">
        <v>645</v>
      </c>
      <c r="M645" s="75"/>
      <c r="N645" s="70"/>
      <c r="O645" s="77" t="s">
        <v>179</v>
      </c>
      <c r="P645" s="79">
        <v>45013.875416666669</v>
      </c>
      <c r="Q645" s="77" t="s">
        <v>1172</v>
      </c>
      <c r="R645" s="77">
        <v>0</v>
      </c>
      <c r="S645" s="77">
        <v>0</v>
      </c>
      <c r="T645" s="77">
        <v>0</v>
      </c>
      <c r="U645" s="77">
        <v>0</v>
      </c>
      <c r="V645" s="77">
        <v>57</v>
      </c>
      <c r="W645" s="82" t="s">
        <v>1846</v>
      </c>
      <c r="X645" s="80" t="str">
        <f>HYPERLINK("http://metodotdl.com.br/tdl/telegram")</f>
        <v>http://metodotdl.com.br/tdl/telegram</v>
      </c>
      <c r="Y645" s="77" t="s">
        <v>1978</v>
      </c>
      <c r="Z645" s="77"/>
      <c r="AA645" s="77" t="s">
        <v>2450</v>
      </c>
      <c r="AB645" s="77" t="s">
        <v>2632</v>
      </c>
      <c r="AC645" s="82" t="s">
        <v>2642</v>
      </c>
      <c r="AD645" s="77" t="s">
        <v>2670</v>
      </c>
      <c r="AE645" s="80" t="str">
        <f>HYPERLINK("https://twitter.com/metodotdl/status/1640821210840743937")</f>
        <v>https://twitter.com/metodotdl/status/1640821210840743937</v>
      </c>
      <c r="AF645" s="79">
        <v>45013.875416666669</v>
      </c>
      <c r="AG645" s="85">
        <v>45013</v>
      </c>
      <c r="AH645" s="82" t="s">
        <v>3181</v>
      </c>
      <c r="AI645" s="77" t="b">
        <v>0</v>
      </c>
      <c r="AJ645" s="77"/>
      <c r="AK645" s="77"/>
      <c r="AL645" s="77"/>
      <c r="AM645" s="77"/>
      <c r="AN645" s="77"/>
      <c r="AO645" s="77"/>
      <c r="AP645" s="77"/>
      <c r="AQ645" s="77" t="s">
        <v>3879</v>
      </c>
      <c r="AR645" s="77"/>
      <c r="AS645" s="77"/>
      <c r="AT645" s="77"/>
      <c r="AU645" s="77"/>
      <c r="AV645" s="80" t="str">
        <f>HYPERLINK("https://pbs.twimg.com/media/FsVeMibXgAYjE0x.jpg")</f>
        <v>https://pbs.twimg.com/media/FsVeMibXgAYjE0x.jpg</v>
      </c>
      <c r="AW645" s="82" t="s">
        <v>4696</v>
      </c>
      <c r="AX645" s="82" t="s">
        <v>4696</v>
      </c>
      <c r="AY645" s="77"/>
      <c r="AZ645" s="82" t="s">
        <v>5075</v>
      </c>
      <c r="BA645" s="82" t="s">
        <v>5075</v>
      </c>
      <c r="BB645" s="82" t="s">
        <v>5075</v>
      </c>
      <c r="BC645" s="82" t="s">
        <v>4696</v>
      </c>
      <c r="BD645" s="82" t="s">
        <v>5233</v>
      </c>
      <c r="BE645" s="77"/>
      <c r="BF645" s="77"/>
      <c r="BG645" s="77"/>
      <c r="BH645" s="77"/>
      <c r="BI645" s="77"/>
    </row>
    <row r="646" spans="1:61" x14ac:dyDescent="0.25">
      <c r="A646" s="62" t="s">
        <v>424</v>
      </c>
      <c r="B646" s="62" t="s">
        <v>424</v>
      </c>
      <c r="C646" s="63"/>
      <c r="D646" s="64"/>
      <c r="E646" s="65"/>
      <c r="F646" s="66"/>
      <c r="G646" s="63"/>
      <c r="H646" s="67"/>
      <c r="I646" s="68"/>
      <c r="J646" s="68"/>
      <c r="K646" s="32"/>
      <c r="L646" s="75">
        <v>646</v>
      </c>
      <c r="M646" s="75"/>
      <c r="N646" s="70"/>
      <c r="O646" s="77" t="s">
        <v>179</v>
      </c>
      <c r="P646" s="79">
        <v>45012.875752314816</v>
      </c>
      <c r="Q646" s="77" t="s">
        <v>1173</v>
      </c>
      <c r="R646" s="77">
        <v>0</v>
      </c>
      <c r="S646" s="77">
        <v>0</v>
      </c>
      <c r="T646" s="77">
        <v>0</v>
      </c>
      <c r="U646" s="77">
        <v>0</v>
      </c>
      <c r="V646" s="77">
        <v>63</v>
      </c>
      <c r="W646" s="82" t="s">
        <v>1846</v>
      </c>
      <c r="X646" s="80" t="str">
        <f>HYPERLINK("http://metodotdl.com.br/tdl/telegram")</f>
        <v>http://metodotdl.com.br/tdl/telegram</v>
      </c>
      <c r="Y646" s="77" t="s">
        <v>1978</v>
      </c>
      <c r="Z646" s="77"/>
      <c r="AA646" s="77" t="s">
        <v>2451</v>
      </c>
      <c r="AB646" s="77" t="s">
        <v>2632</v>
      </c>
      <c r="AC646" s="82" t="s">
        <v>2642</v>
      </c>
      <c r="AD646" s="77" t="s">
        <v>2670</v>
      </c>
      <c r="AE646" s="80" t="str">
        <f>HYPERLINK("https://twitter.com/metodotdl/status/1640458946002534403")</f>
        <v>https://twitter.com/metodotdl/status/1640458946002534403</v>
      </c>
      <c r="AF646" s="79">
        <v>45012.875752314816</v>
      </c>
      <c r="AG646" s="85">
        <v>45012</v>
      </c>
      <c r="AH646" s="82" t="s">
        <v>3222</v>
      </c>
      <c r="AI646" s="77" t="b">
        <v>0</v>
      </c>
      <c r="AJ646" s="77"/>
      <c r="AK646" s="77"/>
      <c r="AL646" s="77"/>
      <c r="AM646" s="77"/>
      <c r="AN646" s="77"/>
      <c r="AO646" s="77"/>
      <c r="AP646" s="77"/>
      <c r="AQ646" s="77" t="s">
        <v>3880</v>
      </c>
      <c r="AR646" s="77"/>
      <c r="AS646" s="77"/>
      <c r="AT646" s="77"/>
      <c r="AU646" s="77"/>
      <c r="AV646" s="80" t="str">
        <f>HYPERLINK("https://pbs.twimg.com/media/FsQUt4FWcAMHRd2.jpg")</f>
        <v>https://pbs.twimg.com/media/FsQUt4FWcAMHRd2.jpg</v>
      </c>
      <c r="AW646" s="82" t="s">
        <v>4697</v>
      </c>
      <c r="AX646" s="82" t="s">
        <v>4697</v>
      </c>
      <c r="AY646" s="77"/>
      <c r="AZ646" s="82" t="s">
        <v>5075</v>
      </c>
      <c r="BA646" s="82" t="s">
        <v>5075</v>
      </c>
      <c r="BB646" s="82" t="s">
        <v>5075</v>
      </c>
      <c r="BC646" s="82" t="s">
        <v>4697</v>
      </c>
      <c r="BD646" s="82" t="s">
        <v>5233</v>
      </c>
      <c r="BE646" s="77"/>
      <c r="BF646" s="77"/>
      <c r="BG646" s="77"/>
      <c r="BH646" s="77"/>
      <c r="BI646" s="77"/>
    </row>
    <row r="647" spans="1:61" x14ac:dyDescent="0.25">
      <c r="A647" s="62" t="s">
        <v>424</v>
      </c>
      <c r="B647" s="62" t="s">
        <v>424</v>
      </c>
      <c r="C647" s="63"/>
      <c r="D647" s="64"/>
      <c r="E647" s="65"/>
      <c r="F647" s="66"/>
      <c r="G647" s="63"/>
      <c r="H647" s="67"/>
      <c r="I647" s="68"/>
      <c r="J647" s="68"/>
      <c r="K647" s="32"/>
      <c r="L647" s="75">
        <v>647</v>
      </c>
      <c r="M647" s="75"/>
      <c r="N647" s="70"/>
      <c r="O647" s="77" t="s">
        <v>179</v>
      </c>
      <c r="P647" s="79">
        <v>45009.875358796293</v>
      </c>
      <c r="Q647" s="77" t="s">
        <v>1174</v>
      </c>
      <c r="R647" s="77">
        <v>0</v>
      </c>
      <c r="S647" s="77">
        <v>0</v>
      </c>
      <c r="T647" s="77">
        <v>0</v>
      </c>
      <c r="U647" s="77">
        <v>0</v>
      </c>
      <c r="V647" s="77">
        <v>55</v>
      </c>
      <c r="W647" s="82" t="s">
        <v>1846</v>
      </c>
      <c r="X647" s="80" t="str">
        <f>HYPERLINK("http://metodotdl.com.br/tdl/telegram")</f>
        <v>http://metodotdl.com.br/tdl/telegram</v>
      </c>
      <c r="Y647" s="77" t="s">
        <v>1978</v>
      </c>
      <c r="Z647" s="77"/>
      <c r="AA647" s="77" t="s">
        <v>2452</v>
      </c>
      <c r="AB647" s="77" t="s">
        <v>2632</v>
      </c>
      <c r="AC647" s="82" t="s">
        <v>2642</v>
      </c>
      <c r="AD647" s="77" t="s">
        <v>2670</v>
      </c>
      <c r="AE647" s="80" t="str">
        <f>HYPERLINK("https://twitter.com/metodotdl/status/1639371638528684032")</f>
        <v>https://twitter.com/metodotdl/status/1639371638528684032</v>
      </c>
      <c r="AF647" s="79">
        <v>45009.875358796293</v>
      </c>
      <c r="AG647" s="85">
        <v>45009</v>
      </c>
      <c r="AH647" s="82" t="s">
        <v>3189</v>
      </c>
      <c r="AI647" s="77" t="b">
        <v>0</v>
      </c>
      <c r="AJ647" s="77"/>
      <c r="AK647" s="77"/>
      <c r="AL647" s="77"/>
      <c r="AM647" s="77"/>
      <c r="AN647" s="77"/>
      <c r="AO647" s="77"/>
      <c r="AP647" s="77"/>
      <c r="AQ647" s="77" t="s">
        <v>3881</v>
      </c>
      <c r="AR647" s="77"/>
      <c r="AS647" s="77"/>
      <c r="AT647" s="77"/>
      <c r="AU647" s="77"/>
      <c r="AV647" s="80" t="str">
        <f>HYPERLINK("https://pbs.twimg.com/media/FsA30SNWwAAeybf.jpg")</f>
        <v>https://pbs.twimg.com/media/FsA30SNWwAAeybf.jpg</v>
      </c>
      <c r="AW647" s="82" t="s">
        <v>4698</v>
      </c>
      <c r="AX647" s="82" t="s">
        <v>4698</v>
      </c>
      <c r="AY647" s="77"/>
      <c r="AZ647" s="82" t="s">
        <v>5075</v>
      </c>
      <c r="BA647" s="82" t="s">
        <v>5075</v>
      </c>
      <c r="BB647" s="82" t="s">
        <v>5075</v>
      </c>
      <c r="BC647" s="82" t="s">
        <v>4698</v>
      </c>
      <c r="BD647" s="82" t="s">
        <v>5233</v>
      </c>
      <c r="BE647" s="77"/>
      <c r="BF647" s="77"/>
      <c r="BG647" s="77"/>
      <c r="BH647" s="77"/>
      <c r="BI647" s="77"/>
    </row>
    <row r="648" spans="1:61" x14ac:dyDescent="0.25">
      <c r="A648" s="62" t="s">
        <v>424</v>
      </c>
      <c r="B648" s="62" t="s">
        <v>424</v>
      </c>
      <c r="C648" s="63"/>
      <c r="D648" s="64"/>
      <c r="E648" s="65"/>
      <c r="F648" s="66"/>
      <c r="G648" s="63"/>
      <c r="H648" s="67"/>
      <c r="I648" s="68"/>
      <c r="J648" s="68"/>
      <c r="K648" s="32"/>
      <c r="L648" s="75">
        <v>648</v>
      </c>
      <c r="M648" s="75"/>
      <c r="N648" s="70"/>
      <c r="O648" s="77" t="s">
        <v>179</v>
      </c>
      <c r="P648" s="79">
        <v>45008.875381944446</v>
      </c>
      <c r="Q648" s="77" t="s">
        <v>1175</v>
      </c>
      <c r="R648" s="77">
        <v>0</v>
      </c>
      <c r="S648" s="77">
        <v>0</v>
      </c>
      <c r="T648" s="77">
        <v>0</v>
      </c>
      <c r="U648" s="77">
        <v>0</v>
      </c>
      <c r="V648" s="77">
        <v>58</v>
      </c>
      <c r="W648" s="82" t="s">
        <v>1846</v>
      </c>
      <c r="X648" s="80" t="str">
        <f>HYPERLINK("http://metodotdl.com.br/tdl/telegram")</f>
        <v>http://metodotdl.com.br/tdl/telegram</v>
      </c>
      <c r="Y648" s="77" t="s">
        <v>1978</v>
      </c>
      <c r="Z648" s="77"/>
      <c r="AA648" s="77" t="s">
        <v>2453</v>
      </c>
      <c r="AB648" s="77" t="s">
        <v>2632</v>
      </c>
      <c r="AC648" s="82" t="s">
        <v>2642</v>
      </c>
      <c r="AD648" s="77" t="s">
        <v>2670</v>
      </c>
      <c r="AE648" s="80" t="str">
        <f>HYPERLINK("https://twitter.com/metodotdl/status/1639009260259667968")</f>
        <v>https://twitter.com/metodotdl/status/1639009260259667968</v>
      </c>
      <c r="AF648" s="79">
        <v>45008.875381944446</v>
      </c>
      <c r="AG648" s="85">
        <v>45008</v>
      </c>
      <c r="AH648" s="82" t="s">
        <v>3180</v>
      </c>
      <c r="AI648" s="77" t="b">
        <v>0</v>
      </c>
      <c r="AJ648" s="77"/>
      <c r="AK648" s="77"/>
      <c r="AL648" s="77"/>
      <c r="AM648" s="77"/>
      <c r="AN648" s="77"/>
      <c r="AO648" s="77"/>
      <c r="AP648" s="77"/>
      <c r="AQ648" s="77" t="s">
        <v>3882</v>
      </c>
      <c r="AR648" s="77"/>
      <c r="AS648" s="77"/>
      <c r="AT648" s="77"/>
      <c r="AU648" s="77"/>
      <c r="AV648" s="80" t="str">
        <f>HYPERLINK("https://pbs.twimg.com/media/Fr7uPH3WYAMu4Hw.jpg")</f>
        <v>https://pbs.twimg.com/media/Fr7uPH3WYAMu4Hw.jpg</v>
      </c>
      <c r="AW648" s="82" t="s">
        <v>4699</v>
      </c>
      <c r="AX648" s="82" t="s">
        <v>4699</v>
      </c>
      <c r="AY648" s="77"/>
      <c r="AZ648" s="82" t="s">
        <v>5075</v>
      </c>
      <c r="BA648" s="82" t="s">
        <v>5075</v>
      </c>
      <c r="BB648" s="82" t="s">
        <v>5075</v>
      </c>
      <c r="BC648" s="82" t="s">
        <v>4699</v>
      </c>
      <c r="BD648" s="82" t="s">
        <v>5233</v>
      </c>
      <c r="BE648" s="77"/>
      <c r="BF648" s="77"/>
      <c r="BG648" s="77"/>
      <c r="BH648" s="77"/>
      <c r="BI648" s="77"/>
    </row>
    <row r="649" spans="1:61" x14ac:dyDescent="0.25">
      <c r="A649" s="62" t="s">
        <v>424</v>
      </c>
      <c r="B649" s="62" t="s">
        <v>424</v>
      </c>
      <c r="C649" s="63"/>
      <c r="D649" s="64"/>
      <c r="E649" s="65"/>
      <c r="F649" s="66"/>
      <c r="G649" s="63"/>
      <c r="H649" s="67"/>
      <c r="I649" s="68"/>
      <c r="J649" s="68"/>
      <c r="K649" s="32"/>
      <c r="L649" s="75">
        <v>649</v>
      </c>
      <c r="M649" s="75"/>
      <c r="N649" s="70"/>
      <c r="O649" s="77" t="s">
        <v>179</v>
      </c>
      <c r="P649" s="79">
        <v>45007.87537037037</v>
      </c>
      <c r="Q649" s="77" t="s">
        <v>1176</v>
      </c>
      <c r="R649" s="77">
        <v>0</v>
      </c>
      <c r="S649" s="77">
        <v>0</v>
      </c>
      <c r="T649" s="77">
        <v>0</v>
      </c>
      <c r="U649" s="77">
        <v>0</v>
      </c>
      <c r="V649" s="77">
        <v>55</v>
      </c>
      <c r="W649" s="82" t="s">
        <v>1846</v>
      </c>
      <c r="X649" s="80" t="str">
        <f>HYPERLINK("http://metodotdl.com.br/tdl/telegram")</f>
        <v>http://metodotdl.com.br/tdl/telegram</v>
      </c>
      <c r="Y649" s="77" t="s">
        <v>1978</v>
      </c>
      <c r="Z649" s="77"/>
      <c r="AA649" s="77" t="s">
        <v>2454</v>
      </c>
      <c r="AB649" s="77" t="s">
        <v>2632</v>
      </c>
      <c r="AC649" s="82" t="s">
        <v>2642</v>
      </c>
      <c r="AD649" s="77" t="s">
        <v>2670</v>
      </c>
      <c r="AE649" s="80" t="str">
        <f>HYPERLINK("https://twitter.com/metodotdl/status/1638646867281215488")</f>
        <v>https://twitter.com/metodotdl/status/1638646867281215488</v>
      </c>
      <c r="AF649" s="79">
        <v>45007.87537037037</v>
      </c>
      <c r="AG649" s="85">
        <v>45007</v>
      </c>
      <c r="AH649" s="82" t="s">
        <v>3183</v>
      </c>
      <c r="AI649" s="77" t="b">
        <v>0</v>
      </c>
      <c r="AJ649" s="77"/>
      <c r="AK649" s="77"/>
      <c r="AL649" s="77"/>
      <c r="AM649" s="77"/>
      <c r="AN649" s="77"/>
      <c r="AO649" s="77"/>
      <c r="AP649" s="77"/>
      <c r="AQ649" s="77" t="s">
        <v>3883</v>
      </c>
      <c r="AR649" s="77"/>
      <c r="AS649" s="77"/>
      <c r="AT649" s="77"/>
      <c r="AU649" s="77"/>
      <c r="AV649" s="80" t="str">
        <f>HYPERLINK("https://pbs.twimg.com/media/Fr2kpGjWwAAlAfd.jpg")</f>
        <v>https://pbs.twimg.com/media/Fr2kpGjWwAAlAfd.jpg</v>
      </c>
      <c r="AW649" s="82" t="s">
        <v>4700</v>
      </c>
      <c r="AX649" s="82" t="s">
        <v>4700</v>
      </c>
      <c r="AY649" s="77"/>
      <c r="AZ649" s="82" t="s">
        <v>5075</v>
      </c>
      <c r="BA649" s="82" t="s">
        <v>5075</v>
      </c>
      <c r="BB649" s="82" t="s">
        <v>5075</v>
      </c>
      <c r="BC649" s="82" t="s">
        <v>4700</v>
      </c>
      <c r="BD649" s="82" t="s">
        <v>5233</v>
      </c>
      <c r="BE649" s="77"/>
      <c r="BF649" s="77"/>
      <c r="BG649" s="77"/>
      <c r="BH649" s="77"/>
      <c r="BI649" s="77"/>
    </row>
    <row r="650" spans="1:61" x14ac:dyDescent="0.25">
      <c r="A650" s="62" t="s">
        <v>424</v>
      </c>
      <c r="B650" s="62" t="s">
        <v>424</v>
      </c>
      <c r="C650" s="63"/>
      <c r="D650" s="64"/>
      <c r="E650" s="65"/>
      <c r="F650" s="66"/>
      <c r="G650" s="63"/>
      <c r="H650" s="67"/>
      <c r="I650" s="68"/>
      <c r="J650" s="68"/>
      <c r="K650" s="32"/>
      <c r="L650" s="75">
        <v>650</v>
      </c>
      <c r="M650" s="75"/>
      <c r="N650" s="70"/>
      <c r="O650" s="77" t="s">
        <v>179</v>
      </c>
      <c r="P650" s="79">
        <v>45006.875393518516</v>
      </c>
      <c r="Q650" s="77" t="s">
        <v>1177</v>
      </c>
      <c r="R650" s="77">
        <v>0</v>
      </c>
      <c r="S650" s="77">
        <v>0</v>
      </c>
      <c r="T650" s="77">
        <v>0</v>
      </c>
      <c r="U650" s="77">
        <v>0</v>
      </c>
      <c r="V650" s="77">
        <v>45</v>
      </c>
      <c r="W650" s="82" t="s">
        <v>1846</v>
      </c>
      <c r="X650" s="80" t="str">
        <f>HYPERLINK("http://metodotdl.com.br/tdl/telegram")</f>
        <v>http://metodotdl.com.br/tdl/telegram</v>
      </c>
      <c r="Y650" s="77" t="s">
        <v>1978</v>
      </c>
      <c r="Z650" s="77"/>
      <c r="AA650" s="77" t="s">
        <v>2455</v>
      </c>
      <c r="AB650" s="77" t="s">
        <v>2632</v>
      </c>
      <c r="AC650" s="82" t="s">
        <v>2642</v>
      </c>
      <c r="AD650" s="77" t="s">
        <v>2670</v>
      </c>
      <c r="AE650" s="80" t="str">
        <f>HYPERLINK("https://twitter.com/metodotdl/status/1638284490291257345")</f>
        <v>https://twitter.com/metodotdl/status/1638284490291257345</v>
      </c>
      <c r="AF650" s="79">
        <v>45006.875393518516</v>
      </c>
      <c r="AG650" s="85">
        <v>45006</v>
      </c>
      <c r="AH650" s="82" t="s">
        <v>2901</v>
      </c>
      <c r="AI650" s="77" t="b">
        <v>0</v>
      </c>
      <c r="AJ650" s="77"/>
      <c r="AK650" s="77"/>
      <c r="AL650" s="77"/>
      <c r="AM650" s="77"/>
      <c r="AN650" s="77"/>
      <c r="AO650" s="77"/>
      <c r="AP650" s="77"/>
      <c r="AQ650" s="77" t="s">
        <v>3884</v>
      </c>
      <c r="AR650" s="77"/>
      <c r="AS650" s="77"/>
      <c r="AT650" s="77"/>
      <c r="AU650" s="77"/>
      <c r="AV650" s="80" t="str">
        <f>HYPERLINK("https://pbs.twimg.com/media/FrxbD5DWcAAdT0C.jpg")</f>
        <v>https://pbs.twimg.com/media/FrxbD5DWcAAdT0C.jpg</v>
      </c>
      <c r="AW650" s="82" t="s">
        <v>4701</v>
      </c>
      <c r="AX650" s="82" t="s">
        <v>4701</v>
      </c>
      <c r="AY650" s="77"/>
      <c r="AZ650" s="82" t="s">
        <v>5075</v>
      </c>
      <c r="BA650" s="82" t="s">
        <v>5075</v>
      </c>
      <c r="BB650" s="82" t="s">
        <v>5075</v>
      </c>
      <c r="BC650" s="82" t="s">
        <v>4701</v>
      </c>
      <c r="BD650" s="82" t="s">
        <v>5233</v>
      </c>
      <c r="BE650" s="77"/>
      <c r="BF650" s="77"/>
      <c r="BG650" s="77"/>
      <c r="BH650" s="77"/>
      <c r="BI650" s="77"/>
    </row>
    <row r="651" spans="1:61" x14ac:dyDescent="0.25">
      <c r="A651" s="62" t="s">
        <v>424</v>
      </c>
      <c r="B651" s="62" t="s">
        <v>424</v>
      </c>
      <c r="C651" s="63"/>
      <c r="D651" s="64"/>
      <c r="E651" s="65"/>
      <c r="F651" s="66"/>
      <c r="G651" s="63"/>
      <c r="H651" s="67"/>
      <c r="I651" s="68"/>
      <c r="J651" s="68"/>
      <c r="K651" s="32"/>
      <c r="L651" s="75">
        <v>651</v>
      </c>
      <c r="M651" s="75"/>
      <c r="N651" s="70"/>
      <c r="O651" s="77" t="s">
        <v>179</v>
      </c>
      <c r="P651" s="79">
        <v>45005.875451388885</v>
      </c>
      <c r="Q651" s="77" t="s">
        <v>1178</v>
      </c>
      <c r="R651" s="77">
        <v>0</v>
      </c>
      <c r="S651" s="77">
        <v>0</v>
      </c>
      <c r="T651" s="77">
        <v>0</v>
      </c>
      <c r="U651" s="77">
        <v>0</v>
      </c>
      <c r="V651" s="77">
        <v>59</v>
      </c>
      <c r="W651" s="82" t="s">
        <v>1846</v>
      </c>
      <c r="X651" s="80" t="str">
        <f>HYPERLINK("http://metodotdl.com.br/tdl/telegram")</f>
        <v>http://metodotdl.com.br/tdl/telegram</v>
      </c>
      <c r="Y651" s="77" t="s">
        <v>1978</v>
      </c>
      <c r="Z651" s="77"/>
      <c r="AA651" s="77" t="s">
        <v>2456</v>
      </c>
      <c r="AB651" s="77" t="s">
        <v>2632</v>
      </c>
      <c r="AC651" s="82" t="s">
        <v>2642</v>
      </c>
      <c r="AD651" s="77" t="s">
        <v>2670</v>
      </c>
      <c r="AE651" s="80" t="str">
        <f>HYPERLINK("https://twitter.com/metodotdl/status/1637922122239553537")</f>
        <v>https://twitter.com/metodotdl/status/1637922122239553537</v>
      </c>
      <c r="AF651" s="79">
        <v>45005.875451388885</v>
      </c>
      <c r="AG651" s="85">
        <v>45005</v>
      </c>
      <c r="AH651" s="82" t="s">
        <v>3195</v>
      </c>
      <c r="AI651" s="77" t="b">
        <v>0</v>
      </c>
      <c r="AJ651" s="77"/>
      <c r="AK651" s="77"/>
      <c r="AL651" s="77"/>
      <c r="AM651" s="77"/>
      <c r="AN651" s="77"/>
      <c r="AO651" s="77"/>
      <c r="AP651" s="77"/>
      <c r="AQ651" s="77" t="s">
        <v>3885</v>
      </c>
      <c r="AR651" s="77"/>
      <c r="AS651" s="77"/>
      <c r="AT651" s="77"/>
      <c r="AU651" s="77"/>
      <c r="AV651" s="80" t="str">
        <f>HYPERLINK("https://pbs.twimg.com/media/FrsRfUiWcAApc48.jpg")</f>
        <v>https://pbs.twimg.com/media/FrsRfUiWcAApc48.jpg</v>
      </c>
      <c r="AW651" s="82" t="s">
        <v>4702</v>
      </c>
      <c r="AX651" s="82" t="s">
        <v>4702</v>
      </c>
      <c r="AY651" s="77"/>
      <c r="AZ651" s="82" t="s">
        <v>5075</v>
      </c>
      <c r="BA651" s="82" t="s">
        <v>5075</v>
      </c>
      <c r="BB651" s="82" t="s">
        <v>5075</v>
      </c>
      <c r="BC651" s="82" t="s">
        <v>4702</v>
      </c>
      <c r="BD651" s="82" t="s">
        <v>5233</v>
      </c>
      <c r="BE651" s="77"/>
      <c r="BF651" s="77"/>
      <c r="BG651" s="77"/>
      <c r="BH651" s="77"/>
      <c r="BI651" s="77"/>
    </row>
    <row r="652" spans="1:61" x14ac:dyDescent="0.25">
      <c r="A652" s="62" t="s">
        <v>424</v>
      </c>
      <c r="B652" s="62" t="s">
        <v>424</v>
      </c>
      <c r="C652" s="63"/>
      <c r="D652" s="64"/>
      <c r="E652" s="65"/>
      <c r="F652" s="66"/>
      <c r="G652" s="63"/>
      <c r="H652" s="67"/>
      <c r="I652" s="68"/>
      <c r="J652" s="68"/>
      <c r="K652" s="32"/>
      <c r="L652" s="75">
        <v>652</v>
      </c>
      <c r="M652" s="75"/>
      <c r="N652" s="70"/>
      <c r="O652" s="77" t="s">
        <v>179</v>
      </c>
      <c r="P652" s="79">
        <v>45139.878807870373</v>
      </c>
      <c r="Q652" s="77" t="s">
        <v>1179</v>
      </c>
      <c r="R652" s="77">
        <v>0</v>
      </c>
      <c r="S652" s="77">
        <v>0</v>
      </c>
      <c r="T652" s="77">
        <v>0</v>
      </c>
      <c r="U652" s="77">
        <v>0</v>
      </c>
      <c r="V652" s="77">
        <v>82</v>
      </c>
      <c r="W652" s="82" t="s">
        <v>1846</v>
      </c>
      <c r="X652" s="80" t="str">
        <f>HYPERLINK("http://metodotdl.com.br/tdl/telegram")</f>
        <v>http://metodotdl.com.br/tdl/telegram</v>
      </c>
      <c r="Y652" s="77" t="s">
        <v>1978</v>
      </c>
      <c r="Z652" s="77"/>
      <c r="AA652" s="77" t="s">
        <v>2457</v>
      </c>
      <c r="AB652" s="77" t="s">
        <v>2632</v>
      </c>
      <c r="AC652" s="82" t="s">
        <v>2642</v>
      </c>
      <c r="AD652" s="77" t="s">
        <v>2670</v>
      </c>
      <c r="AE652" s="80" t="str">
        <f>HYPERLINK("https://twitter.com/metodotdl/status/1686483310900359168")</f>
        <v>https://twitter.com/metodotdl/status/1686483310900359168</v>
      </c>
      <c r="AF652" s="79">
        <v>45139.878807870373</v>
      </c>
      <c r="AG652" s="85">
        <v>45139</v>
      </c>
      <c r="AH652" s="82" t="s">
        <v>3203</v>
      </c>
      <c r="AI652" s="77" t="b">
        <v>0</v>
      </c>
      <c r="AJ652" s="77"/>
      <c r="AK652" s="77"/>
      <c r="AL652" s="77"/>
      <c r="AM652" s="77"/>
      <c r="AN652" s="77"/>
      <c r="AO652" s="77"/>
      <c r="AP652" s="77"/>
      <c r="AQ652" s="77" t="s">
        <v>3886</v>
      </c>
      <c r="AR652" s="77"/>
      <c r="AS652" s="77"/>
      <c r="AT652" s="77"/>
      <c r="AU652" s="77"/>
      <c r="AV652" s="80" t="str">
        <f>HYPERLINK("https://pbs.twimg.com/media/F2eXokmXEAEE9lb.jpg")</f>
        <v>https://pbs.twimg.com/media/F2eXokmXEAEE9lb.jpg</v>
      </c>
      <c r="AW652" s="82" t="s">
        <v>4703</v>
      </c>
      <c r="AX652" s="82" t="s">
        <v>4703</v>
      </c>
      <c r="AY652" s="77"/>
      <c r="AZ652" s="82" t="s">
        <v>5075</v>
      </c>
      <c r="BA652" s="82" t="s">
        <v>5075</v>
      </c>
      <c r="BB652" s="82" t="s">
        <v>5075</v>
      </c>
      <c r="BC652" s="82" t="s">
        <v>4703</v>
      </c>
      <c r="BD652" s="82" t="s">
        <v>5233</v>
      </c>
      <c r="BE652" s="77"/>
      <c r="BF652" s="77"/>
      <c r="BG652" s="77"/>
      <c r="BH652" s="77"/>
      <c r="BI652" s="77"/>
    </row>
    <row r="653" spans="1:61" x14ac:dyDescent="0.25">
      <c r="A653" s="62" t="s">
        <v>424</v>
      </c>
      <c r="B653" s="62" t="s">
        <v>424</v>
      </c>
      <c r="C653" s="63"/>
      <c r="D653" s="64"/>
      <c r="E653" s="65"/>
      <c r="F653" s="66"/>
      <c r="G653" s="63"/>
      <c r="H653" s="67"/>
      <c r="I653" s="68"/>
      <c r="J653" s="68"/>
      <c r="K653" s="32"/>
      <c r="L653" s="75">
        <v>653</v>
      </c>
      <c r="M653" s="75"/>
      <c r="N653" s="70"/>
      <c r="O653" s="77" t="s">
        <v>179</v>
      </c>
      <c r="P653" s="79">
        <v>45112.878958333335</v>
      </c>
      <c r="Q653" s="77" t="s">
        <v>1180</v>
      </c>
      <c r="R653" s="77">
        <v>0</v>
      </c>
      <c r="S653" s="77">
        <v>0</v>
      </c>
      <c r="T653" s="77">
        <v>0</v>
      </c>
      <c r="U653" s="77">
        <v>0</v>
      </c>
      <c r="V653" s="77">
        <v>73</v>
      </c>
      <c r="W653" s="82" t="s">
        <v>1846</v>
      </c>
      <c r="X653" s="80" t="str">
        <f>HYPERLINK("http://metodotdl.com.br/tdl/telegram")</f>
        <v>http://metodotdl.com.br/tdl/telegram</v>
      </c>
      <c r="Y653" s="77" t="s">
        <v>1978</v>
      </c>
      <c r="Z653" s="77"/>
      <c r="AA653" s="77" t="s">
        <v>2458</v>
      </c>
      <c r="AB653" s="77" t="s">
        <v>2632</v>
      </c>
      <c r="AC653" s="82" t="s">
        <v>2642</v>
      </c>
      <c r="AD653" s="77" t="s">
        <v>2670</v>
      </c>
      <c r="AE653" s="80" t="str">
        <f>HYPERLINK("https://twitter.com/metodotdl/status/1676698894481096706")</f>
        <v>https://twitter.com/metodotdl/status/1676698894481096706</v>
      </c>
      <c r="AF653" s="79">
        <v>45112.878958333335</v>
      </c>
      <c r="AG653" s="85">
        <v>45112</v>
      </c>
      <c r="AH653" s="82" t="s">
        <v>3223</v>
      </c>
      <c r="AI653" s="77" t="b">
        <v>0</v>
      </c>
      <c r="AJ653" s="77"/>
      <c r="AK653" s="77"/>
      <c r="AL653" s="77"/>
      <c r="AM653" s="77"/>
      <c r="AN653" s="77"/>
      <c r="AO653" s="77"/>
      <c r="AP653" s="77"/>
      <c r="AQ653" s="77" t="s">
        <v>3887</v>
      </c>
      <c r="AR653" s="77"/>
      <c r="AS653" s="77"/>
      <c r="AT653" s="77"/>
      <c r="AU653" s="77"/>
      <c r="AV653" s="80" t="str">
        <f>HYPERLINK("https://pbs.twimg.com/media/F0TUwknXwAAsHQd.jpg")</f>
        <v>https://pbs.twimg.com/media/F0TUwknXwAAsHQd.jpg</v>
      </c>
      <c r="AW653" s="82" t="s">
        <v>4704</v>
      </c>
      <c r="AX653" s="82" t="s">
        <v>4704</v>
      </c>
      <c r="AY653" s="77"/>
      <c r="AZ653" s="82" t="s">
        <v>5075</v>
      </c>
      <c r="BA653" s="82" t="s">
        <v>5075</v>
      </c>
      <c r="BB653" s="82" t="s">
        <v>5075</v>
      </c>
      <c r="BC653" s="82" t="s">
        <v>4704</v>
      </c>
      <c r="BD653" s="82" t="s">
        <v>5233</v>
      </c>
      <c r="BE653" s="77"/>
      <c r="BF653" s="77"/>
      <c r="BG653" s="77"/>
      <c r="BH653" s="77"/>
      <c r="BI653" s="77"/>
    </row>
    <row r="654" spans="1:61" x14ac:dyDescent="0.25">
      <c r="A654" s="62" t="s">
        <v>424</v>
      </c>
      <c r="B654" s="62" t="s">
        <v>424</v>
      </c>
      <c r="C654" s="63"/>
      <c r="D654" s="64"/>
      <c r="E654" s="65"/>
      <c r="F654" s="66"/>
      <c r="G654" s="63"/>
      <c r="H654" s="67"/>
      <c r="I654" s="68"/>
      <c r="J654" s="68"/>
      <c r="K654" s="32"/>
      <c r="L654" s="75">
        <v>654</v>
      </c>
      <c r="M654" s="75"/>
      <c r="N654" s="70"/>
      <c r="O654" s="77" t="s">
        <v>179</v>
      </c>
      <c r="P654" s="79">
        <v>45111.875543981485</v>
      </c>
      <c r="Q654" s="77" t="s">
        <v>1181</v>
      </c>
      <c r="R654" s="77">
        <v>0</v>
      </c>
      <c r="S654" s="77">
        <v>0</v>
      </c>
      <c r="T654" s="77">
        <v>0</v>
      </c>
      <c r="U654" s="77">
        <v>0</v>
      </c>
      <c r="V654" s="77">
        <v>59</v>
      </c>
      <c r="W654" s="82" t="s">
        <v>1846</v>
      </c>
      <c r="X654" s="80" t="str">
        <f>HYPERLINK("http://metodotdl.com.br/tdl/telegram")</f>
        <v>http://metodotdl.com.br/tdl/telegram</v>
      </c>
      <c r="Y654" s="77" t="s">
        <v>1978</v>
      </c>
      <c r="Z654" s="77"/>
      <c r="AA654" s="77" t="s">
        <v>2459</v>
      </c>
      <c r="AB654" s="77" t="s">
        <v>2632</v>
      </c>
      <c r="AC654" s="82" t="s">
        <v>2642</v>
      </c>
      <c r="AD654" s="77" t="s">
        <v>2670</v>
      </c>
      <c r="AE654" s="80" t="str">
        <f>HYPERLINK("https://twitter.com/metodotdl/status/1676335268067172352")</f>
        <v>https://twitter.com/metodotdl/status/1676335268067172352</v>
      </c>
      <c r="AF654" s="79">
        <v>45111.875543981485</v>
      </c>
      <c r="AG654" s="85">
        <v>45111</v>
      </c>
      <c r="AH654" s="82" t="s">
        <v>3190</v>
      </c>
      <c r="AI654" s="77" t="b">
        <v>0</v>
      </c>
      <c r="AJ654" s="77"/>
      <c r="AK654" s="77"/>
      <c r="AL654" s="77"/>
      <c r="AM654" s="77"/>
      <c r="AN654" s="77"/>
      <c r="AO654" s="77"/>
      <c r="AP654" s="77"/>
      <c r="AQ654" s="77" t="s">
        <v>3888</v>
      </c>
      <c r="AR654" s="77"/>
      <c r="AS654" s="77"/>
      <c r="AT654" s="77"/>
      <c r="AU654" s="77"/>
      <c r="AV654" s="80" t="str">
        <f>HYPERLINK("https://pbs.twimg.com/media/F0OKCwQWAAAHBl0.jpg")</f>
        <v>https://pbs.twimg.com/media/F0OKCwQWAAAHBl0.jpg</v>
      </c>
      <c r="AW654" s="82" t="s">
        <v>4705</v>
      </c>
      <c r="AX654" s="82" t="s">
        <v>4705</v>
      </c>
      <c r="AY654" s="77"/>
      <c r="AZ654" s="82" t="s">
        <v>5075</v>
      </c>
      <c r="BA654" s="82" t="s">
        <v>5075</v>
      </c>
      <c r="BB654" s="82" t="s">
        <v>5075</v>
      </c>
      <c r="BC654" s="82" t="s">
        <v>4705</v>
      </c>
      <c r="BD654" s="82" t="s">
        <v>5233</v>
      </c>
      <c r="BE654" s="77"/>
      <c r="BF654" s="77"/>
      <c r="BG654" s="77"/>
      <c r="BH654" s="77"/>
      <c r="BI654" s="77"/>
    </row>
    <row r="655" spans="1:61" x14ac:dyDescent="0.25">
      <c r="A655" s="62" t="s">
        <v>424</v>
      </c>
      <c r="B655" s="62" t="s">
        <v>424</v>
      </c>
      <c r="C655" s="63"/>
      <c r="D655" s="64"/>
      <c r="E655" s="65"/>
      <c r="F655" s="66"/>
      <c r="G655" s="63"/>
      <c r="H655" s="67"/>
      <c r="I655" s="68"/>
      <c r="J655" s="68"/>
      <c r="K655" s="32"/>
      <c r="L655" s="75">
        <v>655</v>
      </c>
      <c r="M655" s="75"/>
      <c r="N655" s="70"/>
      <c r="O655" s="77" t="s">
        <v>179</v>
      </c>
      <c r="P655" s="79">
        <v>45100.875648148147</v>
      </c>
      <c r="Q655" s="77" t="s">
        <v>1182</v>
      </c>
      <c r="R655" s="77">
        <v>0</v>
      </c>
      <c r="S655" s="77">
        <v>0</v>
      </c>
      <c r="T655" s="77">
        <v>0</v>
      </c>
      <c r="U655" s="77">
        <v>0</v>
      </c>
      <c r="V655" s="77">
        <v>70</v>
      </c>
      <c r="W655" s="82" t="s">
        <v>1846</v>
      </c>
      <c r="X655" s="80" t="str">
        <f>HYPERLINK("http://metodotdl.com.br/tdl/telegram")</f>
        <v>http://metodotdl.com.br/tdl/telegram</v>
      </c>
      <c r="Y655" s="77" t="s">
        <v>1978</v>
      </c>
      <c r="Z655" s="77"/>
      <c r="AA655" s="77" t="s">
        <v>2460</v>
      </c>
      <c r="AB655" s="77" t="s">
        <v>2632</v>
      </c>
      <c r="AC655" s="82" t="s">
        <v>2642</v>
      </c>
      <c r="AD655" s="77" t="s">
        <v>2670</v>
      </c>
      <c r="AE655" s="80" t="str">
        <f>HYPERLINK("https://twitter.com/metodotdl/status/1672349040304947203")</f>
        <v>https://twitter.com/metodotdl/status/1672349040304947203</v>
      </c>
      <c r="AF655" s="79">
        <v>45100.875648148147</v>
      </c>
      <c r="AG655" s="85">
        <v>45100</v>
      </c>
      <c r="AH655" s="82" t="s">
        <v>3202</v>
      </c>
      <c r="AI655" s="77" t="b">
        <v>0</v>
      </c>
      <c r="AJ655" s="77"/>
      <c r="AK655" s="77"/>
      <c r="AL655" s="77"/>
      <c r="AM655" s="77"/>
      <c r="AN655" s="77"/>
      <c r="AO655" s="77"/>
      <c r="AP655" s="77"/>
      <c r="AQ655" s="77" t="s">
        <v>3889</v>
      </c>
      <c r="AR655" s="77"/>
      <c r="AS655" s="77"/>
      <c r="AT655" s="77"/>
      <c r="AU655" s="77"/>
      <c r="AV655" s="80" t="str">
        <f>HYPERLINK("https://pbs.twimg.com/media/FzVglsMXwAAL7Q1.jpg")</f>
        <v>https://pbs.twimg.com/media/FzVglsMXwAAL7Q1.jpg</v>
      </c>
      <c r="AW655" s="82" t="s">
        <v>4706</v>
      </c>
      <c r="AX655" s="82" t="s">
        <v>4706</v>
      </c>
      <c r="AY655" s="77"/>
      <c r="AZ655" s="82" t="s">
        <v>5075</v>
      </c>
      <c r="BA655" s="82" t="s">
        <v>5075</v>
      </c>
      <c r="BB655" s="82" t="s">
        <v>5075</v>
      </c>
      <c r="BC655" s="82" t="s">
        <v>4706</v>
      </c>
      <c r="BD655" s="82" t="s">
        <v>5233</v>
      </c>
      <c r="BE655" s="77"/>
      <c r="BF655" s="77"/>
      <c r="BG655" s="77"/>
      <c r="BH655" s="77"/>
      <c r="BI655" s="77"/>
    </row>
    <row r="656" spans="1:61" x14ac:dyDescent="0.25">
      <c r="A656" s="62" t="s">
        <v>424</v>
      </c>
      <c r="B656" s="62" t="s">
        <v>424</v>
      </c>
      <c r="C656" s="63"/>
      <c r="D656" s="64"/>
      <c r="E656" s="65"/>
      <c r="F656" s="66"/>
      <c r="G656" s="63"/>
      <c r="H656" s="67"/>
      <c r="I656" s="68"/>
      <c r="J656" s="68"/>
      <c r="K656" s="32"/>
      <c r="L656" s="75">
        <v>656</v>
      </c>
      <c r="M656" s="75"/>
      <c r="N656" s="70"/>
      <c r="O656" s="77" t="s">
        <v>179</v>
      </c>
      <c r="P656" s="79">
        <v>45083.875706018516</v>
      </c>
      <c r="Q656" s="77" t="s">
        <v>1183</v>
      </c>
      <c r="R656" s="77">
        <v>0</v>
      </c>
      <c r="S656" s="77">
        <v>0</v>
      </c>
      <c r="T656" s="77">
        <v>0</v>
      </c>
      <c r="U656" s="77">
        <v>0</v>
      </c>
      <c r="V656" s="77">
        <v>98</v>
      </c>
      <c r="W656" s="82" t="s">
        <v>1846</v>
      </c>
      <c r="X656" s="80" t="str">
        <f>HYPERLINK("http://metodotdl.com.br/tdl/telegram")</f>
        <v>http://metodotdl.com.br/tdl/telegram</v>
      </c>
      <c r="Y656" s="77" t="s">
        <v>1978</v>
      </c>
      <c r="Z656" s="77"/>
      <c r="AA656" s="77" t="s">
        <v>2461</v>
      </c>
      <c r="AB656" s="77" t="s">
        <v>2632</v>
      </c>
      <c r="AC656" s="82" t="s">
        <v>2642</v>
      </c>
      <c r="AD656" s="77" t="s">
        <v>2670</v>
      </c>
      <c r="AE656" s="80" t="str">
        <f>HYPERLINK("https://twitter.com/metodotdl/status/1666188468085506048")</f>
        <v>https://twitter.com/metodotdl/status/1666188468085506048</v>
      </c>
      <c r="AF656" s="79">
        <v>45083.875706018516</v>
      </c>
      <c r="AG656" s="85">
        <v>45083</v>
      </c>
      <c r="AH656" s="82" t="s">
        <v>3205</v>
      </c>
      <c r="AI656" s="77" t="b">
        <v>0</v>
      </c>
      <c r="AJ656" s="77"/>
      <c r="AK656" s="77"/>
      <c r="AL656" s="77"/>
      <c r="AM656" s="77"/>
      <c r="AN656" s="77"/>
      <c r="AO656" s="77"/>
      <c r="AP656" s="77"/>
      <c r="AQ656" s="77" t="s">
        <v>3890</v>
      </c>
      <c r="AR656" s="77"/>
      <c r="AS656" s="77"/>
      <c r="AT656" s="77"/>
      <c r="AU656" s="77"/>
      <c r="AV656" s="80" t="str">
        <f>HYPERLINK("https://pbs.twimg.com/media/Fx99lOQWAAAfGRJ.jpg")</f>
        <v>https://pbs.twimg.com/media/Fx99lOQWAAAfGRJ.jpg</v>
      </c>
      <c r="AW656" s="82" t="s">
        <v>4707</v>
      </c>
      <c r="AX656" s="82" t="s">
        <v>4707</v>
      </c>
      <c r="AY656" s="77"/>
      <c r="AZ656" s="82" t="s">
        <v>5075</v>
      </c>
      <c r="BA656" s="82" t="s">
        <v>5075</v>
      </c>
      <c r="BB656" s="82" t="s">
        <v>5075</v>
      </c>
      <c r="BC656" s="82" t="s">
        <v>4707</v>
      </c>
      <c r="BD656" s="82" t="s">
        <v>5233</v>
      </c>
      <c r="BE656" s="77"/>
      <c r="BF656" s="77"/>
      <c r="BG656" s="77"/>
      <c r="BH656" s="77"/>
      <c r="BI656" s="77"/>
    </row>
    <row r="657" spans="1:61" x14ac:dyDescent="0.25">
      <c r="A657" s="62" t="s">
        <v>424</v>
      </c>
      <c r="B657" s="62" t="s">
        <v>424</v>
      </c>
      <c r="C657" s="63"/>
      <c r="D657" s="64"/>
      <c r="E657" s="65"/>
      <c r="F657" s="66"/>
      <c r="G657" s="63"/>
      <c r="H657" s="67"/>
      <c r="I657" s="68"/>
      <c r="J657" s="68"/>
      <c r="K657" s="32"/>
      <c r="L657" s="75">
        <v>657</v>
      </c>
      <c r="M657" s="75"/>
      <c r="N657" s="70"/>
      <c r="O657" s="77" t="s">
        <v>179</v>
      </c>
      <c r="P657" s="79">
        <v>45082.882187499999</v>
      </c>
      <c r="Q657" s="77" t="s">
        <v>1184</v>
      </c>
      <c r="R657" s="77">
        <v>0</v>
      </c>
      <c r="S657" s="77">
        <v>0</v>
      </c>
      <c r="T657" s="77">
        <v>0</v>
      </c>
      <c r="U657" s="77">
        <v>0</v>
      </c>
      <c r="V657" s="77">
        <v>81</v>
      </c>
      <c r="W657" s="82" t="s">
        <v>1846</v>
      </c>
      <c r="X657" s="80" t="str">
        <f>HYPERLINK("http://metodotdl.com.br/tdl/telegram")</f>
        <v>http://metodotdl.com.br/tdl/telegram</v>
      </c>
      <c r="Y657" s="77" t="s">
        <v>1978</v>
      </c>
      <c r="Z657" s="77"/>
      <c r="AA657" s="77" t="s">
        <v>2462</v>
      </c>
      <c r="AB657" s="77" t="s">
        <v>2632</v>
      </c>
      <c r="AC657" s="82" t="s">
        <v>2642</v>
      </c>
      <c r="AD657" s="77" t="s">
        <v>2670</v>
      </c>
      <c r="AE657" s="80" t="str">
        <f>HYPERLINK("https://twitter.com/metodotdl/status/1665828427297964036")</f>
        <v>https://twitter.com/metodotdl/status/1665828427297964036</v>
      </c>
      <c r="AF657" s="79">
        <v>45082.882187499999</v>
      </c>
      <c r="AG657" s="85">
        <v>45082</v>
      </c>
      <c r="AH657" s="82" t="s">
        <v>3224</v>
      </c>
      <c r="AI657" s="77" t="b">
        <v>0</v>
      </c>
      <c r="AJ657" s="77"/>
      <c r="AK657" s="77"/>
      <c r="AL657" s="77"/>
      <c r="AM657" s="77"/>
      <c r="AN657" s="77"/>
      <c r="AO657" s="77"/>
      <c r="AP657" s="77"/>
      <c r="AQ657" s="77" t="s">
        <v>3891</v>
      </c>
      <c r="AR657" s="77"/>
      <c r="AS657" s="77"/>
      <c r="AT657" s="77"/>
      <c r="AU657" s="77"/>
      <c r="AV657" s="80" t="str">
        <f>HYPERLINK("https://pbs.twimg.com/media/Fx42IDjWAAAfS4r.jpg")</f>
        <v>https://pbs.twimg.com/media/Fx42IDjWAAAfS4r.jpg</v>
      </c>
      <c r="AW657" s="82" t="s">
        <v>4708</v>
      </c>
      <c r="AX657" s="82" t="s">
        <v>4708</v>
      </c>
      <c r="AY657" s="77"/>
      <c r="AZ657" s="82" t="s">
        <v>5075</v>
      </c>
      <c r="BA657" s="82" t="s">
        <v>5075</v>
      </c>
      <c r="BB657" s="82" t="s">
        <v>5075</v>
      </c>
      <c r="BC657" s="82" t="s">
        <v>4708</v>
      </c>
      <c r="BD657" s="82" t="s">
        <v>5233</v>
      </c>
      <c r="BE657" s="77"/>
      <c r="BF657" s="77"/>
      <c r="BG657" s="77"/>
      <c r="BH657" s="77"/>
      <c r="BI657" s="77"/>
    </row>
    <row r="658" spans="1:61" x14ac:dyDescent="0.25">
      <c r="A658" s="62" t="s">
        <v>424</v>
      </c>
      <c r="B658" s="62" t="s">
        <v>424</v>
      </c>
      <c r="C658" s="63"/>
      <c r="D658" s="64"/>
      <c r="E658" s="65"/>
      <c r="F658" s="66"/>
      <c r="G658" s="63"/>
      <c r="H658" s="67"/>
      <c r="I658" s="68"/>
      <c r="J658" s="68"/>
      <c r="K658" s="32"/>
      <c r="L658" s="75">
        <v>658</v>
      </c>
      <c r="M658" s="75"/>
      <c r="N658" s="70"/>
      <c r="O658" s="77" t="s">
        <v>179</v>
      </c>
      <c r="P658" s="79">
        <v>45044.875578703701</v>
      </c>
      <c r="Q658" s="77" t="s">
        <v>1185</v>
      </c>
      <c r="R658" s="77">
        <v>0</v>
      </c>
      <c r="S658" s="77">
        <v>0</v>
      </c>
      <c r="T658" s="77">
        <v>0</v>
      </c>
      <c r="U658" s="77">
        <v>0</v>
      </c>
      <c r="V658" s="77">
        <v>38</v>
      </c>
      <c r="W658" s="82" t="s">
        <v>1846</v>
      </c>
      <c r="X658" s="80" t="str">
        <f>HYPERLINK("http://metodotdl.com.br/tdl/telegram")</f>
        <v>http://metodotdl.com.br/tdl/telegram</v>
      </c>
      <c r="Y658" s="77" t="s">
        <v>1978</v>
      </c>
      <c r="Z658" s="77"/>
      <c r="AA658" s="77" t="s">
        <v>2463</v>
      </c>
      <c r="AB658" s="77" t="s">
        <v>2632</v>
      </c>
      <c r="AC658" s="82" t="s">
        <v>2642</v>
      </c>
      <c r="AD658" s="77" t="s">
        <v>2670</v>
      </c>
      <c r="AE658" s="80" t="str">
        <f>HYPERLINK("https://twitter.com/metodotdl/status/1652055293361094656")</f>
        <v>https://twitter.com/metodotdl/status/1652055293361094656</v>
      </c>
      <c r="AF658" s="79">
        <v>45044.875578703701</v>
      </c>
      <c r="AG658" s="85">
        <v>45044</v>
      </c>
      <c r="AH658" s="82" t="s">
        <v>3177</v>
      </c>
      <c r="AI658" s="77" t="b">
        <v>0</v>
      </c>
      <c r="AJ658" s="77"/>
      <c r="AK658" s="77"/>
      <c r="AL658" s="77"/>
      <c r="AM658" s="77"/>
      <c r="AN658" s="77"/>
      <c r="AO658" s="77"/>
      <c r="AP658" s="77"/>
      <c r="AQ658" s="77" t="s">
        <v>3892</v>
      </c>
      <c r="AR658" s="77"/>
      <c r="AS658" s="77"/>
      <c r="AT658" s="77"/>
      <c r="AU658" s="77"/>
      <c r="AV658" s="80" t="str">
        <f>HYPERLINK("https://pbs.twimg.com/media/Fu1HiMMWYAAdb_E.jpg")</f>
        <v>https://pbs.twimg.com/media/Fu1HiMMWYAAdb_E.jpg</v>
      </c>
      <c r="AW658" s="82" t="s">
        <v>4709</v>
      </c>
      <c r="AX658" s="82" t="s">
        <v>4709</v>
      </c>
      <c r="AY658" s="77"/>
      <c r="AZ658" s="82" t="s">
        <v>5075</v>
      </c>
      <c r="BA658" s="82" t="s">
        <v>5075</v>
      </c>
      <c r="BB658" s="82" t="s">
        <v>5075</v>
      </c>
      <c r="BC658" s="82" t="s">
        <v>4709</v>
      </c>
      <c r="BD658" s="82" t="s">
        <v>5233</v>
      </c>
      <c r="BE658" s="77"/>
      <c r="BF658" s="77"/>
      <c r="BG658" s="77"/>
      <c r="BH658" s="77"/>
      <c r="BI658" s="77"/>
    </row>
    <row r="659" spans="1:61" x14ac:dyDescent="0.25">
      <c r="A659" s="62" t="s">
        <v>424</v>
      </c>
      <c r="B659" s="62" t="s">
        <v>424</v>
      </c>
      <c r="C659" s="63"/>
      <c r="D659" s="64"/>
      <c r="E659" s="65"/>
      <c r="F659" s="66"/>
      <c r="G659" s="63"/>
      <c r="H659" s="67"/>
      <c r="I659" s="68"/>
      <c r="J659" s="68"/>
      <c r="K659" s="32"/>
      <c r="L659" s="75">
        <v>659</v>
      </c>
      <c r="M659" s="75"/>
      <c r="N659" s="70"/>
      <c r="O659" s="77" t="s">
        <v>179</v>
      </c>
      <c r="P659" s="79">
        <v>45043.875694444447</v>
      </c>
      <c r="Q659" s="77" t="s">
        <v>1186</v>
      </c>
      <c r="R659" s="77">
        <v>0</v>
      </c>
      <c r="S659" s="77">
        <v>0</v>
      </c>
      <c r="T659" s="77">
        <v>0</v>
      </c>
      <c r="U659" s="77">
        <v>0</v>
      </c>
      <c r="V659" s="77">
        <v>70</v>
      </c>
      <c r="W659" s="82" t="s">
        <v>1846</v>
      </c>
      <c r="X659" s="80" t="str">
        <f>HYPERLINK("http://metodotdl.com.br/tdl/telegram")</f>
        <v>http://metodotdl.com.br/tdl/telegram</v>
      </c>
      <c r="Y659" s="77" t="s">
        <v>1978</v>
      </c>
      <c r="Z659" s="77"/>
      <c r="AA659" s="77" t="s">
        <v>2464</v>
      </c>
      <c r="AB659" s="77" t="s">
        <v>2632</v>
      </c>
      <c r="AC659" s="82" t="s">
        <v>2642</v>
      </c>
      <c r="AD659" s="77" t="s">
        <v>2670</v>
      </c>
      <c r="AE659" s="80" t="str">
        <f>HYPERLINK("https://twitter.com/metodotdl/status/1651692949485371393")</f>
        <v>https://twitter.com/metodotdl/status/1651692949485371393</v>
      </c>
      <c r="AF659" s="79">
        <v>45043.875694444447</v>
      </c>
      <c r="AG659" s="85">
        <v>45043</v>
      </c>
      <c r="AH659" s="82" t="s">
        <v>2792</v>
      </c>
      <c r="AI659" s="77" t="b">
        <v>0</v>
      </c>
      <c r="AJ659" s="77"/>
      <c r="AK659" s="77"/>
      <c r="AL659" s="77"/>
      <c r="AM659" s="77"/>
      <c r="AN659" s="77"/>
      <c r="AO659" s="77"/>
      <c r="AP659" s="77"/>
      <c r="AQ659" s="77" t="s">
        <v>3893</v>
      </c>
      <c r="AR659" s="77"/>
      <c r="AS659" s="77"/>
      <c r="AT659" s="77"/>
      <c r="AU659" s="77"/>
      <c r="AV659" s="80" t="str">
        <f>HYPERLINK("https://pbs.twimg.com/media/Fuv9-9bWcAALs-F.jpg")</f>
        <v>https://pbs.twimg.com/media/Fuv9-9bWcAALs-F.jpg</v>
      </c>
      <c r="AW659" s="82" t="s">
        <v>4710</v>
      </c>
      <c r="AX659" s="82" t="s">
        <v>4710</v>
      </c>
      <c r="AY659" s="77"/>
      <c r="AZ659" s="82" t="s">
        <v>5075</v>
      </c>
      <c r="BA659" s="82" t="s">
        <v>5075</v>
      </c>
      <c r="BB659" s="82" t="s">
        <v>5075</v>
      </c>
      <c r="BC659" s="82" t="s">
        <v>4710</v>
      </c>
      <c r="BD659" s="82" t="s">
        <v>5233</v>
      </c>
      <c r="BE659" s="77"/>
      <c r="BF659" s="77"/>
      <c r="BG659" s="77"/>
      <c r="BH659" s="77"/>
      <c r="BI659" s="77"/>
    </row>
    <row r="660" spans="1:61" x14ac:dyDescent="0.25">
      <c r="A660" s="62" t="s">
        <v>424</v>
      </c>
      <c r="B660" s="62" t="s">
        <v>424</v>
      </c>
      <c r="C660" s="63"/>
      <c r="D660" s="64"/>
      <c r="E660" s="65"/>
      <c r="F660" s="66"/>
      <c r="G660" s="63"/>
      <c r="H660" s="67"/>
      <c r="I660" s="68"/>
      <c r="J660" s="68"/>
      <c r="K660" s="32"/>
      <c r="L660" s="75">
        <v>660</v>
      </c>
      <c r="M660" s="75"/>
      <c r="N660" s="70"/>
      <c r="O660" s="77" t="s">
        <v>179</v>
      </c>
      <c r="P660" s="79">
        <v>44991.875405092593</v>
      </c>
      <c r="Q660" s="77" t="s">
        <v>1187</v>
      </c>
      <c r="R660" s="77">
        <v>0</v>
      </c>
      <c r="S660" s="77">
        <v>0</v>
      </c>
      <c r="T660" s="77">
        <v>0</v>
      </c>
      <c r="U660" s="77">
        <v>0</v>
      </c>
      <c r="V660" s="77">
        <v>37</v>
      </c>
      <c r="W660" s="82" t="s">
        <v>1846</v>
      </c>
      <c r="X660" s="80" t="str">
        <f>HYPERLINK("http://metodotdl.com.br/tdl/telegram")</f>
        <v>http://metodotdl.com.br/tdl/telegram</v>
      </c>
      <c r="Y660" s="77" t="s">
        <v>1978</v>
      </c>
      <c r="Z660" s="77"/>
      <c r="AA660" s="77" t="s">
        <v>2465</v>
      </c>
      <c r="AB660" s="77" t="s">
        <v>2632</v>
      </c>
      <c r="AC660" s="82" t="s">
        <v>2642</v>
      </c>
      <c r="AD660" s="77" t="s">
        <v>2670</v>
      </c>
      <c r="AE660" s="80" t="str">
        <f>HYPERLINK("https://twitter.com/metodotdl/status/1632848675008307200")</f>
        <v>https://twitter.com/metodotdl/status/1632848675008307200</v>
      </c>
      <c r="AF660" s="79">
        <v>44991.875405092593</v>
      </c>
      <c r="AG660" s="85">
        <v>44991</v>
      </c>
      <c r="AH660" s="82" t="s">
        <v>3225</v>
      </c>
      <c r="AI660" s="77" t="b">
        <v>0</v>
      </c>
      <c r="AJ660" s="77"/>
      <c r="AK660" s="77"/>
      <c r="AL660" s="77"/>
      <c r="AM660" s="77"/>
      <c r="AN660" s="77"/>
      <c r="AO660" s="77"/>
      <c r="AP660" s="77"/>
      <c r="AQ660" s="77" t="s">
        <v>3894</v>
      </c>
      <c r="AR660" s="77"/>
      <c r="AS660" s="77"/>
      <c r="AT660" s="77"/>
      <c r="AU660" s="77"/>
      <c r="AV660" s="80" t="str">
        <f>HYPERLINK("https://pbs.twimg.com/media/FqkLN0_XgGIkaGC.jpg")</f>
        <v>https://pbs.twimg.com/media/FqkLN0_XgGIkaGC.jpg</v>
      </c>
      <c r="AW660" s="82" t="s">
        <v>4711</v>
      </c>
      <c r="AX660" s="82" t="s">
        <v>4711</v>
      </c>
      <c r="AY660" s="77"/>
      <c r="AZ660" s="82" t="s">
        <v>5075</v>
      </c>
      <c r="BA660" s="82" t="s">
        <v>5075</v>
      </c>
      <c r="BB660" s="82" t="s">
        <v>5075</v>
      </c>
      <c r="BC660" s="82" t="s">
        <v>4711</v>
      </c>
      <c r="BD660" s="82" t="s">
        <v>5233</v>
      </c>
      <c r="BE660" s="77"/>
      <c r="BF660" s="77"/>
      <c r="BG660" s="77"/>
      <c r="BH660" s="77"/>
      <c r="BI660" s="77"/>
    </row>
    <row r="661" spans="1:61" x14ac:dyDescent="0.25">
      <c r="A661" s="62" t="s">
        <v>424</v>
      </c>
      <c r="B661" s="62" t="s">
        <v>424</v>
      </c>
      <c r="C661" s="63"/>
      <c r="D661" s="64"/>
      <c r="E661" s="65"/>
      <c r="F661" s="66"/>
      <c r="G661" s="63"/>
      <c r="H661" s="67"/>
      <c r="I661" s="68"/>
      <c r="J661" s="68"/>
      <c r="K661" s="32"/>
      <c r="L661" s="75">
        <v>661</v>
      </c>
      <c r="M661" s="75"/>
      <c r="N661" s="70"/>
      <c r="O661" s="77" t="s">
        <v>179</v>
      </c>
      <c r="P661" s="79">
        <v>44988.875405092593</v>
      </c>
      <c r="Q661" s="77" t="s">
        <v>1188</v>
      </c>
      <c r="R661" s="77">
        <v>0</v>
      </c>
      <c r="S661" s="77">
        <v>0</v>
      </c>
      <c r="T661" s="77">
        <v>0</v>
      </c>
      <c r="U661" s="77">
        <v>0</v>
      </c>
      <c r="V661" s="77">
        <v>56</v>
      </c>
      <c r="W661" s="82" t="s">
        <v>1846</v>
      </c>
      <c r="X661" s="80" t="str">
        <f>HYPERLINK("http://metodotdl.com.br/tdl/telegram")</f>
        <v>http://metodotdl.com.br/tdl/telegram</v>
      </c>
      <c r="Y661" s="77" t="s">
        <v>1978</v>
      </c>
      <c r="Z661" s="77"/>
      <c r="AA661" s="77" t="s">
        <v>2466</v>
      </c>
      <c r="AB661" s="77" t="s">
        <v>2632</v>
      </c>
      <c r="AC661" s="82" t="s">
        <v>2642</v>
      </c>
      <c r="AD661" s="77" t="s">
        <v>2670</v>
      </c>
      <c r="AE661" s="80" t="str">
        <f>HYPERLINK("https://twitter.com/metodotdl/status/1631761510845300739")</f>
        <v>https://twitter.com/metodotdl/status/1631761510845300739</v>
      </c>
      <c r="AF661" s="79">
        <v>44988.875405092593</v>
      </c>
      <c r="AG661" s="85">
        <v>44988</v>
      </c>
      <c r="AH661" s="82" t="s">
        <v>3225</v>
      </c>
      <c r="AI661" s="77" t="b">
        <v>0</v>
      </c>
      <c r="AJ661" s="77"/>
      <c r="AK661" s="77"/>
      <c r="AL661" s="77"/>
      <c r="AM661" s="77"/>
      <c r="AN661" s="77"/>
      <c r="AO661" s="77"/>
      <c r="AP661" s="77"/>
      <c r="AQ661" s="77" t="s">
        <v>3895</v>
      </c>
      <c r="AR661" s="77"/>
      <c r="AS661" s="77"/>
      <c r="AT661" s="77"/>
      <c r="AU661" s="77"/>
      <c r="AV661" s="80" t="str">
        <f>HYPERLINK("https://pbs.twimg.com/media/FqUuckuXoAAkorZ.jpg")</f>
        <v>https://pbs.twimg.com/media/FqUuckuXoAAkorZ.jpg</v>
      </c>
      <c r="AW661" s="82" t="s">
        <v>4712</v>
      </c>
      <c r="AX661" s="82" t="s">
        <v>4712</v>
      </c>
      <c r="AY661" s="77"/>
      <c r="AZ661" s="82" t="s">
        <v>5075</v>
      </c>
      <c r="BA661" s="82" t="s">
        <v>5075</v>
      </c>
      <c r="BB661" s="82" t="s">
        <v>5075</v>
      </c>
      <c r="BC661" s="82" t="s">
        <v>4712</v>
      </c>
      <c r="BD661" s="82" t="s">
        <v>5233</v>
      </c>
      <c r="BE661" s="77"/>
      <c r="BF661" s="77"/>
      <c r="BG661" s="77"/>
      <c r="BH661" s="77"/>
      <c r="BI661" s="77"/>
    </row>
    <row r="662" spans="1:61" x14ac:dyDescent="0.25">
      <c r="A662" s="62" t="s">
        <v>424</v>
      </c>
      <c r="B662" s="62" t="s">
        <v>424</v>
      </c>
      <c r="C662" s="63"/>
      <c r="D662" s="64"/>
      <c r="E662" s="65"/>
      <c r="F662" s="66"/>
      <c r="G662" s="63"/>
      <c r="H662" s="67"/>
      <c r="I662" s="68"/>
      <c r="J662" s="68"/>
      <c r="K662" s="32"/>
      <c r="L662" s="75">
        <v>662</v>
      </c>
      <c r="M662" s="75"/>
      <c r="N662" s="70"/>
      <c r="O662" s="77" t="s">
        <v>179</v>
      </c>
      <c r="P662" s="79">
        <v>44988.875393518516</v>
      </c>
      <c r="Q662" s="77" t="s">
        <v>1189</v>
      </c>
      <c r="R662" s="77">
        <v>0</v>
      </c>
      <c r="S662" s="77">
        <v>0</v>
      </c>
      <c r="T662" s="77">
        <v>0</v>
      </c>
      <c r="U662" s="77">
        <v>0</v>
      </c>
      <c r="V662" s="77">
        <v>51</v>
      </c>
      <c r="W662" s="82" t="s">
        <v>1846</v>
      </c>
      <c r="X662" s="80" t="str">
        <f>HYPERLINK("http://metodotdl.com.br/tdl/telegram")</f>
        <v>http://metodotdl.com.br/tdl/telegram</v>
      </c>
      <c r="Y662" s="77" t="s">
        <v>1978</v>
      </c>
      <c r="Z662" s="77"/>
      <c r="AA662" s="77" t="s">
        <v>2467</v>
      </c>
      <c r="AB662" s="77" t="s">
        <v>2632</v>
      </c>
      <c r="AC662" s="82" t="s">
        <v>2642</v>
      </c>
      <c r="AD662" s="77" t="s">
        <v>2670</v>
      </c>
      <c r="AE662" s="80" t="str">
        <f>HYPERLINK("https://twitter.com/metodotdl/status/1631761505967390721")</f>
        <v>https://twitter.com/metodotdl/status/1631761505967390721</v>
      </c>
      <c r="AF662" s="79">
        <v>44988.875393518516</v>
      </c>
      <c r="AG662" s="85">
        <v>44988</v>
      </c>
      <c r="AH662" s="82" t="s">
        <v>2901</v>
      </c>
      <c r="AI662" s="77" t="b">
        <v>0</v>
      </c>
      <c r="AJ662" s="77"/>
      <c r="AK662" s="77"/>
      <c r="AL662" s="77"/>
      <c r="AM662" s="77"/>
      <c r="AN662" s="77"/>
      <c r="AO662" s="77"/>
      <c r="AP662" s="77"/>
      <c r="AQ662" s="77" t="s">
        <v>3896</v>
      </c>
      <c r="AR662" s="77"/>
      <c r="AS662" s="77"/>
      <c r="AT662" s="77"/>
      <c r="AU662" s="77"/>
      <c r="AV662" s="80" t="str">
        <f>HYPERLINK("https://pbs.twimg.com/media/FqUucPlXgAADRmQ.jpg")</f>
        <v>https://pbs.twimg.com/media/FqUucPlXgAADRmQ.jpg</v>
      </c>
      <c r="AW662" s="82" t="s">
        <v>4713</v>
      </c>
      <c r="AX662" s="82" t="s">
        <v>4713</v>
      </c>
      <c r="AY662" s="77"/>
      <c r="AZ662" s="82" t="s">
        <v>5075</v>
      </c>
      <c r="BA662" s="82" t="s">
        <v>5075</v>
      </c>
      <c r="BB662" s="82" t="s">
        <v>5075</v>
      </c>
      <c r="BC662" s="82" t="s">
        <v>4713</v>
      </c>
      <c r="BD662" s="82" t="s">
        <v>5233</v>
      </c>
      <c r="BE662" s="77"/>
      <c r="BF662" s="77"/>
      <c r="BG662" s="77"/>
      <c r="BH662" s="77"/>
      <c r="BI662" s="77"/>
    </row>
    <row r="663" spans="1:61" x14ac:dyDescent="0.25">
      <c r="A663" s="62" t="s">
        <v>424</v>
      </c>
      <c r="B663" s="62" t="s">
        <v>424</v>
      </c>
      <c r="C663" s="63"/>
      <c r="D663" s="64"/>
      <c r="E663" s="65"/>
      <c r="F663" s="66"/>
      <c r="G663" s="63"/>
      <c r="H663" s="67"/>
      <c r="I663" s="68"/>
      <c r="J663" s="68"/>
      <c r="K663" s="32"/>
      <c r="L663" s="75">
        <v>663</v>
      </c>
      <c r="M663" s="75"/>
      <c r="N663" s="70"/>
      <c r="O663" s="77" t="s">
        <v>179</v>
      </c>
      <c r="P663" s="79">
        <v>44988.87537037037</v>
      </c>
      <c r="Q663" s="77" t="s">
        <v>1190</v>
      </c>
      <c r="R663" s="77">
        <v>0</v>
      </c>
      <c r="S663" s="77">
        <v>0</v>
      </c>
      <c r="T663" s="77">
        <v>0</v>
      </c>
      <c r="U663" s="77">
        <v>0</v>
      </c>
      <c r="V663" s="77">
        <v>48</v>
      </c>
      <c r="W663" s="82" t="s">
        <v>1846</v>
      </c>
      <c r="X663" s="80" t="str">
        <f>HYPERLINK("http://metodotdl.com.br/tdl/telegram")</f>
        <v>http://metodotdl.com.br/tdl/telegram</v>
      </c>
      <c r="Y663" s="77" t="s">
        <v>1978</v>
      </c>
      <c r="Z663" s="77"/>
      <c r="AA663" s="77" t="s">
        <v>2468</v>
      </c>
      <c r="AB663" s="77" t="s">
        <v>2632</v>
      </c>
      <c r="AC663" s="82" t="s">
        <v>2642</v>
      </c>
      <c r="AD663" s="77" t="s">
        <v>2670</v>
      </c>
      <c r="AE663" s="80" t="str">
        <f>HYPERLINK("https://twitter.com/metodotdl/status/1631761500078571520")</f>
        <v>https://twitter.com/metodotdl/status/1631761500078571520</v>
      </c>
      <c r="AF663" s="79">
        <v>44988.87537037037</v>
      </c>
      <c r="AG663" s="85">
        <v>44988</v>
      </c>
      <c r="AH663" s="82" t="s">
        <v>3183</v>
      </c>
      <c r="AI663" s="77" t="b">
        <v>0</v>
      </c>
      <c r="AJ663" s="77"/>
      <c r="AK663" s="77"/>
      <c r="AL663" s="77"/>
      <c r="AM663" s="77"/>
      <c r="AN663" s="77"/>
      <c r="AO663" s="77"/>
      <c r="AP663" s="77"/>
      <c r="AQ663" s="77" t="s">
        <v>3897</v>
      </c>
      <c r="AR663" s="77"/>
      <c r="AS663" s="77"/>
      <c r="AT663" s="77"/>
      <c r="AU663" s="77"/>
      <c r="AV663" s="80" t="str">
        <f>HYPERLINK("https://pbs.twimg.com/media/FqUub5uWAAACD5E.jpg")</f>
        <v>https://pbs.twimg.com/media/FqUub5uWAAACD5E.jpg</v>
      </c>
      <c r="AW663" s="82" t="s">
        <v>4714</v>
      </c>
      <c r="AX663" s="82" t="s">
        <v>4714</v>
      </c>
      <c r="AY663" s="77"/>
      <c r="AZ663" s="82" t="s">
        <v>5075</v>
      </c>
      <c r="BA663" s="82" t="s">
        <v>5075</v>
      </c>
      <c r="BB663" s="82" t="s">
        <v>5075</v>
      </c>
      <c r="BC663" s="82" t="s">
        <v>4714</v>
      </c>
      <c r="BD663" s="82" t="s">
        <v>5233</v>
      </c>
      <c r="BE663" s="77"/>
      <c r="BF663" s="77"/>
      <c r="BG663" s="77"/>
      <c r="BH663" s="77"/>
      <c r="BI663" s="77"/>
    </row>
    <row r="664" spans="1:61" x14ac:dyDescent="0.25">
      <c r="A664" s="62" t="s">
        <v>424</v>
      </c>
      <c r="B664" s="62" t="s">
        <v>424</v>
      </c>
      <c r="C664" s="63"/>
      <c r="D664" s="64"/>
      <c r="E664" s="65"/>
      <c r="F664" s="66"/>
      <c r="G664" s="63"/>
      <c r="H664" s="67"/>
      <c r="I664" s="68"/>
      <c r="J664" s="68"/>
      <c r="K664" s="32"/>
      <c r="L664" s="75">
        <v>664</v>
      </c>
      <c r="M664" s="75"/>
      <c r="N664" s="70"/>
      <c r="O664" s="77" t="s">
        <v>179</v>
      </c>
      <c r="P664" s="79">
        <v>44986.878680555557</v>
      </c>
      <c r="Q664" s="77" t="s">
        <v>1191</v>
      </c>
      <c r="R664" s="77">
        <v>0</v>
      </c>
      <c r="S664" s="77">
        <v>0</v>
      </c>
      <c r="T664" s="77">
        <v>0</v>
      </c>
      <c r="U664" s="77">
        <v>0</v>
      </c>
      <c r="V664" s="77">
        <v>51</v>
      </c>
      <c r="W664" s="82" t="s">
        <v>1846</v>
      </c>
      <c r="X664" s="80" t="str">
        <f>HYPERLINK("http://metodotdl.com.br/tdl/telegram")</f>
        <v>http://metodotdl.com.br/tdl/telegram</v>
      </c>
      <c r="Y664" s="77" t="s">
        <v>1978</v>
      </c>
      <c r="Z664" s="77"/>
      <c r="AA664" s="77" t="s">
        <v>2469</v>
      </c>
      <c r="AB664" s="77" t="s">
        <v>2632</v>
      </c>
      <c r="AC664" s="82" t="s">
        <v>2642</v>
      </c>
      <c r="AD664" s="77" t="s">
        <v>2670</v>
      </c>
      <c r="AE664" s="80" t="str">
        <f>HYPERLINK("https://twitter.com/metodotdl/status/1631037923654086656")</f>
        <v>https://twitter.com/metodotdl/status/1631037923654086656</v>
      </c>
      <c r="AF664" s="79">
        <v>44986.878680555557</v>
      </c>
      <c r="AG664" s="85">
        <v>44986</v>
      </c>
      <c r="AH664" s="82" t="s">
        <v>3226</v>
      </c>
      <c r="AI664" s="77" t="b">
        <v>0</v>
      </c>
      <c r="AJ664" s="77"/>
      <c r="AK664" s="77"/>
      <c r="AL664" s="77"/>
      <c r="AM664" s="77"/>
      <c r="AN664" s="77"/>
      <c r="AO664" s="77"/>
      <c r="AP664" s="77"/>
      <c r="AQ664" s="77" t="s">
        <v>3898</v>
      </c>
      <c r="AR664" s="77"/>
      <c r="AS664" s="77"/>
      <c r="AT664" s="77"/>
      <c r="AU664" s="77"/>
      <c r="AV664" s="80" t="str">
        <f>HYPERLINK("https://pbs.twimg.com/media/FqKcWQdWcAAVI8e.jpg")</f>
        <v>https://pbs.twimg.com/media/FqKcWQdWcAAVI8e.jpg</v>
      </c>
      <c r="AW664" s="82" t="s">
        <v>4715</v>
      </c>
      <c r="AX664" s="82" t="s">
        <v>4715</v>
      </c>
      <c r="AY664" s="77"/>
      <c r="AZ664" s="82" t="s">
        <v>5075</v>
      </c>
      <c r="BA664" s="82" t="s">
        <v>5075</v>
      </c>
      <c r="BB664" s="82" t="s">
        <v>5075</v>
      </c>
      <c r="BC664" s="82" t="s">
        <v>4715</v>
      </c>
      <c r="BD664" s="82" t="s">
        <v>5233</v>
      </c>
      <c r="BE664" s="77"/>
      <c r="BF664" s="77"/>
      <c r="BG664" s="77"/>
      <c r="BH664" s="77"/>
      <c r="BI664" s="77"/>
    </row>
    <row r="665" spans="1:61" x14ac:dyDescent="0.25">
      <c r="A665" s="62" t="s">
        <v>424</v>
      </c>
      <c r="B665" s="62" t="s">
        <v>424</v>
      </c>
      <c r="C665" s="63"/>
      <c r="D665" s="64"/>
      <c r="E665" s="65"/>
      <c r="F665" s="66"/>
      <c r="G665" s="63"/>
      <c r="H665" s="67"/>
      <c r="I665" s="68"/>
      <c r="J665" s="68"/>
      <c r="K665" s="32"/>
      <c r="L665" s="75">
        <v>665</v>
      </c>
      <c r="M665" s="75"/>
      <c r="N665" s="70"/>
      <c r="O665" s="77" t="s">
        <v>179</v>
      </c>
      <c r="P665" s="79">
        <v>44985.875358796293</v>
      </c>
      <c r="Q665" s="77" t="s">
        <v>1192</v>
      </c>
      <c r="R665" s="77">
        <v>0</v>
      </c>
      <c r="S665" s="77">
        <v>0</v>
      </c>
      <c r="T665" s="77">
        <v>0</v>
      </c>
      <c r="U665" s="77">
        <v>0</v>
      </c>
      <c r="V665" s="77">
        <v>48</v>
      </c>
      <c r="W665" s="82" t="s">
        <v>1846</v>
      </c>
      <c r="X665" s="80" t="str">
        <f>HYPERLINK("http://metodotdl.com.br/tdl/telegram")</f>
        <v>http://metodotdl.com.br/tdl/telegram</v>
      </c>
      <c r="Y665" s="77" t="s">
        <v>1978</v>
      </c>
      <c r="Z665" s="77"/>
      <c r="AA665" s="77" t="s">
        <v>2470</v>
      </c>
      <c r="AB665" s="77" t="s">
        <v>2632</v>
      </c>
      <c r="AC665" s="82" t="s">
        <v>2642</v>
      </c>
      <c r="AD665" s="77" t="s">
        <v>2670</v>
      </c>
      <c r="AE665" s="80" t="str">
        <f>HYPERLINK("https://twitter.com/metodotdl/status/1630674329305325576")</f>
        <v>https://twitter.com/metodotdl/status/1630674329305325576</v>
      </c>
      <c r="AF665" s="79">
        <v>44985.875358796293</v>
      </c>
      <c r="AG665" s="85">
        <v>44985</v>
      </c>
      <c r="AH665" s="82" t="s">
        <v>3189</v>
      </c>
      <c r="AI665" s="77" t="b">
        <v>0</v>
      </c>
      <c r="AJ665" s="77"/>
      <c r="AK665" s="77"/>
      <c r="AL665" s="77"/>
      <c r="AM665" s="77"/>
      <c r="AN665" s="77"/>
      <c r="AO665" s="77"/>
      <c r="AP665" s="77"/>
      <c r="AQ665" s="77" t="s">
        <v>3899</v>
      </c>
      <c r="AR665" s="77"/>
      <c r="AS665" s="77"/>
      <c r="AT665" s="77"/>
      <c r="AU665" s="77"/>
      <c r="AV665" s="80" t="str">
        <f>HYPERLINK("https://pbs.twimg.com/media/FqFRqRUWIAEQExd.jpg")</f>
        <v>https://pbs.twimg.com/media/FqFRqRUWIAEQExd.jpg</v>
      </c>
      <c r="AW665" s="82" t="s">
        <v>4716</v>
      </c>
      <c r="AX665" s="82" t="s">
        <v>4716</v>
      </c>
      <c r="AY665" s="77"/>
      <c r="AZ665" s="82" t="s">
        <v>5075</v>
      </c>
      <c r="BA665" s="82" t="s">
        <v>5075</v>
      </c>
      <c r="BB665" s="82" t="s">
        <v>5075</v>
      </c>
      <c r="BC665" s="82" t="s">
        <v>4716</v>
      </c>
      <c r="BD665" s="82" t="s">
        <v>5233</v>
      </c>
      <c r="BE665" s="77"/>
      <c r="BF665" s="77"/>
      <c r="BG665" s="77"/>
      <c r="BH665" s="77"/>
      <c r="BI665" s="77"/>
    </row>
    <row r="666" spans="1:61" x14ac:dyDescent="0.25">
      <c r="A666" s="62" t="s">
        <v>424</v>
      </c>
      <c r="B666" s="62" t="s">
        <v>424</v>
      </c>
      <c r="C666" s="63"/>
      <c r="D666" s="64"/>
      <c r="E666" s="65"/>
      <c r="F666" s="66"/>
      <c r="G666" s="63"/>
      <c r="H666" s="67"/>
      <c r="I666" s="68"/>
      <c r="J666" s="68"/>
      <c r="K666" s="32"/>
      <c r="L666" s="75">
        <v>666</v>
      </c>
      <c r="M666" s="75"/>
      <c r="N666" s="70"/>
      <c r="O666" s="77" t="s">
        <v>179</v>
      </c>
      <c r="P666" s="79">
        <v>44984.871655092589</v>
      </c>
      <c r="Q666" s="77" t="s">
        <v>1193</v>
      </c>
      <c r="R666" s="77">
        <v>0</v>
      </c>
      <c r="S666" s="77">
        <v>0</v>
      </c>
      <c r="T666" s="77">
        <v>0</v>
      </c>
      <c r="U666" s="77">
        <v>0</v>
      </c>
      <c r="V666" s="77">
        <v>46</v>
      </c>
      <c r="W666" s="82" t="s">
        <v>1846</v>
      </c>
      <c r="X666" s="80" t="str">
        <f>HYPERLINK("http://metodotdl.com.br/tdl/telegram")</f>
        <v>http://metodotdl.com.br/tdl/telegram</v>
      </c>
      <c r="Y666" s="77" t="s">
        <v>1978</v>
      </c>
      <c r="Z666" s="77"/>
      <c r="AA666" s="77" t="s">
        <v>2471</v>
      </c>
      <c r="AB666" s="77" t="s">
        <v>2632</v>
      </c>
      <c r="AC666" s="82" t="s">
        <v>2642</v>
      </c>
      <c r="AD666" s="77" t="s">
        <v>2670</v>
      </c>
      <c r="AE666" s="80" t="str">
        <f>HYPERLINK("https://twitter.com/metodotdl/status/1630310601795817472")</f>
        <v>https://twitter.com/metodotdl/status/1630310601795817472</v>
      </c>
      <c r="AF666" s="79">
        <v>44984.871655092589</v>
      </c>
      <c r="AG666" s="85">
        <v>44984</v>
      </c>
      <c r="AH666" s="82" t="s">
        <v>3227</v>
      </c>
      <c r="AI666" s="77" t="b">
        <v>0</v>
      </c>
      <c r="AJ666" s="77"/>
      <c r="AK666" s="77"/>
      <c r="AL666" s="77"/>
      <c r="AM666" s="77"/>
      <c r="AN666" s="77"/>
      <c r="AO666" s="77"/>
      <c r="AP666" s="77"/>
      <c r="AQ666" s="77" t="s">
        <v>3900</v>
      </c>
      <c r="AR666" s="77"/>
      <c r="AS666" s="77"/>
      <c r="AT666" s="77"/>
      <c r="AU666" s="77"/>
      <c r="AV666" s="80" t="str">
        <f>HYPERLINK("https://pbs.twimg.com/media/FqAG2g7WYAIiyW-.jpg")</f>
        <v>https://pbs.twimg.com/media/FqAG2g7WYAIiyW-.jpg</v>
      </c>
      <c r="AW666" s="82" t="s">
        <v>4717</v>
      </c>
      <c r="AX666" s="82" t="s">
        <v>4717</v>
      </c>
      <c r="AY666" s="77"/>
      <c r="AZ666" s="82" t="s">
        <v>5075</v>
      </c>
      <c r="BA666" s="82" t="s">
        <v>5075</v>
      </c>
      <c r="BB666" s="82" t="s">
        <v>5075</v>
      </c>
      <c r="BC666" s="82" t="s">
        <v>4717</v>
      </c>
      <c r="BD666" s="82" t="s">
        <v>5233</v>
      </c>
      <c r="BE666" s="77"/>
      <c r="BF666" s="77"/>
      <c r="BG666" s="77"/>
      <c r="BH666" s="77"/>
      <c r="BI666" s="77"/>
    </row>
    <row r="667" spans="1:61" x14ac:dyDescent="0.25">
      <c r="A667" s="62" t="s">
        <v>425</v>
      </c>
      <c r="B667" s="62" t="s">
        <v>425</v>
      </c>
      <c r="C667" s="63"/>
      <c r="D667" s="64"/>
      <c r="E667" s="65"/>
      <c r="F667" s="66"/>
      <c r="G667" s="63"/>
      <c r="H667" s="67"/>
      <c r="I667" s="68"/>
      <c r="J667" s="68"/>
      <c r="K667" s="32"/>
      <c r="L667" s="75">
        <v>667</v>
      </c>
      <c r="M667" s="75"/>
      <c r="N667" s="70"/>
      <c r="O667" s="77" t="s">
        <v>536</v>
      </c>
      <c r="P667" s="79">
        <v>45183.252349537041</v>
      </c>
      <c r="Q667" s="77" t="s">
        <v>1194</v>
      </c>
      <c r="R667" s="77">
        <v>0</v>
      </c>
      <c r="S667" s="77">
        <v>0</v>
      </c>
      <c r="T667" s="77">
        <v>0</v>
      </c>
      <c r="U667" s="77">
        <v>0</v>
      </c>
      <c r="V667" s="77">
        <v>21</v>
      </c>
      <c r="W667" s="82" t="s">
        <v>1435</v>
      </c>
      <c r="X667" s="77"/>
      <c r="Y667" s="77"/>
      <c r="Z667" s="77"/>
      <c r="AA667" s="77"/>
      <c r="AB667" s="77"/>
      <c r="AC667" s="82" t="s">
        <v>2638</v>
      </c>
      <c r="AD667" s="77" t="s">
        <v>2670</v>
      </c>
      <c r="AE667" s="80" t="str">
        <f>HYPERLINK("https://twitter.com/realpauloborba/status/1702201358848540773")</f>
        <v>https://twitter.com/realpauloborba/status/1702201358848540773</v>
      </c>
      <c r="AF667" s="79">
        <v>45183.252349537041</v>
      </c>
      <c r="AG667" s="85">
        <v>45183</v>
      </c>
      <c r="AH667" s="82" t="s">
        <v>3228</v>
      </c>
      <c r="AI667" s="77"/>
      <c r="AJ667" s="77"/>
      <c r="AK667" s="77"/>
      <c r="AL667" s="77"/>
      <c r="AM667" s="77"/>
      <c r="AN667" s="77"/>
      <c r="AO667" s="77"/>
      <c r="AP667" s="77"/>
      <c r="AQ667" s="77"/>
      <c r="AR667" s="77"/>
      <c r="AS667" s="77"/>
      <c r="AT667" s="77"/>
      <c r="AU667" s="77"/>
      <c r="AV667" s="80" t="str">
        <f>HYPERLINK("https://pbs.twimg.com/profile_images/1677000136701124608/bkma_mNv_normal.jpg")</f>
        <v>https://pbs.twimg.com/profile_images/1677000136701124608/bkma_mNv_normal.jpg</v>
      </c>
      <c r="AW667" s="82" t="s">
        <v>4718</v>
      </c>
      <c r="AX667" s="82" t="s">
        <v>5008</v>
      </c>
      <c r="AY667" s="82" t="s">
        <v>5061</v>
      </c>
      <c r="AZ667" s="82" t="s">
        <v>5109</v>
      </c>
      <c r="BA667" s="82" t="s">
        <v>5075</v>
      </c>
      <c r="BB667" s="82" t="s">
        <v>5075</v>
      </c>
      <c r="BC667" s="82" t="s">
        <v>5109</v>
      </c>
      <c r="BD667" s="82" t="s">
        <v>5061</v>
      </c>
      <c r="BE667" s="77"/>
      <c r="BF667" s="77"/>
      <c r="BG667" s="77"/>
      <c r="BH667" s="77"/>
      <c r="BI667" s="77"/>
    </row>
    <row r="668" spans="1:61" x14ac:dyDescent="0.25">
      <c r="A668" s="62" t="s">
        <v>425</v>
      </c>
      <c r="B668" s="62" t="s">
        <v>425</v>
      </c>
      <c r="C668" s="63"/>
      <c r="D668" s="64"/>
      <c r="E668" s="65"/>
      <c r="F668" s="66"/>
      <c r="G668" s="63"/>
      <c r="H668" s="67"/>
      <c r="I668" s="68"/>
      <c r="J668" s="68"/>
      <c r="K668" s="32"/>
      <c r="L668" s="75">
        <v>668</v>
      </c>
      <c r="M668" s="75"/>
      <c r="N668" s="70"/>
      <c r="O668" s="77" t="s">
        <v>536</v>
      </c>
      <c r="P668" s="79">
        <v>45164.910960648151</v>
      </c>
      <c r="Q668" s="77" t="s">
        <v>1195</v>
      </c>
      <c r="R668" s="77">
        <v>0</v>
      </c>
      <c r="S668" s="77">
        <v>0</v>
      </c>
      <c r="T668" s="77">
        <v>1</v>
      </c>
      <c r="U668" s="77">
        <v>0</v>
      </c>
      <c r="V668" s="77">
        <v>51</v>
      </c>
      <c r="W668" s="82" t="s">
        <v>1847</v>
      </c>
      <c r="X668" s="77"/>
      <c r="Y668" s="77"/>
      <c r="Z668" s="77"/>
      <c r="AA668" s="77"/>
      <c r="AB668" s="77"/>
      <c r="AC668" s="82" t="s">
        <v>2639</v>
      </c>
      <c r="AD668" s="77" t="s">
        <v>2670</v>
      </c>
      <c r="AE668" s="80" t="str">
        <f>HYPERLINK("https://twitter.com/realpauloborba/status/1695554660457922761")</f>
        <v>https://twitter.com/realpauloborba/status/1695554660457922761</v>
      </c>
      <c r="AF668" s="79">
        <v>45164.910960648151</v>
      </c>
      <c r="AG668" s="85">
        <v>45164</v>
      </c>
      <c r="AH668" s="82" t="s">
        <v>3229</v>
      </c>
      <c r="AI668" s="77"/>
      <c r="AJ668" s="77"/>
      <c r="AK668" s="77"/>
      <c r="AL668" s="77"/>
      <c r="AM668" s="77"/>
      <c r="AN668" s="77"/>
      <c r="AO668" s="77"/>
      <c r="AP668" s="77"/>
      <c r="AQ668" s="77"/>
      <c r="AR668" s="77"/>
      <c r="AS668" s="77"/>
      <c r="AT668" s="77"/>
      <c r="AU668" s="77"/>
      <c r="AV668" s="80" t="str">
        <f>HYPERLINK("https://pbs.twimg.com/profile_images/1677000136701124608/bkma_mNv_normal.jpg")</f>
        <v>https://pbs.twimg.com/profile_images/1677000136701124608/bkma_mNv_normal.jpg</v>
      </c>
      <c r="AW668" s="82" t="s">
        <v>4719</v>
      </c>
      <c r="AX668" s="82" t="s">
        <v>5009</v>
      </c>
      <c r="AY668" s="82" t="s">
        <v>5061</v>
      </c>
      <c r="AZ668" s="82" t="s">
        <v>5110</v>
      </c>
      <c r="BA668" s="82" t="s">
        <v>5075</v>
      </c>
      <c r="BB668" s="82" t="s">
        <v>5075</v>
      </c>
      <c r="BC668" s="82" t="s">
        <v>5110</v>
      </c>
      <c r="BD668" s="82" t="s">
        <v>5061</v>
      </c>
      <c r="BE668" s="77"/>
      <c r="BF668" s="77"/>
      <c r="BG668" s="77"/>
      <c r="BH668" s="77"/>
      <c r="BI668" s="77"/>
    </row>
    <row r="669" spans="1:61" x14ac:dyDescent="0.25">
      <c r="A669" s="62" t="s">
        <v>425</v>
      </c>
      <c r="B669" s="62" t="s">
        <v>425</v>
      </c>
      <c r="C669" s="63"/>
      <c r="D669" s="64"/>
      <c r="E669" s="65"/>
      <c r="F669" s="66"/>
      <c r="G669" s="63"/>
      <c r="H669" s="67"/>
      <c r="I669" s="68"/>
      <c r="J669" s="68"/>
      <c r="K669" s="32"/>
      <c r="L669" s="75">
        <v>669</v>
      </c>
      <c r="M669" s="75"/>
      <c r="N669" s="70"/>
      <c r="O669" s="77" t="s">
        <v>536</v>
      </c>
      <c r="P669" s="79">
        <v>45186.017361111109</v>
      </c>
      <c r="Q669" s="77" t="s">
        <v>1196</v>
      </c>
      <c r="R669" s="77">
        <v>0</v>
      </c>
      <c r="S669" s="77">
        <v>3</v>
      </c>
      <c r="T669" s="77">
        <v>1</v>
      </c>
      <c r="U669" s="77">
        <v>0</v>
      </c>
      <c r="V669" s="77">
        <v>14</v>
      </c>
      <c r="W669" s="82" t="s">
        <v>1435</v>
      </c>
      <c r="X669" s="77"/>
      <c r="Y669" s="77"/>
      <c r="Z669" s="77"/>
      <c r="AA669" s="77"/>
      <c r="AB669" s="77"/>
      <c r="AC669" s="82" t="s">
        <v>2638</v>
      </c>
      <c r="AD669" s="77" t="s">
        <v>2670</v>
      </c>
      <c r="AE669" s="80" t="str">
        <f>HYPERLINK("https://twitter.com/realpauloborba/status/1703203362869801145")</f>
        <v>https://twitter.com/realpauloborba/status/1703203362869801145</v>
      </c>
      <c r="AF669" s="79">
        <v>45186.017361111109</v>
      </c>
      <c r="AG669" s="85">
        <v>45186</v>
      </c>
      <c r="AH669" s="82" t="s">
        <v>3230</v>
      </c>
      <c r="AI669" s="77"/>
      <c r="AJ669" s="77"/>
      <c r="AK669" s="77"/>
      <c r="AL669" s="77"/>
      <c r="AM669" s="77"/>
      <c r="AN669" s="77"/>
      <c r="AO669" s="77"/>
      <c r="AP669" s="77"/>
      <c r="AQ669" s="77"/>
      <c r="AR669" s="77"/>
      <c r="AS669" s="77"/>
      <c r="AT669" s="77"/>
      <c r="AU669" s="77"/>
      <c r="AV669" s="80" t="str">
        <f>HYPERLINK("https://pbs.twimg.com/profile_images/1677000136701124608/bkma_mNv_normal.jpg")</f>
        <v>https://pbs.twimg.com/profile_images/1677000136701124608/bkma_mNv_normal.jpg</v>
      </c>
      <c r="AW669" s="82" t="s">
        <v>4720</v>
      </c>
      <c r="AX669" s="82" t="s">
        <v>5010</v>
      </c>
      <c r="AY669" s="82" t="s">
        <v>5061</v>
      </c>
      <c r="AZ669" s="82" t="s">
        <v>5111</v>
      </c>
      <c r="BA669" s="82" t="s">
        <v>5075</v>
      </c>
      <c r="BB669" s="82" t="s">
        <v>5075</v>
      </c>
      <c r="BC669" s="82" t="s">
        <v>5111</v>
      </c>
      <c r="BD669" s="82" t="s">
        <v>5061</v>
      </c>
      <c r="BE669" s="77"/>
      <c r="BF669" s="77"/>
      <c r="BG669" s="77"/>
      <c r="BH669" s="77"/>
      <c r="BI669" s="77"/>
    </row>
    <row r="670" spans="1:61" x14ac:dyDescent="0.25">
      <c r="A670" s="62" t="s">
        <v>425</v>
      </c>
      <c r="B670" s="62" t="s">
        <v>425</v>
      </c>
      <c r="C670" s="63"/>
      <c r="D670" s="64"/>
      <c r="E670" s="65"/>
      <c r="F670" s="66"/>
      <c r="G670" s="63"/>
      <c r="H670" s="67"/>
      <c r="I670" s="68"/>
      <c r="J670" s="68"/>
      <c r="K670" s="32"/>
      <c r="L670" s="75">
        <v>670</v>
      </c>
      <c r="M670" s="75"/>
      <c r="N670" s="70"/>
      <c r="O670" s="77" t="s">
        <v>536</v>
      </c>
      <c r="P670" s="79">
        <v>45196.1875462963</v>
      </c>
      <c r="Q670" s="77" t="s">
        <v>1197</v>
      </c>
      <c r="R670" s="77">
        <v>0</v>
      </c>
      <c r="S670" s="77">
        <v>0</v>
      </c>
      <c r="T670" s="77">
        <v>1</v>
      </c>
      <c r="U670" s="77">
        <v>0</v>
      </c>
      <c r="V670" s="77">
        <v>4</v>
      </c>
      <c r="W670" s="82" t="s">
        <v>1435</v>
      </c>
      <c r="X670" s="77"/>
      <c r="Y670" s="77"/>
      <c r="Z670" s="77"/>
      <c r="AA670" s="77"/>
      <c r="AB670" s="77"/>
      <c r="AC670" s="82" t="s">
        <v>2638</v>
      </c>
      <c r="AD670" s="77" t="s">
        <v>2670</v>
      </c>
      <c r="AE670" s="80" t="str">
        <f>HYPERLINK("https://twitter.com/realpauloborba/status/1706888913636430230")</f>
        <v>https://twitter.com/realpauloborba/status/1706888913636430230</v>
      </c>
      <c r="AF670" s="79">
        <v>45196.1875462963</v>
      </c>
      <c r="AG670" s="85">
        <v>45196</v>
      </c>
      <c r="AH670" s="82" t="s">
        <v>3231</v>
      </c>
      <c r="AI670" s="77"/>
      <c r="AJ670" s="77"/>
      <c r="AK670" s="77"/>
      <c r="AL670" s="77"/>
      <c r="AM670" s="77"/>
      <c r="AN670" s="77"/>
      <c r="AO670" s="77"/>
      <c r="AP670" s="77"/>
      <c r="AQ670" s="77"/>
      <c r="AR670" s="77"/>
      <c r="AS670" s="77"/>
      <c r="AT670" s="77"/>
      <c r="AU670" s="77"/>
      <c r="AV670" s="80" t="str">
        <f>HYPERLINK("https://pbs.twimg.com/profile_images/1677000136701124608/bkma_mNv_normal.jpg")</f>
        <v>https://pbs.twimg.com/profile_images/1677000136701124608/bkma_mNv_normal.jpg</v>
      </c>
      <c r="AW670" s="82" t="s">
        <v>4721</v>
      </c>
      <c r="AX670" s="82" t="s">
        <v>5011</v>
      </c>
      <c r="AY670" s="82" t="s">
        <v>5061</v>
      </c>
      <c r="AZ670" s="82" t="s">
        <v>5112</v>
      </c>
      <c r="BA670" s="82" t="s">
        <v>5075</v>
      </c>
      <c r="BB670" s="82" t="s">
        <v>5075</v>
      </c>
      <c r="BC670" s="82" t="s">
        <v>5112</v>
      </c>
      <c r="BD670" s="82" t="s">
        <v>5061</v>
      </c>
      <c r="BE670" s="77"/>
      <c r="BF670" s="77"/>
      <c r="BG670" s="77"/>
      <c r="BH670" s="77"/>
      <c r="BI670" s="77"/>
    </row>
    <row r="671" spans="1:61" x14ac:dyDescent="0.25">
      <c r="A671" s="62" t="s">
        <v>425</v>
      </c>
      <c r="B671" s="62" t="s">
        <v>425</v>
      </c>
      <c r="C671" s="63"/>
      <c r="D671" s="64"/>
      <c r="E671" s="65"/>
      <c r="F671" s="66"/>
      <c r="G671" s="63"/>
      <c r="H671" s="67"/>
      <c r="I671" s="68"/>
      <c r="J671" s="68"/>
      <c r="K671" s="32"/>
      <c r="L671" s="75">
        <v>671</v>
      </c>
      <c r="M671" s="75"/>
      <c r="N671" s="70"/>
      <c r="O671" s="77" t="s">
        <v>179</v>
      </c>
      <c r="P671" s="79">
        <v>45171.139027777775</v>
      </c>
      <c r="Q671" s="77" t="s">
        <v>1198</v>
      </c>
      <c r="R671" s="77">
        <v>0</v>
      </c>
      <c r="S671" s="77">
        <v>0</v>
      </c>
      <c r="T671" s="77">
        <v>0</v>
      </c>
      <c r="U671" s="77">
        <v>0</v>
      </c>
      <c r="V671" s="77">
        <v>137</v>
      </c>
      <c r="W671" s="82" t="s">
        <v>1435</v>
      </c>
      <c r="X671" s="77"/>
      <c r="Y671" s="77"/>
      <c r="Z671" s="77"/>
      <c r="AA671" s="77"/>
      <c r="AB671" s="77"/>
      <c r="AC671" s="82" t="s">
        <v>2638</v>
      </c>
      <c r="AD671" s="77" t="s">
        <v>2670</v>
      </c>
      <c r="AE671" s="80" t="str">
        <f>HYPERLINK("https://twitter.com/realpauloborba/status/1697811634264391703")</f>
        <v>https://twitter.com/realpauloborba/status/1697811634264391703</v>
      </c>
      <c r="AF671" s="79">
        <v>45171.139027777775</v>
      </c>
      <c r="AG671" s="85">
        <v>45171</v>
      </c>
      <c r="AH671" s="82" t="s">
        <v>3232</v>
      </c>
      <c r="AI671" s="77"/>
      <c r="AJ671" s="77"/>
      <c r="AK671" s="77"/>
      <c r="AL671" s="77"/>
      <c r="AM671" s="77"/>
      <c r="AN671" s="77"/>
      <c r="AO671" s="77"/>
      <c r="AP671" s="77"/>
      <c r="AQ671" s="77"/>
      <c r="AR671" s="77"/>
      <c r="AS671" s="77"/>
      <c r="AT671" s="77"/>
      <c r="AU671" s="77"/>
      <c r="AV671" s="80" t="str">
        <f>HYPERLINK("https://pbs.twimg.com/profile_images/1677000136701124608/bkma_mNv_normal.jpg")</f>
        <v>https://pbs.twimg.com/profile_images/1677000136701124608/bkma_mNv_normal.jpg</v>
      </c>
      <c r="AW671" s="82" t="s">
        <v>4722</v>
      </c>
      <c r="AX671" s="82" t="s">
        <v>4722</v>
      </c>
      <c r="AY671" s="77"/>
      <c r="AZ671" s="82" t="s">
        <v>5075</v>
      </c>
      <c r="BA671" s="82" t="s">
        <v>5075</v>
      </c>
      <c r="BB671" s="82" t="s">
        <v>5075</v>
      </c>
      <c r="BC671" s="82" t="s">
        <v>4722</v>
      </c>
      <c r="BD671" s="82" t="s">
        <v>5061</v>
      </c>
      <c r="BE671" s="77"/>
      <c r="BF671" s="77"/>
      <c r="BG671" s="77"/>
      <c r="BH671" s="77"/>
      <c r="BI671" s="77"/>
    </row>
    <row r="672" spans="1:61" x14ac:dyDescent="0.25">
      <c r="A672" s="62" t="s">
        <v>425</v>
      </c>
      <c r="B672" s="62" t="s">
        <v>425</v>
      </c>
      <c r="C672" s="63"/>
      <c r="D672" s="64"/>
      <c r="E672" s="65"/>
      <c r="F672" s="66"/>
      <c r="G672" s="63"/>
      <c r="H672" s="67"/>
      <c r="I672" s="68"/>
      <c r="J672" s="68"/>
      <c r="K672" s="32"/>
      <c r="L672" s="75">
        <v>672</v>
      </c>
      <c r="M672" s="75"/>
      <c r="N672" s="70"/>
      <c r="O672" s="77" t="s">
        <v>536</v>
      </c>
      <c r="P672" s="79">
        <v>45141.840428240743</v>
      </c>
      <c r="Q672" s="77" t="s">
        <v>1199</v>
      </c>
      <c r="R672" s="77">
        <v>0</v>
      </c>
      <c r="S672" s="77">
        <v>0</v>
      </c>
      <c r="T672" s="77">
        <v>1</v>
      </c>
      <c r="U672" s="77">
        <v>0</v>
      </c>
      <c r="V672" s="77">
        <v>19</v>
      </c>
      <c r="W672" s="82" t="s">
        <v>1435</v>
      </c>
      <c r="X672" s="77"/>
      <c r="Y672" s="77"/>
      <c r="Z672" s="77"/>
      <c r="AA672" s="77"/>
      <c r="AB672" s="77"/>
      <c r="AC672" s="82" t="s">
        <v>2638</v>
      </c>
      <c r="AD672" s="77" t="s">
        <v>2670</v>
      </c>
      <c r="AE672" s="80" t="str">
        <f>HYPERLINK("https://twitter.com/realpauloborba/status/1687194177296289793")</f>
        <v>https://twitter.com/realpauloborba/status/1687194177296289793</v>
      </c>
      <c r="AF672" s="79">
        <v>45141.840428240743</v>
      </c>
      <c r="AG672" s="85">
        <v>45141</v>
      </c>
      <c r="AH672" s="82" t="s">
        <v>3233</v>
      </c>
      <c r="AI672" s="77"/>
      <c r="AJ672" s="77"/>
      <c r="AK672" s="77"/>
      <c r="AL672" s="77"/>
      <c r="AM672" s="77"/>
      <c r="AN672" s="77"/>
      <c r="AO672" s="77"/>
      <c r="AP672" s="77"/>
      <c r="AQ672" s="77"/>
      <c r="AR672" s="77"/>
      <c r="AS672" s="77"/>
      <c r="AT672" s="77"/>
      <c r="AU672" s="77"/>
      <c r="AV672" s="80" t="str">
        <f>HYPERLINK("https://pbs.twimg.com/profile_images/1677000136701124608/bkma_mNv_normal.jpg")</f>
        <v>https://pbs.twimg.com/profile_images/1677000136701124608/bkma_mNv_normal.jpg</v>
      </c>
      <c r="AW672" s="82" t="s">
        <v>4723</v>
      </c>
      <c r="AX672" s="82" t="s">
        <v>5012</v>
      </c>
      <c r="AY672" s="82" t="s">
        <v>5061</v>
      </c>
      <c r="AZ672" s="82" t="s">
        <v>5113</v>
      </c>
      <c r="BA672" s="82" t="s">
        <v>5075</v>
      </c>
      <c r="BB672" s="82" t="s">
        <v>5075</v>
      </c>
      <c r="BC672" s="82" t="s">
        <v>5113</v>
      </c>
      <c r="BD672" s="82" t="s">
        <v>5061</v>
      </c>
      <c r="BE672" s="77"/>
      <c r="BF672" s="77"/>
      <c r="BG672" s="77"/>
      <c r="BH672" s="77"/>
      <c r="BI672" s="77"/>
    </row>
    <row r="673" spans="1:61" x14ac:dyDescent="0.25">
      <c r="A673" s="62" t="s">
        <v>426</v>
      </c>
      <c r="B673" s="62" t="s">
        <v>426</v>
      </c>
      <c r="C673" s="63"/>
      <c r="D673" s="64"/>
      <c r="E673" s="65"/>
      <c r="F673" s="66"/>
      <c r="G673" s="63"/>
      <c r="H673" s="67"/>
      <c r="I673" s="68"/>
      <c r="J673" s="68"/>
      <c r="K673" s="32"/>
      <c r="L673" s="75">
        <v>673</v>
      </c>
      <c r="M673" s="75"/>
      <c r="N673" s="70"/>
      <c r="O673" s="77" t="s">
        <v>179</v>
      </c>
      <c r="P673" s="79">
        <v>44977.972303240742</v>
      </c>
      <c r="Q673" s="77" t="s">
        <v>1200</v>
      </c>
      <c r="R673" s="77">
        <v>0</v>
      </c>
      <c r="S673" s="77">
        <v>0</v>
      </c>
      <c r="T673" s="77">
        <v>0</v>
      </c>
      <c r="U673" s="77">
        <v>0</v>
      </c>
      <c r="V673" s="77">
        <v>23</v>
      </c>
      <c r="W673" s="82" t="s">
        <v>1848</v>
      </c>
      <c r="X673" s="77"/>
      <c r="Y673" s="77"/>
      <c r="Z673" s="77"/>
      <c r="AA673" s="77" t="s">
        <v>2472</v>
      </c>
      <c r="AB673" s="77" t="s">
        <v>2636</v>
      </c>
      <c r="AC673" s="82" t="s">
        <v>2642</v>
      </c>
      <c r="AD673" s="77" t="s">
        <v>2670</v>
      </c>
      <c r="AE673" s="80" t="str">
        <f>HYPERLINK("https://twitter.com/fiscco_cnt/status/1627810358470578181")</f>
        <v>https://twitter.com/fiscco_cnt/status/1627810358470578181</v>
      </c>
      <c r="AF673" s="79">
        <v>44977.972303240742</v>
      </c>
      <c r="AG673" s="85">
        <v>44977</v>
      </c>
      <c r="AH673" s="82" t="s">
        <v>3234</v>
      </c>
      <c r="AI673" s="77" t="b">
        <v>0</v>
      </c>
      <c r="AJ673" s="77"/>
      <c r="AK673" s="77"/>
      <c r="AL673" s="77"/>
      <c r="AM673" s="77"/>
      <c r="AN673" s="77"/>
      <c r="AO673" s="77"/>
      <c r="AP673" s="77"/>
      <c r="AQ673" s="77" t="s">
        <v>3901</v>
      </c>
      <c r="AR673" s="77"/>
      <c r="AS673" s="77"/>
      <c r="AT673" s="77"/>
      <c r="AU673" s="77"/>
      <c r="AV673" s="80" t="str">
        <f>HYPERLINK("https://pbs.twimg.com/media/Fpck5QCWIAAJfHI.jpg")</f>
        <v>https://pbs.twimg.com/media/Fpck5QCWIAAJfHI.jpg</v>
      </c>
      <c r="AW673" s="82" t="s">
        <v>4724</v>
      </c>
      <c r="AX673" s="82" t="s">
        <v>4724</v>
      </c>
      <c r="AY673" s="77"/>
      <c r="AZ673" s="82" t="s">
        <v>5075</v>
      </c>
      <c r="BA673" s="82" t="s">
        <v>5075</v>
      </c>
      <c r="BB673" s="82" t="s">
        <v>5075</v>
      </c>
      <c r="BC673" s="82" t="s">
        <v>4724</v>
      </c>
      <c r="BD673" s="82" t="s">
        <v>5234</v>
      </c>
      <c r="BE673" s="77"/>
      <c r="BF673" s="77"/>
      <c r="BG673" s="77"/>
      <c r="BH673" s="77"/>
      <c r="BI673" s="77"/>
    </row>
    <row r="674" spans="1:61" x14ac:dyDescent="0.25">
      <c r="A674" s="62" t="s">
        <v>427</v>
      </c>
      <c r="B674" s="62" t="s">
        <v>427</v>
      </c>
      <c r="C674" s="63"/>
      <c r="D674" s="64"/>
      <c r="E674" s="65"/>
      <c r="F674" s="66"/>
      <c r="G674" s="63"/>
      <c r="H674" s="67"/>
      <c r="I674" s="68"/>
      <c r="J674" s="68"/>
      <c r="K674" s="32"/>
      <c r="L674" s="75">
        <v>674</v>
      </c>
      <c r="M674" s="75"/>
      <c r="N674" s="70"/>
      <c r="O674" s="77" t="s">
        <v>179</v>
      </c>
      <c r="P674" s="79">
        <v>45103.709108796298</v>
      </c>
      <c r="Q674" s="77" t="s">
        <v>1201</v>
      </c>
      <c r="R674" s="77">
        <v>0</v>
      </c>
      <c r="S674" s="77">
        <v>0</v>
      </c>
      <c r="T674" s="77">
        <v>0</v>
      </c>
      <c r="U674" s="77">
        <v>0</v>
      </c>
      <c r="V674" s="77">
        <v>18</v>
      </c>
      <c r="W674" s="82" t="s">
        <v>1849</v>
      </c>
      <c r="X674" s="77"/>
      <c r="Y674" s="77"/>
      <c r="Z674" s="77"/>
      <c r="AA674" s="77" t="s">
        <v>2473</v>
      </c>
      <c r="AB674" s="77" t="s">
        <v>2632</v>
      </c>
      <c r="AC674" s="82" t="s">
        <v>2650</v>
      </c>
      <c r="AD674" s="77" t="s">
        <v>2670</v>
      </c>
      <c r="AE674" s="80" t="str">
        <f>HYPERLINK("https://twitter.com/poli_corretora/status/1673375852250251268")</f>
        <v>https://twitter.com/poli_corretora/status/1673375852250251268</v>
      </c>
      <c r="AF674" s="79">
        <v>45103.709108796298</v>
      </c>
      <c r="AG674" s="85">
        <v>45103</v>
      </c>
      <c r="AH674" s="82" t="s">
        <v>3235</v>
      </c>
      <c r="AI674" s="77" t="b">
        <v>0</v>
      </c>
      <c r="AJ674" s="77"/>
      <c r="AK674" s="77"/>
      <c r="AL674" s="77"/>
      <c r="AM674" s="77"/>
      <c r="AN674" s="77"/>
      <c r="AO674" s="77"/>
      <c r="AP674" s="77"/>
      <c r="AQ674" s="77" t="s">
        <v>3902</v>
      </c>
      <c r="AR674" s="77"/>
      <c r="AS674" s="77"/>
      <c r="AT674" s="77"/>
      <c r="AU674" s="77"/>
      <c r="AV674" s="80" t="str">
        <f>HYPERLINK("https://pbs.twimg.com/media/FzkGeDTXwB8RJhc.jpg")</f>
        <v>https://pbs.twimg.com/media/FzkGeDTXwB8RJhc.jpg</v>
      </c>
      <c r="AW674" s="82" t="s">
        <v>4725</v>
      </c>
      <c r="AX674" s="82" t="s">
        <v>4725</v>
      </c>
      <c r="AY674" s="77"/>
      <c r="AZ674" s="82" t="s">
        <v>5075</v>
      </c>
      <c r="BA674" s="82" t="s">
        <v>5075</v>
      </c>
      <c r="BB674" s="82" t="s">
        <v>5075</v>
      </c>
      <c r="BC674" s="82" t="s">
        <v>4725</v>
      </c>
      <c r="BD674" s="82" t="s">
        <v>5235</v>
      </c>
      <c r="BE674" s="77"/>
      <c r="BF674" s="77"/>
      <c r="BG674" s="77"/>
      <c r="BH674" s="77"/>
      <c r="BI674" s="77"/>
    </row>
    <row r="675" spans="1:61" x14ac:dyDescent="0.25">
      <c r="A675" s="62" t="s">
        <v>428</v>
      </c>
      <c r="B675" s="62" t="s">
        <v>428</v>
      </c>
      <c r="C675" s="63"/>
      <c r="D675" s="64"/>
      <c r="E675" s="65"/>
      <c r="F675" s="66"/>
      <c r="G675" s="63"/>
      <c r="H675" s="67"/>
      <c r="I675" s="68"/>
      <c r="J675" s="68"/>
      <c r="K675" s="32"/>
      <c r="L675" s="75">
        <v>675</v>
      </c>
      <c r="M675" s="75"/>
      <c r="N675" s="70"/>
      <c r="O675" s="77" t="s">
        <v>179</v>
      </c>
      <c r="P675" s="79">
        <v>45049.704039351855</v>
      </c>
      <c r="Q675" s="77" t="s">
        <v>1202</v>
      </c>
      <c r="R675" s="77">
        <v>0</v>
      </c>
      <c r="S675" s="77">
        <v>1</v>
      </c>
      <c r="T675" s="77">
        <v>0</v>
      </c>
      <c r="U675" s="77">
        <v>0</v>
      </c>
      <c r="V675" s="77">
        <v>10</v>
      </c>
      <c r="W675" s="82" t="s">
        <v>1850</v>
      </c>
      <c r="X675" s="80" t="str">
        <f>HYPERLINK("http://www.pobrepoupa.com.br")</f>
        <v>http://www.pobrepoupa.com.br</v>
      </c>
      <c r="Y675" s="77" t="s">
        <v>1978</v>
      </c>
      <c r="Z675" s="77"/>
      <c r="AA675" s="77" t="s">
        <v>2474</v>
      </c>
      <c r="AB675" s="77" t="s">
        <v>2632</v>
      </c>
      <c r="AC675" s="82" t="s">
        <v>2639</v>
      </c>
      <c r="AD675" s="77" t="s">
        <v>2670</v>
      </c>
      <c r="AE675" s="80" t="str">
        <f>HYPERLINK("https://twitter.com/pobrepoupa/status/1653805069047934987")</f>
        <v>https://twitter.com/pobrepoupa/status/1653805069047934987</v>
      </c>
      <c r="AF675" s="79">
        <v>45049.704039351855</v>
      </c>
      <c r="AG675" s="85">
        <v>45049</v>
      </c>
      <c r="AH675" s="82" t="s">
        <v>3236</v>
      </c>
      <c r="AI675" s="77" t="b">
        <v>0</v>
      </c>
      <c r="AJ675" s="77"/>
      <c r="AK675" s="77"/>
      <c r="AL675" s="77"/>
      <c r="AM675" s="77"/>
      <c r="AN675" s="77"/>
      <c r="AO675" s="77"/>
      <c r="AP675" s="77"/>
      <c r="AQ675" s="77" t="s">
        <v>3903</v>
      </c>
      <c r="AR675" s="77"/>
      <c r="AS675" s="77"/>
      <c r="AT675" s="77"/>
      <c r="AU675" s="77"/>
      <c r="AV675" s="80" t="str">
        <f>HYPERLINK("https://pbs.twimg.com/media/FvN-tIVX0AAUXIM.jpg")</f>
        <v>https://pbs.twimg.com/media/FvN-tIVX0AAUXIM.jpg</v>
      </c>
      <c r="AW675" s="82" t="s">
        <v>4726</v>
      </c>
      <c r="AX675" s="82" t="s">
        <v>4726</v>
      </c>
      <c r="AY675" s="77"/>
      <c r="AZ675" s="82" t="s">
        <v>5075</v>
      </c>
      <c r="BA675" s="82" t="s">
        <v>5075</v>
      </c>
      <c r="BB675" s="82" t="s">
        <v>5075</v>
      </c>
      <c r="BC675" s="82" t="s">
        <v>4726</v>
      </c>
      <c r="BD675" s="82" t="s">
        <v>5236</v>
      </c>
      <c r="BE675" s="77"/>
      <c r="BF675" s="77"/>
      <c r="BG675" s="77"/>
      <c r="BH675" s="77"/>
      <c r="BI675" s="77"/>
    </row>
    <row r="676" spans="1:61" x14ac:dyDescent="0.25">
      <c r="A676" s="62" t="s">
        <v>429</v>
      </c>
      <c r="B676" s="62" t="s">
        <v>429</v>
      </c>
      <c r="C676" s="63"/>
      <c r="D676" s="64"/>
      <c r="E676" s="65"/>
      <c r="F676" s="66"/>
      <c r="G676" s="63"/>
      <c r="H676" s="67"/>
      <c r="I676" s="68"/>
      <c r="J676" s="68"/>
      <c r="K676" s="32"/>
      <c r="L676" s="75">
        <v>676</v>
      </c>
      <c r="M676" s="75"/>
      <c r="N676" s="70"/>
      <c r="O676" s="77" t="s">
        <v>179</v>
      </c>
      <c r="P676" s="79">
        <v>44971.97760416667</v>
      </c>
      <c r="Q676" s="77" t="s">
        <v>1203</v>
      </c>
      <c r="R676" s="77">
        <v>0</v>
      </c>
      <c r="S676" s="77">
        <v>0</v>
      </c>
      <c r="T676" s="77">
        <v>0</v>
      </c>
      <c r="U676" s="77">
        <v>0</v>
      </c>
      <c r="V676" s="77">
        <v>3</v>
      </c>
      <c r="W676" s="82" t="s">
        <v>1435</v>
      </c>
      <c r="X676" s="80" t="str">
        <f>HYPERLINK("https://tinyurl.com/m9hachxr")</f>
        <v>https://tinyurl.com/m9hachxr</v>
      </c>
      <c r="Y676" s="77" t="s">
        <v>2001</v>
      </c>
      <c r="Z676" s="77"/>
      <c r="AA676" s="77"/>
      <c r="AB676" s="77"/>
      <c r="AC676" s="82" t="s">
        <v>2639</v>
      </c>
      <c r="AD676" s="77" t="s">
        <v>2670</v>
      </c>
      <c r="AE676" s="80" t="str">
        <f>HYPERLINK("https://twitter.com/correa899/status/1625637954570932240")</f>
        <v>https://twitter.com/correa899/status/1625637954570932240</v>
      </c>
      <c r="AF676" s="79">
        <v>44971.97760416667</v>
      </c>
      <c r="AG676" s="85">
        <v>44971</v>
      </c>
      <c r="AH676" s="82" t="s">
        <v>3237</v>
      </c>
      <c r="AI676" s="77" t="b">
        <v>0</v>
      </c>
      <c r="AJ676" s="77"/>
      <c r="AK676" s="77"/>
      <c r="AL676" s="77"/>
      <c r="AM676" s="77"/>
      <c r="AN676" s="77"/>
      <c r="AO676" s="77"/>
      <c r="AP676" s="77"/>
      <c r="AQ676" s="77"/>
      <c r="AR676" s="77"/>
      <c r="AS676" s="77"/>
      <c r="AT676" s="77"/>
      <c r="AU676" s="77"/>
      <c r="AV676" s="80" t="str">
        <f>HYPERLINK("https://pbs.twimg.com/profile_images/2725090237/018522894a55aca0ed6cdbc82f9eb1de_normal.png")</f>
        <v>https://pbs.twimg.com/profile_images/2725090237/018522894a55aca0ed6cdbc82f9eb1de_normal.png</v>
      </c>
      <c r="AW676" s="82" t="s">
        <v>4727</v>
      </c>
      <c r="AX676" s="82" t="s">
        <v>4727</v>
      </c>
      <c r="AY676" s="77"/>
      <c r="AZ676" s="82" t="s">
        <v>5075</v>
      </c>
      <c r="BA676" s="82" t="s">
        <v>5075</v>
      </c>
      <c r="BB676" s="82" t="s">
        <v>5075</v>
      </c>
      <c r="BC676" s="82" t="s">
        <v>4727</v>
      </c>
      <c r="BD676" s="77">
        <v>360619751</v>
      </c>
      <c r="BE676" s="77"/>
      <c r="BF676" s="77"/>
      <c r="BG676" s="77"/>
      <c r="BH676" s="77"/>
      <c r="BI676" s="77"/>
    </row>
    <row r="677" spans="1:61" x14ac:dyDescent="0.25">
      <c r="A677" s="62" t="s">
        <v>430</v>
      </c>
      <c r="B677" s="62" t="s">
        <v>430</v>
      </c>
      <c r="C677" s="63"/>
      <c r="D677" s="64"/>
      <c r="E677" s="65"/>
      <c r="F677" s="66"/>
      <c r="G677" s="63"/>
      <c r="H677" s="67"/>
      <c r="I677" s="68"/>
      <c r="J677" s="68"/>
      <c r="K677" s="32"/>
      <c r="L677" s="75">
        <v>677</v>
      </c>
      <c r="M677" s="75"/>
      <c r="N677" s="70"/>
      <c r="O677" s="77" t="s">
        <v>179</v>
      </c>
      <c r="P677" s="79">
        <v>44965.554270833331</v>
      </c>
      <c r="Q677" s="77" t="s">
        <v>1204</v>
      </c>
      <c r="R677" s="77">
        <v>0</v>
      </c>
      <c r="S677" s="77">
        <v>3</v>
      </c>
      <c r="T677" s="77">
        <v>0</v>
      </c>
      <c r="U677" s="77">
        <v>0</v>
      </c>
      <c r="V677" s="77">
        <v>42</v>
      </c>
      <c r="W677" s="82" t="s">
        <v>1851</v>
      </c>
      <c r="X677" s="77"/>
      <c r="Y677" s="77"/>
      <c r="Z677" s="77"/>
      <c r="AA677" s="77" t="s">
        <v>2475</v>
      </c>
      <c r="AB677" s="77" t="s">
        <v>2632</v>
      </c>
      <c r="AC677" s="82" t="s">
        <v>2639</v>
      </c>
      <c r="AD677" s="77" t="s">
        <v>2670</v>
      </c>
      <c r="AE677" s="80" t="str">
        <f>HYPERLINK("https://twitter.com/evoyconsorcios/status/1623310215805386757")</f>
        <v>https://twitter.com/evoyconsorcios/status/1623310215805386757</v>
      </c>
      <c r="AF677" s="79">
        <v>44965.554270833331</v>
      </c>
      <c r="AG677" s="85">
        <v>44965</v>
      </c>
      <c r="AH677" s="82" t="s">
        <v>3238</v>
      </c>
      <c r="AI677" s="77" t="b">
        <v>0</v>
      </c>
      <c r="AJ677" s="77"/>
      <c r="AK677" s="77"/>
      <c r="AL677" s="77"/>
      <c r="AM677" s="77"/>
      <c r="AN677" s="77"/>
      <c r="AO677" s="77"/>
      <c r="AP677" s="77"/>
      <c r="AQ677" s="77" t="s">
        <v>3904</v>
      </c>
      <c r="AR677" s="77"/>
      <c r="AS677" s="77"/>
      <c r="AT677" s="77"/>
      <c r="AU677" s="77"/>
      <c r="AV677" s="80" t="str">
        <f>HYPERLINK("https://pbs.twimg.com/media/FocoCW4WcAEftxQ.jpg")</f>
        <v>https://pbs.twimg.com/media/FocoCW4WcAEftxQ.jpg</v>
      </c>
      <c r="AW677" s="82" t="s">
        <v>4728</v>
      </c>
      <c r="AX677" s="82" t="s">
        <v>4728</v>
      </c>
      <c r="AY677" s="77"/>
      <c r="AZ677" s="82" t="s">
        <v>5075</v>
      </c>
      <c r="BA677" s="82" t="s">
        <v>5075</v>
      </c>
      <c r="BB677" s="82" t="s">
        <v>5075</v>
      </c>
      <c r="BC677" s="82" t="s">
        <v>4728</v>
      </c>
      <c r="BD677" s="82" t="s">
        <v>5237</v>
      </c>
      <c r="BE677" s="77"/>
      <c r="BF677" s="77"/>
      <c r="BG677" s="77"/>
      <c r="BH677" s="77"/>
      <c r="BI677" s="77"/>
    </row>
    <row r="678" spans="1:61" x14ac:dyDescent="0.25">
      <c r="A678" s="62" t="s">
        <v>431</v>
      </c>
      <c r="B678" s="62" t="s">
        <v>431</v>
      </c>
      <c r="C678" s="63"/>
      <c r="D678" s="64"/>
      <c r="E678" s="65"/>
      <c r="F678" s="66"/>
      <c r="G678" s="63"/>
      <c r="H678" s="67"/>
      <c r="I678" s="68"/>
      <c r="J678" s="68"/>
      <c r="K678" s="32"/>
      <c r="L678" s="75">
        <v>678</v>
      </c>
      <c r="M678" s="75"/>
      <c r="N678" s="70"/>
      <c r="O678" s="77" t="s">
        <v>179</v>
      </c>
      <c r="P678" s="79">
        <v>45111.541319444441</v>
      </c>
      <c r="Q678" s="77" t="s">
        <v>1205</v>
      </c>
      <c r="R678" s="77">
        <v>0</v>
      </c>
      <c r="S678" s="77">
        <v>0</v>
      </c>
      <c r="T678" s="77">
        <v>0</v>
      </c>
      <c r="U678" s="77">
        <v>0</v>
      </c>
      <c r="V678" s="77">
        <v>30</v>
      </c>
      <c r="W678" s="82" t="s">
        <v>1788</v>
      </c>
      <c r="X678" s="77"/>
      <c r="Y678" s="77"/>
      <c r="Z678" s="77"/>
      <c r="AA678" s="77" t="s">
        <v>2476</v>
      </c>
      <c r="AB678" s="77" t="s">
        <v>2633</v>
      </c>
      <c r="AC678" s="82" t="s">
        <v>2642</v>
      </c>
      <c r="AD678" s="77" t="s">
        <v>2670</v>
      </c>
      <c r="AE678" s="80" t="str">
        <f>HYPERLINK("https://twitter.com/unicredcentral/status/1676214148709994500")</f>
        <v>https://twitter.com/unicredcentral/status/1676214148709994500</v>
      </c>
      <c r="AF678" s="79">
        <v>45111.541319444441</v>
      </c>
      <c r="AG678" s="85">
        <v>45111</v>
      </c>
      <c r="AH678" s="82" t="s">
        <v>3239</v>
      </c>
      <c r="AI678" s="77" t="b">
        <v>0</v>
      </c>
      <c r="AJ678" s="77"/>
      <c r="AK678" s="77"/>
      <c r="AL678" s="77"/>
      <c r="AM678" s="77"/>
      <c r="AN678" s="77"/>
      <c r="AO678" s="77"/>
      <c r="AP678" s="77"/>
      <c r="AQ678" s="77" t="s">
        <v>3905</v>
      </c>
      <c r="AR678" s="77">
        <v>93260</v>
      </c>
      <c r="AS678" s="77"/>
      <c r="AT678" s="77"/>
      <c r="AU678" s="77"/>
      <c r="AV678" s="80" t="str">
        <f>HYPERLINK("https://pbs.twimg.com/ext_tw_video_thumb/1676214101616254977/pu/img/6ZY1HqTra4ev2A6D.jpg")</f>
        <v>https://pbs.twimg.com/ext_tw_video_thumb/1676214101616254977/pu/img/6ZY1HqTra4ev2A6D.jpg</v>
      </c>
      <c r="AW678" s="82" t="s">
        <v>4729</v>
      </c>
      <c r="AX678" s="82" t="s">
        <v>4729</v>
      </c>
      <c r="AY678" s="77"/>
      <c r="AZ678" s="82" t="s">
        <v>5075</v>
      </c>
      <c r="BA678" s="82" t="s">
        <v>5075</v>
      </c>
      <c r="BB678" s="82" t="s">
        <v>5075</v>
      </c>
      <c r="BC678" s="82" t="s">
        <v>4729</v>
      </c>
      <c r="BD678" s="82" t="s">
        <v>5238</v>
      </c>
      <c r="BE678" s="77"/>
      <c r="BF678" s="77"/>
      <c r="BG678" s="77"/>
      <c r="BH678" s="77"/>
      <c r="BI678" s="77"/>
    </row>
    <row r="679" spans="1:61" x14ac:dyDescent="0.25">
      <c r="A679" s="62" t="s">
        <v>432</v>
      </c>
      <c r="B679" s="62" t="s">
        <v>432</v>
      </c>
      <c r="C679" s="63"/>
      <c r="D679" s="64"/>
      <c r="E679" s="65"/>
      <c r="F679" s="66"/>
      <c r="G679" s="63"/>
      <c r="H679" s="67"/>
      <c r="I679" s="68"/>
      <c r="J679" s="68"/>
      <c r="K679" s="32"/>
      <c r="L679" s="75">
        <v>679</v>
      </c>
      <c r="M679" s="75"/>
      <c r="N679" s="70"/>
      <c r="O679" s="77" t="s">
        <v>536</v>
      </c>
      <c r="P679" s="79">
        <v>44980.77003472222</v>
      </c>
      <c r="Q679" s="77" t="s">
        <v>1206</v>
      </c>
      <c r="R679" s="77">
        <v>0</v>
      </c>
      <c r="S679" s="77">
        <v>0</v>
      </c>
      <c r="T679" s="77">
        <v>0</v>
      </c>
      <c r="U679" s="77">
        <v>0</v>
      </c>
      <c r="V679" s="77">
        <v>17</v>
      </c>
      <c r="W679" s="82" t="s">
        <v>1462</v>
      </c>
      <c r="X679" s="80" t="str">
        <f>HYPERLINK("https://bit.ly/Lucro-E-Rentabilidade-sebrae")</f>
        <v>https://bit.ly/Lucro-E-Rentabilidade-sebrae</v>
      </c>
      <c r="Y679" s="77" t="s">
        <v>1975</v>
      </c>
      <c r="Z679" s="77"/>
      <c r="AA679" s="77"/>
      <c r="AB679" s="77"/>
      <c r="AC679" s="82" t="s">
        <v>2639</v>
      </c>
      <c r="AD679" s="77" t="s">
        <v>2670</v>
      </c>
      <c r="AE679" s="80" t="str">
        <f>HYPERLINK("https://twitter.com/sebraero/status/1628824224474271745")</f>
        <v>https://twitter.com/sebraero/status/1628824224474271745</v>
      </c>
      <c r="AF679" s="79">
        <v>44980.77003472222</v>
      </c>
      <c r="AG679" s="85">
        <v>44980</v>
      </c>
      <c r="AH679" s="82" t="s">
        <v>3240</v>
      </c>
      <c r="AI679" s="77" t="b">
        <v>0</v>
      </c>
      <c r="AJ679" s="77"/>
      <c r="AK679" s="77"/>
      <c r="AL679" s="77"/>
      <c r="AM679" s="77"/>
      <c r="AN679" s="77"/>
      <c r="AO679" s="77"/>
      <c r="AP679" s="77"/>
      <c r="AQ679" s="77"/>
      <c r="AR679" s="77"/>
      <c r="AS679" s="77"/>
      <c r="AT679" s="77"/>
      <c r="AU679" s="77"/>
      <c r="AV679" s="80" t="str">
        <f>HYPERLINK("https://pbs.twimg.com/profile_images/1582436644677947397/26YfqVoR_normal.jpg")</f>
        <v>https://pbs.twimg.com/profile_images/1582436644677947397/26YfqVoR_normal.jpg</v>
      </c>
      <c r="AW679" s="82" t="s">
        <v>4730</v>
      </c>
      <c r="AX679" s="82" t="s">
        <v>5013</v>
      </c>
      <c r="AY679" s="82" t="s">
        <v>5062</v>
      </c>
      <c r="AZ679" s="82" t="s">
        <v>5114</v>
      </c>
      <c r="BA679" s="82" t="s">
        <v>5075</v>
      </c>
      <c r="BB679" s="82" t="s">
        <v>5075</v>
      </c>
      <c r="BC679" s="82" t="s">
        <v>5114</v>
      </c>
      <c r="BD679" s="82" t="s">
        <v>5062</v>
      </c>
      <c r="BE679" s="77"/>
      <c r="BF679" s="77"/>
      <c r="BG679" s="77"/>
      <c r="BH679" s="77"/>
      <c r="BI679" s="77"/>
    </row>
    <row r="680" spans="1:61" x14ac:dyDescent="0.25">
      <c r="A680" s="62" t="s">
        <v>433</v>
      </c>
      <c r="B680" s="62" t="s">
        <v>433</v>
      </c>
      <c r="C680" s="63"/>
      <c r="D680" s="64"/>
      <c r="E680" s="65"/>
      <c r="F680" s="66"/>
      <c r="G680" s="63"/>
      <c r="H680" s="67"/>
      <c r="I680" s="68"/>
      <c r="J680" s="68"/>
      <c r="K680" s="32"/>
      <c r="L680" s="75">
        <v>680</v>
      </c>
      <c r="M680" s="75"/>
      <c r="N680" s="70"/>
      <c r="O680" s="77" t="s">
        <v>179</v>
      </c>
      <c r="P680" s="79">
        <v>44960.488622685189</v>
      </c>
      <c r="Q680" s="77" t="s">
        <v>1207</v>
      </c>
      <c r="R680" s="77">
        <v>0</v>
      </c>
      <c r="S680" s="77">
        <v>2</v>
      </c>
      <c r="T680" s="77">
        <v>0</v>
      </c>
      <c r="U680" s="77">
        <v>0</v>
      </c>
      <c r="V680" s="77">
        <v>309</v>
      </c>
      <c r="W680" s="82" t="s">
        <v>1852</v>
      </c>
      <c r="X680" s="77"/>
      <c r="Y680" s="77"/>
      <c r="Z680" s="77"/>
      <c r="AA680" s="77"/>
      <c r="AB680" s="77"/>
      <c r="AC680" s="82" t="s">
        <v>2639</v>
      </c>
      <c r="AD680" s="77" t="s">
        <v>2670</v>
      </c>
      <c r="AE680" s="80" t="str">
        <f>HYPERLINK("https://twitter.com/feelingmeowmeow/status/1621474484279541760")</f>
        <v>https://twitter.com/feelingmeowmeow/status/1621474484279541760</v>
      </c>
      <c r="AF680" s="79">
        <v>44960.488622685189</v>
      </c>
      <c r="AG680" s="85">
        <v>44960</v>
      </c>
      <c r="AH680" s="82" t="s">
        <v>3241</v>
      </c>
      <c r="AI680" s="77"/>
      <c r="AJ680" s="77"/>
      <c r="AK680" s="77"/>
      <c r="AL680" s="77"/>
      <c r="AM680" s="77"/>
      <c r="AN680" s="77"/>
      <c r="AO680" s="77"/>
      <c r="AP680" s="77"/>
      <c r="AQ680" s="77"/>
      <c r="AR680" s="77"/>
      <c r="AS680" s="77"/>
      <c r="AT680" s="77"/>
      <c r="AU680" s="77"/>
      <c r="AV680" s="80" t="str">
        <f>HYPERLINK("https://pbs.twimg.com/profile_images/1689801054475427840/ZkFb30cE_normal.jpg")</f>
        <v>https://pbs.twimg.com/profile_images/1689801054475427840/ZkFb30cE_normal.jpg</v>
      </c>
      <c r="AW680" s="82" t="s">
        <v>4731</v>
      </c>
      <c r="AX680" s="82" t="s">
        <v>4731</v>
      </c>
      <c r="AY680" s="77"/>
      <c r="AZ680" s="82" t="s">
        <v>5075</v>
      </c>
      <c r="BA680" s="82" t="s">
        <v>5075</v>
      </c>
      <c r="BB680" s="82" t="s">
        <v>5075</v>
      </c>
      <c r="BC680" s="82" t="s">
        <v>4731</v>
      </c>
      <c r="BD680" s="82" t="s">
        <v>5239</v>
      </c>
      <c r="BE680" s="77"/>
      <c r="BF680" s="77"/>
      <c r="BG680" s="77"/>
      <c r="BH680" s="77"/>
      <c r="BI680" s="77"/>
    </row>
    <row r="681" spans="1:61" x14ac:dyDescent="0.25">
      <c r="A681" s="62" t="s">
        <v>434</v>
      </c>
      <c r="B681" s="62" t="s">
        <v>434</v>
      </c>
      <c r="C681" s="63"/>
      <c r="D681" s="64"/>
      <c r="E681" s="65"/>
      <c r="F681" s="66"/>
      <c r="G681" s="63"/>
      <c r="H681" s="67"/>
      <c r="I681" s="68"/>
      <c r="J681" s="68"/>
      <c r="K681" s="32"/>
      <c r="L681" s="75">
        <v>681</v>
      </c>
      <c r="M681" s="75"/>
      <c r="N681" s="70"/>
      <c r="O681" s="77" t="s">
        <v>179</v>
      </c>
      <c r="P681" s="79">
        <v>44943.875740740739</v>
      </c>
      <c r="Q681" s="77" t="s">
        <v>1208</v>
      </c>
      <c r="R681" s="77">
        <v>0</v>
      </c>
      <c r="S681" s="77">
        <v>0</v>
      </c>
      <c r="T681" s="77">
        <v>0</v>
      </c>
      <c r="U681" s="77">
        <v>0</v>
      </c>
      <c r="V681" s="77">
        <v>75</v>
      </c>
      <c r="W681" s="82" t="s">
        <v>1846</v>
      </c>
      <c r="X681" s="80" t="str">
        <f>HYPERLINK("http://metodotdl.com.br/tdl/telegram")</f>
        <v>http://metodotdl.com.br/tdl/telegram</v>
      </c>
      <c r="Y681" s="77" t="s">
        <v>1978</v>
      </c>
      <c r="Z681" s="77"/>
      <c r="AA681" s="77" t="s">
        <v>2477</v>
      </c>
      <c r="AB681" s="77" t="s">
        <v>2632</v>
      </c>
      <c r="AC681" s="82" t="s">
        <v>2642</v>
      </c>
      <c r="AD681" s="77" t="s">
        <v>2670</v>
      </c>
      <c r="AE681" s="80" t="str">
        <f>HYPERLINK("https://twitter.com/felippe_marcelo/status/1615454177651482625")</f>
        <v>https://twitter.com/felippe_marcelo/status/1615454177651482625</v>
      </c>
      <c r="AF681" s="79">
        <v>44943.875740740739</v>
      </c>
      <c r="AG681" s="85">
        <v>44943</v>
      </c>
      <c r="AH681" s="82" t="s">
        <v>3206</v>
      </c>
      <c r="AI681" s="77" t="b">
        <v>0</v>
      </c>
      <c r="AJ681" s="77"/>
      <c r="AK681" s="77"/>
      <c r="AL681" s="77"/>
      <c r="AM681" s="77"/>
      <c r="AN681" s="77"/>
      <c r="AO681" s="77"/>
      <c r="AP681" s="77"/>
      <c r="AQ681" s="77" t="s">
        <v>3906</v>
      </c>
      <c r="AR681" s="77"/>
      <c r="AS681" s="77"/>
      <c r="AT681" s="77"/>
      <c r="AU681" s="77"/>
      <c r="AV681" s="80" t="str">
        <f>HYPERLINK("https://pbs.twimg.com/media/Fms_A4UXoAcsmXF.jpg")</f>
        <v>https://pbs.twimg.com/media/Fms_A4UXoAcsmXF.jpg</v>
      </c>
      <c r="AW681" s="82" t="s">
        <v>4732</v>
      </c>
      <c r="AX681" s="82" t="s">
        <v>4732</v>
      </c>
      <c r="AY681" s="77"/>
      <c r="AZ681" s="82" t="s">
        <v>5075</v>
      </c>
      <c r="BA681" s="82" t="s">
        <v>5075</v>
      </c>
      <c r="BB681" s="82" t="s">
        <v>5075</v>
      </c>
      <c r="BC681" s="82" t="s">
        <v>4732</v>
      </c>
      <c r="BD681" s="82" t="s">
        <v>5240</v>
      </c>
      <c r="BE681" s="77"/>
      <c r="BF681" s="77"/>
      <c r="BG681" s="77"/>
      <c r="BH681" s="77"/>
      <c r="BI681" s="77"/>
    </row>
    <row r="682" spans="1:61" x14ac:dyDescent="0.25">
      <c r="A682" s="62" t="s">
        <v>434</v>
      </c>
      <c r="B682" s="62" t="s">
        <v>434</v>
      </c>
      <c r="C682" s="63"/>
      <c r="D682" s="64"/>
      <c r="E682" s="65"/>
      <c r="F682" s="66"/>
      <c r="G682" s="63"/>
      <c r="H682" s="67"/>
      <c r="I682" s="68"/>
      <c r="J682" s="68"/>
      <c r="K682" s="32"/>
      <c r="L682" s="75">
        <v>682</v>
      </c>
      <c r="M682" s="75"/>
      <c r="N682" s="70"/>
      <c r="O682" s="77" t="s">
        <v>179</v>
      </c>
      <c r="P682" s="79">
        <v>44942.875289351854</v>
      </c>
      <c r="Q682" s="77" t="s">
        <v>1209</v>
      </c>
      <c r="R682" s="77">
        <v>0</v>
      </c>
      <c r="S682" s="77">
        <v>0</v>
      </c>
      <c r="T682" s="77">
        <v>0</v>
      </c>
      <c r="U682" s="77">
        <v>0</v>
      </c>
      <c r="V682" s="77">
        <v>76</v>
      </c>
      <c r="W682" s="82" t="s">
        <v>1846</v>
      </c>
      <c r="X682" s="80" t="str">
        <f>HYPERLINK("http://metodotdl.com.br/tdl/telegram")</f>
        <v>http://metodotdl.com.br/tdl/telegram</v>
      </c>
      <c r="Y682" s="77" t="s">
        <v>1978</v>
      </c>
      <c r="Z682" s="77"/>
      <c r="AA682" s="77" t="s">
        <v>2478</v>
      </c>
      <c r="AB682" s="77" t="s">
        <v>2632</v>
      </c>
      <c r="AC682" s="82" t="s">
        <v>2642</v>
      </c>
      <c r="AD682" s="77" t="s">
        <v>2670</v>
      </c>
      <c r="AE682" s="80" t="str">
        <f>HYPERLINK("https://twitter.com/felippe_marcelo/status/1615091629123067904")</f>
        <v>https://twitter.com/felippe_marcelo/status/1615091629123067904</v>
      </c>
      <c r="AF682" s="79">
        <v>44942.875289351854</v>
      </c>
      <c r="AG682" s="85">
        <v>44942</v>
      </c>
      <c r="AH682" s="82" t="s">
        <v>3207</v>
      </c>
      <c r="AI682" s="77" t="b">
        <v>0</v>
      </c>
      <c r="AJ682" s="77"/>
      <c r="AK682" s="77"/>
      <c r="AL682" s="77"/>
      <c r="AM682" s="77"/>
      <c r="AN682" s="77"/>
      <c r="AO682" s="77"/>
      <c r="AP682" s="77"/>
      <c r="AQ682" s="77" t="s">
        <v>3907</v>
      </c>
      <c r="AR682" s="77"/>
      <c r="AS682" s="77"/>
      <c r="AT682" s="77"/>
      <c r="AU682" s="77"/>
      <c r="AV682" s="80" t="str">
        <f>HYPERLINK("https://pbs.twimg.com/media/Fmn1RudXEAEX2et.jpg")</f>
        <v>https://pbs.twimg.com/media/Fmn1RudXEAEX2et.jpg</v>
      </c>
      <c r="AW682" s="82" t="s">
        <v>4733</v>
      </c>
      <c r="AX682" s="82" t="s">
        <v>4733</v>
      </c>
      <c r="AY682" s="77"/>
      <c r="AZ682" s="82" t="s">
        <v>5075</v>
      </c>
      <c r="BA682" s="82" t="s">
        <v>5075</v>
      </c>
      <c r="BB682" s="82" t="s">
        <v>5075</v>
      </c>
      <c r="BC682" s="82" t="s">
        <v>4733</v>
      </c>
      <c r="BD682" s="82" t="s">
        <v>5240</v>
      </c>
      <c r="BE682" s="77"/>
      <c r="BF682" s="77"/>
      <c r="BG682" s="77"/>
      <c r="BH682" s="77"/>
      <c r="BI682" s="77"/>
    </row>
    <row r="683" spans="1:61" x14ac:dyDescent="0.25">
      <c r="A683" s="62" t="s">
        <v>434</v>
      </c>
      <c r="B683" s="62" t="s">
        <v>434</v>
      </c>
      <c r="C683" s="63"/>
      <c r="D683" s="64"/>
      <c r="E683" s="65"/>
      <c r="F683" s="66"/>
      <c r="G683" s="63"/>
      <c r="H683" s="67"/>
      <c r="I683" s="68"/>
      <c r="J683" s="68"/>
      <c r="K683" s="32"/>
      <c r="L683" s="75">
        <v>683</v>
      </c>
      <c r="M683" s="75"/>
      <c r="N683" s="70"/>
      <c r="O683" s="77" t="s">
        <v>179</v>
      </c>
      <c r="P683" s="79">
        <v>44939.875439814816</v>
      </c>
      <c r="Q683" s="77" t="s">
        <v>1210</v>
      </c>
      <c r="R683" s="77">
        <v>0</v>
      </c>
      <c r="S683" s="77">
        <v>0</v>
      </c>
      <c r="T683" s="77">
        <v>0</v>
      </c>
      <c r="U683" s="77">
        <v>0</v>
      </c>
      <c r="V683" s="77">
        <v>59</v>
      </c>
      <c r="W683" s="82" t="s">
        <v>1846</v>
      </c>
      <c r="X683" s="80" t="str">
        <f>HYPERLINK("http://metodotdl.com.br/tdl/telegram")</f>
        <v>http://metodotdl.com.br/tdl/telegram</v>
      </c>
      <c r="Y683" s="77" t="s">
        <v>1978</v>
      </c>
      <c r="Z683" s="77"/>
      <c r="AA683" s="77" t="s">
        <v>2479</v>
      </c>
      <c r="AB683" s="77" t="s">
        <v>2632</v>
      </c>
      <c r="AC683" s="82" t="s">
        <v>2642</v>
      </c>
      <c r="AD683" s="77" t="s">
        <v>2670</v>
      </c>
      <c r="AE683" s="80" t="str">
        <f>HYPERLINK("https://twitter.com/felippe_marcelo/status/1614004516105474063")</f>
        <v>https://twitter.com/felippe_marcelo/status/1614004516105474063</v>
      </c>
      <c r="AF683" s="79">
        <v>44939.875439814816</v>
      </c>
      <c r="AG683" s="85">
        <v>44939</v>
      </c>
      <c r="AH683" s="82" t="s">
        <v>3208</v>
      </c>
      <c r="AI683" s="77" t="b">
        <v>0</v>
      </c>
      <c r="AJ683" s="77"/>
      <c r="AK683" s="77"/>
      <c r="AL683" s="77"/>
      <c r="AM683" s="77"/>
      <c r="AN683" s="77"/>
      <c r="AO683" s="77"/>
      <c r="AP683" s="77"/>
      <c r="AQ683" s="77" t="s">
        <v>3908</v>
      </c>
      <c r="AR683" s="77"/>
      <c r="AS683" s="77"/>
      <c r="AT683" s="77"/>
      <c r="AU683" s="77"/>
      <c r="AV683" s="80" t="str">
        <f>HYPERLINK("https://pbs.twimg.com/media/FmYYjZaWAAIc8-I.jpg")</f>
        <v>https://pbs.twimg.com/media/FmYYjZaWAAIc8-I.jpg</v>
      </c>
      <c r="AW683" s="82" t="s">
        <v>4734</v>
      </c>
      <c r="AX683" s="82" t="s">
        <v>4734</v>
      </c>
      <c r="AY683" s="77"/>
      <c r="AZ683" s="82" t="s">
        <v>5075</v>
      </c>
      <c r="BA683" s="82" t="s">
        <v>5075</v>
      </c>
      <c r="BB683" s="82" t="s">
        <v>5075</v>
      </c>
      <c r="BC683" s="82" t="s">
        <v>4734</v>
      </c>
      <c r="BD683" s="82" t="s">
        <v>5240</v>
      </c>
      <c r="BE683" s="77"/>
      <c r="BF683" s="77"/>
      <c r="BG683" s="77"/>
      <c r="BH683" s="77"/>
      <c r="BI683" s="77"/>
    </row>
    <row r="684" spans="1:61" x14ac:dyDescent="0.25">
      <c r="A684" s="62" t="s">
        <v>434</v>
      </c>
      <c r="B684" s="62" t="s">
        <v>434</v>
      </c>
      <c r="C684" s="63"/>
      <c r="D684" s="64"/>
      <c r="E684" s="65"/>
      <c r="F684" s="66"/>
      <c r="G684" s="63"/>
      <c r="H684" s="67"/>
      <c r="I684" s="68"/>
      <c r="J684" s="68"/>
      <c r="K684" s="32"/>
      <c r="L684" s="75">
        <v>684</v>
      </c>
      <c r="M684" s="75"/>
      <c r="N684" s="70"/>
      <c r="O684" s="77" t="s">
        <v>179</v>
      </c>
      <c r="P684" s="79">
        <v>44938.875775462962</v>
      </c>
      <c r="Q684" s="77" t="s">
        <v>1211</v>
      </c>
      <c r="R684" s="77">
        <v>0</v>
      </c>
      <c r="S684" s="77">
        <v>0</v>
      </c>
      <c r="T684" s="77">
        <v>0</v>
      </c>
      <c r="U684" s="77">
        <v>0</v>
      </c>
      <c r="V684" s="77">
        <v>51</v>
      </c>
      <c r="W684" s="82" t="s">
        <v>1846</v>
      </c>
      <c r="X684" s="80" t="str">
        <f>HYPERLINK("http://metodotdl.com.br/tdl/telegram")</f>
        <v>http://metodotdl.com.br/tdl/telegram</v>
      </c>
      <c r="Y684" s="77" t="s">
        <v>1978</v>
      </c>
      <c r="Z684" s="77"/>
      <c r="AA684" s="77" t="s">
        <v>2480</v>
      </c>
      <c r="AB684" s="77" t="s">
        <v>2632</v>
      </c>
      <c r="AC684" s="82" t="s">
        <v>2642</v>
      </c>
      <c r="AD684" s="77" t="s">
        <v>2670</v>
      </c>
      <c r="AE684" s="80" t="str">
        <f>HYPERLINK("https://twitter.com/felippe_marcelo/status/1613642252919742469")</f>
        <v>https://twitter.com/felippe_marcelo/status/1613642252919742469</v>
      </c>
      <c r="AF684" s="79">
        <v>44938.875775462962</v>
      </c>
      <c r="AG684" s="85">
        <v>44938</v>
      </c>
      <c r="AH684" s="82" t="s">
        <v>3242</v>
      </c>
      <c r="AI684" s="77" t="b">
        <v>0</v>
      </c>
      <c r="AJ684" s="77"/>
      <c r="AK684" s="77"/>
      <c r="AL684" s="77"/>
      <c r="AM684" s="77"/>
      <c r="AN684" s="77"/>
      <c r="AO684" s="77"/>
      <c r="AP684" s="77"/>
      <c r="AQ684" s="77" t="s">
        <v>3909</v>
      </c>
      <c r="AR684" s="77"/>
      <c r="AS684" s="77"/>
      <c r="AT684" s="77"/>
      <c r="AU684" s="77"/>
      <c r="AV684" s="80" t="str">
        <f>HYPERLINK("https://pbs.twimg.com/media/FmTPE82WYAAIKBC.jpg")</f>
        <v>https://pbs.twimg.com/media/FmTPE82WYAAIKBC.jpg</v>
      </c>
      <c r="AW684" s="82" t="s">
        <v>4735</v>
      </c>
      <c r="AX684" s="82" t="s">
        <v>4735</v>
      </c>
      <c r="AY684" s="77"/>
      <c r="AZ684" s="82" t="s">
        <v>5075</v>
      </c>
      <c r="BA684" s="82" t="s">
        <v>5075</v>
      </c>
      <c r="BB684" s="82" t="s">
        <v>5075</v>
      </c>
      <c r="BC684" s="82" t="s">
        <v>4735</v>
      </c>
      <c r="BD684" s="82" t="s">
        <v>5240</v>
      </c>
      <c r="BE684" s="77"/>
      <c r="BF684" s="77"/>
      <c r="BG684" s="77"/>
      <c r="BH684" s="77"/>
      <c r="BI684" s="77"/>
    </row>
    <row r="685" spans="1:61" x14ac:dyDescent="0.25">
      <c r="A685" s="62" t="s">
        <v>434</v>
      </c>
      <c r="B685" s="62" t="s">
        <v>434</v>
      </c>
      <c r="C685" s="63"/>
      <c r="D685" s="64"/>
      <c r="E685" s="65"/>
      <c r="F685" s="66"/>
      <c r="G685" s="63"/>
      <c r="H685" s="67"/>
      <c r="I685" s="68"/>
      <c r="J685" s="68"/>
      <c r="K685" s="32"/>
      <c r="L685" s="75">
        <v>685</v>
      </c>
      <c r="M685" s="75"/>
      <c r="N685" s="70"/>
      <c r="O685" s="77" t="s">
        <v>179</v>
      </c>
      <c r="P685" s="79">
        <v>44937.875381944446</v>
      </c>
      <c r="Q685" s="77" t="s">
        <v>1212</v>
      </c>
      <c r="R685" s="77">
        <v>0</v>
      </c>
      <c r="S685" s="77">
        <v>0</v>
      </c>
      <c r="T685" s="77">
        <v>0</v>
      </c>
      <c r="U685" s="77">
        <v>0</v>
      </c>
      <c r="V685" s="77">
        <v>49</v>
      </c>
      <c r="W685" s="82" t="s">
        <v>1846</v>
      </c>
      <c r="X685" s="80" t="str">
        <f>HYPERLINK("http://metodotdl.com.br/tdl/telegram")</f>
        <v>http://metodotdl.com.br/tdl/telegram</v>
      </c>
      <c r="Y685" s="77" t="s">
        <v>1978</v>
      </c>
      <c r="Z685" s="77"/>
      <c r="AA685" s="77" t="s">
        <v>2481</v>
      </c>
      <c r="AB685" s="77" t="s">
        <v>2632</v>
      </c>
      <c r="AC685" s="82" t="s">
        <v>2642</v>
      </c>
      <c r="AD685" s="77" t="s">
        <v>2670</v>
      </c>
      <c r="AE685" s="80" t="str">
        <f>HYPERLINK("https://twitter.com/felippe_marcelo/status/1613279719490834448")</f>
        <v>https://twitter.com/felippe_marcelo/status/1613279719490834448</v>
      </c>
      <c r="AF685" s="79">
        <v>44937.875381944446</v>
      </c>
      <c r="AG685" s="85">
        <v>44937</v>
      </c>
      <c r="AH685" s="82" t="s">
        <v>3180</v>
      </c>
      <c r="AI685" s="77" t="b">
        <v>0</v>
      </c>
      <c r="AJ685" s="77"/>
      <c r="AK685" s="77"/>
      <c r="AL685" s="77"/>
      <c r="AM685" s="77"/>
      <c r="AN685" s="77"/>
      <c r="AO685" s="77"/>
      <c r="AP685" s="77"/>
      <c r="AQ685" s="77" t="s">
        <v>3910</v>
      </c>
      <c r="AR685" s="77"/>
      <c r="AS685" s="77"/>
      <c r="AT685" s="77"/>
      <c r="AU685" s="77"/>
      <c r="AV685" s="80" t="str">
        <f>HYPERLINK("https://pbs.twimg.com/media/FmOFWvzX0Ag58Ya.jpg")</f>
        <v>https://pbs.twimg.com/media/FmOFWvzX0Ag58Ya.jpg</v>
      </c>
      <c r="AW685" s="82" t="s">
        <v>4736</v>
      </c>
      <c r="AX685" s="82" t="s">
        <v>4736</v>
      </c>
      <c r="AY685" s="77"/>
      <c r="AZ685" s="82" t="s">
        <v>5075</v>
      </c>
      <c r="BA685" s="82" t="s">
        <v>5075</v>
      </c>
      <c r="BB685" s="82" t="s">
        <v>5075</v>
      </c>
      <c r="BC685" s="82" t="s">
        <v>4736</v>
      </c>
      <c r="BD685" s="82" t="s">
        <v>5240</v>
      </c>
      <c r="BE685" s="77"/>
      <c r="BF685" s="77"/>
      <c r="BG685" s="77"/>
      <c r="BH685" s="77"/>
      <c r="BI685" s="77"/>
    </row>
    <row r="686" spans="1:61" x14ac:dyDescent="0.25">
      <c r="A686" s="62" t="s">
        <v>434</v>
      </c>
      <c r="B686" s="62" t="s">
        <v>434</v>
      </c>
      <c r="C686" s="63"/>
      <c r="D686" s="64"/>
      <c r="E686" s="65"/>
      <c r="F686" s="66"/>
      <c r="G686" s="63"/>
      <c r="H686" s="67"/>
      <c r="I686" s="68"/>
      <c r="J686" s="68"/>
      <c r="K686" s="32"/>
      <c r="L686" s="75">
        <v>686</v>
      </c>
      <c r="M686" s="75"/>
      <c r="N686" s="70"/>
      <c r="O686" s="77" t="s">
        <v>179</v>
      </c>
      <c r="P686" s="79">
        <v>44936.87537037037</v>
      </c>
      <c r="Q686" s="77" t="s">
        <v>1213</v>
      </c>
      <c r="R686" s="77">
        <v>0</v>
      </c>
      <c r="S686" s="77">
        <v>0</v>
      </c>
      <c r="T686" s="77">
        <v>0</v>
      </c>
      <c r="U686" s="77">
        <v>0</v>
      </c>
      <c r="V686" s="77">
        <v>46</v>
      </c>
      <c r="W686" s="82" t="s">
        <v>1846</v>
      </c>
      <c r="X686" s="80" t="str">
        <f>HYPERLINK("http://metodotdl.com.br/tdl/telegram")</f>
        <v>http://metodotdl.com.br/tdl/telegram</v>
      </c>
      <c r="Y686" s="77" t="s">
        <v>1978</v>
      </c>
      <c r="Z686" s="77"/>
      <c r="AA686" s="77" t="s">
        <v>2482</v>
      </c>
      <c r="AB686" s="77" t="s">
        <v>2632</v>
      </c>
      <c r="AC686" s="82" t="s">
        <v>2642</v>
      </c>
      <c r="AD686" s="77" t="s">
        <v>2670</v>
      </c>
      <c r="AE686" s="80" t="str">
        <f>HYPERLINK("https://twitter.com/felippe_marcelo/status/1612917329804795920")</f>
        <v>https://twitter.com/felippe_marcelo/status/1612917329804795920</v>
      </c>
      <c r="AF686" s="79">
        <v>44936.87537037037</v>
      </c>
      <c r="AG686" s="85">
        <v>44936</v>
      </c>
      <c r="AH686" s="82" t="s">
        <v>3183</v>
      </c>
      <c r="AI686" s="77" t="b">
        <v>0</v>
      </c>
      <c r="AJ686" s="77"/>
      <c r="AK686" s="77"/>
      <c r="AL686" s="77"/>
      <c r="AM686" s="77"/>
      <c r="AN686" s="77"/>
      <c r="AO686" s="77"/>
      <c r="AP686" s="77"/>
      <c r="AQ686" s="77" t="s">
        <v>3911</v>
      </c>
      <c r="AR686" s="77"/>
      <c r="AS686" s="77"/>
      <c r="AT686" s="77"/>
      <c r="AU686" s="77"/>
      <c r="AV686" s="80" t="str">
        <f>HYPERLINK("https://pbs.twimg.com/media/FmI7w4cWIA4PBxd.jpg")</f>
        <v>https://pbs.twimg.com/media/FmI7w4cWIA4PBxd.jpg</v>
      </c>
      <c r="AW686" s="82" t="s">
        <v>4737</v>
      </c>
      <c r="AX686" s="82" t="s">
        <v>4737</v>
      </c>
      <c r="AY686" s="77"/>
      <c r="AZ686" s="82" t="s">
        <v>5075</v>
      </c>
      <c r="BA686" s="82" t="s">
        <v>5075</v>
      </c>
      <c r="BB686" s="82" t="s">
        <v>5075</v>
      </c>
      <c r="BC686" s="82" t="s">
        <v>4737</v>
      </c>
      <c r="BD686" s="82" t="s">
        <v>5240</v>
      </c>
      <c r="BE686" s="77"/>
      <c r="BF686" s="77"/>
      <c r="BG686" s="77"/>
      <c r="BH686" s="77"/>
      <c r="BI686" s="77"/>
    </row>
    <row r="687" spans="1:61" x14ac:dyDescent="0.25">
      <c r="A687" s="62" t="s">
        <v>434</v>
      </c>
      <c r="B687" s="62" t="s">
        <v>434</v>
      </c>
      <c r="C687" s="63"/>
      <c r="D687" s="64"/>
      <c r="E687" s="65"/>
      <c r="F687" s="66"/>
      <c r="G687" s="63"/>
      <c r="H687" s="67"/>
      <c r="I687" s="68"/>
      <c r="J687" s="68"/>
      <c r="K687" s="32"/>
      <c r="L687" s="75">
        <v>687</v>
      </c>
      <c r="M687" s="75"/>
      <c r="N687" s="70"/>
      <c r="O687" s="77" t="s">
        <v>179</v>
      </c>
      <c r="P687" s="79">
        <v>44935.875694444447</v>
      </c>
      <c r="Q687" s="77" t="s">
        <v>1214</v>
      </c>
      <c r="R687" s="77">
        <v>0</v>
      </c>
      <c r="S687" s="77">
        <v>0</v>
      </c>
      <c r="T687" s="77">
        <v>0</v>
      </c>
      <c r="U687" s="77">
        <v>0</v>
      </c>
      <c r="V687" s="77">
        <v>56</v>
      </c>
      <c r="W687" s="82" t="s">
        <v>1846</v>
      </c>
      <c r="X687" s="80" t="str">
        <f>HYPERLINK("http://metodotdl.com.br/tdl/telegram")</f>
        <v>http://metodotdl.com.br/tdl/telegram</v>
      </c>
      <c r="Y687" s="77" t="s">
        <v>1978</v>
      </c>
      <c r="Z687" s="77"/>
      <c r="AA687" s="77" t="s">
        <v>2483</v>
      </c>
      <c r="AB687" s="77" t="s">
        <v>2632</v>
      </c>
      <c r="AC687" s="82" t="s">
        <v>2642</v>
      </c>
      <c r="AD687" s="77" t="s">
        <v>2670</v>
      </c>
      <c r="AE687" s="80" t="str">
        <f>HYPERLINK("https://twitter.com/felippe_marcelo/status/1612555057773281280")</f>
        <v>https://twitter.com/felippe_marcelo/status/1612555057773281280</v>
      </c>
      <c r="AF687" s="79">
        <v>44935.875694444447</v>
      </c>
      <c r="AG687" s="85">
        <v>44935</v>
      </c>
      <c r="AH687" s="82" t="s">
        <v>2792</v>
      </c>
      <c r="AI687" s="77" t="b">
        <v>0</v>
      </c>
      <c r="AJ687" s="77"/>
      <c r="AK687" s="77"/>
      <c r="AL687" s="77"/>
      <c r="AM687" s="77"/>
      <c r="AN687" s="77"/>
      <c r="AO687" s="77"/>
      <c r="AP687" s="77"/>
      <c r="AQ687" s="77" t="s">
        <v>3912</v>
      </c>
      <c r="AR687" s="77"/>
      <c r="AS687" s="77"/>
      <c r="AT687" s="77"/>
      <c r="AU687" s="77"/>
      <c r="AV687" s="80" t="str">
        <f>HYPERLINK("https://pbs.twimg.com/media/FmDyR4dX0BAAEei.jpg")</f>
        <v>https://pbs.twimg.com/media/FmDyR4dX0BAAEei.jpg</v>
      </c>
      <c r="AW687" s="82" t="s">
        <v>4738</v>
      </c>
      <c r="AX687" s="82" t="s">
        <v>4738</v>
      </c>
      <c r="AY687" s="77"/>
      <c r="AZ687" s="82" t="s">
        <v>5075</v>
      </c>
      <c r="BA687" s="82" t="s">
        <v>5075</v>
      </c>
      <c r="BB687" s="82" t="s">
        <v>5075</v>
      </c>
      <c r="BC687" s="82" t="s">
        <v>4738</v>
      </c>
      <c r="BD687" s="82" t="s">
        <v>5240</v>
      </c>
      <c r="BE687" s="77"/>
      <c r="BF687" s="77"/>
      <c r="BG687" s="77"/>
      <c r="BH687" s="77"/>
      <c r="BI687" s="77"/>
    </row>
    <row r="688" spans="1:61" x14ac:dyDescent="0.25">
      <c r="A688" s="62" t="s">
        <v>434</v>
      </c>
      <c r="B688" s="62" t="s">
        <v>434</v>
      </c>
      <c r="C688" s="63"/>
      <c r="D688" s="64"/>
      <c r="E688" s="65"/>
      <c r="F688" s="66"/>
      <c r="G688" s="63"/>
      <c r="H688" s="67"/>
      <c r="I688" s="68"/>
      <c r="J688" s="68"/>
      <c r="K688" s="32"/>
      <c r="L688" s="75">
        <v>688</v>
      </c>
      <c r="M688" s="75"/>
      <c r="N688" s="70"/>
      <c r="O688" s="77" t="s">
        <v>179</v>
      </c>
      <c r="P688" s="79">
        <v>44932.875497685185</v>
      </c>
      <c r="Q688" s="77" t="s">
        <v>1215</v>
      </c>
      <c r="R688" s="77">
        <v>0</v>
      </c>
      <c r="S688" s="77">
        <v>0</v>
      </c>
      <c r="T688" s="77">
        <v>0</v>
      </c>
      <c r="U688" s="77">
        <v>0</v>
      </c>
      <c r="V688" s="77">
        <v>64</v>
      </c>
      <c r="W688" s="82" t="s">
        <v>1846</v>
      </c>
      <c r="X688" s="80" t="str">
        <f>HYPERLINK("http://metodotdl.com.br/tdl/telegram")</f>
        <v>http://metodotdl.com.br/tdl/telegram</v>
      </c>
      <c r="Y688" s="77" t="s">
        <v>1978</v>
      </c>
      <c r="Z688" s="77"/>
      <c r="AA688" s="77" t="s">
        <v>2484</v>
      </c>
      <c r="AB688" s="77" t="s">
        <v>2632</v>
      </c>
      <c r="AC688" s="82" t="s">
        <v>2642</v>
      </c>
      <c r="AD688" s="77" t="s">
        <v>2670</v>
      </c>
      <c r="AE688" s="80" t="str">
        <f>HYPERLINK("https://twitter.com/felippe_marcelo/status/1611467823661961230")</f>
        <v>https://twitter.com/felippe_marcelo/status/1611467823661961230</v>
      </c>
      <c r="AF688" s="79">
        <v>44932.875497685185</v>
      </c>
      <c r="AG688" s="85">
        <v>44932</v>
      </c>
      <c r="AH688" s="82" t="s">
        <v>3210</v>
      </c>
      <c r="AI688" s="77" t="b">
        <v>0</v>
      </c>
      <c r="AJ688" s="77"/>
      <c r="AK688" s="77"/>
      <c r="AL688" s="77"/>
      <c r="AM688" s="77"/>
      <c r="AN688" s="77"/>
      <c r="AO688" s="77"/>
      <c r="AP688" s="77"/>
      <c r="AQ688" s="77" t="s">
        <v>3913</v>
      </c>
      <c r="AR688" s="77"/>
      <c r="AS688" s="77"/>
      <c r="AT688" s="77"/>
      <c r="AU688" s="77"/>
      <c r="AV688" s="80" t="str">
        <f>HYPERLINK("https://pbs.twimg.com/media/Fl0VchvXoAATEfY.jpg")</f>
        <v>https://pbs.twimg.com/media/Fl0VchvXoAATEfY.jpg</v>
      </c>
      <c r="AW688" s="82" t="s">
        <v>4739</v>
      </c>
      <c r="AX688" s="82" t="s">
        <v>4739</v>
      </c>
      <c r="AY688" s="77"/>
      <c r="AZ688" s="82" t="s">
        <v>5075</v>
      </c>
      <c r="BA688" s="82" t="s">
        <v>5075</v>
      </c>
      <c r="BB688" s="82" t="s">
        <v>5075</v>
      </c>
      <c r="BC688" s="82" t="s">
        <v>4739</v>
      </c>
      <c r="BD688" s="82" t="s">
        <v>5240</v>
      </c>
      <c r="BE688" s="77"/>
      <c r="BF688" s="77"/>
      <c r="BG688" s="77"/>
      <c r="BH688" s="77"/>
      <c r="BI688" s="77"/>
    </row>
    <row r="689" spans="1:61" x14ac:dyDescent="0.25">
      <c r="A689" s="62" t="s">
        <v>434</v>
      </c>
      <c r="B689" s="62" t="s">
        <v>434</v>
      </c>
      <c r="C689" s="63"/>
      <c r="D689" s="64"/>
      <c r="E689" s="65"/>
      <c r="F689" s="66"/>
      <c r="G689" s="63"/>
      <c r="H689" s="67"/>
      <c r="I689" s="68"/>
      <c r="J689" s="68"/>
      <c r="K689" s="32"/>
      <c r="L689" s="75">
        <v>689</v>
      </c>
      <c r="M689" s="75"/>
      <c r="N689" s="70"/>
      <c r="O689" s="77" t="s">
        <v>179</v>
      </c>
      <c r="P689" s="79">
        <v>45015.875717592593</v>
      </c>
      <c r="Q689" s="77" t="s">
        <v>1216</v>
      </c>
      <c r="R689" s="77">
        <v>0</v>
      </c>
      <c r="S689" s="77">
        <v>0</v>
      </c>
      <c r="T689" s="77">
        <v>0</v>
      </c>
      <c r="U689" s="77">
        <v>0</v>
      </c>
      <c r="V689" s="77">
        <v>61</v>
      </c>
      <c r="W689" s="82" t="s">
        <v>1846</v>
      </c>
      <c r="X689" s="80" t="str">
        <f>HYPERLINK("http://metodotdl.com.br/tdl/telegram")</f>
        <v>http://metodotdl.com.br/tdl/telegram</v>
      </c>
      <c r="Y689" s="77" t="s">
        <v>1978</v>
      </c>
      <c r="Z689" s="77"/>
      <c r="AA689" s="77" t="s">
        <v>2485</v>
      </c>
      <c r="AB689" s="77" t="s">
        <v>2632</v>
      </c>
      <c r="AC689" s="82" t="s">
        <v>2642</v>
      </c>
      <c r="AD689" s="77" t="s">
        <v>2670</v>
      </c>
      <c r="AE689" s="80" t="str">
        <f>HYPERLINK("https://twitter.com/felippe_marcelo/status/1641546098119507968")</f>
        <v>https://twitter.com/felippe_marcelo/status/1641546098119507968</v>
      </c>
      <c r="AF689" s="79">
        <v>45015.875717592593</v>
      </c>
      <c r="AG689" s="85">
        <v>45015</v>
      </c>
      <c r="AH689" s="82" t="s">
        <v>3201</v>
      </c>
      <c r="AI689" s="77" t="b">
        <v>0</v>
      </c>
      <c r="AJ689" s="77"/>
      <c r="AK689" s="77"/>
      <c r="AL689" s="77"/>
      <c r="AM689" s="77"/>
      <c r="AN689" s="77"/>
      <c r="AO689" s="77"/>
      <c r="AP689" s="77"/>
      <c r="AQ689" s="77" t="s">
        <v>3914</v>
      </c>
      <c r="AR689" s="77"/>
      <c r="AS689" s="77"/>
      <c r="AT689" s="77"/>
      <c r="AU689" s="77"/>
      <c r="AV689" s="80" t="str">
        <f>HYPERLINK("https://pbs.twimg.com/media/FsfxegXX0AIzfMm.jpg")</f>
        <v>https://pbs.twimg.com/media/FsfxegXX0AIzfMm.jpg</v>
      </c>
      <c r="AW689" s="82" t="s">
        <v>4740</v>
      </c>
      <c r="AX689" s="82" t="s">
        <v>4740</v>
      </c>
      <c r="AY689" s="77"/>
      <c r="AZ689" s="82" t="s">
        <v>5075</v>
      </c>
      <c r="BA689" s="82" t="s">
        <v>5075</v>
      </c>
      <c r="BB689" s="82" t="s">
        <v>5075</v>
      </c>
      <c r="BC689" s="82" t="s">
        <v>4740</v>
      </c>
      <c r="BD689" s="82" t="s">
        <v>5240</v>
      </c>
      <c r="BE689" s="77"/>
      <c r="BF689" s="77"/>
      <c r="BG689" s="77"/>
      <c r="BH689" s="77"/>
      <c r="BI689" s="77"/>
    </row>
    <row r="690" spans="1:61" x14ac:dyDescent="0.25">
      <c r="A690" s="62" t="s">
        <v>434</v>
      </c>
      <c r="B690" s="62" t="s">
        <v>434</v>
      </c>
      <c r="C690" s="63"/>
      <c r="D690" s="64"/>
      <c r="E690" s="65"/>
      <c r="F690" s="66"/>
      <c r="G690" s="63"/>
      <c r="H690" s="67"/>
      <c r="I690" s="68"/>
      <c r="J690" s="68"/>
      <c r="K690" s="32"/>
      <c r="L690" s="75">
        <v>690</v>
      </c>
      <c r="M690" s="75"/>
      <c r="N690" s="70"/>
      <c r="O690" s="77" t="s">
        <v>179</v>
      </c>
      <c r="P690" s="79">
        <v>44966.875416666669</v>
      </c>
      <c r="Q690" s="77" t="s">
        <v>1217</v>
      </c>
      <c r="R690" s="77">
        <v>0</v>
      </c>
      <c r="S690" s="77">
        <v>0</v>
      </c>
      <c r="T690" s="77">
        <v>0</v>
      </c>
      <c r="U690" s="77">
        <v>0</v>
      </c>
      <c r="V690" s="77">
        <v>62</v>
      </c>
      <c r="W690" s="82" t="s">
        <v>1846</v>
      </c>
      <c r="X690" s="80" t="str">
        <f>HYPERLINK("http://metodotdl.com.br/tdl/telegram")</f>
        <v>http://metodotdl.com.br/tdl/telegram</v>
      </c>
      <c r="Y690" s="77" t="s">
        <v>1978</v>
      </c>
      <c r="Z690" s="77"/>
      <c r="AA690" s="77" t="s">
        <v>2486</v>
      </c>
      <c r="AB690" s="77" t="s">
        <v>2632</v>
      </c>
      <c r="AC690" s="82" t="s">
        <v>2642</v>
      </c>
      <c r="AD690" s="77" t="s">
        <v>2670</v>
      </c>
      <c r="AE690" s="80" t="str">
        <f>HYPERLINK("https://twitter.com/felippe_marcelo/status/1623788980855619586")</f>
        <v>https://twitter.com/felippe_marcelo/status/1623788980855619586</v>
      </c>
      <c r="AF690" s="79">
        <v>44966.875416666669</v>
      </c>
      <c r="AG690" s="85">
        <v>44966</v>
      </c>
      <c r="AH690" s="82" t="s">
        <v>3181</v>
      </c>
      <c r="AI690" s="77" t="b">
        <v>0</v>
      </c>
      <c r="AJ690" s="77"/>
      <c r="AK690" s="77"/>
      <c r="AL690" s="77"/>
      <c r="AM690" s="77"/>
      <c r="AN690" s="77"/>
      <c r="AO690" s="77"/>
      <c r="AP690" s="77"/>
      <c r="AQ690" s="77" t="s">
        <v>3915</v>
      </c>
      <c r="AR690" s="77"/>
      <c r="AS690" s="77"/>
      <c r="AT690" s="77"/>
      <c r="AU690" s="77"/>
      <c r="AV690" s="80" t="str">
        <f>HYPERLINK("https://pbs.twimg.com/media/FojbeR5XsAARkK7.jpg")</f>
        <v>https://pbs.twimg.com/media/FojbeR5XsAARkK7.jpg</v>
      </c>
      <c r="AW690" s="82" t="s">
        <v>4741</v>
      </c>
      <c r="AX690" s="82" t="s">
        <v>4741</v>
      </c>
      <c r="AY690" s="77"/>
      <c r="AZ690" s="82" t="s">
        <v>5075</v>
      </c>
      <c r="BA690" s="82" t="s">
        <v>5075</v>
      </c>
      <c r="BB690" s="82" t="s">
        <v>5075</v>
      </c>
      <c r="BC690" s="82" t="s">
        <v>4741</v>
      </c>
      <c r="BD690" s="82" t="s">
        <v>5240</v>
      </c>
      <c r="BE690" s="77"/>
      <c r="BF690" s="77"/>
      <c r="BG690" s="77"/>
      <c r="BH690" s="77"/>
      <c r="BI690" s="77"/>
    </row>
    <row r="691" spans="1:61" x14ac:dyDescent="0.25">
      <c r="A691" s="62" t="s">
        <v>434</v>
      </c>
      <c r="B691" s="62" t="s">
        <v>434</v>
      </c>
      <c r="C691" s="63"/>
      <c r="D691" s="64"/>
      <c r="E691" s="65"/>
      <c r="F691" s="66"/>
      <c r="G691" s="63"/>
      <c r="H691" s="67"/>
      <c r="I691" s="68"/>
      <c r="J691" s="68"/>
      <c r="K691" s="32"/>
      <c r="L691" s="75">
        <v>691</v>
      </c>
      <c r="M691" s="75"/>
      <c r="N691" s="70"/>
      <c r="O691" s="77" t="s">
        <v>179</v>
      </c>
      <c r="P691" s="79">
        <v>44965.875659722224</v>
      </c>
      <c r="Q691" s="77" t="s">
        <v>1218</v>
      </c>
      <c r="R691" s="77">
        <v>0</v>
      </c>
      <c r="S691" s="77">
        <v>0</v>
      </c>
      <c r="T691" s="77">
        <v>0</v>
      </c>
      <c r="U691" s="77">
        <v>0</v>
      </c>
      <c r="V691" s="77">
        <v>60</v>
      </c>
      <c r="W691" s="82" t="s">
        <v>1846</v>
      </c>
      <c r="X691" s="80" t="str">
        <f>HYPERLINK("http://metodotdl.com.br/tdl/telegram")</f>
        <v>http://metodotdl.com.br/tdl/telegram</v>
      </c>
      <c r="Y691" s="77" t="s">
        <v>1978</v>
      </c>
      <c r="Z691" s="77"/>
      <c r="AA691" s="77" t="s">
        <v>2487</v>
      </c>
      <c r="AB691" s="77" t="s">
        <v>2632</v>
      </c>
      <c r="AC691" s="82" t="s">
        <v>2642</v>
      </c>
      <c r="AD691" s="77" t="s">
        <v>2670</v>
      </c>
      <c r="AE691" s="80" t="str">
        <f>HYPERLINK("https://twitter.com/felippe_marcelo/status/1623426680965455872")</f>
        <v>https://twitter.com/felippe_marcelo/status/1623426680965455872</v>
      </c>
      <c r="AF691" s="79">
        <v>44965.875659722224</v>
      </c>
      <c r="AG691" s="85">
        <v>44965</v>
      </c>
      <c r="AH691" s="82" t="s">
        <v>3204</v>
      </c>
      <c r="AI691" s="77" t="b">
        <v>0</v>
      </c>
      <c r="AJ691" s="77"/>
      <c r="AK691" s="77"/>
      <c r="AL691" s="77"/>
      <c r="AM691" s="77"/>
      <c r="AN691" s="77"/>
      <c r="AO691" s="77"/>
      <c r="AP691" s="77"/>
      <c r="AQ691" s="77" t="s">
        <v>3916</v>
      </c>
      <c r="AR691" s="77"/>
      <c r="AS691" s="77"/>
      <c r="AT691" s="77"/>
      <c r="AU691" s="77"/>
      <c r="AV691" s="80" t="str">
        <f>HYPERLINK("https://pbs.twimg.com/media/FoeR9nPWIAAD9sW.jpg")</f>
        <v>https://pbs.twimg.com/media/FoeR9nPWIAAD9sW.jpg</v>
      </c>
      <c r="AW691" s="82" t="s">
        <v>4742</v>
      </c>
      <c r="AX691" s="82" t="s">
        <v>4742</v>
      </c>
      <c r="AY691" s="77"/>
      <c r="AZ691" s="82" t="s">
        <v>5075</v>
      </c>
      <c r="BA691" s="82" t="s">
        <v>5075</v>
      </c>
      <c r="BB691" s="82" t="s">
        <v>5075</v>
      </c>
      <c r="BC691" s="82" t="s">
        <v>4742</v>
      </c>
      <c r="BD691" s="82" t="s">
        <v>5240</v>
      </c>
      <c r="BE691" s="77"/>
      <c r="BF691" s="77"/>
      <c r="BG691" s="77"/>
      <c r="BH691" s="77"/>
      <c r="BI691" s="77"/>
    </row>
    <row r="692" spans="1:61" x14ac:dyDescent="0.25">
      <c r="A692" s="62" t="s">
        <v>434</v>
      </c>
      <c r="B692" s="62" t="s">
        <v>434</v>
      </c>
      <c r="C692" s="63"/>
      <c r="D692" s="64"/>
      <c r="E692" s="65"/>
      <c r="F692" s="66"/>
      <c r="G692" s="63"/>
      <c r="H692" s="67"/>
      <c r="I692" s="68"/>
      <c r="J692" s="68"/>
      <c r="K692" s="32"/>
      <c r="L692" s="75">
        <v>692</v>
      </c>
      <c r="M692" s="75"/>
      <c r="N692" s="70"/>
      <c r="O692" s="77" t="s">
        <v>179</v>
      </c>
      <c r="P692" s="79">
        <v>44964.875381944446</v>
      </c>
      <c r="Q692" s="77" t="s">
        <v>1219</v>
      </c>
      <c r="R692" s="77">
        <v>0</v>
      </c>
      <c r="S692" s="77">
        <v>0</v>
      </c>
      <c r="T692" s="77">
        <v>0</v>
      </c>
      <c r="U692" s="77">
        <v>0</v>
      </c>
      <c r="V692" s="77">
        <v>56</v>
      </c>
      <c r="W692" s="82" t="s">
        <v>1846</v>
      </c>
      <c r="X692" s="80" t="str">
        <f>HYPERLINK("http://metodotdl.com.br/tdl/telegram")</f>
        <v>http://metodotdl.com.br/tdl/telegram</v>
      </c>
      <c r="Y692" s="77" t="s">
        <v>1978</v>
      </c>
      <c r="Z692" s="77"/>
      <c r="AA692" s="77" t="s">
        <v>2488</v>
      </c>
      <c r="AB692" s="77" t="s">
        <v>2632</v>
      </c>
      <c r="AC692" s="82" t="s">
        <v>2642</v>
      </c>
      <c r="AD692" s="77" t="s">
        <v>2670</v>
      </c>
      <c r="AE692" s="80" t="str">
        <f>HYPERLINK("https://twitter.com/felippe_marcelo/status/1623064195083169794")</f>
        <v>https://twitter.com/felippe_marcelo/status/1623064195083169794</v>
      </c>
      <c r="AF692" s="79">
        <v>44964.875381944446</v>
      </c>
      <c r="AG692" s="85">
        <v>44964</v>
      </c>
      <c r="AH692" s="82" t="s">
        <v>3180</v>
      </c>
      <c r="AI692" s="77" t="b">
        <v>0</v>
      </c>
      <c r="AJ692" s="77"/>
      <c r="AK692" s="77"/>
      <c r="AL692" s="77"/>
      <c r="AM692" s="77"/>
      <c r="AN692" s="77"/>
      <c r="AO692" s="77"/>
      <c r="AP692" s="77"/>
      <c r="AQ692" s="77" t="s">
        <v>3917</v>
      </c>
      <c r="AR692" s="77"/>
      <c r="AS692" s="77"/>
      <c r="AT692" s="77"/>
      <c r="AU692" s="77"/>
      <c r="AV692" s="80" t="str">
        <f>HYPERLINK("https://pbs.twimg.com/media/FoZISKpWcAsE6I2.jpg")</f>
        <v>https://pbs.twimg.com/media/FoZISKpWcAsE6I2.jpg</v>
      </c>
      <c r="AW692" s="82" t="s">
        <v>4743</v>
      </c>
      <c r="AX692" s="82" t="s">
        <v>4743</v>
      </c>
      <c r="AY692" s="77"/>
      <c r="AZ692" s="82" t="s">
        <v>5075</v>
      </c>
      <c r="BA692" s="82" t="s">
        <v>5075</v>
      </c>
      <c r="BB692" s="82" t="s">
        <v>5075</v>
      </c>
      <c r="BC692" s="82" t="s">
        <v>4743</v>
      </c>
      <c r="BD692" s="82" t="s">
        <v>5240</v>
      </c>
      <c r="BE692" s="77"/>
      <c r="BF692" s="77"/>
      <c r="BG692" s="77"/>
      <c r="BH692" s="77"/>
      <c r="BI692" s="77"/>
    </row>
    <row r="693" spans="1:61" x14ac:dyDescent="0.25">
      <c r="A693" s="62" t="s">
        <v>434</v>
      </c>
      <c r="B693" s="62" t="s">
        <v>434</v>
      </c>
      <c r="C693" s="63"/>
      <c r="D693" s="64"/>
      <c r="E693" s="65"/>
      <c r="F693" s="66"/>
      <c r="G693" s="63"/>
      <c r="H693" s="67"/>
      <c r="I693" s="68"/>
      <c r="J693" s="68"/>
      <c r="K693" s="32"/>
      <c r="L693" s="75">
        <v>693</v>
      </c>
      <c r="M693" s="75"/>
      <c r="N693" s="70"/>
      <c r="O693" s="77" t="s">
        <v>179</v>
      </c>
      <c r="P693" s="79">
        <v>44963.875393518516</v>
      </c>
      <c r="Q693" s="77" t="s">
        <v>1220</v>
      </c>
      <c r="R693" s="77">
        <v>0</v>
      </c>
      <c r="S693" s="77">
        <v>0</v>
      </c>
      <c r="T693" s="77">
        <v>0</v>
      </c>
      <c r="U693" s="77">
        <v>0</v>
      </c>
      <c r="V693" s="77">
        <v>59</v>
      </c>
      <c r="W693" s="82" t="s">
        <v>1846</v>
      </c>
      <c r="X693" s="80" t="str">
        <f>HYPERLINK("http://metodotdl.com.br/tdl/telegram")</f>
        <v>http://metodotdl.com.br/tdl/telegram</v>
      </c>
      <c r="Y693" s="77" t="s">
        <v>1978</v>
      </c>
      <c r="Z693" s="77"/>
      <c r="AA693" s="77" t="s">
        <v>2489</v>
      </c>
      <c r="AB693" s="77" t="s">
        <v>2632</v>
      </c>
      <c r="AC693" s="82" t="s">
        <v>2642</v>
      </c>
      <c r="AD693" s="77" t="s">
        <v>2670</v>
      </c>
      <c r="AE693" s="80" t="str">
        <f>HYPERLINK("https://twitter.com/felippe_marcelo/status/1622701809222516742")</f>
        <v>https://twitter.com/felippe_marcelo/status/1622701809222516742</v>
      </c>
      <c r="AF693" s="79">
        <v>44963.875393518516</v>
      </c>
      <c r="AG693" s="85">
        <v>44963</v>
      </c>
      <c r="AH693" s="82" t="s">
        <v>2901</v>
      </c>
      <c r="AI693" s="77" t="b">
        <v>0</v>
      </c>
      <c r="AJ693" s="77"/>
      <c r="AK693" s="77"/>
      <c r="AL693" s="77"/>
      <c r="AM693" s="77"/>
      <c r="AN693" s="77"/>
      <c r="AO693" s="77"/>
      <c r="AP693" s="77"/>
      <c r="AQ693" s="77" t="s">
        <v>3918</v>
      </c>
      <c r="AR693" s="77"/>
      <c r="AS693" s="77"/>
      <c r="AT693" s="77"/>
      <c r="AU693" s="77"/>
      <c r="AV693" s="80" t="str">
        <f>HYPERLINK("https://pbs.twimg.com/media/FoT-shEXgAA-Cky.jpg")</f>
        <v>https://pbs.twimg.com/media/FoT-shEXgAA-Cky.jpg</v>
      </c>
      <c r="AW693" s="82" t="s">
        <v>4744</v>
      </c>
      <c r="AX693" s="82" t="s">
        <v>4744</v>
      </c>
      <c r="AY693" s="77"/>
      <c r="AZ693" s="82" t="s">
        <v>5075</v>
      </c>
      <c r="BA693" s="82" t="s">
        <v>5075</v>
      </c>
      <c r="BB693" s="82" t="s">
        <v>5075</v>
      </c>
      <c r="BC693" s="82" t="s">
        <v>4744</v>
      </c>
      <c r="BD693" s="82" t="s">
        <v>5240</v>
      </c>
      <c r="BE693" s="77"/>
      <c r="BF693" s="77"/>
      <c r="BG693" s="77"/>
      <c r="BH693" s="77"/>
      <c r="BI693" s="77"/>
    </row>
    <row r="694" spans="1:61" x14ac:dyDescent="0.25">
      <c r="A694" s="62" t="s">
        <v>434</v>
      </c>
      <c r="B694" s="62" t="s">
        <v>434</v>
      </c>
      <c r="C694" s="63"/>
      <c r="D694" s="64"/>
      <c r="E694" s="65"/>
      <c r="F694" s="66"/>
      <c r="G694" s="63"/>
      <c r="H694" s="67"/>
      <c r="I694" s="68"/>
      <c r="J694" s="68"/>
      <c r="K694" s="32"/>
      <c r="L694" s="75">
        <v>694</v>
      </c>
      <c r="M694" s="75"/>
      <c r="N694" s="70"/>
      <c r="O694" s="77" t="s">
        <v>179</v>
      </c>
      <c r="P694" s="79">
        <v>44931.875416666669</v>
      </c>
      <c r="Q694" s="77" t="s">
        <v>1221</v>
      </c>
      <c r="R694" s="77">
        <v>0</v>
      </c>
      <c r="S694" s="77">
        <v>0</v>
      </c>
      <c r="T694" s="77">
        <v>0</v>
      </c>
      <c r="U694" s="77">
        <v>0</v>
      </c>
      <c r="V694" s="77">
        <v>84</v>
      </c>
      <c r="W694" s="82" t="s">
        <v>1846</v>
      </c>
      <c r="X694" s="80" t="str">
        <f>HYPERLINK("http://metodotdl.com.br/tdl/telegram")</f>
        <v>http://metodotdl.com.br/tdl/telegram</v>
      </c>
      <c r="Y694" s="77" t="s">
        <v>1978</v>
      </c>
      <c r="Z694" s="77"/>
      <c r="AA694" s="77" t="s">
        <v>2490</v>
      </c>
      <c r="AB694" s="77" t="s">
        <v>2632</v>
      </c>
      <c r="AC694" s="82" t="s">
        <v>2642</v>
      </c>
      <c r="AD694" s="77" t="s">
        <v>2670</v>
      </c>
      <c r="AE694" s="80" t="str">
        <f>HYPERLINK("https://twitter.com/felippe_marcelo/status/1611105405504987137")</f>
        <v>https://twitter.com/felippe_marcelo/status/1611105405504987137</v>
      </c>
      <c r="AF694" s="79">
        <v>44931.875416666669</v>
      </c>
      <c r="AG694" s="85">
        <v>44931</v>
      </c>
      <c r="AH694" s="82" t="s">
        <v>3181</v>
      </c>
      <c r="AI694" s="77" t="b">
        <v>0</v>
      </c>
      <c r="AJ694" s="77"/>
      <c r="AK694" s="77"/>
      <c r="AL694" s="77"/>
      <c r="AM694" s="77"/>
      <c r="AN694" s="77"/>
      <c r="AO694" s="77"/>
      <c r="AP694" s="77"/>
      <c r="AQ694" s="77" t="s">
        <v>3919</v>
      </c>
      <c r="AR694" s="77"/>
      <c r="AS694" s="77"/>
      <c r="AT694" s="77"/>
      <c r="AU694" s="77"/>
      <c r="AV694" s="80" t="str">
        <f>HYPERLINK("https://pbs.twimg.com/media/FlvL0_3X0AI2bPB.jpg")</f>
        <v>https://pbs.twimg.com/media/FlvL0_3X0AI2bPB.jpg</v>
      </c>
      <c r="AW694" s="82" t="s">
        <v>4745</v>
      </c>
      <c r="AX694" s="82" t="s">
        <v>4745</v>
      </c>
      <c r="AY694" s="77"/>
      <c r="AZ694" s="82" t="s">
        <v>5075</v>
      </c>
      <c r="BA694" s="82" t="s">
        <v>5075</v>
      </c>
      <c r="BB694" s="82" t="s">
        <v>5075</v>
      </c>
      <c r="BC694" s="82" t="s">
        <v>4745</v>
      </c>
      <c r="BD694" s="82" t="s">
        <v>5240</v>
      </c>
      <c r="BE694" s="77"/>
      <c r="BF694" s="77"/>
      <c r="BG694" s="77"/>
      <c r="BH694" s="77"/>
      <c r="BI694" s="77"/>
    </row>
    <row r="695" spans="1:61" x14ac:dyDescent="0.25">
      <c r="A695" s="62" t="s">
        <v>434</v>
      </c>
      <c r="B695" s="62" t="s">
        <v>434</v>
      </c>
      <c r="C695" s="63"/>
      <c r="D695" s="64"/>
      <c r="E695" s="65"/>
      <c r="F695" s="66"/>
      <c r="G695" s="63"/>
      <c r="H695" s="67"/>
      <c r="I695" s="68"/>
      <c r="J695" s="68"/>
      <c r="K695" s="32"/>
      <c r="L695" s="75">
        <v>695</v>
      </c>
      <c r="M695" s="75"/>
      <c r="N695" s="70"/>
      <c r="O695" s="77" t="s">
        <v>179</v>
      </c>
      <c r="P695" s="79">
        <v>44930.875462962962</v>
      </c>
      <c r="Q695" s="77" t="s">
        <v>1222</v>
      </c>
      <c r="R695" s="77">
        <v>0</v>
      </c>
      <c r="S695" s="77">
        <v>0</v>
      </c>
      <c r="T695" s="77">
        <v>0</v>
      </c>
      <c r="U695" s="77">
        <v>0</v>
      </c>
      <c r="V695" s="77">
        <v>69</v>
      </c>
      <c r="W695" s="82" t="s">
        <v>1846</v>
      </c>
      <c r="X695" s="80" t="str">
        <f>HYPERLINK("http://metodotdl.com.br/tdl/telegram")</f>
        <v>http://metodotdl.com.br/tdl/telegram</v>
      </c>
      <c r="Y695" s="77" t="s">
        <v>1978</v>
      </c>
      <c r="Z695" s="77"/>
      <c r="AA695" s="77" t="s">
        <v>2491</v>
      </c>
      <c r="AB695" s="77" t="s">
        <v>2632</v>
      </c>
      <c r="AC695" s="82" t="s">
        <v>2642</v>
      </c>
      <c r="AD695" s="77" t="s">
        <v>2670</v>
      </c>
      <c r="AE695" s="80" t="str">
        <f>HYPERLINK("https://twitter.com/felippe_marcelo/status/1610743035309981713")</f>
        <v>https://twitter.com/felippe_marcelo/status/1610743035309981713</v>
      </c>
      <c r="AF695" s="79">
        <v>44930.875462962962</v>
      </c>
      <c r="AG695" s="85">
        <v>44930</v>
      </c>
      <c r="AH695" s="82" t="s">
        <v>3217</v>
      </c>
      <c r="AI695" s="77" t="b">
        <v>0</v>
      </c>
      <c r="AJ695" s="77"/>
      <c r="AK695" s="77"/>
      <c r="AL695" s="77"/>
      <c r="AM695" s="77"/>
      <c r="AN695" s="77"/>
      <c r="AO695" s="77"/>
      <c r="AP695" s="77"/>
      <c r="AQ695" s="77" t="s">
        <v>3920</v>
      </c>
      <c r="AR695" s="77"/>
      <c r="AS695" s="77"/>
      <c r="AT695" s="77"/>
      <c r="AU695" s="77"/>
      <c r="AV695" s="80" t="str">
        <f>HYPERLINK("https://pbs.twimg.com/media/FlqCQSPWAB0Lyd9.jpg")</f>
        <v>https://pbs.twimg.com/media/FlqCQSPWAB0Lyd9.jpg</v>
      </c>
      <c r="AW695" s="82" t="s">
        <v>4746</v>
      </c>
      <c r="AX695" s="82" t="s">
        <v>4746</v>
      </c>
      <c r="AY695" s="77"/>
      <c r="AZ695" s="82" t="s">
        <v>5075</v>
      </c>
      <c r="BA695" s="82" t="s">
        <v>5075</v>
      </c>
      <c r="BB695" s="82" t="s">
        <v>5075</v>
      </c>
      <c r="BC695" s="82" t="s">
        <v>4746</v>
      </c>
      <c r="BD695" s="82" t="s">
        <v>5240</v>
      </c>
      <c r="BE695" s="77"/>
      <c r="BF695" s="77"/>
      <c r="BG695" s="77"/>
      <c r="BH695" s="77"/>
      <c r="BI695" s="77"/>
    </row>
    <row r="696" spans="1:61" x14ac:dyDescent="0.25">
      <c r="A696" s="62" t="s">
        <v>434</v>
      </c>
      <c r="B696" s="62" t="s">
        <v>434</v>
      </c>
      <c r="C696" s="63"/>
      <c r="D696" s="64"/>
      <c r="E696" s="65"/>
      <c r="F696" s="66"/>
      <c r="G696" s="63"/>
      <c r="H696" s="67"/>
      <c r="I696" s="68"/>
      <c r="J696" s="68"/>
      <c r="K696" s="32"/>
      <c r="L696" s="75">
        <v>696</v>
      </c>
      <c r="M696" s="75"/>
      <c r="N696" s="70"/>
      <c r="O696" s="77" t="s">
        <v>179</v>
      </c>
      <c r="P696" s="79">
        <v>44929.875555555554</v>
      </c>
      <c r="Q696" s="77" t="s">
        <v>1223</v>
      </c>
      <c r="R696" s="77">
        <v>0</v>
      </c>
      <c r="S696" s="77">
        <v>0</v>
      </c>
      <c r="T696" s="77">
        <v>0</v>
      </c>
      <c r="U696" s="77">
        <v>0</v>
      </c>
      <c r="V696" s="77">
        <v>42</v>
      </c>
      <c r="W696" s="82" t="s">
        <v>1846</v>
      </c>
      <c r="X696" s="80" t="str">
        <f>HYPERLINK("http://metodotdl.com.br/tdl/telegram")</f>
        <v>http://metodotdl.com.br/tdl/telegram</v>
      </c>
      <c r="Y696" s="77" t="s">
        <v>1978</v>
      </c>
      <c r="Z696" s="77"/>
      <c r="AA696" s="77" t="s">
        <v>2492</v>
      </c>
      <c r="AB696" s="77" t="s">
        <v>2632</v>
      </c>
      <c r="AC696" s="82" t="s">
        <v>2642</v>
      </c>
      <c r="AD696" s="77" t="s">
        <v>2670</v>
      </c>
      <c r="AE696" s="80" t="str">
        <f>HYPERLINK("https://twitter.com/felippe_marcelo/status/1610380680160051200")</f>
        <v>https://twitter.com/felippe_marcelo/status/1610380680160051200</v>
      </c>
      <c r="AF696" s="79">
        <v>44929.875555555554</v>
      </c>
      <c r="AG696" s="85">
        <v>44929</v>
      </c>
      <c r="AH696" s="82" t="s">
        <v>3198</v>
      </c>
      <c r="AI696" s="77" t="b">
        <v>0</v>
      </c>
      <c r="AJ696" s="77"/>
      <c r="AK696" s="77"/>
      <c r="AL696" s="77"/>
      <c r="AM696" s="77"/>
      <c r="AN696" s="77"/>
      <c r="AO696" s="77"/>
      <c r="AP696" s="77"/>
      <c r="AQ696" s="77" t="s">
        <v>3921</v>
      </c>
      <c r="AR696" s="77"/>
      <c r="AS696" s="77"/>
      <c r="AT696" s="77"/>
      <c r="AU696" s="77"/>
      <c r="AV696" s="80" t="str">
        <f>HYPERLINK("https://pbs.twimg.com/media/Flk4sbwWYAg8fVD.jpg")</f>
        <v>https://pbs.twimg.com/media/Flk4sbwWYAg8fVD.jpg</v>
      </c>
      <c r="AW696" s="82" t="s">
        <v>4747</v>
      </c>
      <c r="AX696" s="82" t="s">
        <v>4747</v>
      </c>
      <c r="AY696" s="77"/>
      <c r="AZ696" s="82" t="s">
        <v>5075</v>
      </c>
      <c r="BA696" s="82" t="s">
        <v>5075</v>
      </c>
      <c r="BB696" s="82" t="s">
        <v>5075</v>
      </c>
      <c r="BC696" s="82" t="s">
        <v>4747</v>
      </c>
      <c r="BD696" s="82" t="s">
        <v>5240</v>
      </c>
      <c r="BE696" s="77"/>
      <c r="BF696" s="77"/>
      <c r="BG696" s="77"/>
      <c r="BH696" s="77"/>
      <c r="BI696" s="77"/>
    </row>
    <row r="697" spans="1:61" x14ac:dyDescent="0.25">
      <c r="A697" s="62" t="s">
        <v>434</v>
      </c>
      <c r="B697" s="62" t="s">
        <v>434</v>
      </c>
      <c r="C697" s="63"/>
      <c r="D697" s="64"/>
      <c r="E697" s="65"/>
      <c r="F697" s="66"/>
      <c r="G697" s="63"/>
      <c r="H697" s="67"/>
      <c r="I697" s="68"/>
      <c r="J697" s="68"/>
      <c r="K697" s="32"/>
      <c r="L697" s="75">
        <v>697</v>
      </c>
      <c r="M697" s="75"/>
      <c r="N697" s="70"/>
      <c r="O697" s="77" t="s">
        <v>179</v>
      </c>
      <c r="P697" s="79">
        <v>44928.875416666669</v>
      </c>
      <c r="Q697" s="77" t="s">
        <v>1224</v>
      </c>
      <c r="R697" s="77">
        <v>0</v>
      </c>
      <c r="S697" s="77">
        <v>0</v>
      </c>
      <c r="T697" s="77">
        <v>0</v>
      </c>
      <c r="U697" s="77">
        <v>0</v>
      </c>
      <c r="V697" s="77">
        <v>78</v>
      </c>
      <c r="W697" s="82" t="s">
        <v>1846</v>
      </c>
      <c r="X697" s="80" t="str">
        <f>HYPERLINK("http://metodotdl.com.br/tdl/telegram")</f>
        <v>http://metodotdl.com.br/tdl/telegram</v>
      </c>
      <c r="Y697" s="77" t="s">
        <v>1978</v>
      </c>
      <c r="Z697" s="77"/>
      <c r="AA697" s="77" t="s">
        <v>2493</v>
      </c>
      <c r="AB697" s="77" t="s">
        <v>2632</v>
      </c>
      <c r="AC697" s="82" t="s">
        <v>2642</v>
      </c>
      <c r="AD697" s="77" t="s">
        <v>2670</v>
      </c>
      <c r="AE697" s="80" t="str">
        <f>HYPERLINK("https://twitter.com/felippe_marcelo/status/1610018242613112833")</f>
        <v>https://twitter.com/felippe_marcelo/status/1610018242613112833</v>
      </c>
      <c r="AF697" s="79">
        <v>44928.875416666669</v>
      </c>
      <c r="AG697" s="85">
        <v>44928</v>
      </c>
      <c r="AH697" s="82" t="s">
        <v>3181</v>
      </c>
      <c r="AI697" s="77" t="b">
        <v>0</v>
      </c>
      <c r="AJ697" s="77"/>
      <c r="AK697" s="77"/>
      <c r="AL697" s="77"/>
      <c r="AM697" s="77"/>
      <c r="AN697" s="77"/>
      <c r="AO697" s="77"/>
      <c r="AP697" s="77"/>
      <c r="AQ697" s="77" t="s">
        <v>3922</v>
      </c>
      <c r="AR697" s="77"/>
      <c r="AS697" s="77"/>
      <c r="AT697" s="77"/>
      <c r="AU697" s="77"/>
      <c r="AV697" s="80" t="str">
        <f>HYPERLINK("https://pbs.twimg.com/media/FlfvD1-XwAEbdhD.jpg")</f>
        <v>https://pbs.twimg.com/media/FlfvD1-XwAEbdhD.jpg</v>
      </c>
      <c r="AW697" s="82" t="s">
        <v>4748</v>
      </c>
      <c r="AX697" s="82" t="s">
        <v>4748</v>
      </c>
      <c r="AY697" s="77"/>
      <c r="AZ697" s="82" t="s">
        <v>5075</v>
      </c>
      <c r="BA697" s="82" t="s">
        <v>5075</v>
      </c>
      <c r="BB697" s="82" t="s">
        <v>5075</v>
      </c>
      <c r="BC697" s="82" t="s">
        <v>4748</v>
      </c>
      <c r="BD697" s="82" t="s">
        <v>5240</v>
      </c>
      <c r="BE697" s="77"/>
      <c r="BF697" s="77"/>
      <c r="BG697" s="77"/>
      <c r="BH697" s="77"/>
      <c r="BI697" s="77"/>
    </row>
    <row r="698" spans="1:61" x14ac:dyDescent="0.25">
      <c r="A698" s="62" t="s">
        <v>434</v>
      </c>
      <c r="B698" s="62" t="s">
        <v>434</v>
      </c>
      <c r="C698" s="63"/>
      <c r="D698" s="64"/>
      <c r="E698" s="65"/>
      <c r="F698" s="66"/>
      <c r="G698" s="63"/>
      <c r="H698" s="67"/>
      <c r="I698" s="68"/>
      <c r="J698" s="68"/>
      <c r="K698" s="32"/>
      <c r="L698" s="75">
        <v>698</v>
      </c>
      <c r="M698" s="75"/>
      <c r="N698" s="70"/>
      <c r="O698" s="77" t="s">
        <v>179</v>
      </c>
      <c r="P698" s="79">
        <v>44981.870555555557</v>
      </c>
      <c r="Q698" s="77" t="s">
        <v>1225</v>
      </c>
      <c r="R698" s="77">
        <v>0</v>
      </c>
      <c r="S698" s="77">
        <v>0</v>
      </c>
      <c r="T698" s="77">
        <v>0</v>
      </c>
      <c r="U698" s="77">
        <v>0</v>
      </c>
      <c r="V698" s="77">
        <v>54</v>
      </c>
      <c r="W698" s="82" t="s">
        <v>1846</v>
      </c>
      <c r="X698" s="80" t="str">
        <f>HYPERLINK("http://metodotdl.com.br/tdl/telegram")</f>
        <v>http://metodotdl.com.br/tdl/telegram</v>
      </c>
      <c r="Y698" s="77" t="s">
        <v>1978</v>
      </c>
      <c r="Z698" s="77"/>
      <c r="AA698" s="77" t="s">
        <v>2494</v>
      </c>
      <c r="AB698" s="77" t="s">
        <v>2632</v>
      </c>
      <c r="AC698" s="82" t="s">
        <v>2642</v>
      </c>
      <c r="AD698" s="77" t="s">
        <v>2670</v>
      </c>
      <c r="AE698" s="80" t="str">
        <f>HYPERLINK("https://twitter.com/felippe_marcelo/status/1629223039836557316")</f>
        <v>https://twitter.com/felippe_marcelo/status/1629223039836557316</v>
      </c>
      <c r="AF698" s="79">
        <v>44981.870555555557</v>
      </c>
      <c r="AG698" s="85">
        <v>44981</v>
      </c>
      <c r="AH698" s="82" t="s">
        <v>3214</v>
      </c>
      <c r="AI698" s="77" t="b">
        <v>0</v>
      </c>
      <c r="AJ698" s="77"/>
      <c r="AK698" s="77"/>
      <c r="AL698" s="77"/>
      <c r="AM698" s="77"/>
      <c r="AN698" s="77"/>
      <c r="AO698" s="77"/>
      <c r="AP698" s="77"/>
      <c r="AQ698" s="77" t="s">
        <v>3923</v>
      </c>
      <c r="AR698" s="77"/>
      <c r="AS698" s="77"/>
      <c r="AT698" s="77"/>
      <c r="AU698" s="77"/>
      <c r="AV698" s="80" t="str">
        <f>HYPERLINK("https://pbs.twimg.com/media/FpwpuGoWYAQZKH2.jpg")</f>
        <v>https://pbs.twimg.com/media/FpwpuGoWYAQZKH2.jpg</v>
      </c>
      <c r="AW698" s="82" t="s">
        <v>4749</v>
      </c>
      <c r="AX698" s="82" t="s">
        <v>4749</v>
      </c>
      <c r="AY698" s="77"/>
      <c r="AZ698" s="82" t="s">
        <v>5075</v>
      </c>
      <c r="BA698" s="82" t="s">
        <v>5075</v>
      </c>
      <c r="BB698" s="82" t="s">
        <v>5075</v>
      </c>
      <c r="BC698" s="82" t="s">
        <v>4749</v>
      </c>
      <c r="BD698" s="82" t="s">
        <v>5240</v>
      </c>
      <c r="BE698" s="77"/>
      <c r="BF698" s="77"/>
      <c r="BG698" s="77"/>
      <c r="BH698" s="77"/>
      <c r="BI698" s="77"/>
    </row>
    <row r="699" spans="1:61" x14ac:dyDescent="0.25">
      <c r="A699" s="62" t="s">
        <v>434</v>
      </c>
      <c r="B699" s="62" t="s">
        <v>434</v>
      </c>
      <c r="C699" s="63"/>
      <c r="D699" s="64"/>
      <c r="E699" s="65"/>
      <c r="F699" s="66"/>
      <c r="G699" s="63"/>
      <c r="H699" s="67"/>
      <c r="I699" s="68"/>
      <c r="J699" s="68"/>
      <c r="K699" s="32"/>
      <c r="L699" s="75">
        <v>699</v>
      </c>
      <c r="M699" s="75"/>
      <c r="N699" s="70"/>
      <c r="O699" s="77" t="s">
        <v>179</v>
      </c>
      <c r="P699" s="79">
        <v>44980.875381944446</v>
      </c>
      <c r="Q699" s="77" t="s">
        <v>1226</v>
      </c>
      <c r="R699" s="77">
        <v>0</v>
      </c>
      <c r="S699" s="77">
        <v>0</v>
      </c>
      <c r="T699" s="77">
        <v>0</v>
      </c>
      <c r="U699" s="77">
        <v>0</v>
      </c>
      <c r="V699" s="77">
        <v>48</v>
      </c>
      <c r="W699" s="82" t="s">
        <v>1846</v>
      </c>
      <c r="X699" s="80" t="str">
        <f>HYPERLINK("http://metodotdl.com.br/tdl/telegram")</f>
        <v>http://metodotdl.com.br/tdl/telegram</v>
      </c>
      <c r="Y699" s="77" t="s">
        <v>1978</v>
      </c>
      <c r="Z699" s="77"/>
      <c r="AA699" s="77" t="s">
        <v>2495</v>
      </c>
      <c r="AB699" s="77" t="s">
        <v>2632</v>
      </c>
      <c r="AC699" s="82" t="s">
        <v>2642</v>
      </c>
      <c r="AD699" s="77" t="s">
        <v>2670</v>
      </c>
      <c r="AE699" s="80" t="str">
        <f>HYPERLINK("https://twitter.com/felippe_marcelo/status/1628862400471482372")</f>
        <v>https://twitter.com/felippe_marcelo/status/1628862400471482372</v>
      </c>
      <c r="AF699" s="79">
        <v>44980.875381944446</v>
      </c>
      <c r="AG699" s="85">
        <v>44980</v>
      </c>
      <c r="AH699" s="82" t="s">
        <v>3180</v>
      </c>
      <c r="AI699" s="77" t="b">
        <v>0</v>
      </c>
      <c r="AJ699" s="77"/>
      <c r="AK699" s="77"/>
      <c r="AL699" s="77"/>
      <c r="AM699" s="77"/>
      <c r="AN699" s="77"/>
      <c r="AO699" s="77"/>
      <c r="AP699" s="77"/>
      <c r="AQ699" s="77" t="s">
        <v>3924</v>
      </c>
      <c r="AR699" s="77"/>
      <c r="AS699" s="77"/>
      <c r="AT699" s="77"/>
      <c r="AU699" s="77"/>
      <c r="AV699" s="80" t="str">
        <f>HYPERLINK("https://pbs.twimg.com/media/FprhuJTWIAUc8eg.jpg")</f>
        <v>https://pbs.twimg.com/media/FprhuJTWIAUc8eg.jpg</v>
      </c>
      <c r="AW699" s="82" t="s">
        <v>4750</v>
      </c>
      <c r="AX699" s="82" t="s">
        <v>4750</v>
      </c>
      <c r="AY699" s="77"/>
      <c r="AZ699" s="82" t="s">
        <v>5075</v>
      </c>
      <c r="BA699" s="82" t="s">
        <v>5075</v>
      </c>
      <c r="BB699" s="82" t="s">
        <v>5075</v>
      </c>
      <c r="BC699" s="82" t="s">
        <v>4750</v>
      </c>
      <c r="BD699" s="82" t="s">
        <v>5240</v>
      </c>
      <c r="BE699" s="77"/>
      <c r="BF699" s="77"/>
      <c r="BG699" s="77"/>
      <c r="BH699" s="77"/>
      <c r="BI699" s="77"/>
    </row>
    <row r="700" spans="1:61" x14ac:dyDescent="0.25">
      <c r="A700" s="62" t="s">
        <v>434</v>
      </c>
      <c r="B700" s="62" t="s">
        <v>434</v>
      </c>
      <c r="C700" s="63"/>
      <c r="D700" s="64"/>
      <c r="E700" s="65"/>
      <c r="F700" s="66"/>
      <c r="G700" s="63"/>
      <c r="H700" s="67"/>
      <c r="I700" s="68"/>
      <c r="J700" s="68"/>
      <c r="K700" s="32"/>
      <c r="L700" s="75">
        <v>700</v>
      </c>
      <c r="M700" s="75"/>
      <c r="N700" s="70"/>
      <c r="O700" s="77" t="s">
        <v>179</v>
      </c>
      <c r="P700" s="79">
        <v>44979.875381944446</v>
      </c>
      <c r="Q700" s="77" t="s">
        <v>1227</v>
      </c>
      <c r="R700" s="77">
        <v>0</v>
      </c>
      <c r="S700" s="77">
        <v>0</v>
      </c>
      <c r="T700" s="77">
        <v>0</v>
      </c>
      <c r="U700" s="77">
        <v>0</v>
      </c>
      <c r="V700" s="77">
        <v>63</v>
      </c>
      <c r="W700" s="82" t="s">
        <v>1846</v>
      </c>
      <c r="X700" s="80" t="str">
        <f>HYPERLINK("http://metodotdl.com.br/tdl/telegram")</f>
        <v>http://metodotdl.com.br/tdl/telegram</v>
      </c>
      <c r="Y700" s="77" t="s">
        <v>1978</v>
      </c>
      <c r="Z700" s="77"/>
      <c r="AA700" s="77" t="s">
        <v>2496</v>
      </c>
      <c r="AB700" s="77" t="s">
        <v>2632</v>
      </c>
      <c r="AC700" s="82" t="s">
        <v>2642</v>
      </c>
      <c r="AD700" s="77" t="s">
        <v>2670</v>
      </c>
      <c r="AE700" s="80" t="str">
        <f>HYPERLINK("https://twitter.com/felippe_marcelo/status/1628500011674746881")</f>
        <v>https://twitter.com/felippe_marcelo/status/1628500011674746881</v>
      </c>
      <c r="AF700" s="79">
        <v>44979.875381944446</v>
      </c>
      <c r="AG700" s="85">
        <v>44979</v>
      </c>
      <c r="AH700" s="82" t="s">
        <v>3180</v>
      </c>
      <c r="AI700" s="77" t="b">
        <v>0</v>
      </c>
      <c r="AJ700" s="77"/>
      <c r="AK700" s="77"/>
      <c r="AL700" s="77"/>
      <c r="AM700" s="77"/>
      <c r="AN700" s="77"/>
      <c r="AO700" s="77"/>
      <c r="AP700" s="77"/>
      <c r="AQ700" s="77" t="s">
        <v>3925</v>
      </c>
      <c r="AR700" s="77"/>
      <c r="AS700" s="77"/>
      <c r="AT700" s="77"/>
      <c r="AU700" s="77"/>
      <c r="AV700" s="80" t="str">
        <f>HYPERLINK("https://pbs.twimg.com/media/FpmYITlXEAA7qS-.jpg")</f>
        <v>https://pbs.twimg.com/media/FpmYITlXEAA7qS-.jpg</v>
      </c>
      <c r="AW700" s="82" t="s">
        <v>4751</v>
      </c>
      <c r="AX700" s="82" t="s">
        <v>4751</v>
      </c>
      <c r="AY700" s="77"/>
      <c r="AZ700" s="82" t="s">
        <v>5075</v>
      </c>
      <c r="BA700" s="82" t="s">
        <v>5075</v>
      </c>
      <c r="BB700" s="82" t="s">
        <v>5075</v>
      </c>
      <c r="BC700" s="82" t="s">
        <v>4751</v>
      </c>
      <c r="BD700" s="82" t="s">
        <v>5240</v>
      </c>
      <c r="BE700" s="77"/>
      <c r="BF700" s="77"/>
      <c r="BG700" s="77"/>
      <c r="BH700" s="77"/>
      <c r="BI700" s="77"/>
    </row>
    <row r="701" spans="1:61" x14ac:dyDescent="0.25">
      <c r="A701" s="62" t="s">
        <v>434</v>
      </c>
      <c r="B701" s="62" t="s">
        <v>434</v>
      </c>
      <c r="C701" s="63"/>
      <c r="D701" s="64"/>
      <c r="E701" s="65"/>
      <c r="F701" s="66"/>
      <c r="G701" s="63"/>
      <c r="H701" s="67"/>
      <c r="I701" s="68"/>
      <c r="J701" s="68"/>
      <c r="K701" s="32"/>
      <c r="L701" s="75">
        <v>701</v>
      </c>
      <c r="M701" s="75"/>
      <c r="N701" s="70"/>
      <c r="O701" s="77" t="s">
        <v>179</v>
      </c>
      <c r="P701" s="79">
        <v>44974.875381944446</v>
      </c>
      <c r="Q701" s="77" t="s">
        <v>1228</v>
      </c>
      <c r="R701" s="77">
        <v>0</v>
      </c>
      <c r="S701" s="77">
        <v>0</v>
      </c>
      <c r="T701" s="77">
        <v>0</v>
      </c>
      <c r="U701" s="77">
        <v>0</v>
      </c>
      <c r="V701" s="77">
        <v>47</v>
      </c>
      <c r="W701" s="82" t="s">
        <v>1846</v>
      </c>
      <c r="X701" s="80" t="str">
        <f>HYPERLINK("http://metodotdl.com.br/tdl/telegram")</f>
        <v>http://metodotdl.com.br/tdl/telegram</v>
      </c>
      <c r="Y701" s="77" t="s">
        <v>1978</v>
      </c>
      <c r="Z701" s="77"/>
      <c r="AA701" s="77" t="s">
        <v>2497</v>
      </c>
      <c r="AB701" s="77" t="s">
        <v>2632</v>
      </c>
      <c r="AC701" s="82" t="s">
        <v>2642</v>
      </c>
      <c r="AD701" s="77" t="s">
        <v>2670</v>
      </c>
      <c r="AE701" s="80" t="str">
        <f>HYPERLINK("https://twitter.com/felippe_marcelo/status/1626688071046496256")</f>
        <v>https://twitter.com/felippe_marcelo/status/1626688071046496256</v>
      </c>
      <c r="AF701" s="79">
        <v>44974.875381944446</v>
      </c>
      <c r="AG701" s="85">
        <v>44974</v>
      </c>
      <c r="AH701" s="82" t="s">
        <v>3180</v>
      </c>
      <c r="AI701" s="77" t="b">
        <v>0</v>
      </c>
      <c r="AJ701" s="77"/>
      <c r="AK701" s="77"/>
      <c r="AL701" s="77"/>
      <c r="AM701" s="77"/>
      <c r="AN701" s="77"/>
      <c r="AO701" s="77"/>
      <c r="AP701" s="77"/>
      <c r="AQ701" s="77" t="s">
        <v>3926</v>
      </c>
      <c r="AR701" s="77"/>
      <c r="AS701" s="77"/>
      <c r="AT701" s="77"/>
      <c r="AU701" s="77"/>
      <c r="AV701" s="80" t="str">
        <f>HYPERLINK("https://pbs.twimg.com/media/FpMoLeOX0BcEaTo.jpg")</f>
        <v>https://pbs.twimg.com/media/FpMoLeOX0BcEaTo.jpg</v>
      </c>
      <c r="AW701" s="82" t="s">
        <v>4752</v>
      </c>
      <c r="AX701" s="82" t="s">
        <v>4752</v>
      </c>
      <c r="AY701" s="77"/>
      <c r="AZ701" s="82" t="s">
        <v>5075</v>
      </c>
      <c r="BA701" s="82" t="s">
        <v>5075</v>
      </c>
      <c r="BB701" s="82" t="s">
        <v>5075</v>
      </c>
      <c r="BC701" s="82" t="s">
        <v>4752</v>
      </c>
      <c r="BD701" s="82" t="s">
        <v>5240</v>
      </c>
      <c r="BE701" s="77"/>
      <c r="BF701" s="77"/>
      <c r="BG701" s="77"/>
      <c r="BH701" s="77"/>
      <c r="BI701" s="77"/>
    </row>
    <row r="702" spans="1:61" x14ac:dyDescent="0.25">
      <c r="A702" s="62" t="s">
        <v>434</v>
      </c>
      <c r="B702" s="62" t="s">
        <v>434</v>
      </c>
      <c r="C702" s="63"/>
      <c r="D702" s="64"/>
      <c r="E702" s="65"/>
      <c r="F702" s="66"/>
      <c r="G702" s="63"/>
      <c r="H702" s="67"/>
      <c r="I702" s="68"/>
      <c r="J702" s="68"/>
      <c r="K702" s="32"/>
      <c r="L702" s="75">
        <v>702</v>
      </c>
      <c r="M702" s="75"/>
      <c r="N702" s="70"/>
      <c r="O702" s="77" t="s">
        <v>179</v>
      </c>
      <c r="P702" s="79">
        <v>44973.875416666669</v>
      </c>
      <c r="Q702" s="77" t="s">
        <v>1229</v>
      </c>
      <c r="R702" s="77">
        <v>0</v>
      </c>
      <c r="S702" s="77">
        <v>0</v>
      </c>
      <c r="T702" s="77">
        <v>0</v>
      </c>
      <c r="U702" s="77">
        <v>0</v>
      </c>
      <c r="V702" s="77">
        <v>39</v>
      </c>
      <c r="W702" s="82" t="s">
        <v>1846</v>
      </c>
      <c r="X702" s="80" t="str">
        <f>HYPERLINK("http://metodotdl.com.br/tdl/telegram")</f>
        <v>http://metodotdl.com.br/tdl/telegram</v>
      </c>
      <c r="Y702" s="77" t="s">
        <v>1978</v>
      </c>
      <c r="Z702" s="77"/>
      <c r="AA702" s="77" t="s">
        <v>2498</v>
      </c>
      <c r="AB702" s="77" t="s">
        <v>2632</v>
      </c>
      <c r="AC702" s="82" t="s">
        <v>2642</v>
      </c>
      <c r="AD702" s="77" t="s">
        <v>2670</v>
      </c>
      <c r="AE702" s="80" t="str">
        <f>HYPERLINK("https://twitter.com/felippe_marcelo/status/1626325695734468608")</f>
        <v>https://twitter.com/felippe_marcelo/status/1626325695734468608</v>
      </c>
      <c r="AF702" s="79">
        <v>44973.875416666669</v>
      </c>
      <c r="AG702" s="85">
        <v>44973</v>
      </c>
      <c r="AH702" s="82" t="s">
        <v>3181</v>
      </c>
      <c r="AI702" s="77" t="b">
        <v>0</v>
      </c>
      <c r="AJ702" s="77"/>
      <c r="AK702" s="77"/>
      <c r="AL702" s="77"/>
      <c r="AM702" s="77"/>
      <c r="AN702" s="77"/>
      <c r="AO702" s="77"/>
      <c r="AP702" s="77"/>
      <c r="AQ702" s="77" t="s">
        <v>3927</v>
      </c>
      <c r="AR702" s="77"/>
      <c r="AS702" s="77"/>
      <c r="AT702" s="77"/>
      <c r="AU702" s="77"/>
      <c r="AV702" s="80" t="str">
        <f>HYPERLINK("https://pbs.twimg.com/media/FpHemgHWAAEhmrB.jpg")</f>
        <v>https://pbs.twimg.com/media/FpHemgHWAAEhmrB.jpg</v>
      </c>
      <c r="AW702" s="82" t="s">
        <v>4753</v>
      </c>
      <c r="AX702" s="82" t="s">
        <v>4753</v>
      </c>
      <c r="AY702" s="77"/>
      <c r="AZ702" s="82" t="s">
        <v>5075</v>
      </c>
      <c r="BA702" s="82" t="s">
        <v>5075</v>
      </c>
      <c r="BB702" s="82" t="s">
        <v>5075</v>
      </c>
      <c r="BC702" s="82" t="s">
        <v>4753</v>
      </c>
      <c r="BD702" s="82" t="s">
        <v>5240</v>
      </c>
      <c r="BE702" s="77"/>
      <c r="BF702" s="77"/>
      <c r="BG702" s="77"/>
      <c r="BH702" s="77"/>
      <c r="BI702" s="77"/>
    </row>
    <row r="703" spans="1:61" x14ac:dyDescent="0.25">
      <c r="A703" s="62" t="s">
        <v>434</v>
      </c>
      <c r="B703" s="62" t="s">
        <v>434</v>
      </c>
      <c r="C703" s="63"/>
      <c r="D703" s="64"/>
      <c r="E703" s="65"/>
      <c r="F703" s="66"/>
      <c r="G703" s="63"/>
      <c r="H703" s="67"/>
      <c r="I703" s="68"/>
      <c r="J703" s="68"/>
      <c r="K703" s="32"/>
      <c r="L703" s="75">
        <v>703</v>
      </c>
      <c r="M703" s="75"/>
      <c r="N703" s="70"/>
      <c r="O703" s="77" t="s">
        <v>179</v>
      </c>
      <c r="P703" s="79">
        <v>44972.875405092593</v>
      </c>
      <c r="Q703" s="77" t="s">
        <v>1230</v>
      </c>
      <c r="R703" s="77">
        <v>0</v>
      </c>
      <c r="S703" s="77">
        <v>0</v>
      </c>
      <c r="T703" s="77">
        <v>0</v>
      </c>
      <c r="U703" s="77">
        <v>0</v>
      </c>
      <c r="V703" s="77">
        <v>50</v>
      </c>
      <c r="W703" s="82" t="s">
        <v>1846</v>
      </c>
      <c r="X703" s="80" t="str">
        <f>HYPERLINK("http://metodotdl.com.br/tdl/telegram")</f>
        <v>http://metodotdl.com.br/tdl/telegram</v>
      </c>
      <c r="Y703" s="77" t="s">
        <v>1978</v>
      </c>
      <c r="Z703" s="77"/>
      <c r="AA703" s="77" t="s">
        <v>2499</v>
      </c>
      <c r="AB703" s="77" t="s">
        <v>2632</v>
      </c>
      <c r="AC703" s="82" t="s">
        <v>2642</v>
      </c>
      <c r="AD703" s="77" t="s">
        <v>2670</v>
      </c>
      <c r="AE703" s="80" t="str">
        <f>HYPERLINK("https://twitter.com/felippe_marcelo/status/1625963303829733383")</f>
        <v>https://twitter.com/felippe_marcelo/status/1625963303829733383</v>
      </c>
      <c r="AF703" s="79">
        <v>44972.875405092593</v>
      </c>
      <c r="AG703" s="85">
        <v>44972</v>
      </c>
      <c r="AH703" s="82" t="s">
        <v>3225</v>
      </c>
      <c r="AI703" s="77" t="b">
        <v>0</v>
      </c>
      <c r="AJ703" s="77"/>
      <c r="AK703" s="77"/>
      <c r="AL703" s="77"/>
      <c r="AM703" s="77"/>
      <c r="AN703" s="77"/>
      <c r="AO703" s="77"/>
      <c r="AP703" s="77"/>
      <c r="AQ703" s="77" t="s">
        <v>3928</v>
      </c>
      <c r="AR703" s="77"/>
      <c r="AS703" s="77"/>
      <c r="AT703" s="77"/>
      <c r="AU703" s="77"/>
      <c r="AV703" s="80" t="str">
        <f>HYPERLINK("https://pbs.twimg.com/media/FpCVAgvXEAApQAv.jpg")</f>
        <v>https://pbs.twimg.com/media/FpCVAgvXEAApQAv.jpg</v>
      </c>
      <c r="AW703" s="82" t="s">
        <v>4754</v>
      </c>
      <c r="AX703" s="82" t="s">
        <v>4754</v>
      </c>
      <c r="AY703" s="77"/>
      <c r="AZ703" s="82" t="s">
        <v>5075</v>
      </c>
      <c r="BA703" s="82" t="s">
        <v>5075</v>
      </c>
      <c r="BB703" s="82" t="s">
        <v>5075</v>
      </c>
      <c r="BC703" s="82" t="s">
        <v>4754</v>
      </c>
      <c r="BD703" s="82" t="s">
        <v>5240</v>
      </c>
      <c r="BE703" s="77"/>
      <c r="BF703" s="77"/>
      <c r="BG703" s="77"/>
      <c r="BH703" s="77"/>
      <c r="BI703" s="77"/>
    </row>
    <row r="704" spans="1:61" x14ac:dyDescent="0.25">
      <c r="A704" s="62" t="s">
        <v>434</v>
      </c>
      <c r="B704" s="62" t="s">
        <v>434</v>
      </c>
      <c r="C704" s="63"/>
      <c r="D704" s="64"/>
      <c r="E704" s="65"/>
      <c r="F704" s="66"/>
      <c r="G704" s="63"/>
      <c r="H704" s="67"/>
      <c r="I704" s="68"/>
      <c r="J704" s="68"/>
      <c r="K704" s="32"/>
      <c r="L704" s="75">
        <v>704</v>
      </c>
      <c r="M704" s="75"/>
      <c r="N704" s="70"/>
      <c r="O704" s="77" t="s">
        <v>179</v>
      </c>
      <c r="P704" s="79">
        <v>45002.875451388885</v>
      </c>
      <c r="Q704" s="77" t="s">
        <v>1231</v>
      </c>
      <c r="R704" s="77">
        <v>0</v>
      </c>
      <c r="S704" s="77">
        <v>0</v>
      </c>
      <c r="T704" s="77">
        <v>0</v>
      </c>
      <c r="U704" s="77">
        <v>0</v>
      </c>
      <c r="V704" s="77">
        <v>65</v>
      </c>
      <c r="W704" s="82" t="s">
        <v>1846</v>
      </c>
      <c r="X704" s="80" t="str">
        <f>HYPERLINK("http://metodotdl.com.br/tdl/telegram")</f>
        <v>http://metodotdl.com.br/tdl/telegram</v>
      </c>
      <c r="Y704" s="77" t="s">
        <v>1978</v>
      </c>
      <c r="Z704" s="77"/>
      <c r="AA704" s="77" t="s">
        <v>2500</v>
      </c>
      <c r="AB704" s="77" t="s">
        <v>2632</v>
      </c>
      <c r="AC704" s="82" t="s">
        <v>2642</v>
      </c>
      <c r="AD704" s="77" t="s">
        <v>2670</v>
      </c>
      <c r="AE704" s="80" t="str">
        <f>HYPERLINK("https://twitter.com/felippe_marcelo/status/1636834955954192389")</f>
        <v>https://twitter.com/felippe_marcelo/status/1636834955954192389</v>
      </c>
      <c r="AF704" s="79">
        <v>45002.875451388885</v>
      </c>
      <c r="AG704" s="85">
        <v>45002</v>
      </c>
      <c r="AH704" s="82" t="s">
        <v>3195</v>
      </c>
      <c r="AI704" s="77" t="b">
        <v>0</v>
      </c>
      <c r="AJ704" s="77"/>
      <c r="AK704" s="77"/>
      <c r="AL704" s="77"/>
      <c r="AM704" s="77"/>
      <c r="AN704" s="77"/>
      <c r="AO704" s="77"/>
      <c r="AP704" s="77"/>
      <c r="AQ704" s="77" t="s">
        <v>3929</v>
      </c>
      <c r="AR704" s="77"/>
      <c r="AS704" s="77"/>
      <c r="AT704" s="77"/>
      <c r="AU704" s="77"/>
      <c r="AV704" s="80" t="str">
        <f>HYPERLINK("https://pbs.twimg.com/media/Frc0t_aWIAAY3ad.jpg")</f>
        <v>https://pbs.twimg.com/media/Frc0t_aWIAAY3ad.jpg</v>
      </c>
      <c r="AW704" s="82" t="s">
        <v>4755</v>
      </c>
      <c r="AX704" s="82" t="s">
        <v>4755</v>
      </c>
      <c r="AY704" s="77"/>
      <c r="AZ704" s="82" t="s">
        <v>5075</v>
      </c>
      <c r="BA704" s="82" t="s">
        <v>5075</v>
      </c>
      <c r="BB704" s="82" t="s">
        <v>5075</v>
      </c>
      <c r="BC704" s="82" t="s">
        <v>4755</v>
      </c>
      <c r="BD704" s="82" t="s">
        <v>5240</v>
      </c>
      <c r="BE704" s="77"/>
      <c r="BF704" s="77"/>
      <c r="BG704" s="77"/>
      <c r="BH704" s="77"/>
      <c r="BI704" s="77"/>
    </row>
    <row r="705" spans="1:61" x14ac:dyDescent="0.25">
      <c r="A705" s="62" t="s">
        <v>434</v>
      </c>
      <c r="B705" s="62" t="s">
        <v>434</v>
      </c>
      <c r="C705" s="63"/>
      <c r="D705" s="64"/>
      <c r="E705" s="65"/>
      <c r="F705" s="66"/>
      <c r="G705" s="63"/>
      <c r="H705" s="67"/>
      <c r="I705" s="68"/>
      <c r="J705" s="68"/>
      <c r="K705" s="32"/>
      <c r="L705" s="75">
        <v>705</v>
      </c>
      <c r="M705" s="75"/>
      <c r="N705" s="70"/>
      <c r="O705" s="77" t="s">
        <v>179</v>
      </c>
      <c r="P705" s="79">
        <v>45001.875416666669</v>
      </c>
      <c r="Q705" s="77" t="s">
        <v>1232</v>
      </c>
      <c r="R705" s="77">
        <v>0</v>
      </c>
      <c r="S705" s="77">
        <v>0</v>
      </c>
      <c r="T705" s="77">
        <v>0</v>
      </c>
      <c r="U705" s="77">
        <v>0</v>
      </c>
      <c r="V705" s="77">
        <v>49</v>
      </c>
      <c r="W705" s="82" t="s">
        <v>1846</v>
      </c>
      <c r="X705" s="80" t="str">
        <f>HYPERLINK("http://metodotdl.com.br/tdl/telegram")</f>
        <v>http://metodotdl.com.br/tdl/telegram</v>
      </c>
      <c r="Y705" s="77" t="s">
        <v>1978</v>
      </c>
      <c r="Z705" s="77"/>
      <c r="AA705" s="77" t="s">
        <v>2501</v>
      </c>
      <c r="AB705" s="77" t="s">
        <v>2632</v>
      </c>
      <c r="AC705" s="82" t="s">
        <v>2642</v>
      </c>
      <c r="AD705" s="77" t="s">
        <v>2670</v>
      </c>
      <c r="AE705" s="80" t="str">
        <f>HYPERLINK("https://twitter.com/felippe_marcelo/status/1636472556365422597")</f>
        <v>https://twitter.com/felippe_marcelo/status/1636472556365422597</v>
      </c>
      <c r="AF705" s="79">
        <v>45001.875416666669</v>
      </c>
      <c r="AG705" s="85">
        <v>45001</v>
      </c>
      <c r="AH705" s="82" t="s">
        <v>3181</v>
      </c>
      <c r="AI705" s="77" t="b">
        <v>0</v>
      </c>
      <c r="AJ705" s="77"/>
      <c r="AK705" s="77"/>
      <c r="AL705" s="77"/>
      <c r="AM705" s="77"/>
      <c r="AN705" s="77"/>
      <c r="AO705" s="77"/>
      <c r="AP705" s="77"/>
      <c r="AQ705" s="77" t="s">
        <v>3930</v>
      </c>
      <c r="AR705" s="77"/>
      <c r="AS705" s="77"/>
      <c r="AT705" s="77"/>
      <c r="AU705" s="77"/>
      <c r="AV705" s="80" t="str">
        <f>HYPERLINK("https://pbs.twimg.com/media/FrXrHiTXsAcxhAU.jpg")</f>
        <v>https://pbs.twimg.com/media/FrXrHiTXsAcxhAU.jpg</v>
      </c>
      <c r="AW705" s="82" t="s">
        <v>4756</v>
      </c>
      <c r="AX705" s="82" t="s">
        <v>4756</v>
      </c>
      <c r="AY705" s="77"/>
      <c r="AZ705" s="82" t="s">
        <v>5075</v>
      </c>
      <c r="BA705" s="82" t="s">
        <v>5075</v>
      </c>
      <c r="BB705" s="82" t="s">
        <v>5075</v>
      </c>
      <c r="BC705" s="82" t="s">
        <v>4756</v>
      </c>
      <c r="BD705" s="82" t="s">
        <v>5240</v>
      </c>
      <c r="BE705" s="77"/>
      <c r="BF705" s="77"/>
      <c r="BG705" s="77"/>
      <c r="BH705" s="77"/>
      <c r="BI705" s="77"/>
    </row>
    <row r="706" spans="1:61" x14ac:dyDescent="0.25">
      <c r="A706" s="62" t="s">
        <v>434</v>
      </c>
      <c r="B706" s="62" t="s">
        <v>434</v>
      </c>
      <c r="C706" s="63"/>
      <c r="D706" s="64"/>
      <c r="E706" s="65"/>
      <c r="F706" s="66"/>
      <c r="G706" s="63"/>
      <c r="H706" s="67"/>
      <c r="I706" s="68"/>
      <c r="J706" s="68"/>
      <c r="K706" s="32"/>
      <c r="L706" s="75">
        <v>706</v>
      </c>
      <c r="M706" s="75"/>
      <c r="N706" s="70"/>
      <c r="O706" s="77" t="s">
        <v>179</v>
      </c>
      <c r="P706" s="79">
        <v>45000.875393518516</v>
      </c>
      <c r="Q706" s="77" t="s">
        <v>1233</v>
      </c>
      <c r="R706" s="77">
        <v>0</v>
      </c>
      <c r="S706" s="77">
        <v>0</v>
      </c>
      <c r="T706" s="77">
        <v>0</v>
      </c>
      <c r="U706" s="77">
        <v>0</v>
      </c>
      <c r="V706" s="77">
        <v>41</v>
      </c>
      <c r="W706" s="82" t="s">
        <v>1846</v>
      </c>
      <c r="X706" s="80" t="str">
        <f>HYPERLINK("http://metodotdl.com.br/tdl/telegram")</f>
        <v>http://metodotdl.com.br/tdl/telegram</v>
      </c>
      <c r="Y706" s="77" t="s">
        <v>1978</v>
      </c>
      <c r="Z706" s="77"/>
      <c r="AA706" s="77" t="s">
        <v>2502</v>
      </c>
      <c r="AB706" s="77" t="s">
        <v>2632</v>
      </c>
      <c r="AC706" s="82" t="s">
        <v>2642</v>
      </c>
      <c r="AD706" s="77" t="s">
        <v>2670</v>
      </c>
      <c r="AE706" s="80" t="str">
        <f>HYPERLINK("https://twitter.com/felippe_marcelo/status/1636110161474646016")</f>
        <v>https://twitter.com/felippe_marcelo/status/1636110161474646016</v>
      </c>
      <c r="AF706" s="79">
        <v>45000.875393518516</v>
      </c>
      <c r="AG706" s="85">
        <v>45000</v>
      </c>
      <c r="AH706" s="82" t="s">
        <v>2901</v>
      </c>
      <c r="AI706" s="77" t="b">
        <v>0</v>
      </c>
      <c r="AJ706" s="77"/>
      <c r="AK706" s="77"/>
      <c r="AL706" s="77"/>
      <c r="AM706" s="77"/>
      <c r="AN706" s="77"/>
      <c r="AO706" s="77"/>
      <c r="AP706" s="77"/>
      <c r="AQ706" s="77" t="s">
        <v>3931</v>
      </c>
      <c r="AR706" s="77"/>
      <c r="AS706" s="77"/>
      <c r="AT706" s="77"/>
      <c r="AU706" s="77"/>
      <c r="AV706" s="80" t="str">
        <f>HYPERLINK("https://pbs.twimg.com/media/FrShhSAWAAkv0D1.jpg")</f>
        <v>https://pbs.twimg.com/media/FrShhSAWAAkv0D1.jpg</v>
      </c>
      <c r="AW706" s="82" t="s">
        <v>4757</v>
      </c>
      <c r="AX706" s="82" t="s">
        <v>4757</v>
      </c>
      <c r="AY706" s="77"/>
      <c r="AZ706" s="82" t="s">
        <v>5075</v>
      </c>
      <c r="BA706" s="82" t="s">
        <v>5075</v>
      </c>
      <c r="BB706" s="82" t="s">
        <v>5075</v>
      </c>
      <c r="BC706" s="82" t="s">
        <v>4757</v>
      </c>
      <c r="BD706" s="82" t="s">
        <v>5240</v>
      </c>
      <c r="BE706" s="77"/>
      <c r="BF706" s="77"/>
      <c r="BG706" s="77"/>
      <c r="BH706" s="77"/>
      <c r="BI706" s="77"/>
    </row>
    <row r="707" spans="1:61" x14ac:dyDescent="0.25">
      <c r="A707" s="62" t="s">
        <v>434</v>
      </c>
      <c r="B707" s="62" t="s">
        <v>434</v>
      </c>
      <c r="C707" s="63"/>
      <c r="D707" s="64"/>
      <c r="E707" s="65"/>
      <c r="F707" s="66"/>
      <c r="G707" s="63"/>
      <c r="H707" s="67"/>
      <c r="I707" s="68"/>
      <c r="J707" s="68"/>
      <c r="K707" s="32"/>
      <c r="L707" s="75">
        <v>707</v>
      </c>
      <c r="M707" s="75"/>
      <c r="N707" s="70"/>
      <c r="O707" s="77" t="s">
        <v>179</v>
      </c>
      <c r="P707" s="79">
        <v>44999.875358796293</v>
      </c>
      <c r="Q707" s="77" t="s">
        <v>1234</v>
      </c>
      <c r="R707" s="77">
        <v>0</v>
      </c>
      <c r="S707" s="77">
        <v>0</v>
      </c>
      <c r="T707" s="77">
        <v>0</v>
      </c>
      <c r="U707" s="77">
        <v>0</v>
      </c>
      <c r="V707" s="77">
        <v>48</v>
      </c>
      <c r="W707" s="82" t="s">
        <v>1846</v>
      </c>
      <c r="X707" s="80" t="str">
        <f>HYPERLINK("http://metodotdl.com.br/tdl/telegram")</f>
        <v>http://metodotdl.com.br/tdl/telegram</v>
      </c>
      <c r="Y707" s="77" t="s">
        <v>1978</v>
      </c>
      <c r="Z707" s="77"/>
      <c r="AA707" s="77" t="s">
        <v>2503</v>
      </c>
      <c r="AB707" s="77" t="s">
        <v>2632</v>
      </c>
      <c r="AC707" s="82" t="s">
        <v>2642</v>
      </c>
      <c r="AD707" s="77" t="s">
        <v>2670</v>
      </c>
      <c r="AE707" s="80" t="str">
        <f>HYPERLINK("https://twitter.com/felippe_marcelo/status/1635747759293706242")</f>
        <v>https://twitter.com/felippe_marcelo/status/1635747759293706242</v>
      </c>
      <c r="AF707" s="79">
        <v>44999.875358796293</v>
      </c>
      <c r="AG707" s="85">
        <v>44999</v>
      </c>
      <c r="AH707" s="82" t="s">
        <v>3189</v>
      </c>
      <c r="AI707" s="77" t="b">
        <v>0</v>
      </c>
      <c r="AJ707" s="77"/>
      <c r="AK707" s="77"/>
      <c r="AL707" s="77"/>
      <c r="AM707" s="77"/>
      <c r="AN707" s="77"/>
      <c r="AO707" s="77"/>
      <c r="AP707" s="77"/>
      <c r="AQ707" s="77" t="s">
        <v>3932</v>
      </c>
      <c r="AR707" s="77"/>
      <c r="AS707" s="77"/>
      <c r="AT707" s="77"/>
      <c r="AU707" s="77"/>
      <c r="AV707" s="80" t="str">
        <f>HYPERLINK("https://pbs.twimg.com/media/FrNX6xpX0A4l7JY.jpg")</f>
        <v>https://pbs.twimg.com/media/FrNX6xpX0A4l7JY.jpg</v>
      </c>
      <c r="AW707" s="82" t="s">
        <v>4758</v>
      </c>
      <c r="AX707" s="82" t="s">
        <v>4758</v>
      </c>
      <c r="AY707" s="77"/>
      <c r="AZ707" s="82" t="s">
        <v>5075</v>
      </c>
      <c r="BA707" s="82" t="s">
        <v>5075</v>
      </c>
      <c r="BB707" s="82" t="s">
        <v>5075</v>
      </c>
      <c r="BC707" s="82" t="s">
        <v>4758</v>
      </c>
      <c r="BD707" s="82" t="s">
        <v>5240</v>
      </c>
      <c r="BE707" s="77"/>
      <c r="BF707" s="77"/>
      <c r="BG707" s="77"/>
      <c r="BH707" s="77"/>
      <c r="BI707" s="77"/>
    </row>
    <row r="708" spans="1:61" x14ac:dyDescent="0.25">
      <c r="A708" s="62" t="s">
        <v>434</v>
      </c>
      <c r="B708" s="62" t="s">
        <v>434</v>
      </c>
      <c r="C708" s="63"/>
      <c r="D708" s="64"/>
      <c r="E708" s="65"/>
      <c r="F708" s="66"/>
      <c r="G708" s="63"/>
      <c r="H708" s="67"/>
      <c r="I708" s="68"/>
      <c r="J708" s="68"/>
      <c r="K708" s="32"/>
      <c r="L708" s="75">
        <v>708</v>
      </c>
      <c r="M708" s="75"/>
      <c r="N708" s="70"/>
      <c r="O708" s="77" t="s">
        <v>179</v>
      </c>
      <c r="P708" s="79">
        <v>44998.875474537039</v>
      </c>
      <c r="Q708" s="77" t="s">
        <v>1235</v>
      </c>
      <c r="R708" s="77">
        <v>0</v>
      </c>
      <c r="S708" s="77">
        <v>0</v>
      </c>
      <c r="T708" s="77">
        <v>0</v>
      </c>
      <c r="U708" s="77">
        <v>0</v>
      </c>
      <c r="V708" s="77">
        <v>41</v>
      </c>
      <c r="W708" s="82" t="s">
        <v>1846</v>
      </c>
      <c r="X708" s="80" t="str">
        <f>HYPERLINK("http://metodotdl.com.br/tdl/telegram")</f>
        <v>http://metodotdl.com.br/tdl/telegram</v>
      </c>
      <c r="Y708" s="77" t="s">
        <v>1978</v>
      </c>
      <c r="Z708" s="77"/>
      <c r="AA708" s="77" t="s">
        <v>2504</v>
      </c>
      <c r="AB708" s="77" t="s">
        <v>2632</v>
      </c>
      <c r="AC708" s="82" t="s">
        <v>2642</v>
      </c>
      <c r="AD708" s="77" t="s">
        <v>2670</v>
      </c>
      <c r="AE708" s="80" t="str">
        <f>HYPERLINK("https://twitter.com/felippe_marcelo/status/1635385416378376192")</f>
        <v>https://twitter.com/felippe_marcelo/status/1635385416378376192</v>
      </c>
      <c r="AF708" s="79">
        <v>44998.875474537039</v>
      </c>
      <c r="AG708" s="85">
        <v>44998</v>
      </c>
      <c r="AH708" s="82" t="s">
        <v>3243</v>
      </c>
      <c r="AI708" s="77" t="b">
        <v>0</v>
      </c>
      <c r="AJ708" s="77"/>
      <c r="AK708" s="77"/>
      <c r="AL708" s="77"/>
      <c r="AM708" s="77"/>
      <c r="AN708" s="77"/>
      <c r="AO708" s="77"/>
      <c r="AP708" s="77"/>
      <c r="AQ708" s="77" t="s">
        <v>3933</v>
      </c>
      <c r="AR708" s="77"/>
      <c r="AS708" s="77"/>
      <c r="AT708" s="77"/>
      <c r="AU708" s="77"/>
      <c r="AV708" s="80" t="str">
        <f>HYPERLINK("https://pbs.twimg.com/media/FrIOXo3X0AAfRSb.jpg")</f>
        <v>https://pbs.twimg.com/media/FrIOXo3X0AAfRSb.jpg</v>
      </c>
      <c r="AW708" s="82" t="s">
        <v>4759</v>
      </c>
      <c r="AX708" s="82" t="s">
        <v>4759</v>
      </c>
      <c r="AY708" s="77"/>
      <c r="AZ708" s="82" t="s">
        <v>5075</v>
      </c>
      <c r="BA708" s="82" t="s">
        <v>5075</v>
      </c>
      <c r="BB708" s="82" t="s">
        <v>5075</v>
      </c>
      <c r="BC708" s="82" t="s">
        <v>4759</v>
      </c>
      <c r="BD708" s="82" t="s">
        <v>5240</v>
      </c>
      <c r="BE708" s="77"/>
      <c r="BF708" s="77"/>
      <c r="BG708" s="77"/>
      <c r="BH708" s="77"/>
      <c r="BI708" s="77"/>
    </row>
    <row r="709" spans="1:61" x14ac:dyDescent="0.25">
      <c r="A709" s="62" t="s">
        <v>434</v>
      </c>
      <c r="B709" s="62" t="s">
        <v>434</v>
      </c>
      <c r="C709" s="63"/>
      <c r="D709" s="64"/>
      <c r="E709" s="65"/>
      <c r="F709" s="66"/>
      <c r="G709" s="63"/>
      <c r="H709" s="67"/>
      <c r="I709" s="68"/>
      <c r="J709" s="68"/>
      <c r="K709" s="32"/>
      <c r="L709" s="75">
        <v>709</v>
      </c>
      <c r="M709" s="75"/>
      <c r="N709" s="70"/>
      <c r="O709" s="77" t="s">
        <v>179</v>
      </c>
      <c r="P709" s="79">
        <v>44995.880023148151</v>
      </c>
      <c r="Q709" s="77" t="s">
        <v>1236</v>
      </c>
      <c r="R709" s="77">
        <v>0</v>
      </c>
      <c r="S709" s="77">
        <v>0</v>
      </c>
      <c r="T709" s="77">
        <v>0</v>
      </c>
      <c r="U709" s="77">
        <v>0</v>
      </c>
      <c r="V709" s="77">
        <v>46</v>
      </c>
      <c r="W709" s="82" t="s">
        <v>1846</v>
      </c>
      <c r="X709" s="80" t="str">
        <f>HYPERLINK("http://metodotdl.com.br/tdl/telegram")</f>
        <v>http://metodotdl.com.br/tdl/telegram</v>
      </c>
      <c r="Y709" s="77" t="s">
        <v>1978</v>
      </c>
      <c r="Z709" s="77"/>
      <c r="AA709" s="77" t="s">
        <v>2505</v>
      </c>
      <c r="AB709" s="77" t="s">
        <v>2632</v>
      </c>
      <c r="AC709" s="82" t="s">
        <v>2642</v>
      </c>
      <c r="AD709" s="77" t="s">
        <v>2670</v>
      </c>
      <c r="AE709" s="80" t="str">
        <f>HYPERLINK("https://twitter.com/felippe_marcelo/status/1634299900056723456")</f>
        <v>https://twitter.com/felippe_marcelo/status/1634299900056723456</v>
      </c>
      <c r="AF709" s="79">
        <v>44995.880023148151</v>
      </c>
      <c r="AG709" s="85">
        <v>44995</v>
      </c>
      <c r="AH709" s="82" t="s">
        <v>3188</v>
      </c>
      <c r="AI709" s="77" t="b">
        <v>0</v>
      </c>
      <c r="AJ709" s="77"/>
      <c r="AK709" s="77"/>
      <c r="AL709" s="77"/>
      <c r="AM709" s="77"/>
      <c r="AN709" s="77"/>
      <c r="AO709" s="77"/>
      <c r="AP709" s="77"/>
      <c r="AQ709" s="77" t="s">
        <v>3934</v>
      </c>
      <c r="AR709" s="77"/>
      <c r="AS709" s="77"/>
      <c r="AT709" s="77"/>
      <c r="AU709" s="77"/>
      <c r="AV709" s="80" t="str">
        <f>HYPERLINK("https://pbs.twimg.com/media/Fq4zGUFXoAgbc_z.jpg")</f>
        <v>https://pbs.twimg.com/media/Fq4zGUFXoAgbc_z.jpg</v>
      </c>
      <c r="AW709" s="82" t="s">
        <v>4760</v>
      </c>
      <c r="AX709" s="82" t="s">
        <v>4760</v>
      </c>
      <c r="AY709" s="77"/>
      <c r="AZ709" s="82" t="s">
        <v>5075</v>
      </c>
      <c r="BA709" s="82" t="s">
        <v>5075</v>
      </c>
      <c r="BB709" s="82" t="s">
        <v>5075</v>
      </c>
      <c r="BC709" s="82" t="s">
        <v>4760</v>
      </c>
      <c r="BD709" s="82" t="s">
        <v>5240</v>
      </c>
      <c r="BE709" s="77"/>
      <c r="BF709" s="77"/>
      <c r="BG709" s="77"/>
      <c r="BH709" s="77"/>
      <c r="BI709" s="77"/>
    </row>
    <row r="710" spans="1:61" x14ac:dyDescent="0.25">
      <c r="A710" s="62" t="s">
        <v>434</v>
      </c>
      <c r="B710" s="62" t="s">
        <v>434</v>
      </c>
      <c r="C710" s="63"/>
      <c r="D710" s="64"/>
      <c r="E710" s="65"/>
      <c r="F710" s="66"/>
      <c r="G710" s="63"/>
      <c r="H710" s="67"/>
      <c r="I710" s="68"/>
      <c r="J710" s="68"/>
      <c r="K710" s="32"/>
      <c r="L710" s="75">
        <v>710</v>
      </c>
      <c r="M710" s="75"/>
      <c r="N710" s="70"/>
      <c r="O710" s="77" t="s">
        <v>179</v>
      </c>
      <c r="P710" s="79">
        <v>44971.875358796293</v>
      </c>
      <c r="Q710" s="77" t="s">
        <v>1237</v>
      </c>
      <c r="R710" s="77">
        <v>0</v>
      </c>
      <c r="S710" s="77">
        <v>0</v>
      </c>
      <c r="T710" s="77">
        <v>0</v>
      </c>
      <c r="U710" s="77">
        <v>0</v>
      </c>
      <c r="V710" s="77">
        <v>34</v>
      </c>
      <c r="W710" s="82" t="s">
        <v>1846</v>
      </c>
      <c r="X710" s="80" t="str">
        <f>HYPERLINK("http://metodotdl.com.br/tdl/telegram")</f>
        <v>http://metodotdl.com.br/tdl/telegram</v>
      </c>
      <c r="Y710" s="77" t="s">
        <v>1978</v>
      </c>
      <c r="Z710" s="77"/>
      <c r="AA710" s="77" t="s">
        <v>2506</v>
      </c>
      <c r="AB710" s="77" t="s">
        <v>2632</v>
      </c>
      <c r="AC710" s="82" t="s">
        <v>2642</v>
      </c>
      <c r="AD710" s="77" t="s">
        <v>2670</v>
      </c>
      <c r="AE710" s="80" t="str">
        <f>HYPERLINK("https://twitter.com/felippe_marcelo/status/1625600900390592517")</f>
        <v>https://twitter.com/felippe_marcelo/status/1625600900390592517</v>
      </c>
      <c r="AF710" s="79">
        <v>44971.875358796293</v>
      </c>
      <c r="AG710" s="85">
        <v>44971</v>
      </c>
      <c r="AH710" s="82" t="s">
        <v>3189</v>
      </c>
      <c r="AI710" s="77" t="b">
        <v>0</v>
      </c>
      <c r="AJ710" s="77"/>
      <c r="AK710" s="77"/>
      <c r="AL710" s="77"/>
      <c r="AM710" s="77"/>
      <c r="AN710" s="77"/>
      <c r="AO710" s="77"/>
      <c r="AP710" s="77"/>
      <c r="AQ710" s="77" t="s">
        <v>3935</v>
      </c>
      <c r="AR710" s="77"/>
      <c r="AS710" s="77"/>
      <c r="AT710" s="77"/>
      <c r="AU710" s="77"/>
      <c r="AV710" s="80" t="str">
        <f>HYPERLINK("https://pbs.twimg.com/media/Fo9LZ3RWIAkEMDq.jpg")</f>
        <v>https://pbs.twimg.com/media/Fo9LZ3RWIAkEMDq.jpg</v>
      </c>
      <c r="AW710" s="82" t="s">
        <v>4761</v>
      </c>
      <c r="AX710" s="82" t="s">
        <v>4761</v>
      </c>
      <c r="AY710" s="77"/>
      <c r="AZ710" s="82" t="s">
        <v>5075</v>
      </c>
      <c r="BA710" s="82" t="s">
        <v>5075</v>
      </c>
      <c r="BB710" s="82" t="s">
        <v>5075</v>
      </c>
      <c r="BC710" s="82" t="s">
        <v>4761</v>
      </c>
      <c r="BD710" s="82" t="s">
        <v>5240</v>
      </c>
      <c r="BE710" s="77"/>
      <c r="BF710" s="77"/>
      <c r="BG710" s="77"/>
      <c r="BH710" s="77"/>
      <c r="BI710" s="77"/>
    </row>
    <row r="711" spans="1:61" x14ac:dyDescent="0.25">
      <c r="A711" s="62" t="s">
        <v>434</v>
      </c>
      <c r="B711" s="62" t="s">
        <v>434</v>
      </c>
      <c r="C711" s="63"/>
      <c r="D711" s="64"/>
      <c r="E711" s="65"/>
      <c r="F711" s="66"/>
      <c r="G711" s="63"/>
      <c r="H711" s="67"/>
      <c r="I711" s="68"/>
      <c r="J711" s="68"/>
      <c r="K711" s="32"/>
      <c r="L711" s="75">
        <v>711</v>
      </c>
      <c r="M711" s="75"/>
      <c r="N711" s="70"/>
      <c r="O711" s="77" t="s">
        <v>179</v>
      </c>
      <c r="P711" s="79">
        <v>44970.875543981485</v>
      </c>
      <c r="Q711" s="77" t="s">
        <v>1238</v>
      </c>
      <c r="R711" s="77">
        <v>0</v>
      </c>
      <c r="S711" s="77">
        <v>0</v>
      </c>
      <c r="T711" s="77">
        <v>0</v>
      </c>
      <c r="U711" s="77">
        <v>0</v>
      </c>
      <c r="V711" s="77">
        <v>40</v>
      </c>
      <c r="W711" s="82" t="s">
        <v>1846</v>
      </c>
      <c r="X711" s="80" t="str">
        <f>HYPERLINK("http://metodotdl.com.br/tdl/telegram")</f>
        <v>http://metodotdl.com.br/tdl/telegram</v>
      </c>
      <c r="Y711" s="77" t="s">
        <v>1978</v>
      </c>
      <c r="Z711" s="77"/>
      <c r="AA711" s="77" t="s">
        <v>2507</v>
      </c>
      <c r="AB711" s="77" t="s">
        <v>2632</v>
      </c>
      <c r="AC711" s="82" t="s">
        <v>2642</v>
      </c>
      <c r="AD711" s="77" t="s">
        <v>2670</v>
      </c>
      <c r="AE711" s="80" t="str">
        <f>HYPERLINK("https://twitter.com/felippe_marcelo/status/1625238579621363712")</f>
        <v>https://twitter.com/felippe_marcelo/status/1625238579621363712</v>
      </c>
      <c r="AF711" s="79">
        <v>44970.875543981485</v>
      </c>
      <c r="AG711" s="85">
        <v>44970</v>
      </c>
      <c r="AH711" s="82" t="s">
        <v>3190</v>
      </c>
      <c r="AI711" s="77" t="b">
        <v>0</v>
      </c>
      <c r="AJ711" s="77"/>
      <c r="AK711" s="77"/>
      <c r="AL711" s="77"/>
      <c r="AM711" s="77"/>
      <c r="AN711" s="77"/>
      <c r="AO711" s="77"/>
      <c r="AP711" s="77"/>
      <c r="AQ711" s="77" t="s">
        <v>3936</v>
      </c>
      <c r="AR711" s="77"/>
      <c r="AS711" s="77"/>
      <c r="AT711" s="77"/>
      <c r="AU711" s="77"/>
      <c r="AV711" s="80" t="str">
        <f>HYPERLINK("https://pbs.twimg.com/media/Fo4B4B2WYAIyrFk.jpg")</f>
        <v>https://pbs.twimg.com/media/Fo4B4B2WYAIyrFk.jpg</v>
      </c>
      <c r="AW711" s="82" t="s">
        <v>4762</v>
      </c>
      <c r="AX711" s="82" t="s">
        <v>4762</v>
      </c>
      <c r="AY711" s="77"/>
      <c r="AZ711" s="82" t="s">
        <v>5075</v>
      </c>
      <c r="BA711" s="82" t="s">
        <v>5075</v>
      </c>
      <c r="BB711" s="82" t="s">
        <v>5075</v>
      </c>
      <c r="BC711" s="82" t="s">
        <v>4762</v>
      </c>
      <c r="BD711" s="82" t="s">
        <v>5240</v>
      </c>
      <c r="BE711" s="77"/>
      <c r="BF711" s="77"/>
      <c r="BG711" s="77"/>
      <c r="BH711" s="77"/>
      <c r="BI711" s="77"/>
    </row>
    <row r="712" spans="1:61" x14ac:dyDescent="0.25">
      <c r="A712" s="62" t="s">
        <v>434</v>
      </c>
      <c r="B712" s="62" t="s">
        <v>434</v>
      </c>
      <c r="C712" s="63"/>
      <c r="D712" s="64"/>
      <c r="E712" s="65"/>
      <c r="F712" s="66"/>
      <c r="G712" s="63"/>
      <c r="H712" s="67"/>
      <c r="I712" s="68"/>
      <c r="J712" s="68"/>
      <c r="K712" s="32"/>
      <c r="L712" s="75">
        <v>712</v>
      </c>
      <c r="M712" s="75"/>
      <c r="N712" s="70"/>
      <c r="O712" s="77" t="s">
        <v>179</v>
      </c>
      <c r="P712" s="79">
        <v>44960.875358796293</v>
      </c>
      <c r="Q712" s="77" t="s">
        <v>1239</v>
      </c>
      <c r="R712" s="77">
        <v>0</v>
      </c>
      <c r="S712" s="77">
        <v>0</v>
      </c>
      <c r="T712" s="77">
        <v>0</v>
      </c>
      <c r="U712" s="77">
        <v>0</v>
      </c>
      <c r="V712" s="77">
        <v>78</v>
      </c>
      <c r="W712" s="82" t="s">
        <v>1846</v>
      </c>
      <c r="X712" s="80" t="str">
        <f>HYPERLINK("http://metodotdl.com.br/tdl/telegram")</f>
        <v>http://metodotdl.com.br/tdl/telegram</v>
      </c>
      <c r="Y712" s="77" t="s">
        <v>1978</v>
      </c>
      <c r="Z712" s="77"/>
      <c r="AA712" s="77" t="s">
        <v>2508</v>
      </c>
      <c r="AB712" s="77" t="s">
        <v>2632</v>
      </c>
      <c r="AC712" s="82" t="s">
        <v>2642</v>
      </c>
      <c r="AD712" s="77" t="s">
        <v>2670</v>
      </c>
      <c r="AE712" s="80" t="str">
        <f>HYPERLINK("https://twitter.com/felippe_marcelo/status/1621614635232149507")</f>
        <v>https://twitter.com/felippe_marcelo/status/1621614635232149507</v>
      </c>
      <c r="AF712" s="79">
        <v>44960.875358796293</v>
      </c>
      <c r="AG712" s="85">
        <v>44960</v>
      </c>
      <c r="AH712" s="82" t="s">
        <v>3189</v>
      </c>
      <c r="AI712" s="77" t="b">
        <v>0</v>
      </c>
      <c r="AJ712" s="77"/>
      <c r="AK712" s="77"/>
      <c r="AL712" s="77"/>
      <c r="AM712" s="77"/>
      <c r="AN712" s="77"/>
      <c r="AO712" s="77"/>
      <c r="AP712" s="77"/>
      <c r="AQ712" s="77" t="s">
        <v>3937</v>
      </c>
      <c r="AR712" s="77"/>
      <c r="AS712" s="77"/>
      <c r="AT712" s="77"/>
      <c r="AU712" s="77"/>
      <c r="AV712" s="80" t="str">
        <f>HYPERLINK("https://pbs.twimg.com/media/FoEh6qIX0AAZwef.jpg")</f>
        <v>https://pbs.twimg.com/media/FoEh6qIX0AAZwef.jpg</v>
      </c>
      <c r="AW712" s="82" t="s">
        <v>4763</v>
      </c>
      <c r="AX712" s="82" t="s">
        <v>4763</v>
      </c>
      <c r="AY712" s="77"/>
      <c r="AZ712" s="82" t="s">
        <v>5075</v>
      </c>
      <c r="BA712" s="82" t="s">
        <v>5075</v>
      </c>
      <c r="BB712" s="82" t="s">
        <v>5075</v>
      </c>
      <c r="BC712" s="82" t="s">
        <v>4763</v>
      </c>
      <c r="BD712" s="82" t="s">
        <v>5240</v>
      </c>
      <c r="BE712" s="77"/>
      <c r="BF712" s="77"/>
      <c r="BG712" s="77"/>
      <c r="BH712" s="77"/>
      <c r="BI712" s="77"/>
    </row>
    <row r="713" spans="1:61" x14ac:dyDescent="0.25">
      <c r="A713" s="62" t="s">
        <v>434</v>
      </c>
      <c r="B713" s="62" t="s">
        <v>434</v>
      </c>
      <c r="C713" s="63"/>
      <c r="D713" s="64"/>
      <c r="E713" s="65"/>
      <c r="F713" s="66"/>
      <c r="G713" s="63"/>
      <c r="H713" s="67"/>
      <c r="I713" s="68"/>
      <c r="J713" s="68"/>
      <c r="K713" s="32"/>
      <c r="L713" s="75">
        <v>713</v>
      </c>
      <c r="M713" s="75"/>
      <c r="N713" s="70"/>
      <c r="O713" s="77" t="s">
        <v>179</v>
      </c>
      <c r="P713" s="79">
        <v>44959.878946759258</v>
      </c>
      <c r="Q713" s="77" t="s">
        <v>1240</v>
      </c>
      <c r="R713" s="77">
        <v>0</v>
      </c>
      <c r="S713" s="77">
        <v>0</v>
      </c>
      <c r="T713" s="77">
        <v>0</v>
      </c>
      <c r="U713" s="77">
        <v>0</v>
      </c>
      <c r="V713" s="77">
        <v>59</v>
      </c>
      <c r="W713" s="82" t="s">
        <v>1846</v>
      </c>
      <c r="X713" s="80" t="str">
        <f>HYPERLINK("http://metodotdl.com.br/tdl/telegram")</f>
        <v>http://metodotdl.com.br/tdl/telegram</v>
      </c>
      <c r="Y713" s="77" t="s">
        <v>1978</v>
      </c>
      <c r="Z713" s="77"/>
      <c r="AA713" s="77" t="s">
        <v>2509</v>
      </c>
      <c r="AB713" s="77" t="s">
        <v>2632</v>
      </c>
      <c r="AC713" s="82" t="s">
        <v>2642</v>
      </c>
      <c r="AD713" s="77" t="s">
        <v>2670</v>
      </c>
      <c r="AE713" s="80" t="str">
        <f>HYPERLINK("https://twitter.com/felippe_marcelo/status/1621253544148860928")</f>
        <v>https://twitter.com/felippe_marcelo/status/1621253544148860928</v>
      </c>
      <c r="AF713" s="79">
        <v>44959.878946759258</v>
      </c>
      <c r="AG713" s="85">
        <v>44959</v>
      </c>
      <c r="AH713" s="82" t="s">
        <v>3191</v>
      </c>
      <c r="AI713" s="77" t="b">
        <v>0</v>
      </c>
      <c r="AJ713" s="77"/>
      <c r="AK713" s="77"/>
      <c r="AL713" s="77"/>
      <c r="AM713" s="77"/>
      <c r="AN713" s="77"/>
      <c r="AO713" s="77"/>
      <c r="AP713" s="77"/>
      <c r="AQ713" s="77" t="s">
        <v>3938</v>
      </c>
      <c r="AR713" s="77"/>
      <c r="AS713" s="77"/>
      <c r="AT713" s="77"/>
      <c r="AU713" s="77"/>
      <c r="AV713" s="80" t="str">
        <f>HYPERLINK("https://pbs.twimg.com/media/Fn_ZgZ-XwAAxvyD.jpg")</f>
        <v>https://pbs.twimg.com/media/Fn_ZgZ-XwAAxvyD.jpg</v>
      </c>
      <c r="AW713" s="82" t="s">
        <v>4764</v>
      </c>
      <c r="AX713" s="82" t="s">
        <v>4764</v>
      </c>
      <c r="AY713" s="77"/>
      <c r="AZ713" s="82" t="s">
        <v>5075</v>
      </c>
      <c r="BA713" s="82" t="s">
        <v>5075</v>
      </c>
      <c r="BB713" s="82" t="s">
        <v>5075</v>
      </c>
      <c r="BC713" s="82" t="s">
        <v>4764</v>
      </c>
      <c r="BD713" s="82" t="s">
        <v>5240</v>
      </c>
      <c r="BE713" s="77"/>
      <c r="BF713" s="77"/>
      <c r="BG713" s="77"/>
      <c r="BH713" s="77"/>
      <c r="BI713" s="77"/>
    </row>
    <row r="714" spans="1:61" x14ac:dyDescent="0.25">
      <c r="A714" s="62" t="s">
        <v>434</v>
      </c>
      <c r="B714" s="62" t="s">
        <v>434</v>
      </c>
      <c r="C714" s="63"/>
      <c r="D714" s="64"/>
      <c r="E714" s="65"/>
      <c r="F714" s="66"/>
      <c r="G714" s="63"/>
      <c r="H714" s="67"/>
      <c r="I714" s="68"/>
      <c r="J714" s="68"/>
      <c r="K714" s="32"/>
      <c r="L714" s="75">
        <v>714</v>
      </c>
      <c r="M714" s="75"/>
      <c r="N714" s="70"/>
      <c r="O714" s="77" t="s">
        <v>179</v>
      </c>
      <c r="P714" s="79">
        <v>44958.875381944446</v>
      </c>
      <c r="Q714" s="77" t="s">
        <v>1241</v>
      </c>
      <c r="R714" s="77">
        <v>0</v>
      </c>
      <c r="S714" s="77">
        <v>0</v>
      </c>
      <c r="T714" s="77">
        <v>0</v>
      </c>
      <c r="U714" s="77">
        <v>0</v>
      </c>
      <c r="V714" s="77">
        <v>75</v>
      </c>
      <c r="W714" s="82" t="s">
        <v>1846</v>
      </c>
      <c r="X714" s="80" t="str">
        <f>HYPERLINK("http://metodotdl.com.br/tdl/telegram")</f>
        <v>http://metodotdl.com.br/tdl/telegram</v>
      </c>
      <c r="Y714" s="77" t="s">
        <v>1978</v>
      </c>
      <c r="Z714" s="77"/>
      <c r="AA714" s="77" t="s">
        <v>2510</v>
      </c>
      <c r="AB714" s="77" t="s">
        <v>2632</v>
      </c>
      <c r="AC714" s="82" t="s">
        <v>2642</v>
      </c>
      <c r="AD714" s="77" t="s">
        <v>2670</v>
      </c>
      <c r="AE714" s="80" t="str">
        <f>HYPERLINK("https://twitter.com/felippe_marcelo/status/1620889866652340224")</f>
        <v>https://twitter.com/felippe_marcelo/status/1620889866652340224</v>
      </c>
      <c r="AF714" s="79">
        <v>44958.875381944446</v>
      </c>
      <c r="AG714" s="85">
        <v>44958</v>
      </c>
      <c r="AH714" s="82" t="s">
        <v>3180</v>
      </c>
      <c r="AI714" s="77" t="b">
        <v>0</v>
      </c>
      <c r="AJ714" s="77"/>
      <c r="AK714" s="77"/>
      <c r="AL714" s="77"/>
      <c r="AM714" s="77"/>
      <c r="AN714" s="77"/>
      <c r="AO714" s="77"/>
      <c r="AP714" s="77"/>
      <c r="AQ714" s="77" t="s">
        <v>3939</v>
      </c>
      <c r="AR714" s="77"/>
      <c r="AS714" s="77"/>
      <c r="AT714" s="77"/>
      <c r="AU714" s="77"/>
      <c r="AV714" s="80" t="str">
        <f>HYPERLINK("https://pbs.twimg.com/media/Fn6OvkuXoB40oMq.jpg")</f>
        <v>https://pbs.twimg.com/media/Fn6OvkuXoB40oMq.jpg</v>
      </c>
      <c r="AW714" s="82" t="s">
        <v>4765</v>
      </c>
      <c r="AX714" s="82" t="s">
        <v>4765</v>
      </c>
      <c r="AY714" s="77"/>
      <c r="AZ714" s="82" t="s">
        <v>5075</v>
      </c>
      <c r="BA714" s="82" t="s">
        <v>5075</v>
      </c>
      <c r="BB714" s="82" t="s">
        <v>5075</v>
      </c>
      <c r="BC714" s="82" t="s">
        <v>4765</v>
      </c>
      <c r="BD714" s="82" t="s">
        <v>5240</v>
      </c>
      <c r="BE714" s="77"/>
      <c r="BF714" s="77"/>
      <c r="BG714" s="77"/>
      <c r="BH714" s="77"/>
      <c r="BI714" s="77"/>
    </row>
    <row r="715" spans="1:61" x14ac:dyDescent="0.25">
      <c r="A715" s="62" t="s">
        <v>434</v>
      </c>
      <c r="B715" s="62" t="s">
        <v>434</v>
      </c>
      <c r="C715" s="63"/>
      <c r="D715" s="64"/>
      <c r="E715" s="65"/>
      <c r="F715" s="66"/>
      <c r="G715" s="63"/>
      <c r="H715" s="67"/>
      <c r="I715" s="68"/>
      <c r="J715" s="68"/>
      <c r="K715" s="32"/>
      <c r="L715" s="75">
        <v>715</v>
      </c>
      <c r="M715" s="75"/>
      <c r="N715" s="70"/>
      <c r="O715" s="77" t="s">
        <v>179</v>
      </c>
      <c r="P715" s="79">
        <v>44956.875625000001</v>
      </c>
      <c r="Q715" s="77" t="s">
        <v>1242</v>
      </c>
      <c r="R715" s="77">
        <v>0</v>
      </c>
      <c r="S715" s="77">
        <v>0</v>
      </c>
      <c r="T715" s="77">
        <v>0</v>
      </c>
      <c r="U715" s="77">
        <v>0</v>
      </c>
      <c r="V715" s="77">
        <v>96</v>
      </c>
      <c r="W715" s="82" t="s">
        <v>1846</v>
      </c>
      <c r="X715" s="80" t="str">
        <f>HYPERLINK("http://metodotdl.com.br/tdl/telegram")</f>
        <v>http://metodotdl.com.br/tdl/telegram</v>
      </c>
      <c r="Y715" s="77" t="s">
        <v>1978</v>
      </c>
      <c r="Z715" s="77"/>
      <c r="AA715" s="77" t="s">
        <v>2511</v>
      </c>
      <c r="AB715" s="77" t="s">
        <v>2632</v>
      </c>
      <c r="AC715" s="82" t="s">
        <v>2642</v>
      </c>
      <c r="AD715" s="77" t="s">
        <v>2670</v>
      </c>
      <c r="AE715" s="80" t="str">
        <f>HYPERLINK("https://twitter.com/felippe_marcelo/status/1620165178200309760")</f>
        <v>https://twitter.com/felippe_marcelo/status/1620165178200309760</v>
      </c>
      <c r="AF715" s="79">
        <v>44956.875625000001</v>
      </c>
      <c r="AG715" s="85">
        <v>44956</v>
      </c>
      <c r="AH715" s="82" t="s">
        <v>3187</v>
      </c>
      <c r="AI715" s="77" t="b">
        <v>0</v>
      </c>
      <c r="AJ715" s="77"/>
      <c r="AK715" s="77"/>
      <c r="AL715" s="77"/>
      <c r="AM715" s="77"/>
      <c r="AN715" s="77"/>
      <c r="AO715" s="77"/>
      <c r="AP715" s="77"/>
      <c r="AQ715" s="77" t="s">
        <v>3940</v>
      </c>
      <c r="AR715" s="77"/>
      <c r="AS715" s="77"/>
      <c r="AT715" s="77"/>
      <c r="AU715" s="77"/>
      <c r="AV715" s="80" t="str">
        <f>HYPERLINK("https://pbs.twimg.com/media/Fnv7pIpXoCcRmKN.jpg")</f>
        <v>https://pbs.twimg.com/media/Fnv7pIpXoCcRmKN.jpg</v>
      </c>
      <c r="AW715" s="82" t="s">
        <v>4766</v>
      </c>
      <c r="AX715" s="82" t="s">
        <v>4766</v>
      </c>
      <c r="AY715" s="77"/>
      <c r="AZ715" s="82" t="s">
        <v>5075</v>
      </c>
      <c r="BA715" s="82" t="s">
        <v>5075</v>
      </c>
      <c r="BB715" s="82" t="s">
        <v>5075</v>
      </c>
      <c r="BC715" s="82" t="s">
        <v>4766</v>
      </c>
      <c r="BD715" s="82" t="s">
        <v>5240</v>
      </c>
      <c r="BE715" s="77"/>
      <c r="BF715" s="77"/>
      <c r="BG715" s="77"/>
      <c r="BH715" s="77"/>
      <c r="BI715" s="77"/>
    </row>
    <row r="716" spans="1:61" x14ac:dyDescent="0.25">
      <c r="A716" s="62" t="s">
        <v>434</v>
      </c>
      <c r="B716" s="62" t="s">
        <v>434</v>
      </c>
      <c r="C716" s="63"/>
      <c r="D716" s="64"/>
      <c r="E716" s="65"/>
      <c r="F716" s="66"/>
      <c r="G716" s="63"/>
      <c r="H716" s="67"/>
      <c r="I716" s="68"/>
      <c r="J716" s="68"/>
      <c r="K716" s="32"/>
      <c r="L716" s="75">
        <v>716</v>
      </c>
      <c r="M716" s="75"/>
      <c r="N716" s="70"/>
      <c r="O716" s="77" t="s">
        <v>179</v>
      </c>
      <c r="P716" s="79">
        <v>44953.881990740738</v>
      </c>
      <c r="Q716" s="77" t="s">
        <v>1243</v>
      </c>
      <c r="R716" s="77">
        <v>0</v>
      </c>
      <c r="S716" s="77">
        <v>0</v>
      </c>
      <c r="T716" s="77">
        <v>0</v>
      </c>
      <c r="U716" s="77">
        <v>0</v>
      </c>
      <c r="V716" s="77">
        <v>79</v>
      </c>
      <c r="W716" s="82" t="s">
        <v>1846</v>
      </c>
      <c r="X716" s="80" t="str">
        <f>HYPERLINK("http://metodotdl.com.br/tdl/telegram")</f>
        <v>http://metodotdl.com.br/tdl/telegram</v>
      </c>
      <c r="Y716" s="77" t="s">
        <v>1978</v>
      </c>
      <c r="Z716" s="77"/>
      <c r="AA716" s="77" t="s">
        <v>2512</v>
      </c>
      <c r="AB716" s="77" t="s">
        <v>2632</v>
      </c>
      <c r="AC716" s="82" t="s">
        <v>2642</v>
      </c>
      <c r="AD716" s="77" t="s">
        <v>2670</v>
      </c>
      <c r="AE716" s="80" t="str">
        <f>HYPERLINK("https://twitter.com/felippe_marcelo/status/1619080322590580756")</f>
        <v>https://twitter.com/felippe_marcelo/status/1619080322590580756</v>
      </c>
      <c r="AF716" s="79">
        <v>44953.881990740738</v>
      </c>
      <c r="AG716" s="85">
        <v>44953</v>
      </c>
      <c r="AH716" s="82" t="s">
        <v>3192</v>
      </c>
      <c r="AI716" s="77" t="b">
        <v>0</v>
      </c>
      <c r="AJ716" s="77"/>
      <c r="AK716" s="77"/>
      <c r="AL716" s="77"/>
      <c r="AM716" s="77"/>
      <c r="AN716" s="77"/>
      <c r="AO716" s="77"/>
      <c r="AP716" s="77"/>
      <c r="AQ716" s="77" t="s">
        <v>3941</v>
      </c>
      <c r="AR716" s="77"/>
      <c r="AS716" s="77"/>
      <c r="AT716" s="77"/>
      <c r="AU716" s="77"/>
      <c r="AV716" s="80" t="str">
        <f>HYPERLINK("https://pbs.twimg.com/media/Fngg-O3XwAA2aKG.jpg")</f>
        <v>https://pbs.twimg.com/media/Fngg-O3XwAA2aKG.jpg</v>
      </c>
      <c r="AW716" s="82" t="s">
        <v>4767</v>
      </c>
      <c r="AX716" s="82" t="s">
        <v>4767</v>
      </c>
      <c r="AY716" s="77"/>
      <c r="AZ716" s="82" t="s">
        <v>5075</v>
      </c>
      <c r="BA716" s="82" t="s">
        <v>5075</v>
      </c>
      <c r="BB716" s="82" t="s">
        <v>5075</v>
      </c>
      <c r="BC716" s="82" t="s">
        <v>4767</v>
      </c>
      <c r="BD716" s="82" t="s">
        <v>5240</v>
      </c>
      <c r="BE716" s="77"/>
      <c r="BF716" s="77"/>
      <c r="BG716" s="77"/>
      <c r="BH716" s="77"/>
      <c r="BI716" s="77"/>
    </row>
    <row r="717" spans="1:61" x14ac:dyDescent="0.25">
      <c r="A717" s="62" t="s">
        <v>434</v>
      </c>
      <c r="B717" s="62" t="s">
        <v>434</v>
      </c>
      <c r="C717" s="63"/>
      <c r="D717" s="64"/>
      <c r="E717" s="65"/>
      <c r="F717" s="66"/>
      <c r="G717" s="63"/>
      <c r="H717" s="67"/>
      <c r="I717" s="68"/>
      <c r="J717" s="68"/>
      <c r="K717" s="32"/>
      <c r="L717" s="75">
        <v>717</v>
      </c>
      <c r="M717" s="75"/>
      <c r="N717" s="70"/>
      <c r="O717" s="77" t="s">
        <v>179</v>
      </c>
      <c r="P717" s="79">
        <v>44952.875358796293</v>
      </c>
      <c r="Q717" s="77" t="s">
        <v>1244</v>
      </c>
      <c r="R717" s="77">
        <v>0</v>
      </c>
      <c r="S717" s="77">
        <v>0</v>
      </c>
      <c r="T717" s="77">
        <v>0</v>
      </c>
      <c r="U717" s="77">
        <v>0</v>
      </c>
      <c r="V717" s="77">
        <v>59</v>
      </c>
      <c r="W717" s="82" t="s">
        <v>1846</v>
      </c>
      <c r="X717" s="80" t="str">
        <f>HYPERLINK("http://metodotdl.com.br/tdl/telegram")</f>
        <v>http://metodotdl.com.br/tdl/telegram</v>
      </c>
      <c r="Y717" s="77" t="s">
        <v>1978</v>
      </c>
      <c r="Z717" s="77"/>
      <c r="AA717" s="77" t="s">
        <v>2513</v>
      </c>
      <c r="AB717" s="77" t="s">
        <v>2632</v>
      </c>
      <c r="AC717" s="82" t="s">
        <v>2642</v>
      </c>
      <c r="AD717" s="77" t="s">
        <v>2670</v>
      </c>
      <c r="AE717" s="80" t="str">
        <f>HYPERLINK("https://twitter.com/felippe_marcelo/status/1618715531246280717")</f>
        <v>https://twitter.com/felippe_marcelo/status/1618715531246280717</v>
      </c>
      <c r="AF717" s="79">
        <v>44952.875358796293</v>
      </c>
      <c r="AG717" s="85">
        <v>44952</v>
      </c>
      <c r="AH717" s="82" t="s">
        <v>3189</v>
      </c>
      <c r="AI717" s="77" t="b">
        <v>0</v>
      </c>
      <c r="AJ717" s="77"/>
      <c r="AK717" s="77"/>
      <c r="AL717" s="77"/>
      <c r="AM717" s="77"/>
      <c r="AN717" s="77"/>
      <c r="AO717" s="77"/>
      <c r="AP717" s="77"/>
      <c r="AQ717" s="77" t="s">
        <v>3942</v>
      </c>
      <c r="AR717" s="77"/>
      <c r="AS717" s="77"/>
      <c r="AT717" s="77"/>
      <c r="AU717" s="77"/>
      <c r="AV717" s="80" t="str">
        <f>HYPERLINK("https://pbs.twimg.com/media/FnbVMnGXoBU4vp4.jpg")</f>
        <v>https://pbs.twimg.com/media/FnbVMnGXoBU4vp4.jpg</v>
      </c>
      <c r="AW717" s="82" t="s">
        <v>4768</v>
      </c>
      <c r="AX717" s="82" t="s">
        <v>4768</v>
      </c>
      <c r="AY717" s="77"/>
      <c r="AZ717" s="82" t="s">
        <v>5075</v>
      </c>
      <c r="BA717" s="82" t="s">
        <v>5075</v>
      </c>
      <c r="BB717" s="82" t="s">
        <v>5075</v>
      </c>
      <c r="BC717" s="82" t="s">
        <v>4768</v>
      </c>
      <c r="BD717" s="82" t="s">
        <v>5240</v>
      </c>
      <c r="BE717" s="77"/>
      <c r="BF717" s="77"/>
      <c r="BG717" s="77"/>
      <c r="BH717" s="77"/>
      <c r="BI717" s="77"/>
    </row>
    <row r="718" spans="1:61" x14ac:dyDescent="0.25">
      <c r="A718" s="62" t="s">
        <v>434</v>
      </c>
      <c r="B718" s="62" t="s">
        <v>434</v>
      </c>
      <c r="C718" s="63"/>
      <c r="D718" s="64"/>
      <c r="E718" s="65"/>
      <c r="F718" s="66"/>
      <c r="G718" s="63"/>
      <c r="H718" s="67"/>
      <c r="I718" s="68"/>
      <c r="J718" s="68"/>
      <c r="K718" s="32"/>
      <c r="L718" s="75">
        <v>718</v>
      </c>
      <c r="M718" s="75"/>
      <c r="N718" s="70"/>
      <c r="O718" s="77" t="s">
        <v>179</v>
      </c>
      <c r="P718" s="79">
        <v>44951.899317129632</v>
      </c>
      <c r="Q718" s="77" t="s">
        <v>1245</v>
      </c>
      <c r="R718" s="77">
        <v>0</v>
      </c>
      <c r="S718" s="77">
        <v>0</v>
      </c>
      <c r="T718" s="77">
        <v>0</v>
      </c>
      <c r="U718" s="77">
        <v>0</v>
      </c>
      <c r="V718" s="77">
        <v>82</v>
      </c>
      <c r="W718" s="82" t="s">
        <v>1846</v>
      </c>
      <c r="X718" s="80" t="str">
        <f>HYPERLINK("http://metodotdl.com.br/tdl/telegram")</f>
        <v>http://metodotdl.com.br/tdl/telegram</v>
      </c>
      <c r="Y718" s="77" t="s">
        <v>1978</v>
      </c>
      <c r="Z718" s="77"/>
      <c r="AA718" s="77" t="s">
        <v>2514</v>
      </c>
      <c r="AB718" s="77" t="s">
        <v>2632</v>
      </c>
      <c r="AC718" s="82" t="s">
        <v>2642</v>
      </c>
      <c r="AD718" s="77" t="s">
        <v>2670</v>
      </c>
      <c r="AE718" s="80" t="str">
        <f>HYPERLINK("https://twitter.com/felippe_marcelo/status/1618361826726617106")</f>
        <v>https://twitter.com/felippe_marcelo/status/1618361826726617106</v>
      </c>
      <c r="AF718" s="79">
        <v>44951.899317129632</v>
      </c>
      <c r="AG718" s="85">
        <v>44951</v>
      </c>
      <c r="AH718" s="82" t="s">
        <v>3193</v>
      </c>
      <c r="AI718" s="77" t="b">
        <v>0</v>
      </c>
      <c r="AJ718" s="77"/>
      <c r="AK718" s="77"/>
      <c r="AL718" s="77"/>
      <c r="AM718" s="77"/>
      <c r="AN718" s="77"/>
      <c r="AO718" s="77"/>
      <c r="AP718" s="77"/>
      <c r="AQ718" s="77" t="s">
        <v>3943</v>
      </c>
      <c r="AR718" s="77"/>
      <c r="AS718" s="77"/>
      <c r="AT718" s="77"/>
      <c r="AU718" s="77"/>
      <c r="AV718" s="80" t="str">
        <f>HYPERLINK("https://pbs.twimg.com/media/FnWTgSgXoAwPNBY.jpg")</f>
        <v>https://pbs.twimg.com/media/FnWTgSgXoAwPNBY.jpg</v>
      </c>
      <c r="AW718" s="82" t="s">
        <v>4769</v>
      </c>
      <c r="AX718" s="82" t="s">
        <v>4769</v>
      </c>
      <c r="AY718" s="77"/>
      <c r="AZ718" s="82" t="s">
        <v>5075</v>
      </c>
      <c r="BA718" s="82" t="s">
        <v>5075</v>
      </c>
      <c r="BB718" s="82" t="s">
        <v>5075</v>
      </c>
      <c r="BC718" s="82" t="s">
        <v>4769</v>
      </c>
      <c r="BD718" s="82" t="s">
        <v>5240</v>
      </c>
      <c r="BE718" s="77"/>
      <c r="BF718" s="77"/>
      <c r="BG718" s="77"/>
      <c r="BH718" s="77"/>
      <c r="BI718" s="77"/>
    </row>
    <row r="719" spans="1:61" x14ac:dyDescent="0.25">
      <c r="A719" s="62" t="s">
        <v>434</v>
      </c>
      <c r="B719" s="62" t="s">
        <v>434</v>
      </c>
      <c r="C719" s="63"/>
      <c r="D719" s="64"/>
      <c r="E719" s="65"/>
      <c r="F719" s="66"/>
      <c r="G719" s="63"/>
      <c r="H719" s="67"/>
      <c r="I719" s="68"/>
      <c r="J719" s="68"/>
      <c r="K719" s="32"/>
      <c r="L719" s="75">
        <v>719</v>
      </c>
      <c r="M719" s="75"/>
      <c r="N719" s="70"/>
      <c r="O719" s="77" t="s">
        <v>179</v>
      </c>
      <c r="P719" s="79">
        <v>44950.878495370373</v>
      </c>
      <c r="Q719" s="77" t="s">
        <v>1246</v>
      </c>
      <c r="R719" s="77">
        <v>0</v>
      </c>
      <c r="S719" s="77">
        <v>0</v>
      </c>
      <c r="T719" s="77">
        <v>0</v>
      </c>
      <c r="U719" s="77">
        <v>0</v>
      </c>
      <c r="V719" s="77">
        <v>85</v>
      </c>
      <c r="W719" s="82" t="s">
        <v>1846</v>
      </c>
      <c r="X719" s="80" t="str">
        <f>HYPERLINK("http://metodotdl.com.br/tdl/telegram")</f>
        <v>http://metodotdl.com.br/tdl/telegram</v>
      </c>
      <c r="Y719" s="77" t="s">
        <v>1978</v>
      </c>
      <c r="Z719" s="77"/>
      <c r="AA719" s="77" t="s">
        <v>2515</v>
      </c>
      <c r="AB719" s="77" t="s">
        <v>2632</v>
      </c>
      <c r="AC719" s="82" t="s">
        <v>2642</v>
      </c>
      <c r="AD719" s="77" t="s">
        <v>2670</v>
      </c>
      <c r="AE719" s="80" t="str">
        <f>HYPERLINK("https://twitter.com/felippe_marcelo/status/1617991892280512512")</f>
        <v>https://twitter.com/felippe_marcelo/status/1617991892280512512</v>
      </c>
      <c r="AF719" s="79">
        <v>44950.878495370373</v>
      </c>
      <c r="AG719" s="85">
        <v>44950</v>
      </c>
      <c r="AH719" s="82" t="s">
        <v>3185</v>
      </c>
      <c r="AI719" s="77" t="b">
        <v>0</v>
      </c>
      <c r="AJ719" s="77"/>
      <c r="AK719" s="77"/>
      <c r="AL719" s="77"/>
      <c r="AM719" s="77"/>
      <c r="AN719" s="77"/>
      <c r="AO719" s="77"/>
      <c r="AP719" s="77"/>
      <c r="AQ719" s="77" t="s">
        <v>3944</v>
      </c>
      <c r="AR719" s="77"/>
      <c r="AS719" s="77"/>
      <c r="AT719" s="77"/>
      <c r="AU719" s="77"/>
      <c r="AV719" s="80" t="str">
        <f>HYPERLINK("https://pbs.twimg.com/media/FnRDDTNWIAAPrWp.jpg")</f>
        <v>https://pbs.twimg.com/media/FnRDDTNWIAAPrWp.jpg</v>
      </c>
      <c r="AW719" s="82" t="s">
        <v>4770</v>
      </c>
      <c r="AX719" s="82" t="s">
        <v>4770</v>
      </c>
      <c r="AY719" s="77"/>
      <c r="AZ719" s="82" t="s">
        <v>5075</v>
      </c>
      <c r="BA719" s="82" t="s">
        <v>5075</v>
      </c>
      <c r="BB719" s="82" t="s">
        <v>5075</v>
      </c>
      <c r="BC719" s="82" t="s">
        <v>4770</v>
      </c>
      <c r="BD719" s="82" t="s">
        <v>5240</v>
      </c>
      <c r="BE719" s="77"/>
      <c r="BF719" s="77"/>
      <c r="BG719" s="77"/>
      <c r="BH719" s="77"/>
      <c r="BI719" s="77"/>
    </row>
    <row r="720" spans="1:61" x14ac:dyDescent="0.25">
      <c r="A720" s="62" t="s">
        <v>434</v>
      </c>
      <c r="B720" s="62" t="s">
        <v>434</v>
      </c>
      <c r="C720" s="63"/>
      <c r="D720" s="64"/>
      <c r="E720" s="65"/>
      <c r="F720" s="66"/>
      <c r="G720" s="63"/>
      <c r="H720" s="67"/>
      <c r="I720" s="68"/>
      <c r="J720" s="68"/>
      <c r="K720" s="32"/>
      <c r="L720" s="75">
        <v>720</v>
      </c>
      <c r="M720" s="75"/>
      <c r="N720" s="70"/>
      <c r="O720" s="77" t="s">
        <v>179</v>
      </c>
      <c r="P720" s="79">
        <v>44992.875393518516</v>
      </c>
      <c r="Q720" s="77" t="s">
        <v>1247</v>
      </c>
      <c r="R720" s="77">
        <v>0</v>
      </c>
      <c r="S720" s="77">
        <v>0</v>
      </c>
      <c r="T720" s="77">
        <v>0</v>
      </c>
      <c r="U720" s="77">
        <v>0</v>
      </c>
      <c r="V720" s="77">
        <v>45</v>
      </c>
      <c r="W720" s="82" t="s">
        <v>1846</v>
      </c>
      <c r="X720" s="80" t="str">
        <f>HYPERLINK("http://metodotdl.com.br/tdl/telegram")</f>
        <v>http://metodotdl.com.br/tdl/telegram</v>
      </c>
      <c r="Y720" s="77" t="s">
        <v>1978</v>
      </c>
      <c r="Z720" s="77"/>
      <c r="AA720" s="77" t="s">
        <v>2516</v>
      </c>
      <c r="AB720" s="77" t="s">
        <v>2632</v>
      </c>
      <c r="AC720" s="82" t="s">
        <v>2642</v>
      </c>
      <c r="AD720" s="77" t="s">
        <v>2670</v>
      </c>
      <c r="AE720" s="80" t="str">
        <f>HYPERLINK("https://twitter.com/felippe_marcelo/status/1633211058042310657")</f>
        <v>https://twitter.com/felippe_marcelo/status/1633211058042310657</v>
      </c>
      <c r="AF720" s="79">
        <v>44992.875393518516</v>
      </c>
      <c r="AG720" s="85">
        <v>44992</v>
      </c>
      <c r="AH720" s="82" t="s">
        <v>2901</v>
      </c>
      <c r="AI720" s="77" t="b">
        <v>0</v>
      </c>
      <c r="AJ720" s="77"/>
      <c r="AK720" s="77"/>
      <c r="AL720" s="77"/>
      <c r="AM720" s="77"/>
      <c r="AN720" s="77"/>
      <c r="AO720" s="77"/>
      <c r="AP720" s="77"/>
      <c r="AQ720" s="77" t="s">
        <v>3945</v>
      </c>
      <c r="AR720" s="77"/>
      <c r="AS720" s="77"/>
      <c r="AT720" s="77"/>
      <c r="AU720" s="77"/>
      <c r="AV720" s="80" t="str">
        <f>HYPERLINK("https://pbs.twimg.com/media/FqpUzU7WAAMJVG_.jpg")</f>
        <v>https://pbs.twimg.com/media/FqpUzU7WAAMJVG_.jpg</v>
      </c>
      <c r="AW720" s="82" t="s">
        <v>4771</v>
      </c>
      <c r="AX720" s="82" t="s">
        <v>4771</v>
      </c>
      <c r="AY720" s="77"/>
      <c r="AZ720" s="82" t="s">
        <v>5075</v>
      </c>
      <c r="BA720" s="82" t="s">
        <v>5075</v>
      </c>
      <c r="BB720" s="82" t="s">
        <v>5075</v>
      </c>
      <c r="BC720" s="82" t="s">
        <v>4771</v>
      </c>
      <c r="BD720" s="82" t="s">
        <v>5240</v>
      </c>
      <c r="BE720" s="77"/>
      <c r="BF720" s="77"/>
      <c r="BG720" s="77"/>
      <c r="BH720" s="77"/>
      <c r="BI720" s="77"/>
    </row>
    <row r="721" spans="1:61" x14ac:dyDescent="0.25">
      <c r="A721" s="62" t="s">
        <v>434</v>
      </c>
      <c r="B721" s="62" t="s">
        <v>434</v>
      </c>
      <c r="C721" s="63"/>
      <c r="D721" s="64"/>
      <c r="E721" s="65"/>
      <c r="F721" s="66"/>
      <c r="G721" s="63"/>
      <c r="H721" s="67"/>
      <c r="I721" s="68"/>
      <c r="J721" s="68"/>
      <c r="K721" s="32"/>
      <c r="L721" s="75">
        <v>721</v>
      </c>
      <c r="M721" s="75"/>
      <c r="N721" s="70"/>
      <c r="O721" s="77" t="s">
        <v>179</v>
      </c>
      <c r="P721" s="79">
        <v>44991.875405092593</v>
      </c>
      <c r="Q721" s="77" t="s">
        <v>1248</v>
      </c>
      <c r="R721" s="77">
        <v>0</v>
      </c>
      <c r="S721" s="77">
        <v>0</v>
      </c>
      <c r="T721" s="77">
        <v>0</v>
      </c>
      <c r="U721" s="77">
        <v>0</v>
      </c>
      <c r="V721" s="77">
        <v>35</v>
      </c>
      <c r="W721" s="82" t="s">
        <v>1846</v>
      </c>
      <c r="X721" s="80" t="str">
        <f>HYPERLINK("http://metodotdl.com.br/tdl/telegram")</f>
        <v>http://metodotdl.com.br/tdl/telegram</v>
      </c>
      <c r="Y721" s="77" t="s">
        <v>1978</v>
      </c>
      <c r="Z721" s="77"/>
      <c r="AA721" s="77" t="s">
        <v>2517</v>
      </c>
      <c r="AB721" s="77" t="s">
        <v>2632</v>
      </c>
      <c r="AC721" s="82" t="s">
        <v>2642</v>
      </c>
      <c r="AD721" s="77" t="s">
        <v>2670</v>
      </c>
      <c r="AE721" s="80" t="str">
        <f>HYPERLINK("https://twitter.com/felippe_marcelo/status/1632848674089758731")</f>
        <v>https://twitter.com/felippe_marcelo/status/1632848674089758731</v>
      </c>
      <c r="AF721" s="79">
        <v>44991.875405092593</v>
      </c>
      <c r="AG721" s="85">
        <v>44991</v>
      </c>
      <c r="AH721" s="82" t="s">
        <v>3225</v>
      </c>
      <c r="AI721" s="77" t="b">
        <v>0</v>
      </c>
      <c r="AJ721" s="77"/>
      <c r="AK721" s="77"/>
      <c r="AL721" s="77"/>
      <c r="AM721" s="77"/>
      <c r="AN721" s="77"/>
      <c r="AO721" s="77"/>
      <c r="AP721" s="77"/>
      <c r="AQ721" s="77" t="s">
        <v>3946</v>
      </c>
      <c r="AR721" s="77"/>
      <c r="AS721" s="77"/>
      <c r="AT721" s="77"/>
      <c r="AU721" s="77"/>
      <c r="AV721" s="80" t="str">
        <f>HYPERLINK("https://pbs.twimg.com/media/FqkLNyMXgAc_YM4.jpg")</f>
        <v>https://pbs.twimg.com/media/FqkLNyMXgAc_YM4.jpg</v>
      </c>
      <c r="AW721" s="82" t="s">
        <v>4772</v>
      </c>
      <c r="AX721" s="82" t="s">
        <v>4772</v>
      </c>
      <c r="AY721" s="77"/>
      <c r="AZ721" s="82" t="s">
        <v>5075</v>
      </c>
      <c r="BA721" s="82" t="s">
        <v>5075</v>
      </c>
      <c r="BB721" s="82" t="s">
        <v>5075</v>
      </c>
      <c r="BC721" s="82" t="s">
        <v>4772</v>
      </c>
      <c r="BD721" s="82" t="s">
        <v>5240</v>
      </c>
      <c r="BE721" s="77"/>
      <c r="BF721" s="77"/>
      <c r="BG721" s="77"/>
      <c r="BH721" s="77"/>
      <c r="BI721" s="77"/>
    </row>
    <row r="722" spans="1:61" x14ac:dyDescent="0.25">
      <c r="A722" s="62" t="s">
        <v>434</v>
      </c>
      <c r="B722" s="62" t="s">
        <v>434</v>
      </c>
      <c r="C722" s="63"/>
      <c r="D722" s="64"/>
      <c r="E722" s="65"/>
      <c r="F722" s="66"/>
      <c r="G722" s="63"/>
      <c r="H722" s="67"/>
      <c r="I722" s="68"/>
      <c r="J722" s="68"/>
      <c r="K722" s="32"/>
      <c r="L722" s="75">
        <v>722</v>
      </c>
      <c r="M722" s="75"/>
      <c r="N722" s="70"/>
      <c r="O722" s="77" t="s">
        <v>179</v>
      </c>
      <c r="P722" s="79">
        <v>44988.875405092593</v>
      </c>
      <c r="Q722" s="77" t="s">
        <v>1249</v>
      </c>
      <c r="R722" s="77">
        <v>0</v>
      </c>
      <c r="S722" s="77">
        <v>0</v>
      </c>
      <c r="T722" s="77">
        <v>0</v>
      </c>
      <c r="U722" s="77">
        <v>0</v>
      </c>
      <c r="V722" s="77">
        <v>53</v>
      </c>
      <c r="W722" s="82" t="s">
        <v>1846</v>
      </c>
      <c r="X722" s="80" t="str">
        <f>HYPERLINK("http://metodotdl.com.br/tdl/telegram")</f>
        <v>http://metodotdl.com.br/tdl/telegram</v>
      </c>
      <c r="Y722" s="77" t="s">
        <v>1978</v>
      </c>
      <c r="Z722" s="77"/>
      <c r="AA722" s="77" t="s">
        <v>2518</v>
      </c>
      <c r="AB722" s="77" t="s">
        <v>2632</v>
      </c>
      <c r="AC722" s="82" t="s">
        <v>2642</v>
      </c>
      <c r="AD722" s="77" t="s">
        <v>2670</v>
      </c>
      <c r="AE722" s="80" t="str">
        <f>HYPERLINK("https://twitter.com/felippe_marcelo/status/1631761510203621378")</f>
        <v>https://twitter.com/felippe_marcelo/status/1631761510203621378</v>
      </c>
      <c r="AF722" s="79">
        <v>44988.875405092593</v>
      </c>
      <c r="AG722" s="85">
        <v>44988</v>
      </c>
      <c r="AH722" s="82" t="s">
        <v>3225</v>
      </c>
      <c r="AI722" s="77" t="b">
        <v>0</v>
      </c>
      <c r="AJ722" s="77"/>
      <c r="AK722" s="77"/>
      <c r="AL722" s="77"/>
      <c r="AM722" s="77"/>
      <c r="AN722" s="77"/>
      <c r="AO722" s="77"/>
      <c r="AP722" s="77"/>
      <c r="AQ722" s="77" t="s">
        <v>3947</v>
      </c>
      <c r="AR722" s="77"/>
      <c r="AS722" s="77"/>
      <c r="AT722" s="77"/>
      <c r="AU722" s="77"/>
      <c r="AV722" s="80" t="str">
        <f>HYPERLINK("https://pbs.twimg.com/media/FqUucjAX0AotIxL.jpg")</f>
        <v>https://pbs.twimg.com/media/FqUucjAX0AotIxL.jpg</v>
      </c>
      <c r="AW722" s="82" t="s">
        <v>4773</v>
      </c>
      <c r="AX722" s="82" t="s">
        <v>4773</v>
      </c>
      <c r="AY722" s="77"/>
      <c r="AZ722" s="82" t="s">
        <v>5075</v>
      </c>
      <c r="BA722" s="82" t="s">
        <v>5075</v>
      </c>
      <c r="BB722" s="82" t="s">
        <v>5075</v>
      </c>
      <c r="BC722" s="82" t="s">
        <v>4773</v>
      </c>
      <c r="BD722" s="82" t="s">
        <v>5240</v>
      </c>
      <c r="BE722" s="77"/>
      <c r="BF722" s="77"/>
      <c r="BG722" s="77"/>
      <c r="BH722" s="77"/>
      <c r="BI722" s="77"/>
    </row>
    <row r="723" spans="1:61" x14ac:dyDescent="0.25">
      <c r="A723" s="62" t="s">
        <v>434</v>
      </c>
      <c r="B723" s="62" t="s">
        <v>434</v>
      </c>
      <c r="C723" s="63"/>
      <c r="D723" s="64"/>
      <c r="E723" s="65"/>
      <c r="F723" s="66"/>
      <c r="G723" s="63"/>
      <c r="H723" s="67"/>
      <c r="I723" s="68"/>
      <c r="J723" s="68"/>
      <c r="K723" s="32"/>
      <c r="L723" s="75">
        <v>723</v>
      </c>
      <c r="M723" s="75"/>
      <c r="N723" s="70"/>
      <c r="O723" s="77" t="s">
        <v>179</v>
      </c>
      <c r="P723" s="79">
        <v>44988.875393518516</v>
      </c>
      <c r="Q723" s="77" t="s">
        <v>1250</v>
      </c>
      <c r="R723" s="77">
        <v>0</v>
      </c>
      <c r="S723" s="77">
        <v>0</v>
      </c>
      <c r="T723" s="77">
        <v>0</v>
      </c>
      <c r="U723" s="77">
        <v>0</v>
      </c>
      <c r="V723" s="77">
        <v>47</v>
      </c>
      <c r="W723" s="82" t="s">
        <v>1846</v>
      </c>
      <c r="X723" s="80" t="str">
        <f>HYPERLINK("http://metodotdl.com.br/tdl/telegram")</f>
        <v>http://metodotdl.com.br/tdl/telegram</v>
      </c>
      <c r="Y723" s="77" t="s">
        <v>1978</v>
      </c>
      <c r="Z723" s="77"/>
      <c r="AA723" s="77" t="s">
        <v>2519</v>
      </c>
      <c r="AB723" s="77" t="s">
        <v>2632</v>
      </c>
      <c r="AC723" s="82" t="s">
        <v>2642</v>
      </c>
      <c r="AD723" s="77" t="s">
        <v>2670</v>
      </c>
      <c r="AE723" s="80" t="str">
        <f>HYPERLINK("https://twitter.com/felippe_marcelo/status/1631761505069801473")</f>
        <v>https://twitter.com/felippe_marcelo/status/1631761505069801473</v>
      </c>
      <c r="AF723" s="79">
        <v>44988.875393518516</v>
      </c>
      <c r="AG723" s="85">
        <v>44988</v>
      </c>
      <c r="AH723" s="82" t="s">
        <v>2901</v>
      </c>
      <c r="AI723" s="77" t="b">
        <v>0</v>
      </c>
      <c r="AJ723" s="77"/>
      <c r="AK723" s="77"/>
      <c r="AL723" s="77"/>
      <c r="AM723" s="77"/>
      <c r="AN723" s="77"/>
      <c r="AO723" s="77"/>
      <c r="AP723" s="77"/>
      <c r="AQ723" s="77" t="s">
        <v>3948</v>
      </c>
      <c r="AR723" s="77"/>
      <c r="AS723" s="77"/>
      <c r="AT723" s="77"/>
      <c r="AU723" s="77"/>
      <c r="AV723" s="80" t="str">
        <f>HYPERLINK("https://pbs.twimg.com/media/FqUucOLXgAAMM27.jpg")</f>
        <v>https://pbs.twimg.com/media/FqUucOLXgAAMM27.jpg</v>
      </c>
      <c r="AW723" s="82" t="s">
        <v>4774</v>
      </c>
      <c r="AX723" s="82" t="s">
        <v>4774</v>
      </c>
      <c r="AY723" s="77"/>
      <c r="AZ723" s="82" t="s">
        <v>5075</v>
      </c>
      <c r="BA723" s="82" t="s">
        <v>5075</v>
      </c>
      <c r="BB723" s="82" t="s">
        <v>5075</v>
      </c>
      <c r="BC723" s="82" t="s">
        <v>4774</v>
      </c>
      <c r="BD723" s="82" t="s">
        <v>5240</v>
      </c>
      <c r="BE723" s="77"/>
      <c r="BF723" s="77"/>
      <c r="BG723" s="77"/>
      <c r="BH723" s="77"/>
      <c r="BI723" s="77"/>
    </row>
    <row r="724" spans="1:61" x14ac:dyDescent="0.25">
      <c r="A724" s="62" t="s">
        <v>434</v>
      </c>
      <c r="B724" s="62" t="s">
        <v>434</v>
      </c>
      <c r="C724" s="63"/>
      <c r="D724" s="64"/>
      <c r="E724" s="65"/>
      <c r="F724" s="66"/>
      <c r="G724" s="63"/>
      <c r="H724" s="67"/>
      <c r="I724" s="68"/>
      <c r="J724" s="68"/>
      <c r="K724" s="32"/>
      <c r="L724" s="75">
        <v>724</v>
      </c>
      <c r="M724" s="75"/>
      <c r="N724" s="70"/>
      <c r="O724" s="77" t="s">
        <v>179</v>
      </c>
      <c r="P724" s="79">
        <v>44988.87537037037</v>
      </c>
      <c r="Q724" s="77" t="s">
        <v>1251</v>
      </c>
      <c r="R724" s="77">
        <v>0</v>
      </c>
      <c r="S724" s="77">
        <v>0</v>
      </c>
      <c r="T724" s="77">
        <v>0</v>
      </c>
      <c r="U724" s="77">
        <v>0</v>
      </c>
      <c r="V724" s="77">
        <v>47</v>
      </c>
      <c r="W724" s="82" t="s">
        <v>1846</v>
      </c>
      <c r="X724" s="80" t="str">
        <f>HYPERLINK("http://metodotdl.com.br/tdl/telegram")</f>
        <v>http://metodotdl.com.br/tdl/telegram</v>
      </c>
      <c r="Y724" s="77" t="s">
        <v>1978</v>
      </c>
      <c r="Z724" s="77"/>
      <c r="AA724" s="77" t="s">
        <v>2520</v>
      </c>
      <c r="AB724" s="77" t="s">
        <v>2632</v>
      </c>
      <c r="AC724" s="82" t="s">
        <v>2642</v>
      </c>
      <c r="AD724" s="77" t="s">
        <v>2670</v>
      </c>
      <c r="AE724" s="80" t="str">
        <f>HYPERLINK("https://twitter.com/felippe_marcelo/status/1631761500011479045")</f>
        <v>https://twitter.com/felippe_marcelo/status/1631761500011479045</v>
      </c>
      <c r="AF724" s="79">
        <v>44988.87537037037</v>
      </c>
      <c r="AG724" s="85">
        <v>44988</v>
      </c>
      <c r="AH724" s="82" t="s">
        <v>3183</v>
      </c>
      <c r="AI724" s="77" t="b">
        <v>0</v>
      </c>
      <c r="AJ724" s="77"/>
      <c r="AK724" s="77"/>
      <c r="AL724" s="77"/>
      <c r="AM724" s="77"/>
      <c r="AN724" s="77"/>
      <c r="AO724" s="77"/>
      <c r="AP724" s="77"/>
      <c r="AQ724" s="77" t="s">
        <v>3949</v>
      </c>
      <c r="AR724" s="77"/>
      <c r="AS724" s="77"/>
      <c r="AT724" s="77"/>
      <c r="AU724" s="77"/>
      <c r="AV724" s="80" t="str">
        <f>HYPERLINK("https://pbs.twimg.com/media/FqUub0kWYAMBG2X.jpg")</f>
        <v>https://pbs.twimg.com/media/FqUub0kWYAMBG2X.jpg</v>
      </c>
      <c r="AW724" s="82" t="s">
        <v>4775</v>
      </c>
      <c r="AX724" s="82" t="s">
        <v>4775</v>
      </c>
      <c r="AY724" s="77"/>
      <c r="AZ724" s="82" t="s">
        <v>5075</v>
      </c>
      <c r="BA724" s="82" t="s">
        <v>5075</v>
      </c>
      <c r="BB724" s="82" t="s">
        <v>5075</v>
      </c>
      <c r="BC724" s="82" t="s">
        <v>4775</v>
      </c>
      <c r="BD724" s="82" t="s">
        <v>5240</v>
      </c>
      <c r="BE724" s="77"/>
      <c r="BF724" s="77"/>
      <c r="BG724" s="77"/>
      <c r="BH724" s="77"/>
      <c r="BI724" s="77"/>
    </row>
    <row r="725" spans="1:61" x14ac:dyDescent="0.25">
      <c r="A725" s="62" t="s">
        <v>434</v>
      </c>
      <c r="B725" s="62" t="s">
        <v>434</v>
      </c>
      <c r="C725" s="63"/>
      <c r="D725" s="64"/>
      <c r="E725" s="65"/>
      <c r="F725" s="66"/>
      <c r="G725" s="63"/>
      <c r="H725" s="67"/>
      <c r="I725" s="68"/>
      <c r="J725" s="68"/>
      <c r="K725" s="32"/>
      <c r="L725" s="75">
        <v>725</v>
      </c>
      <c r="M725" s="75"/>
      <c r="N725" s="70"/>
      <c r="O725" s="77" t="s">
        <v>179</v>
      </c>
      <c r="P725" s="79">
        <v>44986.875416666669</v>
      </c>
      <c r="Q725" s="77" t="s">
        <v>1252</v>
      </c>
      <c r="R725" s="77">
        <v>0</v>
      </c>
      <c r="S725" s="77">
        <v>0</v>
      </c>
      <c r="T725" s="77">
        <v>0</v>
      </c>
      <c r="U725" s="77">
        <v>0</v>
      </c>
      <c r="V725" s="77">
        <v>49</v>
      </c>
      <c r="W725" s="82" t="s">
        <v>1846</v>
      </c>
      <c r="X725" s="80" t="str">
        <f>HYPERLINK("http://metodotdl.com.br/tdl/telegram")</f>
        <v>http://metodotdl.com.br/tdl/telegram</v>
      </c>
      <c r="Y725" s="77" t="s">
        <v>1978</v>
      </c>
      <c r="Z725" s="77"/>
      <c r="AA725" s="77" t="s">
        <v>2521</v>
      </c>
      <c r="AB725" s="77" t="s">
        <v>2632</v>
      </c>
      <c r="AC725" s="82" t="s">
        <v>2642</v>
      </c>
      <c r="AD725" s="77" t="s">
        <v>2670</v>
      </c>
      <c r="AE725" s="80" t="str">
        <f>HYPERLINK("https://twitter.com/felippe_marcelo/status/1631036737399955457")</f>
        <v>https://twitter.com/felippe_marcelo/status/1631036737399955457</v>
      </c>
      <c r="AF725" s="79">
        <v>44986.875416666669</v>
      </c>
      <c r="AG725" s="85">
        <v>44986</v>
      </c>
      <c r="AH725" s="82" t="s">
        <v>3181</v>
      </c>
      <c r="AI725" s="77" t="b">
        <v>0</v>
      </c>
      <c r="AJ725" s="77"/>
      <c r="AK725" s="77"/>
      <c r="AL725" s="77"/>
      <c r="AM725" s="77"/>
      <c r="AN725" s="77"/>
      <c r="AO725" s="77"/>
      <c r="AP725" s="77"/>
      <c r="AQ725" s="77" t="s">
        <v>3950</v>
      </c>
      <c r="AR725" s="77"/>
      <c r="AS725" s="77"/>
      <c r="AT725" s="77"/>
      <c r="AU725" s="77"/>
      <c r="AV725" s="80" t="str">
        <f>HYPERLINK("https://pbs.twimg.com/media/FqKbRPtWAAAyZHC.jpg")</f>
        <v>https://pbs.twimg.com/media/FqKbRPtWAAAyZHC.jpg</v>
      </c>
      <c r="AW725" s="82" t="s">
        <v>4776</v>
      </c>
      <c r="AX725" s="82" t="s">
        <v>4776</v>
      </c>
      <c r="AY725" s="77"/>
      <c r="AZ725" s="82" t="s">
        <v>5075</v>
      </c>
      <c r="BA725" s="82" t="s">
        <v>5075</v>
      </c>
      <c r="BB725" s="82" t="s">
        <v>5075</v>
      </c>
      <c r="BC725" s="82" t="s">
        <v>4776</v>
      </c>
      <c r="BD725" s="82" t="s">
        <v>5240</v>
      </c>
      <c r="BE725" s="77"/>
      <c r="BF725" s="77"/>
      <c r="BG725" s="77"/>
      <c r="BH725" s="77"/>
      <c r="BI725" s="77"/>
    </row>
    <row r="726" spans="1:61" x14ac:dyDescent="0.25">
      <c r="A726" s="62" t="s">
        <v>434</v>
      </c>
      <c r="B726" s="62" t="s">
        <v>434</v>
      </c>
      <c r="C726" s="63"/>
      <c r="D726" s="64"/>
      <c r="E726" s="65"/>
      <c r="F726" s="66"/>
      <c r="G726" s="63"/>
      <c r="H726" s="67"/>
      <c r="I726" s="68"/>
      <c r="J726" s="68"/>
      <c r="K726" s="32"/>
      <c r="L726" s="75">
        <v>726</v>
      </c>
      <c r="M726" s="75"/>
      <c r="N726" s="70"/>
      <c r="O726" s="77" t="s">
        <v>179</v>
      </c>
      <c r="P726" s="79">
        <v>44985.875347222223</v>
      </c>
      <c r="Q726" s="77" t="s">
        <v>1253</v>
      </c>
      <c r="R726" s="77">
        <v>0</v>
      </c>
      <c r="S726" s="77">
        <v>0</v>
      </c>
      <c r="T726" s="77">
        <v>0</v>
      </c>
      <c r="U726" s="77">
        <v>0</v>
      </c>
      <c r="V726" s="77">
        <v>44</v>
      </c>
      <c r="W726" s="82" t="s">
        <v>1846</v>
      </c>
      <c r="X726" s="80" t="str">
        <f>HYPERLINK("http://metodotdl.com.br/tdl/telegram")</f>
        <v>http://metodotdl.com.br/tdl/telegram</v>
      </c>
      <c r="Y726" s="77" t="s">
        <v>1978</v>
      </c>
      <c r="Z726" s="77"/>
      <c r="AA726" s="77" t="s">
        <v>2522</v>
      </c>
      <c r="AB726" s="77" t="s">
        <v>2632</v>
      </c>
      <c r="AC726" s="82" t="s">
        <v>2642</v>
      </c>
      <c r="AD726" s="77" t="s">
        <v>2670</v>
      </c>
      <c r="AE726" s="80" t="str">
        <f>HYPERLINK("https://twitter.com/felippe_marcelo/status/1630674327451435008")</f>
        <v>https://twitter.com/felippe_marcelo/status/1630674327451435008</v>
      </c>
      <c r="AF726" s="79">
        <v>44985.875347222223</v>
      </c>
      <c r="AG726" s="85">
        <v>44985</v>
      </c>
      <c r="AH726" s="82" t="s">
        <v>3182</v>
      </c>
      <c r="AI726" s="77" t="b">
        <v>0</v>
      </c>
      <c r="AJ726" s="77"/>
      <c r="AK726" s="77"/>
      <c r="AL726" s="77"/>
      <c r="AM726" s="77"/>
      <c r="AN726" s="77"/>
      <c r="AO726" s="77"/>
      <c r="AP726" s="77"/>
      <c r="AQ726" s="77" t="s">
        <v>3951</v>
      </c>
      <c r="AR726" s="77"/>
      <c r="AS726" s="77"/>
      <c r="AT726" s="77"/>
      <c r="AU726" s="77"/>
      <c r="AV726" s="80" t="str">
        <f>HYPERLINK("https://pbs.twimg.com/media/FqFRqK2WIAEXxXb.jpg")</f>
        <v>https://pbs.twimg.com/media/FqFRqK2WIAEXxXb.jpg</v>
      </c>
      <c r="AW726" s="82" t="s">
        <v>4777</v>
      </c>
      <c r="AX726" s="82" t="s">
        <v>4777</v>
      </c>
      <c r="AY726" s="77"/>
      <c r="AZ726" s="82" t="s">
        <v>5075</v>
      </c>
      <c r="BA726" s="82" t="s">
        <v>5075</v>
      </c>
      <c r="BB726" s="82" t="s">
        <v>5075</v>
      </c>
      <c r="BC726" s="82" t="s">
        <v>4777</v>
      </c>
      <c r="BD726" s="82" t="s">
        <v>5240</v>
      </c>
      <c r="BE726" s="77"/>
      <c r="BF726" s="77"/>
      <c r="BG726" s="77"/>
      <c r="BH726" s="77"/>
      <c r="BI726" s="77"/>
    </row>
    <row r="727" spans="1:61" x14ac:dyDescent="0.25">
      <c r="A727" s="62" t="s">
        <v>434</v>
      </c>
      <c r="B727" s="62" t="s">
        <v>434</v>
      </c>
      <c r="C727" s="63"/>
      <c r="D727" s="64"/>
      <c r="E727" s="65"/>
      <c r="F727" s="66"/>
      <c r="G727" s="63"/>
      <c r="H727" s="67"/>
      <c r="I727" s="68"/>
      <c r="J727" s="68"/>
      <c r="K727" s="32"/>
      <c r="L727" s="75">
        <v>727</v>
      </c>
      <c r="M727" s="75"/>
      <c r="N727" s="70"/>
      <c r="O727" s="77" t="s">
        <v>179</v>
      </c>
      <c r="P727" s="79">
        <v>44984.871655092589</v>
      </c>
      <c r="Q727" s="77" t="s">
        <v>1254</v>
      </c>
      <c r="R727" s="77">
        <v>0</v>
      </c>
      <c r="S727" s="77">
        <v>0</v>
      </c>
      <c r="T727" s="77">
        <v>0</v>
      </c>
      <c r="U727" s="77">
        <v>0</v>
      </c>
      <c r="V727" s="77">
        <v>43</v>
      </c>
      <c r="W727" s="82" t="s">
        <v>1846</v>
      </c>
      <c r="X727" s="80" t="str">
        <f>HYPERLINK("http://metodotdl.com.br/tdl/telegram")</f>
        <v>http://metodotdl.com.br/tdl/telegram</v>
      </c>
      <c r="Y727" s="77" t="s">
        <v>1978</v>
      </c>
      <c r="Z727" s="77"/>
      <c r="AA727" s="77" t="s">
        <v>2523</v>
      </c>
      <c r="AB727" s="77" t="s">
        <v>2632</v>
      </c>
      <c r="AC727" s="82" t="s">
        <v>2642</v>
      </c>
      <c r="AD727" s="77" t="s">
        <v>2670</v>
      </c>
      <c r="AE727" s="80" t="str">
        <f>HYPERLINK("https://twitter.com/felippe_marcelo/status/1630310600747237378")</f>
        <v>https://twitter.com/felippe_marcelo/status/1630310600747237378</v>
      </c>
      <c r="AF727" s="79">
        <v>44984.871655092589</v>
      </c>
      <c r="AG727" s="85">
        <v>44984</v>
      </c>
      <c r="AH727" s="82" t="s">
        <v>3227</v>
      </c>
      <c r="AI727" s="77" t="b">
        <v>0</v>
      </c>
      <c r="AJ727" s="77"/>
      <c r="AK727" s="77"/>
      <c r="AL727" s="77"/>
      <c r="AM727" s="77"/>
      <c r="AN727" s="77"/>
      <c r="AO727" s="77"/>
      <c r="AP727" s="77"/>
      <c r="AQ727" s="77" t="s">
        <v>3952</v>
      </c>
      <c r="AR727" s="77"/>
      <c r="AS727" s="77"/>
      <c r="AT727" s="77"/>
      <c r="AU727" s="77"/>
      <c r="AV727" s="80" t="str">
        <f>HYPERLINK("https://pbs.twimg.com/media/FqAG2dSXwAAJH4e.jpg")</f>
        <v>https://pbs.twimg.com/media/FqAG2dSXwAAJH4e.jpg</v>
      </c>
      <c r="AW727" s="82" t="s">
        <v>4778</v>
      </c>
      <c r="AX727" s="82" t="s">
        <v>4778</v>
      </c>
      <c r="AY727" s="77"/>
      <c r="AZ727" s="82" t="s">
        <v>5075</v>
      </c>
      <c r="BA727" s="82" t="s">
        <v>5075</v>
      </c>
      <c r="BB727" s="82" t="s">
        <v>5075</v>
      </c>
      <c r="BC727" s="82" t="s">
        <v>4778</v>
      </c>
      <c r="BD727" s="82" t="s">
        <v>5240</v>
      </c>
      <c r="BE727" s="77"/>
      <c r="BF727" s="77"/>
      <c r="BG727" s="77"/>
      <c r="BH727" s="77"/>
      <c r="BI727" s="77"/>
    </row>
    <row r="728" spans="1:61" x14ac:dyDescent="0.25">
      <c r="A728" s="62" t="s">
        <v>434</v>
      </c>
      <c r="B728" s="62" t="s">
        <v>434</v>
      </c>
      <c r="C728" s="63"/>
      <c r="D728" s="64"/>
      <c r="E728" s="65"/>
      <c r="F728" s="66"/>
      <c r="G728" s="63"/>
      <c r="H728" s="67"/>
      <c r="I728" s="68"/>
      <c r="J728" s="68"/>
      <c r="K728" s="32"/>
      <c r="L728" s="75">
        <v>728</v>
      </c>
      <c r="M728" s="75"/>
      <c r="N728" s="70"/>
      <c r="O728" s="77" t="s">
        <v>179</v>
      </c>
      <c r="P728" s="79">
        <v>45014.875613425924</v>
      </c>
      <c r="Q728" s="77" t="s">
        <v>1255</v>
      </c>
      <c r="R728" s="77">
        <v>0</v>
      </c>
      <c r="S728" s="77">
        <v>0</v>
      </c>
      <c r="T728" s="77">
        <v>0</v>
      </c>
      <c r="U728" s="77">
        <v>0</v>
      </c>
      <c r="V728" s="77">
        <v>38</v>
      </c>
      <c r="W728" s="82" t="s">
        <v>1846</v>
      </c>
      <c r="X728" s="80" t="str">
        <f>HYPERLINK("http://metodotdl.com.br/tdl/telegram")</f>
        <v>http://metodotdl.com.br/tdl/telegram</v>
      </c>
      <c r="Y728" s="77" t="s">
        <v>1978</v>
      </c>
      <c r="Z728" s="77"/>
      <c r="AA728" s="77" t="s">
        <v>2524</v>
      </c>
      <c r="AB728" s="77" t="s">
        <v>2632</v>
      </c>
      <c r="AC728" s="82" t="s">
        <v>2642</v>
      </c>
      <c r="AD728" s="77" t="s">
        <v>2670</v>
      </c>
      <c r="AE728" s="80" t="str">
        <f>HYPERLINK("https://twitter.com/felippe_marcelo/status/1641183671943155715")</f>
        <v>https://twitter.com/felippe_marcelo/status/1641183671943155715</v>
      </c>
      <c r="AF728" s="79">
        <v>45014.875613425924</v>
      </c>
      <c r="AG728" s="85">
        <v>45014</v>
      </c>
      <c r="AH728" s="82" t="s">
        <v>3216</v>
      </c>
      <c r="AI728" s="77" t="b">
        <v>0</v>
      </c>
      <c r="AJ728" s="77"/>
      <c r="AK728" s="77"/>
      <c r="AL728" s="77"/>
      <c r="AM728" s="77"/>
      <c r="AN728" s="77"/>
      <c r="AO728" s="77"/>
      <c r="AP728" s="77"/>
      <c r="AQ728" s="77" t="s">
        <v>3953</v>
      </c>
      <c r="AR728" s="77"/>
      <c r="AS728" s="77"/>
      <c r="AT728" s="77"/>
      <c r="AU728" s="77"/>
      <c r="AV728" s="80" t="str">
        <f>HYPERLINK("https://pbs.twimg.com/media/Fsan2fuX0AAMZSV.jpg")</f>
        <v>https://pbs.twimg.com/media/Fsan2fuX0AAMZSV.jpg</v>
      </c>
      <c r="AW728" s="82" t="s">
        <v>4779</v>
      </c>
      <c r="AX728" s="82" t="s">
        <v>4779</v>
      </c>
      <c r="AY728" s="77"/>
      <c r="AZ728" s="82" t="s">
        <v>5075</v>
      </c>
      <c r="BA728" s="82" t="s">
        <v>5075</v>
      </c>
      <c r="BB728" s="82" t="s">
        <v>5075</v>
      </c>
      <c r="BC728" s="82" t="s">
        <v>4779</v>
      </c>
      <c r="BD728" s="82" t="s">
        <v>5240</v>
      </c>
      <c r="BE728" s="77"/>
      <c r="BF728" s="77"/>
      <c r="BG728" s="77"/>
      <c r="BH728" s="77"/>
      <c r="BI728" s="77"/>
    </row>
    <row r="729" spans="1:61" x14ac:dyDescent="0.25">
      <c r="A729" s="62" t="s">
        <v>434</v>
      </c>
      <c r="B729" s="62" t="s">
        <v>434</v>
      </c>
      <c r="C729" s="63"/>
      <c r="D729" s="64"/>
      <c r="E729" s="65"/>
      <c r="F729" s="66"/>
      <c r="G729" s="63"/>
      <c r="H729" s="67"/>
      <c r="I729" s="68"/>
      <c r="J729" s="68"/>
      <c r="K729" s="32"/>
      <c r="L729" s="75">
        <v>729</v>
      </c>
      <c r="M729" s="75"/>
      <c r="N729" s="70"/>
      <c r="O729" s="77" t="s">
        <v>179</v>
      </c>
      <c r="P729" s="79">
        <v>45013.875428240739</v>
      </c>
      <c r="Q729" s="77" t="s">
        <v>1256</v>
      </c>
      <c r="R729" s="77">
        <v>0</v>
      </c>
      <c r="S729" s="77">
        <v>0</v>
      </c>
      <c r="T729" s="77">
        <v>0</v>
      </c>
      <c r="U729" s="77">
        <v>0</v>
      </c>
      <c r="V729" s="77">
        <v>59</v>
      </c>
      <c r="W729" s="82" t="s">
        <v>1846</v>
      </c>
      <c r="X729" s="80" t="str">
        <f>HYPERLINK("http://metodotdl.com.br/tdl/telegram")</f>
        <v>http://metodotdl.com.br/tdl/telegram</v>
      </c>
      <c r="Y729" s="77" t="s">
        <v>1978</v>
      </c>
      <c r="Z729" s="77"/>
      <c r="AA729" s="77" t="s">
        <v>2525</v>
      </c>
      <c r="AB729" s="77" t="s">
        <v>2632</v>
      </c>
      <c r="AC729" s="82" t="s">
        <v>2642</v>
      </c>
      <c r="AD729" s="77" t="s">
        <v>2670</v>
      </c>
      <c r="AE729" s="80" t="str">
        <f>HYPERLINK("https://twitter.com/felippe_marcelo/status/1640821214787584000")</f>
        <v>https://twitter.com/felippe_marcelo/status/1640821214787584000</v>
      </c>
      <c r="AF729" s="79">
        <v>45013.875428240739</v>
      </c>
      <c r="AG729" s="85">
        <v>45013</v>
      </c>
      <c r="AH729" s="82" t="s">
        <v>3244</v>
      </c>
      <c r="AI729" s="77" t="b">
        <v>0</v>
      </c>
      <c r="AJ729" s="77"/>
      <c r="AK729" s="77"/>
      <c r="AL729" s="77"/>
      <c r="AM729" s="77"/>
      <c r="AN729" s="77"/>
      <c r="AO729" s="77"/>
      <c r="AP729" s="77"/>
      <c r="AQ729" s="77" t="s">
        <v>3954</v>
      </c>
      <c r="AR729" s="77"/>
      <c r="AS729" s="77"/>
      <c r="AT729" s="77"/>
      <c r="AU729" s="77"/>
      <c r="AV729" s="80" t="str">
        <f>HYPERLINK("https://pbs.twimg.com/media/FsVeMeBWwAQuMCP.jpg")</f>
        <v>https://pbs.twimg.com/media/FsVeMeBWwAQuMCP.jpg</v>
      </c>
      <c r="AW729" s="82" t="s">
        <v>4780</v>
      </c>
      <c r="AX729" s="82" t="s">
        <v>4780</v>
      </c>
      <c r="AY729" s="77"/>
      <c r="AZ729" s="82" t="s">
        <v>5075</v>
      </c>
      <c r="BA729" s="82" t="s">
        <v>5075</v>
      </c>
      <c r="BB729" s="82" t="s">
        <v>5075</v>
      </c>
      <c r="BC729" s="82" t="s">
        <v>4780</v>
      </c>
      <c r="BD729" s="82" t="s">
        <v>5240</v>
      </c>
      <c r="BE729" s="77"/>
      <c r="BF729" s="77"/>
      <c r="BG729" s="77"/>
      <c r="BH729" s="77"/>
      <c r="BI729" s="77"/>
    </row>
    <row r="730" spans="1:61" x14ac:dyDescent="0.25">
      <c r="A730" s="62" t="s">
        <v>434</v>
      </c>
      <c r="B730" s="62" t="s">
        <v>434</v>
      </c>
      <c r="C730" s="63"/>
      <c r="D730" s="64"/>
      <c r="E730" s="65"/>
      <c r="F730" s="66"/>
      <c r="G730" s="63"/>
      <c r="H730" s="67"/>
      <c r="I730" s="68"/>
      <c r="J730" s="68"/>
      <c r="K730" s="32"/>
      <c r="L730" s="75">
        <v>730</v>
      </c>
      <c r="M730" s="75"/>
      <c r="N730" s="70"/>
      <c r="O730" s="77" t="s">
        <v>179</v>
      </c>
      <c r="P730" s="79">
        <v>45012.875752314816</v>
      </c>
      <c r="Q730" s="77" t="s">
        <v>1257</v>
      </c>
      <c r="R730" s="77">
        <v>0</v>
      </c>
      <c r="S730" s="77">
        <v>0</v>
      </c>
      <c r="T730" s="77">
        <v>0</v>
      </c>
      <c r="U730" s="77">
        <v>0</v>
      </c>
      <c r="V730" s="77">
        <v>52</v>
      </c>
      <c r="W730" s="82" t="s">
        <v>1846</v>
      </c>
      <c r="X730" s="80" t="str">
        <f>HYPERLINK("http://metodotdl.com.br/tdl/telegram")</f>
        <v>http://metodotdl.com.br/tdl/telegram</v>
      </c>
      <c r="Y730" s="77" t="s">
        <v>1978</v>
      </c>
      <c r="Z730" s="77"/>
      <c r="AA730" s="77" t="s">
        <v>2526</v>
      </c>
      <c r="AB730" s="77" t="s">
        <v>2632</v>
      </c>
      <c r="AC730" s="82" t="s">
        <v>2642</v>
      </c>
      <c r="AD730" s="77" t="s">
        <v>2670</v>
      </c>
      <c r="AE730" s="80" t="str">
        <f>HYPERLINK("https://twitter.com/felippe_marcelo/status/1640458943439798273")</f>
        <v>https://twitter.com/felippe_marcelo/status/1640458943439798273</v>
      </c>
      <c r="AF730" s="79">
        <v>45012.875752314816</v>
      </c>
      <c r="AG730" s="85">
        <v>45012</v>
      </c>
      <c r="AH730" s="82" t="s">
        <v>3222</v>
      </c>
      <c r="AI730" s="77" t="b">
        <v>0</v>
      </c>
      <c r="AJ730" s="77"/>
      <c r="AK730" s="77"/>
      <c r="AL730" s="77"/>
      <c r="AM730" s="77"/>
      <c r="AN730" s="77"/>
      <c r="AO730" s="77"/>
      <c r="AP730" s="77"/>
      <c r="AQ730" s="77" t="s">
        <v>3955</v>
      </c>
      <c r="AR730" s="77"/>
      <c r="AS730" s="77"/>
      <c r="AT730" s="77"/>
      <c r="AU730" s="77"/>
      <c r="AV730" s="80" t="str">
        <f>HYPERLINK("https://pbs.twimg.com/media/FsQUtv-X0AAZLxd.jpg")</f>
        <v>https://pbs.twimg.com/media/FsQUtv-X0AAZLxd.jpg</v>
      </c>
      <c r="AW730" s="82" t="s">
        <v>4781</v>
      </c>
      <c r="AX730" s="82" t="s">
        <v>4781</v>
      </c>
      <c r="AY730" s="77"/>
      <c r="AZ730" s="82" t="s">
        <v>5075</v>
      </c>
      <c r="BA730" s="82" t="s">
        <v>5075</v>
      </c>
      <c r="BB730" s="82" t="s">
        <v>5075</v>
      </c>
      <c r="BC730" s="82" t="s">
        <v>4781</v>
      </c>
      <c r="BD730" s="82" t="s">
        <v>5240</v>
      </c>
      <c r="BE730" s="77"/>
      <c r="BF730" s="77"/>
      <c r="BG730" s="77"/>
      <c r="BH730" s="77"/>
      <c r="BI730" s="77"/>
    </row>
    <row r="731" spans="1:61" x14ac:dyDescent="0.25">
      <c r="A731" s="62" t="s">
        <v>434</v>
      </c>
      <c r="B731" s="62" t="s">
        <v>434</v>
      </c>
      <c r="C731" s="63"/>
      <c r="D731" s="64"/>
      <c r="E731" s="65"/>
      <c r="F731" s="66"/>
      <c r="G731" s="63"/>
      <c r="H731" s="67"/>
      <c r="I731" s="68"/>
      <c r="J731" s="68"/>
      <c r="K731" s="32"/>
      <c r="L731" s="75">
        <v>731</v>
      </c>
      <c r="M731" s="75"/>
      <c r="N731" s="70"/>
      <c r="O731" s="77" t="s">
        <v>179</v>
      </c>
      <c r="P731" s="79">
        <v>45009.875358796293</v>
      </c>
      <c r="Q731" s="77" t="s">
        <v>1258</v>
      </c>
      <c r="R731" s="77">
        <v>0</v>
      </c>
      <c r="S731" s="77">
        <v>0</v>
      </c>
      <c r="T731" s="77">
        <v>0</v>
      </c>
      <c r="U731" s="77">
        <v>0</v>
      </c>
      <c r="V731" s="77">
        <v>48</v>
      </c>
      <c r="W731" s="82" t="s">
        <v>1846</v>
      </c>
      <c r="X731" s="80" t="str">
        <f>HYPERLINK("http://metodotdl.com.br/tdl/telegram")</f>
        <v>http://metodotdl.com.br/tdl/telegram</v>
      </c>
      <c r="Y731" s="77" t="s">
        <v>1978</v>
      </c>
      <c r="Z731" s="77"/>
      <c r="AA731" s="77" t="s">
        <v>2527</v>
      </c>
      <c r="AB731" s="77" t="s">
        <v>2632</v>
      </c>
      <c r="AC731" s="82" t="s">
        <v>2642</v>
      </c>
      <c r="AD731" s="77" t="s">
        <v>2670</v>
      </c>
      <c r="AE731" s="80" t="str">
        <f>HYPERLINK("https://twitter.com/felippe_marcelo/status/1639371637845016577")</f>
        <v>https://twitter.com/felippe_marcelo/status/1639371637845016577</v>
      </c>
      <c r="AF731" s="79">
        <v>45009.875358796293</v>
      </c>
      <c r="AG731" s="85">
        <v>45009</v>
      </c>
      <c r="AH731" s="82" t="s">
        <v>3189</v>
      </c>
      <c r="AI731" s="77" t="b">
        <v>0</v>
      </c>
      <c r="AJ731" s="77"/>
      <c r="AK731" s="77"/>
      <c r="AL731" s="77"/>
      <c r="AM731" s="77"/>
      <c r="AN731" s="77"/>
      <c r="AO731" s="77"/>
      <c r="AP731" s="77"/>
      <c r="AQ731" s="77" t="s">
        <v>3956</v>
      </c>
      <c r="AR731" s="77"/>
      <c r="AS731" s="77"/>
      <c r="AT731" s="77"/>
      <c r="AU731" s="77"/>
      <c r="AV731" s="80" t="str">
        <f>HYPERLINK("https://pbs.twimg.com/media/FsA30PtWAAIo9A4.jpg")</f>
        <v>https://pbs.twimg.com/media/FsA30PtWAAIo9A4.jpg</v>
      </c>
      <c r="AW731" s="82" t="s">
        <v>4782</v>
      </c>
      <c r="AX731" s="82" t="s">
        <v>4782</v>
      </c>
      <c r="AY731" s="77"/>
      <c r="AZ731" s="82" t="s">
        <v>5075</v>
      </c>
      <c r="BA731" s="82" t="s">
        <v>5075</v>
      </c>
      <c r="BB731" s="82" t="s">
        <v>5075</v>
      </c>
      <c r="BC731" s="82" t="s">
        <v>4782</v>
      </c>
      <c r="BD731" s="82" t="s">
        <v>5240</v>
      </c>
      <c r="BE731" s="77"/>
      <c r="BF731" s="77"/>
      <c r="BG731" s="77"/>
      <c r="BH731" s="77"/>
      <c r="BI731" s="77"/>
    </row>
    <row r="732" spans="1:61" x14ac:dyDescent="0.25">
      <c r="A732" s="62" t="s">
        <v>434</v>
      </c>
      <c r="B732" s="62" t="s">
        <v>434</v>
      </c>
      <c r="C732" s="63"/>
      <c r="D732" s="64"/>
      <c r="E732" s="65"/>
      <c r="F732" s="66"/>
      <c r="G732" s="63"/>
      <c r="H732" s="67"/>
      <c r="I732" s="68"/>
      <c r="J732" s="68"/>
      <c r="K732" s="32"/>
      <c r="L732" s="75">
        <v>732</v>
      </c>
      <c r="M732" s="75"/>
      <c r="N732" s="70"/>
      <c r="O732" s="77" t="s">
        <v>179</v>
      </c>
      <c r="P732" s="79">
        <v>45008.875381944446</v>
      </c>
      <c r="Q732" s="77" t="s">
        <v>1259</v>
      </c>
      <c r="R732" s="77">
        <v>0</v>
      </c>
      <c r="S732" s="77">
        <v>0</v>
      </c>
      <c r="T732" s="77">
        <v>0</v>
      </c>
      <c r="U732" s="77">
        <v>0</v>
      </c>
      <c r="V732" s="77">
        <v>48</v>
      </c>
      <c r="W732" s="82" t="s">
        <v>1846</v>
      </c>
      <c r="X732" s="80" t="str">
        <f>HYPERLINK("http://metodotdl.com.br/tdl/telegram")</f>
        <v>http://metodotdl.com.br/tdl/telegram</v>
      </c>
      <c r="Y732" s="77" t="s">
        <v>1978</v>
      </c>
      <c r="Z732" s="77"/>
      <c r="AA732" s="77" t="s">
        <v>2528</v>
      </c>
      <c r="AB732" s="77" t="s">
        <v>2632</v>
      </c>
      <c r="AC732" s="82" t="s">
        <v>2642</v>
      </c>
      <c r="AD732" s="77" t="s">
        <v>2670</v>
      </c>
      <c r="AE732" s="80" t="str">
        <f>HYPERLINK("https://twitter.com/felippe_marcelo/status/1639009258821013505")</f>
        <v>https://twitter.com/felippe_marcelo/status/1639009258821013505</v>
      </c>
      <c r="AF732" s="79">
        <v>45008.875381944446</v>
      </c>
      <c r="AG732" s="85">
        <v>45008</v>
      </c>
      <c r="AH732" s="82" t="s">
        <v>3180</v>
      </c>
      <c r="AI732" s="77" t="b">
        <v>0</v>
      </c>
      <c r="AJ732" s="77"/>
      <c r="AK732" s="77"/>
      <c r="AL732" s="77"/>
      <c r="AM732" s="77"/>
      <c r="AN732" s="77"/>
      <c r="AO732" s="77"/>
      <c r="AP732" s="77"/>
      <c r="AQ732" s="77" t="s">
        <v>3957</v>
      </c>
      <c r="AR732" s="77"/>
      <c r="AS732" s="77"/>
      <c r="AT732" s="77"/>
      <c r="AU732" s="77"/>
      <c r="AV732" s="80" t="str">
        <f>HYPERLINK("https://pbs.twimg.com/media/Fr7uPBqXoAMbcna.jpg")</f>
        <v>https://pbs.twimg.com/media/Fr7uPBqXoAMbcna.jpg</v>
      </c>
      <c r="AW732" s="82" t="s">
        <v>4783</v>
      </c>
      <c r="AX732" s="82" t="s">
        <v>4783</v>
      </c>
      <c r="AY732" s="77"/>
      <c r="AZ732" s="82" t="s">
        <v>5075</v>
      </c>
      <c r="BA732" s="82" t="s">
        <v>5075</v>
      </c>
      <c r="BB732" s="82" t="s">
        <v>5075</v>
      </c>
      <c r="BC732" s="82" t="s">
        <v>4783</v>
      </c>
      <c r="BD732" s="82" t="s">
        <v>5240</v>
      </c>
      <c r="BE732" s="77"/>
      <c r="BF732" s="77"/>
      <c r="BG732" s="77"/>
      <c r="BH732" s="77"/>
      <c r="BI732" s="77"/>
    </row>
    <row r="733" spans="1:61" x14ac:dyDescent="0.25">
      <c r="A733" s="62" t="s">
        <v>434</v>
      </c>
      <c r="B733" s="62" t="s">
        <v>434</v>
      </c>
      <c r="C733" s="63"/>
      <c r="D733" s="64"/>
      <c r="E733" s="65"/>
      <c r="F733" s="66"/>
      <c r="G733" s="63"/>
      <c r="H733" s="67"/>
      <c r="I733" s="68"/>
      <c r="J733" s="68"/>
      <c r="K733" s="32"/>
      <c r="L733" s="75">
        <v>733</v>
      </c>
      <c r="M733" s="75"/>
      <c r="N733" s="70"/>
      <c r="O733" s="77" t="s">
        <v>179</v>
      </c>
      <c r="P733" s="79">
        <v>45007.87537037037</v>
      </c>
      <c r="Q733" s="77" t="s">
        <v>1260</v>
      </c>
      <c r="R733" s="77">
        <v>0</v>
      </c>
      <c r="S733" s="77">
        <v>0</v>
      </c>
      <c r="T733" s="77">
        <v>0</v>
      </c>
      <c r="U733" s="77">
        <v>0</v>
      </c>
      <c r="V733" s="77">
        <v>48</v>
      </c>
      <c r="W733" s="82" t="s">
        <v>1846</v>
      </c>
      <c r="X733" s="80" t="str">
        <f>HYPERLINK("http://metodotdl.com.br/tdl/telegram")</f>
        <v>http://metodotdl.com.br/tdl/telegram</v>
      </c>
      <c r="Y733" s="77" t="s">
        <v>1978</v>
      </c>
      <c r="Z733" s="77"/>
      <c r="AA733" s="77" t="s">
        <v>2529</v>
      </c>
      <c r="AB733" s="77" t="s">
        <v>2632</v>
      </c>
      <c r="AC733" s="82" t="s">
        <v>2642</v>
      </c>
      <c r="AD733" s="77" t="s">
        <v>2670</v>
      </c>
      <c r="AE733" s="80" t="str">
        <f>HYPERLINK("https://twitter.com/felippe_marcelo/status/1638646866308104192")</f>
        <v>https://twitter.com/felippe_marcelo/status/1638646866308104192</v>
      </c>
      <c r="AF733" s="79">
        <v>45007.87537037037</v>
      </c>
      <c r="AG733" s="85">
        <v>45007</v>
      </c>
      <c r="AH733" s="82" t="s">
        <v>3183</v>
      </c>
      <c r="AI733" s="77" t="b">
        <v>0</v>
      </c>
      <c r="AJ733" s="77"/>
      <c r="AK733" s="77"/>
      <c r="AL733" s="77"/>
      <c r="AM733" s="77"/>
      <c r="AN733" s="77"/>
      <c r="AO733" s="77"/>
      <c r="AP733" s="77"/>
      <c r="AQ733" s="77" t="s">
        <v>3958</v>
      </c>
      <c r="AR733" s="77"/>
      <c r="AS733" s="77"/>
      <c r="AT733" s="77"/>
      <c r="AU733" s="77"/>
      <c r="AV733" s="80" t="str">
        <f>HYPERLINK("https://pbs.twimg.com/media/Fr2kpCCX0AEQVEy.jpg")</f>
        <v>https://pbs.twimg.com/media/Fr2kpCCX0AEQVEy.jpg</v>
      </c>
      <c r="AW733" s="82" t="s">
        <v>4784</v>
      </c>
      <c r="AX733" s="82" t="s">
        <v>4784</v>
      </c>
      <c r="AY733" s="77"/>
      <c r="AZ733" s="82" t="s">
        <v>5075</v>
      </c>
      <c r="BA733" s="82" t="s">
        <v>5075</v>
      </c>
      <c r="BB733" s="82" t="s">
        <v>5075</v>
      </c>
      <c r="BC733" s="82" t="s">
        <v>4784</v>
      </c>
      <c r="BD733" s="82" t="s">
        <v>5240</v>
      </c>
      <c r="BE733" s="77"/>
      <c r="BF733" s="77"/>
      <c r="BG733" s="77"/>
      <c r="BH733" s="77"/>
      <c r="BI733" s="77"/>
    </row>
    <row r="734" spans="1:61" x14ac:dyDescent="0.25">
      <c r="A734" s="62" t="s">
        <v>434</v>
      </c>
      <c r="B734" s="62" t="s">
        <v>434</v>
      </c>
      <c r="C734" s="63"/>
      <c r="D734" s="64"/>
      <c r="E734" s="65"/>
      <c r="F734" s="66"/>
      <c r="G734" s="63"/>
      <c r="H734" s="67"/>
      <c r="I734" s="68"/>
      <c r="J734" s="68"/>
      <c r="K734" s="32"/>
      <c r="L734" s="75">
        <v>734</v>
      </c>
      <c r="M734" s="75"/>
      <c r="N734" s="70"/>
      <c r="O734" s="77" t="s">
        <v>179</v>
      </c>
      <c r="P734" s="79">
        <v>45006.875393518516</v>
      </c>
      <c r="Q734" s="77" t="s">
        <v>1261</v>
      </c>
      <c r="R734" s="77">
        <v>0</v>
      </c>
      <c r="S734" s="77">
        <v>0</v>
      </c>
      <c r="T734" s="77">
        <v>0</v>
      </c>
      <c r="U734" s="77">
        <v>0</v>
      </c>
      <c r="V734" s="77">
        <v>39</v>
      </c>
      <c r="W734" s="82" t="s">
        <v>1846</v>
      </c>
      <c r="X734" s="80" t="str">
        <f>HYPERLINK("http://metodotdl.com.br/tdl/telegram")</f>
        <v>http://metodotdl.com.br/tdl/telegram</v>
      </c>
      <c r="Y734" s="77" t="s">
        <v>1978</v>
      </c>
      <c r="Z734" s="77"/>
      <c r="AA734" s="77" t="s">
        <v>2530</v>
      </c>
      <c r="AB734" s="77" t="s">
        <v>2632</v>
      </c>
      <c r="AC734" s="82" t="s">
        <v>2642</v>
      </c>
      <c r="AD734" s="77" t="s">
        <v>2670</v>
      </c>
      <c r="AE734" s="80" t="str">
        <f>HYPERLINK("https://twitter.com/felippe_marcelo/status/1638284487900426242")</f>
        <v>https://twitter.com/felippe_marcelo/status/1638284487900426242</v>
      </c>
      <c r="AF734" s="79">
        <v>45006.875393518516</v>
      </c>
      <c r="AG734" s="85">
        <v>45006</v>
      </c>
      <c r="AH734" s="82" t="s">
        <v>2901</v>
      </c>
      <c r="AI734" s="77" t="b">
        <v>0</v>
      </c>
      <c r="AJ734" s="77"/>
      <c r="AK734" s="77"/>
      <c r="AL734" s="77"/>
      <c r="AM734" s="77"/>
      <c r="AN734" s="77"/>
      <c r="AO734" s="77"/>
      <c r="AP734" s="77"/>
      <c r="AQ734" s="77" t="s">
        <v>3959</v>
      </c>
      <c r="AR734" s="77"/>
      <c r="AS734" s="77"/>
      <c r="AT734" s="77"/>
      <c r="AU734" s="77"/>
      <c r="AV734" s="80" t="str">
        <f>HYPERLINK("https://pbs.twimg.com/media/FrxbD06WcAcwJzx.jpg")</f>
        <v>https://pbs.twimg.com/media/FrxbD06WcAcwJzx.jpg</v>
      </c>
      <c r="AW734" s="82" t="s">
        <v>4785</v>
      </c>
      <c r="AX734" s="82" t="s">
        <v>4785</v>
      </c>
      <c r="AY734" s="77"/>
      <c r="AZ734" s="82" t="s">
        <v>5075</v>
      </c>
      <c r="BA734" s="82" t="s">
        <v>5075</v>
      </c>
      <c r="BB734" s="82" t="s">
        <v>5075</v>
      </c>
      <c r="BC734" s="82" t="s">
        <v>4785</v>
      </c>
      <c r="BD734" s="82" t="s">
        <v>5240</v>
      </c>
      <c r="BE734" s="77"/>
      <c r="BF734" s="77"/>
      <c r="BG734" s="77"/>
      <c r="BH734" s="77"/>
      <c r="BI734" s="77"/>
    </row>
    <row r="735" spans="1:61" x14ac:dyDescent="0.25">
      <c r="A735" s="62" t="s">
        <v>434</v>
      </c>
      <c r="B735" s="62" t="s">
        <v>434</v>
      </c>
      <c r="C735" s="63"/>
      <c r="D735" s="64"/>
      <c r="E735" s="65"/>
      <c r="F735" s="66"/>
      <c r="G735" s="63"/>
      <c r="H735" s="67"/>
      <c r="I735" s="68"/>
      <c r="J735" s="68"/>
      <c r="K735" s="32"/>
      <c r="L735" s="75">
        <v>735</v>
      </c>
      <c r="M735" s="75"/>
      <c r="N735" s="70"/>
      <c r="O735" s="77" t="s">
        <v>179</v>
      </c>
      <c r="P735" s="79">
        <v>45005.875451388885</v>
      </c>
      <c r="Q735" s="77" t="s">
        <v>1262</v>
      </c>
      <c r="R735" s="77">
        <v>0</v>
      </c>
      <c r="S735" s="77">
        <v>0</v>
      </c>
      <c r="T735" s="77">
        <v>0</v>
      </c>
      <c r="U735" s="77">
        <v>0</v>
      </c>
      <c r="V735" s="77">
        <v>49</v>
      </c>
      <c r="W735" s="82" t="s">
        <v>1846</v>
      </c>
      <c r="X735" s="80" t="str">
        <f>HYPERLINK("http://metodotdl.com.br/tdl/telegram")</f>
        <v>http://metodotdl.com.br/tdl/telegram</v>
      </c>
      <c r="Y735" s="77" t="s">
        <v>1978</v>
      </c>
      <c r="Z735" s="77"/>
      <c r="AA735" s="77" t="s">
        <v>2531</v>
      </c>
      <c r="AB735" s="77" t="s">
        <v>2632</v>
      </c>
      <c r="AC735" s="82" t="s">
        <v>2642</v>
      </c>
      <c r="AD735" s="77" t="s">
        <v>2670</v>
      </c>
      <c r="AE735" s="80" t="str">
        <f>HYPERLINK("https://twitter.com/felippe_marcelo/status/1637922120637337600")</f>
        <v>https://twitter.com/felippe_marcelo/status/1637922120637337600</v>
      </c>
      <c r="AF735" s="79">
        <v>45005.875451388885</v>
      </c>
      <c r="AG735" s="85">
        <v>45005</v>
      </c>
      <c r="AH735" s="82" t="s">
        <v>3195</v>
      </c>
      <c r="AI735" s="77" t="b">
        <v>0</v>
      </c>
      <c r="AJ735" s="77"/>
      <c r="AK735" s="77"/>
      <c r="AL735" s="77"/>
      <c r="AM735" s="77"/>
      <c r="AN735" s="77"/>
      <c r="AO735" s="77"/>
      <c r="AP735" s="77"/>
      <c r="AQ735" s="77" t="s">
        <v>3960</v>
      </c>
      <c r="AR735" s="77"/>
      <c r="AS735" s="77"/>
      <c r="AT735" s="77"/>
      <c r="AU735" s="77"/>
      <c r="AV735" s="80" t="str">
        <f>HYPERLINK("https://pbs.twimg.com/media/FrsRfRgWAAIxcun.jpg")</f>
        <v>https://pbs.twimg.com/media/FrsRfRgWAAIxcun.jpg</v>
      </c>
      <c r="AW735" s="82" t="s">
        <v>4786</v>
      </c>
      <c r="AX735" s="82" t="s">
        <v>4786</v>
      </c>
      <c r="AY735" s="77"/>
      <c r="AZ735" s="82" t="s">
        <v>5075</v>
      </c>
      <c r="BA735" s="82" t="s">
        <v>5075</v>
      </c>
      <c r="BB735" s="82" t="s">
        <v>5075</v>
      </c>
      <c r="BC735" s="82" t="s">
        <v>4786</v>
      </c>
      <c r="BD735" s="82" t="s">
        <v>5240</v>
      </c>
      <c r="BE735" s="77"/>
      <c r="BF735" s="77"/>
      <c r="BG735" s="77"/>
      <c r="BH735" s="77"/>
      <c r="BI735" s="77"/>
    </row>
    <row r="736" spans="1:61" x14ac:dyDescent="0.25">
      <c r="A736" s="62" t="s">
        <v>434</v>
      </c>
      <c r="B736" s="62" t="s">
        <v>434</v>
      </c>
      <c r="C736" s="63"/>
      <c r="D736" s="64"/>
      <c r="E736" s="65"/>
      <c r="F736" s="66"/>
      <c r="G736" s="63"/>
      <c r="H736" s="67"/>
      <c r="I736" s="68"/>
      <c r="J736" s="68"/>
      <c r="K736" s="32"/>
      <c r="L736" s="75">
        <v>736</v>
      </c>
      <c r="M736" s="75"/>
      <c r="N736" s="70"/>
      <c r="O736" s="77" t="s">
        <v>179</v>
      </c>
      <c r="P736" s="79">
        <v>44994.875393518516</v>
      </c>
      <c r="Q736" s="77" t="s">
        <v>1263</v>
      </c>
      <c r="R736" s="77">
        <v>0</v>
      </c>
      <c r="S736" s="77">
        <v>0</v>
      </c>
      <c r="T736" s="77">
        <v>0</v>
      </c>
      <c r="U736" s="77">
        <v>0</v>
      </c>
      <c r="V736" s="77">
        <v>31</v>
      </c>
      <c r="W736" s="82" t="s">
        <v>1846</v>
      </c>
      <c r="X736" s="80" t="str">
        <f>HYPERLINK("http://metodotdl.com.br/tdl/telegram")</f>
        <v>http://metodotdl.com.br/tdl/telegram</v>
      </c>
      <c r="Y736" s="77" t="s">
        <v>1978</v>
      </c>
      <c r="Z736" s="77"/>
      <c r="AA736" s="77" t="s">
        <v>2532</v>
      </c>
      <c r="AB736" s="77" t="s">
        <v>2632</v>
      </c>
      <c r="AC736" s="82" t="s">
        <v>2642</v>
      </c>
      <c r="AD736" s="77" t="s">
        <v>2670</v>
      </c>
      <c r="AE736" s="80" t="str">
        <f>HYPERLINK("https://twitter.com/felippe_marcelo/status/1633935832913518595")</f>
        <v>https://twitter.com/felippe_marcelo/status/1633935832913518595</v>
      </c>
      <c r="AF736" s="79">
        <v>44994.875393518516</v>
      </c>
      <c r="AG736" s="85">
        <v>44994</v>
      </c>
      <c r="AH736" s="82" t="s">
        <v>2901</v>
      </c>
      <c r="AI736" s="77" t="b">
        <v>0</v>
      </c>
      <c r="AJ736" s="77"/>
      <c r="AK736" s="77"/>
      <c r="AL736" s="77"/>
      <c r="AM736" s="77"/>
      <c r="AN736" s="77"/>
      <c r="AO736" s="77"/>
      <c r="AP736" s="77"/>
      <c r="AQ736" s="77" t="s">
        <v>3961</v>
      </c>
      <c r="AR736" s="77"/>
      <c r="AS736" s="77"/>
      <c r="AT736" s="77"/>
      <c r="AU736" s="77"/>
      <c r="AV736" s="80" t="str">
        <f>HYPERLINK("https://pbs.twimg.com/media/Fqzn-uZXgAEHnIi.jpg")</f>
        <v>https://pbs.twimg.com/media/Fqzn-uZXgAEHnIi.jpg</v>
      </c>
      <c r="AW736" s="82" t="s">
        <v>4787</v>
      </c>
      <c r="AX736" s="82" t="s">
        <v>4787</v>
      </c>
      <c r="AY736" s="77"/>
      <c r="AZ736" s="82" t="s">
        <v>5075</v>
      </c>
      <c r="BA736" s="82" t="s">
        <v>5075</v>
      </c>
      <c r="BB736" s="82" t="s">
        <v>5075</v>
      </c>
      <c r="BC736" s="82" t="s">
        <v>4787</v>
      </c>
      <c r="BD736" s="82" t="s">
        <v>5240</v>
      </c>
      <c r="BE736" s="77"/>
      <c r="BF736" s="77"/>
      <c r="BG736" s="77"/>
      <c r="BH736" s="77"/>
      <c r="BI736" s="77"/>
    </row>
    <row r="737" spans="1:61" x14ac:dyDescent="0.25">
      <c r="A737" s="62" t="s">
        <v>434</v>
      </c>
      <c r="B737" s="62" t="s">
        <v>434</v>
      </c>
      <c r="C737" s="63"/>
      <c r="D737" s="64"/>
      <c r="E737" s="65"/>
      <c r="F737" s="66"/>
      <c r="G737" s="63"/>
      <c r="H737" s="67"/>
      <c r="I737" s="68"/>
      <c r="J737" s="68"/>
      <c r="K737" s="32"/>
      <c r="L737" s="75">
        <v>737</v>
      </c>
      <c r="M737" s="75"/>
      <c r="N737" s="70"/>
      <c r="O737" s="77" t="s">
        <v>179</v>
      </c>
      <c r="P737" s="79">
        <v>44993.875347222223</v>
      </c>
      <c r="Q737" s="77" t="s">
        <v>1264</v>
      </c>
      <c r="R737" s="77">
        <v>0</v>
      </c>
      <c r="S737" s="77">
        <v>0</v>
      </c>
      <c r="T737" s="77">
        <v>0</v>
      </c>
      <c r="U737" s="77">
        <v>0</v>
      </c>
      <c r="V737" s="77">
        <v>29</v>
      </c>
      <c r="W737" s="82" t="s">
        <v>1846</v>
      </c>
      <c r="X737" s="80" t="str">
        <f>HYPERLINK("http://metodotdl.com.br/tdl/telegram")</f>
        <v>http://metodotdl.com.br/tdl/telegram</v>
      </c>
      <c r="Y737" s="77" t="s">
        <v>1978</v>
      </c>
      <c r="Z737" s="77"/>
      <c r="AA737" s="77" t="s">
        <v>2533</v>
      </c>
      <c r="AB737" s="77" t="s">
        <v>2632</v>
      </c>
      <c r="AC737" s="82" t="s">
        <v>2642</v>
      </c>
      <c r="AD737" s="77" t="s">
        <v>2670</v>
      </c>
      <c r="AE737" s="80" t="str">
        <f>HYPERLINK("https://twitter.com/felippe_marcelo/status/1633573429596282880")</f>
        <v>https://twitter.com/felippe_marcelo/status/1633573429596282880</v>
      </c>
      <c r="AF737" s="79">
        <v>44993.875347222223</v>
      </c>
      <c r="AG737" s="85">
        <v>44993</v>
      </c>
      <c r="AH737" s="82" t="s">
        <v>3182</v>
      </c>
      <c r="AI737" s="77" t="b">
        <v>0</v>
      </c>
      <c r="AJ737" s="77"/>
      <c r="AK737" s="77"/>
      <c r="AL737" s="77"/>
      <c r="AM737" s="77"/>
      <c r="AN737" s="77"/>
      <c r="AO737" s="77"/>
      <c r="AP737" s="77"/>
      <c r="AQ737" s="77" t="s">
        <v>3962</v>
      </c>
      <c r="AR737" s="77"/>
      <c r="AS737" s="77"/>
      <c r="AT737" s="77"/>
      <c r="AU737" s="77"/>
      <c r="AV737" s="80" t="str">
        <f>HYPERLINK("https://pbs.twimg.com/media/FqueYEAXwAAk1GM.jpg")</f>
        <v>https://pbs.twimg.com/media/FqueYEAXwAAk1GM.jpg</v>
      </c>
      <c r="AW737" s="82" t="s">
        <v>4788</v>
      </c>
      <c r="AX737" s="82" t="s">
        <v>4788</v>
      </c>
      <c r="AY737" s="77"/>
      <c r="AZ737" s="82" t="s">
        <v>5075</v>
      </c>
      <c r="BA737" s="82" t="s">
        <v>5075</v>
      </c>
      <c r="BB737" s="82" t="s">
        <v>5075</v>
      </c>
      <c r="BC737" s="82" t="s">
        <v>4788</v>
      </c>
      <c r="BD737" s="82" t="s">
        <v>5240</v>
      </c>
      <c r="BE737" s="77"/>
      <c r="BF737" s="77"/>
      <c r="BG737" s="77"/>
      <c r="BH737" s="77"/>
      <c r="BI737" s="77"/>
    </row>
    <row r="738" spans="1:61" x14ac:dyDescent="0.25">
      <c r="A738" s="62" t="s">
        <v>434</v>
      </c>
      <c r="B738" s="62" t="s">
        <v>434</v>
      </c>
      <c r="C738" s="63"/>
      <c r="D738" s="64"/>
      <c r="E738" s="65"/>
      <c r="F738" s="66"/>
      <c r="G738" s="63"/>
      <c r="H738" s="67"/>
      <c r="I738" s="68"/>
      <c r="J738" s="68"/>
      <c r="K738" s="32"/>
      <c r="L738" s="75">
        <v>738</v>
      </c>
      <c r="M738" s="75"/>
      <c r="N738" s="70"/>
      <c r="O738" s="77" t="s">
        <v>179</v>
      </c>
      <c r="P738" s="79">
        <v>44967.875393518516</v>
      </c>
      <c r="Q738" s="77" t="s">
        <v>1265</v>
      </c>
      <c r="R738" s="77">
        <v>0</v>
      </c>
      <c r="S738" s="77">
        <v>0</v>
      </c>
      <c r="T738" s="77">
        <v>0</v>
      </c>
      <c r="U738" s="77">
        <v>0</v>
      </c>
      <c r="V738" s="77">
        <v>52</v>
      </c>
      <c r="W738" s="82" t="s">
        <v>1846</v>
      </c>
      <c r="X738" s="80" t="str">
        <f>HYPERLINK("http://metodotdl.com.br/tdl/telegram")</f>
        <v>http://metodotdl.com.br/tdl/telegram</v>
      </c>
      <c r="Y738" s="77" t="s">
        <v>1978</v>
      </c>
      <c r="Z738" s="77"/>
      <c r="AA738" s="77" t="s">
        <v>2534</v>
      </c>
      <c r="AB738" s="77" t="s">
        <v>2632</v>
      </c>
      <c r="AC738" s="82" t="s">
        <v>2642</v>
      </c>
      <c r="AD738" s="77" t="s">
        <v>2670</v>
      </c>
      <c r="AE738" s="80" t="str">
        <f>HYPERLINK("https://twitter.com/felippe_marcelo/status/1624151359833399297")</f>
        <v>https://twitter.com/felippe_marcelo/status/1624151359833399297</v>
      </c>
      <c r="AF738" s="79">
        <v>44967.875393518516</v>
      </c>
      <c r="AG738" s="85">
        <v>44967</v>
      </c>
      <c r="AH738" s="82" t="s">
        <v>2901</v>
      </c>
      <c r="AI738" s="77" t="b">
        <v>0</v>
      </c>
      <c r="AJ738" s="77"/>
      <c r="AK738" s="77"/>
      <c r="AL738" s="77"/>
      <c r="AM738" s="77"/>
      <c r="AN738" s="77"/>
      <c r="AO738" s="77"/>
      <c r="AP738" s="77"/>
      <c r="AQ738" s="77" t="s">
        <v>3963</v>
      </c>
      <c r="AR738" s="77"/>
      <c r="AS738" s="77"/>
      <c r="AT738" s="77"/>
      <c r="AU738" s="77"/>
      <c r="AV738" s="80" t="str">
        <f>HYPERLINK("https://pbs.twimg.com/media/FoolDatXwAErFpD.jpg")</f>
        <v>https://pbs.twimg.com/media/FoolDatXwAErFpD.jpg</v>
      </c>
      <c r="AW738" s="82" t="s">
        <v>4789</v>
      </c>
      <c r="AX738" s="82" t="s">
        <v>4789</v>
      </c>
      <c r="AY738" s="77"/>
      <c r="AZ738" s="82" t="s">
        <v>5075</v>
      </c>
      <c r="BA738" s="82" t="s">
        <v>5075</v>
      </c>
      <c r="BB738" s="82" t="s">
        <v>5075</v>
      </c>
      <c r="BC738" s="82" t="s">
        <v>4789</v>
      </c>
      <c r="BD738" s="82" t="s">
        <v>5240</v>
      </c>
      <c r="BE738" s="77"/>
      <c r="BF738" s="77"/>
      <c r="BG738" s="77"/>
      <c r="BH738" s="77"/>
      <c r="BI738" s="77"/>
    </row>
    <row r="739" spans="1:61" x14ac:dyDescent="0.25">
      <c r="A739" s="62" t="s">
        <v>434</v>
      </c>
      <c r="B739" s="62" t="s">
        <v>434</v>
      </c>
      <c r="C739" s="63"/>
      <c r="D739" s="64"/>
      <c r="E739" s="65"/>
      <c r="F739" s="66"/>
      <c r="G739" s="63"/>
      <c r="H739" s="67"/>
      <c r="I739" s="68"/>
      <c r="J739" s="68"/>
      <c r="K739" s="32"/>
      <c r="L739" s="75">
        <v>739</v>
      </c>
      <c r="M739" s="75"/>
      <c r="N739" s="70"/>
      <c r="O739" s="77" t="s">
        <v>179</v>
      </c>
      <c r="P739" s="79">
        <v>44957.875347222223</v>
      </c>
      <c r="Q739" s="77" t="s">
        <v>1266</v>
      </c>
      <c r="R739" s="77">
        <v>0</v>
      </c>
      <c r="S739" s="77">
        <v>0</v>
      </c>
      <c r="T739" s="77">
        <v>0</v>
      </c>
      <c r="U739" s="77">
        <v>0</v>
      </c>
      <c r="V739" s="77">
        <v>61</v>
      </c>
      <c r="W739" s="82" t="s">
        <v>1846</v>
      </c>
      <c r="X739" s="80" t="str">
        <f>HYPERLINK("http://metodotdl.com.br/tdl/telegram")</f>
        <v>http://metodotdl.com.br/tdl/telegram</v>
      </c>
      <c r="Y739" s="77" t="s">
        <v>1978</v>
      </c>
      <c r="Z739" s="77"/>
      <c r="AA739" s="77" t="s">
        <v>2535</v>
      </c>
      <c r="AB739" s="77" t="s">
        <v>2632</v>
      </c>
      <c r="AC739" s="82" t="s">
        <v>2642</v>
      </c>
      <c r="AD739" s="77" t="s">
        <v>2670</v>
      </c>
      <c r="AE739" s="80" t="str">
        <f>HYPERLINK("https://twitter.com/felippe_marcelo/status/1620527466463780868")</f>
        <v>https://twitter.com/felippe_marcelo/status/1620527466463780868</v>
      </c>
      <c r="AF739" s="79">
        <v>44957.875347222223</v>
      </c>
      <c r="AG739" s="85">
        <v>44957</v>
      </c>
      <c r="AH739" s="82" t="s">
        <v>3182</v>
      </c>
      <c r="AI739" s="77" t="b">
        <v>0</v>
      </c>
      <c r="AJ739" s="77"/>
      <c r="AK739" s="77"/>
      <c r="AL739" s="77"/>
      <c r="AM739" s="77"/>
      <c r="AN739" s="77"/>
      <c r="AO739" s="77"/>
      <c r="AP739" s="77"/>
      <c r="AQ739" s="77" t="s">
        <v>3964</v>
      </c>
      <c r="AR739" s="77"/>
      <c r="AS739" s="77"/>
      <c r="AT739" s="77"/>
      <c r="AU739" s="77"/>
      <c r="AV739" s="80" t="str">
        <f>HYPERLINK("https://pbs.twimg.com/media/Fn1FJEbXgAIKWm_.jpg")</f>
        <v>https://pbs.twimg.com/media/Fn1FJEbXgAIKWm_.jpg</v>
      </c>
      <c r="AW739" s="82" t="s">
        <v>4790</v>
      </c>
      <c r="AX739" s="82" t="s">
        <v>4790</v>
      </c>
      <c r="AY739" s="77"/>
      <c r="AZ739" s="82" t="s">
        <v>5075</v>
      </c>
      <c r="BA739" s="82" t="s">
        <v>5075</v>
      </c>
      <c r="BB739" s="82" t="s">
        <v>5075</v>
      </c>
      <c r="BC739" s="82" t="s">
        <v>4790</v>
      </c>
      <c r="BD739" s="82" t="s">
        <v>5240</v>
      </c>
      <c r="BE739" s="77"/>
      <c r="BF739" s="77"/>
      <c r="BG739" s="77"/>
      <c r="BH739" s="77"/>
      <c r="BI739" s="77"/>
    </row>
    <row r="740" spans="1:61" x14ac:dyDescent="0.25">
      <c r="A740" s="62" t="s">
        <v>434</v>
      </c>
      <c r="B740" s="62" t="s">
        <v>434</v>
      </c>
      <c r="C740" s="63"/>
      <c r="D740" s="64"/>
      <c r="E740" s="65"/>
      <c r="F740" s="66"/>
      <c r="G740" s="63"/>
      <c r="H740" s="67"/>
      <c r="I740" s="68"/>
      <c r="J740" s="68"/>
      <c r="K740" s="32"/>
      <c r="L740" s="75">
        <v>740</v>
      </c>
      <c r="M740" s="75"/>
      <c r="N740" s="70"/>
      <c r="O740" s="77" t="s">
        <v>179</v>
      </c>
      <c r="P740" s="79">
        <v>44949.875358796293</v>
      </c>
      <c r="Q740" s="77" t="s">
        <v>1267</v>
      </c>
      <c r="R740" s="77">
        <v>0</v>
      </c>
      <c r="S740" s="77">
        <v>0</v>
      </c>
      <c r="T740" s="77">
        <v>0</v>
      </c>
      <c r="U740" s="77">
        <v>0</v>
      </c>
      <c r="V740" s="77">
        <v>75</v>
      </c>
      <c r="W740" s="82" t="s">
        <v>1846</v>
      </c>
      <c r="X740" s="80" t="str">
        <f>HYPERLINK("http://metodotdl.com.br/tdl/telegram")</f>
        <v>http://metodotdl.com.br/tdl/telegram</v>
      </c>
      <c r="Y740" s="77" t="s">
        <v>1978</v>
      </c>
      <c r="Z740" s="77"/>
      <c r="AA740" s="77" t="s">
        <v>2536</v>
      </c>
      <c r="AB740" s="77" t="s">
        <v>2632</v>
      </c>
      <c r="AC740" s="82" t="s">
        <v>2642</v>
      </c>
      <c r="AD740" s="77" t="s">
        <v>2670</v>
      </c>
      <c r="AE740" s="80" t="str">
        <f>HYPERLINK("https://twitter.com/felippe_marcelo/status/1617628368429617152")</f>
        <v>https://twitter.com/felippe_marcelo/status/1617628368429617152</v>
      </c>
      <c r="AF740" s="79">
        <v>44949.875358796293</v>
      </c>
      <c r="AG740" s="85">
        <v>44949</v>
      </c>
      <c r="AH740" s="82" t="s">
        <v>3189</v>
      </c>
      <c r="AI740" s="77" t="b">
        <v>0</v>
      </c>
      <c r="AJ740" s="77"/>
      <c r="AK740" s="77"/>
      <c r="AL740" s="77"/>
      <c r="AM740" s="77"/>
      <c r="AN740" s="77"/>
      <c r="AO740" s="77"/>
      <c r="AP740" s="77"/>
      <c r="AQ740" s="77" t="s">
        <v>3965</v>
      </c>
      <c r="AR740" s="77"/>
      <c r="AS740" s="77"/>
      <c r="AT740" s="77"/>
      <c r="AU740" s="77"/>
      <c r="AV740" s="80" t="str">
        <f>HYPERLINK("https://pbs.twimg.com/media/FnL4bbGWYAAu1ql.jpg")</f>
        <v>https://pbs.twimg.com/media/FnL4bbGWYAAu1ql.jpg</v>
      </c>
      <c r="AW740" s="82" t="s">
        <v>4791</v>
      </c>
      <c r="AX740" s="82" t="s">
        <v>4791</v>
      </c>
      <c r="AY740" s="77"/>
      <c r="AZ740" s="82" t="s">
        <v>5075</v>
      </c>
      <c r="BA740" s="82" t="s">
        <v>5075</v>
      </c>
      <c r="BB740" s="82" t="s">
        <v>5075</v>
      </c>
      <c r="BC740" s="82" t="s">
        <v>4791</v>
      </c>
      <c r="BD740" s="82" t="s">
        <v>5240</v>
      </c>
      <c r="BE740" s="77"/>
      <c r="BF740" s="77"/>
      <c r="BG740" s="77"/>
      <c r="BH740" s="77"/>
      <c r="BI740" s="77"/>
    </row>
    <row r="741" spans="1:61" x14ac:dyDescent="0.25">
      <c r="A741" s="62" t="s">
        <v>434</v>
      </c>
      <c r="B741" s="62" t="s">
        <v>434</v>
      </c>
      <c r="C741" s="63"/>
      <c r="D741" s="64"/>
      <c r="E741" s="65"/>
      <c r="F741" s="66"/>
      <c r="G741" s="63"/>
      <c r="H741" s="67"/>
      <c r="I741" s="68"/>
      <c r="J741" s="68"/>
      <c r="K741" s="32"/>
      <c r="L741" s="75">
        <v>741</v>
      </c>
      <c r="M741" s="75"/>
      <c r="N741" s="70"/>
      <c r="O741" s="77" t="s">
        <v>179</v>
      </c>
      <c r="P741" s="79">
        <v>44945.882048611114</v>
      </c>
      <c r="Q741" s="77" t="s">
        <v>1268</v>
      </c>
      <c r="R741" s="77">
        <v>0</v>
      </c>
      <c r="S741" s="77">
        <v>0</v>
      </c>
      <c r="T741" s="77">
        <v>0</v>
      </c>
      <c r="U741" s="77">
        <v>0</v>
      </c>
      <c r="V741" s="77">
        <v>69</v>
      </c>
      <c r="W741" s="82" t="s">
        <v>1846</v>
      </c>
      <c r="X741" s="80" t="str">
        <f>HYPERLINK("http://metodotdl.com.br/tdl/telegram")</f>
        <v>http://metodotdl.com.br/tdl/telegram</v>
      </c>
      <c r="Y741" s="77" t="s">
        <v>1978</v>
      </c>
      <c r="Z741" s="77"/>
      <c r="AA741" s="77" t="s">
        <v>2537</v>
      </c>
      <c r="AB741" s="77" t="s">
        <v>2632</v>
      </c>
      <c r="AC741" s="82" t="s">
        <v>2642</v>
      </c>
      <c r="AD741" s="77" t="s">
        <v>2670</v>
      </c>
      <c r="AE741" s="80" t="str">
        <f>HYPERLINK("https://twitter.com/felippe_marcelo/status/1616181242109509659")</f>
        <v>https://twitter.com/felippe_marcelo/status/1616181242109509659</v>
      </c>
      <c r="AF741" s="79">
        <v>44945.882048611114</v>
      </c>
      <c r="AG741" s="85">
        <v>44945</v>
      </c>
      <c r="AH741" s="82" t="s">
        <v>3245</v>
      </c>
      <c r="AI741" s="77" t="b">
        <v>0</v>
      </c>
      <c r="AJ741" s="77"/>
      <c r="AK741" s="77"/>
      <c r="AL741" s="77"/>
      <c r="AM741" s="77"/>
      <c r="AN741" s="77"/>
      <c r="AO741" s="77"/>
      <c r="AP741" s="77"/>
      <c r="AQ741" s="77" t="s">
        <v>3966</v>
      </c>
      <c r="AR741" s="77"/>
      <c r="AS741" s="77"/>
      <c r="AT741" s="77"/>
      <c r="AU741" s="77"/>
      <c r="AV741" s="80" t="str">
        <f>HYPERLINK("https://pbs.twimg.com/media/Fm3URi_WQDAMLeb.jpg")</f>
        <v>https://pbs.twimg.com/media/Fm3URi_WQDAMLeb.jpg</v>
      </c>
      <c r="AW741" s="82" t="s">
        <v>4792</v>
      </c>
      <c r="AX741" s="82" t="s">
        <v>4792</v>
      </c>
      <c r="AY741" s="77"/>
      <c r="AZ741" s="82" t="s">
        <v>5075</v>
      </c>
      <c r="BA741" s="82" t="s">
        <v>5075</v>
      </c>
      <c r="BB741" s="82" t="s">
        <v>5075</v>
      </c>
      <c r="BC741" s="82" t="s">
        <v>4792</v>
      </c>
      <c r="BD741" s="82" t="s">
        <v>5240</v>
      </c>
      <c r="BE741" s="77"/>
      <c r="BF741" s="77"/>
      <c r="BG741" s="77"/>
      <c r="BH741" s="77"/>
      <c r="BI741" s="77"/>
    </row>
    <row r="742" spans="1:61" x14ac:dyDescent="0.25">
      <c r="A742" s="62" t="s">
        <v>434</v>
      </c>
      <c r="B742" s="62" t="s">
        <v>434</v>
      </c>
      <c r="C742" s="63"/>
      <c r="D742" s="64"/>
      <c r="E742" s="65"/>
      <c r="F742" s="66"/>
      <c r="G742" s="63"/>
      <c r="H742" s="67"/>
      <c r="I742" s="68"/>
      <c r="J742" s="68"/>
      <c r="K742" s="32"/>
      <c r="L742" s="75">
        <v>742</v>
      </c>
      <c r="M742" s="75"/>
      <c r="N742" s="70"/>
      <c r="O742" s="77" t="s">
        <v>179</v>
      </c>
      <c r="P742" s="79">
        <v>44944.878495370373</v>
      </c>
      <c r="Q742" s="77" t="s">
        <v>1269</v>
      </c>
      <c r="R742" s="77">
        <v>0</v>
      </c>
      <c r="S742" s="77">
        <v>0</v>
      </c>
      <c r="T742" s="77">
        <v>0</v>
      </c>
      <c r="U742" s="77">
        <v>0</v>
      </c>
      <c r="V742" s="77">
        <v>79</v>
      </c>
      <c r="W742" s="82" t="s">
        <v>1846</v>
      </c>
      <c r="X742" s="80" t="str">
        <f>HYPERLINK("http://metodotdl.com.br/tdl/telegram")</f>
        <v>http://metodotdl.com.br/tdl/telegram</v>
      </c>
      <c r="Y742" s="77" t="s">
        <v>1978</v>
      </c>
      <c r="Z742" s="77"/>
      <c r="AA742" s="77" t="s">
        <v>2538</v>
      </c>
      <c r="AB742" s="77" t="s">
        <v>2632</v>
      </c>
      <c r="AC742" s="82" t="s">
        <v>2642</v>
      </c>
      <c r="AD742" s="77" t="s">
        <v>2670</v>
      </c>
      <c r="AE742" s="80" t="str">
        <f>HYPERLINK("https://twitter.com/felippe_marcelo/status/1615817564503871488")</f>
        <v>https://twitter.com/felippe_marcelo/status/1615817564503871488</v>
      </c>
      <c r="AF742" s="79">
        <v>44944.878495370373</v>
      </c>
      <c r="AG742" s="85">
        <v>44944</v>
      </c>
      <c r="AH742" s="82" t="s">
        <v>3185</v>
      </c>
      <c r="AI742" s="77" t="b">
        <v>0</v>
      </c>
      <c r="AJ742" s="77"/>
      <c r="AK742" s="77"/>
      <c r="AL742" s="77"/>
      <c r="AM742" s="77"/>
      <c r="AN742" s="77"/>
      <c r="AO742" s="77"/>
      <c r="AP742" s="77"/>
      <c r="AQ742" s="77" t="s">
        <v>3967</v>
      </c>
      <c r="AR742" s="77"/>
      <c r="AS742" s="77"/>
      <c r="AT742" s="77"/>
      <c r="AU742" s="77"/>
      <c r="AV742" s="80" t="str">
        <f>HYPERLINK("https://pbs.twimg.com/media/FmyJgwQXwAA7ATR.jpg")</f>
        <v>https://pbs.twimg.com/media/FmyJgwQXwAA7ATR.jpg</v>
      </c>
      <c r="AW742" s="82" t="s">
        <v>4793</v>
      </c>
      <c r="AX742" s="82" t="s">
        <v>4793</v>
      </c>
      <c r="AY742" s="77"/>
      <c r="AZ742" s="82" t="s">
        <v>5075</v>
      </c>
      <c r="BA742" s="82" t="s">
        <v>5075</v>
      </c>
      <c r="BB742" s="82" t="s">
        <v>5075</v>
      </c>
      <c r="BC742" s="82" t="s">
        <v>4793</v>
      </c>
      <c r="BD742" s="82" t="s">
        <v>5240</v>
      </c>
      <c r="BE742" s="77"/>
      <c r="BF742" s="77"/>
      <c r="BG742" s="77"/>
      <c r="BH742" s="77"/>
      <c r="BI742" s="77"/>
    </row>
    <row r="743" spans="1:61" x14ac:dyDescent="0.25">
      <c r="A743" s="62" t="s">
        <v>435</v>
      </c>
      <c r="B743" s="62" t="s">
        <v>435</v>
      </c>
      <c r="C743" s="63"/>
      <c r="D743" s="64"/>
      <c r="E743" s="65"/>
      <c r="F743" s="66"/>
      <c r="G743" s="63"/>
      <c r="H743" s="67"/>
      <c r="I743" s="68"/>
      <c r="J743" s="68"/>
      <c r="K743" s="32"/>
      <c r="L743" s="75">
        <v>743</v>
      </c>
      <c r="M743" s="75"/>
      <c r="N743" s="70"/>
      <c r="O743" s="77" t="s">
        <v>179</v>
      </c>
      <c r="P743" s="79">
        <v>45015.70517361111</v>
      </c>
      <c r="Q743" s="77" t="s">
        <v>1270</v>
      </c>
      <c r="R743" s="77">
        <v>0</v>
      </c>
      <c r="S743" s="77">
        <v>0</v>
      </c>
      <c r="T743" s="77">
        <v>1</v>
      </c>
      <c r="U743" s="77">
        <v>0</v>
      </c>
      <c r="V743" s="77">
        <v>9</v>
      </c>
      <c r="W743" s="82" t="s">
        <v>1853</v>
      </c>
      <c r="X743" s="80" t="str">
        <f>HYPERLINK("https://www.youtube.com/watch?v=nXIGNe2D93s")</f>
        <v>https://www.youtube.com/watch?v=nXIGNe2D93s</v>
      </c>
      <c r="Y743" s="77" t="s">
        <v>1982</v>
      </c>
      <c r="Z743" s="77"/>
      <c r="AA743" s="77"/>
      <c r="AB743" s="77"/>
      <c r="AC743" s="82" t="s">
        <v>2639</v>
      </c>
      <c r="AD743" s="77" t="s">
        <v>2670</v>
      </c>
      <c r="AE743" s="80" t="str">
        <f>HYPERLINK("https://twitter.com/tech6group/status/1641484295394000898")</f>
        <v>https://twitter.com/tech6group/status/1641484295394000898</v>
      </c>
      <c r="AF743" s="79">
        <v>45015.70517361111</v>
      </c>
      <c r="AG743" s="85">
        <v>45015</v>
      </c>
      <c r="AH743" s="82" t="s">
        <v>3246</v>
      </c>
      <c r="AI743" s="77" t="b">
        <v>0</v>
      </c>
      <c r="AJ743" s="77"/>
      <c r="AK743" s="77"/>
      <c r="AL743" s="77"/>
      <c r="AM743" s="77"/>
      <c r="AN743" s="77"/>
      <c r="AO743" s="77"/>
      <c r="AP743" s="77"/>
      <c r="AQ743" s="77"/>
      <c r="AR743" s="77"/>
      <c r="AS743" s="77"/>
      <c r="AT743" s="77"/>
      <c r="AU743" s="77"/>
      <c r="AV743" s="80" t="str">
        <f>HYPERLINK("https://pbs.twimg.com/profile_images/1563207830257209344/tTbD2j7N_normal.jpg")</f>
        <v>https://pbs.twimg.com/profile_images/1563207830257209344/tTbD2j7N_normal.jpg</v>
      </c>
      <c r="AW743" s="82" t="s">
        <v>4794</v>
      </c>
      <c r="AX743" s="82" t="s">
        <v>4794</v>
      </c>
      <c r="AY743" s="77"/>
      <c r="AZ743" s="82" t="s">
        <v>5075</v>
      </c>
      <c r="BA743" s="82" t="s">
        <v>5075</v>
      </c>
      <c r="BB743" s="82" t="s">
        <v>5075</v>
      </c>
      <c r="BC743" s="82" t="s">
        <v>4794</v>
      </c>
      <c r="BD743" s="77">
        <v>182091017</v>
      </c>
      <c r="BE743" s="77"/>
      <c r="BF743" s="77"/>
      <c r="BG743" s="77"/>
      <c r="BH743" s="77"/>
      <c r="BI743" s="77"/>
    </row>
    <row r="744" spans="1:61" x14ac:dyDescent="0.25">
      <c r="A744" s="62" t="s">
        <v>436</v>
      </c>
      <c r="B744" s="62" t="s">
        <v>436</v>
      </c>
      <c r="C744" s="63"/>
      <c r="D744" s="64"/>
      <c r="E744" s="65"/>
      <c r="F744" s="66"/>
      <c r="G744" s="63"/>
      <c r="H744" s="67"/>
      <c r="I744" s="68"/>
      <c r="J744" s="68"/>
      <c r="K744" s="32"/>
      <c r="L744" s="75">
        <v>744</v>
      </c>
      <c r="M744" s="75"/>
      <c r="N744" s="70"/>
      <c r="O744" s="77" t="s">
        <v>179</v>
      </c>
      <c r="P744" s="79">
        <v>45063.037858796299</v>
      </c>
      <c r="Q744" s="77" t="s">
        <v>1271</v>
      </c>
      <c r="R744" s="77">
        <v>0</v>
      </c>
      <c r="S744" s="77">
        <v>0</v>
      </c>
      <c r="T744" s="77">
        <v>0</v>
      </c>
      <c r="U744" s="77">
        <v>0</v>
      </c>
      <c r="V744" s="77">
        <v>15</v>
      </c>
      <c r="W744" s="82" t="s">
        <v>1843</v>
      </c>
      <c r="X744" s="77"/>
      <c r="Y744" s="77"/>
      <c r="Z744" s="77"/>
      <c r="AA744" s="77"/>
      <c r="AB744" s="77"/>
      <c r="AC744" s="82" t="s">
        <v>2640</v>
      </c>
      <c r="AD744" s="77" t="s">
        <v>2670</v>
      </c>
      <c r="AE744" s="80" t="str">
        <f>HYPERLINK("https://twitter.com/ruivama/status/1658637083009863680")</f>
        <v>https://twitter.com/ruivama/status/1658637083009863680</v>
      </c>
      <c r="AF744" s="79">
        <v>45063.037858796299</v>
      </c>
      <c r="AG744" s="85">
        <v>45063</v>
      </c>
      <c r="AH744" s="82" t="s">
        <v>3247</v>
      </c>
      <c r="AI744" s="77"/>
      <c r="AJ744" s="77"/>
      <c r="AK744" s="77"/>
      <c r="AL744" s="77"/>
      <c r="AM744" s="77"/>
      <c r="AN744" s="77"/>
      <c r="AO744" s="77"/>
      <c r="AP744" s="77"/>
      <c r="AQ744" s="77"/>
      <c r="AR744" s="77"/>
      <c r="AS744" s="77"/>
      <c r="AT744" s="77"/>
      <c r="AU744" s="77"/>
      <c r="AV744" s="80" t="str">
        <f>HYPERLINK("https://pbs.twimg.com/profile_images/708332566198231040/k6IlJtZH_normal.jpg")</f>
        <v>https://pbs.twimg.com/profile_images/708332566198231040/k6IlJtZH_normal.jpg</v>
      </c>
      <c r="AW744" s="82" t="s">
        <v>4795</v>
      </c>
      <c r="AX744" s="82" t="s">
        <v>4795</v>
      </c>
      <c r="AY744" s="77"/>
      <c r="AZ744" s="82" t="s">
        <v>5075</v>
      </c>
      <c r="BA744" s="82" t="s">
        <v>5075</v>
      </c>
      <c r="BB744" s="82" t="s">
        <v>5075</v>
      </c>
      <c r="BC744" s="82" t="s">
        <v>4795</v>
      </c>
      <c r="BD744" s="77">
        <v>78683818</v>
      </c>
      <c r="BE744" s="77"/>
      <c r="BF744" s="77"/>
      <c r="BG744" s="77"/>
      <c r="BH744" s="77"/>
      <c r="BI744" s="77"/>
    </row>
    <row r="745" spans="1:61" x14ac:dyDescent="0.25">
      <c r="A745" s="62" t="s">
        <v>437</v>
      </c>
      <c r="B745" s="62" t="s">
        <v>437</v>
      </c>
      <c r="C745" s="63"/>
      <c r="D745" s="64"/>
      <c r="E745" s="65"/>
      <c r="F745" s="66"/>
      <c r="G745" s="63"/>
      <c r="H745" s="67"/>
      <c r="I745" s="68"/>
      <c r="J745" s="68"/>
      <c r="K745" s="32"/>
      <c r="L745" s="75">
        <v>745</v>
      </c>
      <c r="M745" s="75"/>
      <c r="N745" s="70"/>
      <c r="O745" s="77" t="s">
        <v>536</v>
      </c>
      <c r="P745" s="79">
        <v>45102.24759259259</v>
      </c>
      <c r="Q745" s="77" t="s">
        <v>1272</v>
      </c>
      <c r="R745" s="77">
        <v>0</v>
      </c>
      <c r="S745" s="77">
        <v>0</v>
      </c>
      <c r="T745" s="77">
        <v>0</v>
      </c>
      <c r="U745" s="77">
        <v>0</v>
      </c>
      <c r="V745" s="77">
        <v>8</v>
      </c>
      <c r="W745" s="82" t="s">
        <v>1854</v>
      </c>
      <c r="X745" s="77"/>
      <c r="Y745" s="77"/>
      <c r="Z745" s="77"/>
      <c r="AA745" s="77"/>
      <c r="AB745" s="77"/>
      <c r="AC745" s="82" t="s">
        <v>2639</v>
      </c>
      <c r="AD745" s="77" t="s">
        <v>2675</v>
      </c>
      <c r="AE745" s="80" t="str">
        <f>HYPERLINK("https://twitter.com/gabinetedarma/status/1672846215560454144")</f>
        <v>https://twitter.com/gabinetedarma/status/1672846215560454144</v>
      </c>
      <c r="AF745" s="79">
        <v>45102.24759259259</v>
      </c>
      <c r="AG745" s="85">
        <v>45102</v>
      </c>
      <c r="AH745" s="82" t="s">
        <v>3248</v>
      </c>
      <c r="AI745" s="77"/>
      <c r="AJ745" s="77"/>
      <c r="AK745" s="77"/>
      <c r="AL745" s="77"/>
      <c r="AM745" s="77"/>
      <c r="AN745" s="77"/>
      <c r="AO745" s="77"/>
      <c r="AP745" s="77"/>
      <c r="AQ745" s="77"/>
      <c r="AR745" s="77"/>
      <c r="AS745" s="77"/>
      <c r="AT745" s="77"/>
      <c r="AU745" s="77"/>
      <c r="AV745" s="80" t="str">
        <f>HYPERLINK("https://pbs.twimg.com/profile_images/1660480847227625472/-_hXBVZP_normal.jpg")</f>
        <v>https://pbs.twimg.com/profile_images/1660480847227625472/-_hXBVZP_normal.jpg</v>
      </c>
      <c r="AW745" s="82" t="s">
        <v>4796</v>
      </c>
      <c r="AX745" s="82" t="s">
        <v>5014</v>
      </c>
      <c r="AY745" s="82" t="s">
        <v>5063</v>
      </c>
      <c r="AZ745" s="82" t="s">
        <v>5014</v>
      </c>
      <c r="BA745" s="82" t="s">
        <v>5075</v>
      </c>
      <c r="BB745" s="82" t="s">
        <v>5075</v>
      </c>
      <c r="BC745" s="82" t="s">
        <v>5014</v>
      </c>
      <c r="BD745" s="82" t="s">
        <v>5063</v>
      </c>
      <c r="BE745" s="77"/>
      <c r="BF745" s="77"/>
      <c r="BG745" s="77"/>
      <c r="BH745" s="77"/>
      <c r="BI745" s="77"/>
    </row>
    <row r="746" spans="1:61" x14ac:dyDescent="0.25">
      <c r="A746" s="62" t="s">
        <v>438</v>
      </c>
      <c r="B746" s="62" t="s">
        <v>438</v>
      </c>
      <c r="C746" s="63"/>
      <c r="D746" s="64"/>
      <c r="E746" s="65"/>
      <c r="F746" s="66"/>
      <c r="G746" s="63"/>
      <c r="H746" s="67"/>
      <c r="I746" s="68"/>
      <c r="J746" s="68"/>
      <c r="K746" s="32"/>
      <c r="L746" s="75">
        <v>746</v>
      </c>
      <c r="M746" s="75"/>
      <c r="N746" s="70"/>
      <c r="O746" s="77" t="s">
        <v>536</v>
      </c>
      <c r="P746" s="79">
        <v>44969.049953703703</v>
      </c>
      <c r="Q746" s="77" t="s">
        <v>1273</v>
      </c>
      <c r="R746" s="77">
        <v>0</v>
      </c>
      <c r="S746" s="77">
        <v>1</v>
      </c>
      <c r="T746" s="77">
        <v>0</v>
      </c>
      <c r="U746" s="77">
        <v>0</v>
      </c>
      <c r="V746" s="77">
        <v>44</v>
      </c>
      <c r="W746" s="82" t="s">
        <v>1855</v>
      </c>
      <c r="X746" s="77"/>
      <c r="Y746" s="77"/>
      <c r="Z746" s="77"/>
      <c r="AA746" s="77"/>
      <c r="AB746" s="77"/>
      <c r="AC746" s="82" t="s">
        <v>2638</v>
      </c>
      <c r="AD746" s="77" t="s">
        <v>2670</v>
      </c>
      <c r="AE746" s="80" t="str">
        <f>HYPERLINK("https://twitter.com/islenoaraujo/status/1624577007345446912")</f>
        <v>https://twitter.com/islenoaraujo/status/1624577007345446912</v>
      </c>
      <c r="AF746" s="79">
        <v>44969.049953703703</v>
      </c>
      <c r="AG746" s="85">
        <v>44969</v>
      </c>
      <c r="AH746" s="82" t="s">
        <v>3249</v>
      </c>
      <c r="AI746" s="77"/>
      <c r="AJ746" s="77"/>
      <c r="AK746" s="77"/>
      <c r="AL746" s="77"/>
      <c r="AM746" s="77"/>
      <c r="AN746" s="77"/>
      <c r="AO746" s="77"/>
      <c r="AP746" s="77"/>
      <c r="AQ746" s="77"/>
      <c r="AR746" s="77"/>
      <c r="AS746" s="77"/>
      <c r="AT746" s="77"/>
      <c r="AU746" s="77"/>
      <c r="AV746" s="80" t="str">
        <f>HYPERLINK("https://pbs.twimg.com/profile_images/1428534845819572228/qG_8zMGg_normal.jpg")</f>
        <v>https://pbs.twimg.com/profile_images/1428534845819572228/qG_8zMGg_normal.jpg</v>
      </c>
      <c r="AW746" s="82" t="s">
        <v>4797</v>
      </c>
      <c r="AX746" s="82" t="s">
        <v>5015</v>
      </c>
      <c r="AY746" s="82" t="s">
        <v>5064</v>
      </c>
      <c r="AZ746" s="82" t="s">
        <v>5015</v>
      </c>
      <c r="BA746" s="82" t="s">
        <v>5075</v>
      </c>
      <c r="BB746" s="82" t="s">
        <v>5075</v>
      </c>
      <c r="BC746" s="82" t="s">
        <v>5015</v>
      </c>
      <c r="BD746" s="77">
        <v>213528305</v>
      </c>
      <c r="BE746" s="77"/>
      <c r="BF746" s="77"/>
      <c r="BG746" s="77"/>
      <c r="BH746" s="77"/>
      <c r="BI746" s="77"/>
    </row>
    <row r="747" spans="1:61" x14ac:dyDescent="0.25">
      <c r="A747" s="62" t="s">
        <v>439</v>
      </c>
      <c r="B747" s="62" t="s">
        <v>439</v>
      </c>
      <c r="C747" s="63"/>
      <c r="D747" s="64"/>
      <c r="E747" s="65"/>
      <c r="F747" s="66"/>
      <c r="G747" s="63"/>
      <c r="H747" s="67"/>
      <c r="I747" s="68"/>
      <c r="J747" s="68"/>
      <c r="K747" s="32"/>
      <c r="L747" s="75">
        <v>747</v>
      </c>
      <c r="M747" s="75"/>
      <c r="N747" s="70"/>
      <c r="O747" s="77" t="s">
        <v>179</v>
      </c>
      <c r="P747" s="79">
        <v>45177.572175925925</v>
      </c>
      <c r="Q747" s="77" t="s">
        <v>1274</v>
      </c>
      <c r="R747" s="77">
        <v>0</v>
      </c>
      <c r="S747" s="77">
        <v>0</v>
      </c>
      <c r="T747" s="77">
        <v>0</v>
      </c>
      <c r="U747" s="77">
        <v>0</v>
      </c>
      <c r="V747" s="77">
        <v>6</v>
      </c>
      <c r="W747" s="82" t="s">
        <v>1856</v>
      </c>
      <c r="X747" s="80" t="str">
        <f>HYPERLINK("https://investireviver.com.br/economize-dinheiro-com-8-despesas-mensais-que-voce-pode-cortar/")</f>
        <v>https://investireviver.com.br/economize-dinheiro-com-8-despesas-mensais-que-voce-pode-cortar/</v>
      </c>
      <c r="Y747" s="77" t="s">
        <v>1978</v>
      </c>
      <c r="Z747" s="77"/>
      <c r="AA747" s="77"/>
      <c r="AB747" s="77"/>
      <c r="AC747" s="82" t="s">
        <v>2639</v>
      </c>
      <c r="AD747" s="77" t="s">
        <v>2670</v>
      </c>
      <c r="AE747" s="80" t="str">
        <f>HYPERLINK("https://twitter.com/investireviver8/status/1700142929401036806")</f>
        <v>https://twitter.com/investireviver8/status/1700142929401036806</v>
      </c>
      <c r="AF747" s="79">
        <v>45177.572175925925</v>
      </c>
      <c r="AG747" s="85">
        <v>45177</v>
      </c>
      <c r="AH747" s="82" t="s">
        <v>3250</v>
      </c>
      <c r="AI747" s="77" t="b">
        <v>0</v>
      </c>
      <c r="AJ747" s="77"/>
      <c r="AK747" s="77"/>
      <c r="AL747" s="77"/>
      <c r="AM747" s="77"/>
      <c r="AN747" s="77"/>
      <c r="AO747" s="77"/>
      <c r="AP747" s="77"/>
      <c r="AQ747" s="77"/>
      <c r="AR747" s="77"/>
      <c r="AS747" s="77"/>
      <c r="AT747" s="77"/>
      <c r="AU747" s="77"/>
      <c r="AV747" s="80" t="str">
        <f>HYPERLINK("https://pbs.twimg.com/profile_images/1687907833109516288/7INM3SmX_normal.png")</f>
        <v>https://pbs.twimg.com/profile_images/1687907833109516288/7INM3SmX_normal.png</v>
      </c>
      <c r="AW747" s="82" t="s">
        <v>4798</v>
      </c>
      <c r="AX747" s="82" t="s">
        <v>4798</v>
      </c>
      <c r="AY747" s="77"/>
      <c r="AZ747" s="82" t="s">
        <v>5075</v>
      </c>
      <c r="BA747" s="82" t="s">
        <v>5075</v>
      </c>
      <c r="BB747" s="82" t="s">
        <v>5075</v>
      </c>
      <c r="BC747" s="82" t="s">
        <v>4798</v>
      </c>
      <c r="BD747" s="82" t="s">
        <v>5241</v>
      </c>
      <c r="BE747" s="77"/>
      <c r="BF747" s="77"/>
      <c r="BG747" s="77"/>
      <c r="BH747" s="77"/>
      <c r="BI747" s="77"/>
    </row>
    <row r="748" spans="1:61" x14ac:dyDescent="0.25">
      <c r="A748" s="62" t="s">
        <v>439</v>
      </c>
      <c r="B748" s="62" t="s">
        <v>439</v>
      </c>
      <c r="C748" s="63"/>
      <c r="D748" s="64"/>
      <c r="E748" s="65"/>
      <c r="F748" s="66"/>
      <c r="G748" s="63"/>
      <c r="H748" s="67"/>
      <c r="I748" s="68"/>
      <c r="J748" s="68"/>
      <c r="K748" s="32"/>
      <c r="L748" s="75">
        <v>748</v>
      </c>
      <c r="M748" s="75"/>
      <c r="N748" s="70"/>
      <c r="O748" s="77" t="s">
        <v>179</v>
      </c>
      <c r="P748" s="79">
        <v>45178.564432870371</v>
      </c>
      <c r="Q748" s="77" t="s">
        <v>1275</v>
      </c>
      <c r="R748" s="77">
        <v>0</v>
      </c>
      <c r="S748" s="77">
        <v>0</v>
      </c>
      <c r="T748" s="77">
        <v>0</v>
      </c>
      <c r="U748" s="77">
        <v>0</v>
      </c>
      <c r="V748" s="77">
        <v>4</v>
      </c>
      <c r="W748" s="82" t="s">
        <v>1857</v>
      </c>
      <c r="X748" s="80" t="str">
        <f>HYPERLINK("https://investireviver.com.br/ferias-economicas-de-fim-de-ano-planeje-sem-dividas/")</f>
        <v>https://investireviver.com.br/ferias-economicas-de-fim-de-ano-planeje-sem-dividas/</v>
      </c>
      <c r="Y748" s="77" t="s">
        <v>1978</v>
      </c>
      <c r="Z748" s="77"/>
      <c r="AA748" s="77"/>
      <c r="AB748" s="77"/>
      <c r="AC748" s="82" t="s">
        <v>2639</v>
      </c>
      <c r="AD748" s="77" t="s">
        <v>2670</v>
      </c>
      <c r="AE748" s="80" t="str">
        <f>HYPERLINK("https://twitter.com/investireviver8/status/1700502510648086990")</f>
        <v>https://twitter.com/investireviver8/status/1700502510648086990</v>
      </c>
      <c r="AF748" s="79">
        <v>45178.564432870371</v>
      </c>
      <c r="AG748" s="85">
        <v>45178</v>
      </c>
      <c r="AH748" s="82" t="s">
        <v>3251</v>
      </c>
      <c r="AI748" s="77" t="b">
        <v>0</v>
      </c>
      <c r="AJ748" s="77"/>
      <c r="AK748" s="77"/>
      <c r="AL748" s="77"/>
      <c r="AM748" s="77"/>
      <c r="AN748" s="77"/>
      <c r="AO748" s="77"/>
      <c r="AP748" s="77"/>
      <c r="AQ748" s="77"/>
      <c r="AR748" s="77"/>
      <c r="AS748" s="77"/>
      <c r="AT748" s="77"/>
      <c r="AU748" s="77"/>
      <c r="AV748" s="80" t="str">
        <f>HYPERLINK("https://pbs.twimg.com/profile_images/1687907833109516288/7INM3SmX_normal.png")</f>
        <v>https://pbs.twimg.com/profile_images/1687907833109516288/7INM3SmX_normal.png</v>
      </c>
      <c r="AW748" s="82" t="s">
        <v>4799</v>
      </c>
      <c r="AX748" s="82" t="s">
        <v>4799</v>
      </c>
      <c r="AY748" s="77"/>
      <c r="AZ748" s="82" t="s">
        <v>5075</v>
      </c>
      <c r="BA748" s="82" t="s">
        <v>5075</v>
      </c>
      <c r="BB748" s="82" t="s">
        <v>5075</v>
      </c>
      <c r="BC748" s="82" t="s">
        <v>4799</v>
      </c>
      <c r="BD748" s="82" t="s">
        <v>5241</v>
      </c>
      <c r="BE748" s="77"/>
      <c r="BF748" s="77"/>
      <c r="BG748" s="77"/>
      <c r="BH748" s="77"/>
      <c r="BI748" s="77"/>
    </row>
    <row r="749" spans="1:61" x14ac:dyDescent="0.25">
      <c r="A749" s="62" t="s">
        <v>439</v>
      </c>
      <c r="B749" s="62" t="s">
        <v>439</v>
      </c>
      <c r="C749" s="63"/>
      <c r="D749" s="64"/>
      <c r="E749" s="65"/>
      <c r="F749" s="66"/>
      <c r="G749" s="63"/>
      <c r="H749" s="67"/>
      <c r="I749" s="68"/>
      <c r="J749" s="68"/>
      <c r="K749" s="32"/>
      <c r="L749" s="75">
        <v>749</v>
      </c>
      <c r="M749" s="75"/>
      <c r="N749" s="70"/>
      <c r="O749" s="77" t="s">
        <v>179</v>
      </c>
      <c r="P749" s="79">
        <v>45181.509583333333</v>
      </c>
      <c r="Q749" s="77" t="s">
        <v>1276</v>
      </c>
      <c r="R749" s="77">
        <v>0</v>
      </c>
      <c r="S749" s="77">
        <v>0</v>
      </c>
      <c r="T749" s="77">
        <v>0</v>
      </c>
      <c r="U749" s="77">
        <v>0</v>
      </c>
      <c r="V749" s="77">
        <v>1</v>
      </c>
      <c r="W749" s="82" t="s">
        <v>1858</v>
      </c>
      <c r="X749" s="80" t="str">
        <f>HYPERLINK("https://investireviver.com.br/vida-a-dois-dicas-financeiras-para-casais-morando-juntos/")</f>
        <v>https://investireviver.com.br/vida-a-dois-dicas-financeiras-para-casais-morando-juntos/</v>
      </c>
      <c r="Y749" s="77" t="s">
        <v>1978</v>
      </c>
      <c r="Z749" s="77"/>
      <c r="AA749" s="77"/>
      <c r="AB749" s="77"/>
      <c r="AC749" s="82" t="s">
        <v>2639</v>
      </c>
      <c r="AD749" s="77" t="s">
        <v>2670</v>
      </c>
      <c r="AE749" s="80" t="str">
        <f>HYPERLINK("https://twitter.com/investireviver8/status/1701569800441417827")</f>
        <v>https://twitter.com/investireviver8/status/1701569800441417827</v>
      </c>
      <c r="AF749" s="79">
        <v>45181.509583333333</v>
      </c>
      <c r="AG749" s="85">
        <v>45181</v>
      </c>
      <c r="AH749" s="82" t="s">
        <v>3252</v>
      </c>
      <c r="AI749" s="77" t="b">
        <v>0</v>
      </c>
      <c r="AJ749" s="77"/>
      <c r="AK749" s="77"/>
      <c r="AL749" s="77"/>
      <c r="AM749" s="77"/>
      <c r="AN749" s="77"/>
      <c r="AO749" s="77"/>
      <c r="AP749" s="77"/>
      <c r="AQ749" s="77"/>
      <c r="AR749" s="77"/>
      <c r="AS749" s="77"/>
      <c r="AT749" s="77"/>
      <c r="AU749" s="77"/>
      <c r="AV749" s="80" t="str">
        <f>HYPERLINK("https://pbs.twimg.com/profile_images/1687907833109516288/7INM3SmX_normal.png")</f>
        <v>https://pbs.twimg.com/profile_images/1687907833109516288/7INM3SmX_normal.png</v>
      </c>
      <c r="AW749" s="82" t="s">
        <v>4800</v>
      </c>
      <c r="AX749" s="82" t="s">
        <v>4800</v>
      </c>
      <c r="AY749" s="77"/>
      <c r="AZ749" s="82" t="s">
        <v>5075</v>
      </c>
      <c r="BA749" s="82" t="s">
        <v>5075</v>
      </c>
      <c r="BB749" s="82" t="s">
        <v>5075</v>
      </c>
      <c r="BC749" s="82" t="s">
        <v>4800</v>
      </c>
      <c r="BD749" s="82" t="s">
        <v>5241</v>
      </c>
      <c r="BE749" s="77"/>
      <c r="BF749" s="77"/>
      <c r="BG749" s="77"/>
      <c r="BH749" s="77"/>
      <c r="BI749" s="77"/>
    </row>
    <row r="750" spans="1:61" x14ac:dyDescent="0.25">
      <c r="A750" s="62" t="s">
        <v>439</v>
      </c>
      <c r="B750" s="62" t="s">
        <v>439</v>
      </c>
      <c r="C750" s="63"/>
      <c r="D750" s="64"/>
      <c r="E750" s="65"/>
      <c r="F750" s="66"/>
      <c r="G750" s="63"/>
      <c r="H750" s="67"/>
      <c r="I750" s="68"/>
      <c r="J750" s="68"/>
      <c r="K750" s="32"/>
      <c r="L750" s="75">
        <v>750</v>
      </c>
      <c r="M750" s="75"/>
      <c r="N750" s="70"/>
      <c r="O750" s="77" t="s">
        <v>179</v>
      </c>
      <c r="P750" s="79">
        <v>45194.527314814812</v>
      </c>
      <c r="Q750" s="77" t="s">
        <v>1277</v>
      </c>
      <c r="R750" s="77">
        <v>0</v>
      </c>
      <c r="S750" s="77">
        <v>0</v>
      </c>
      <c r="T750" s="77">
        <v>0</v>
      </c>
      <c r="U750" s="77">
        <v>0</v>
      </c>
      <c r="V750" s="77">
        <v>3</v>
      </c>
      <c r="W750" s="82" t="s">
        <v>1859</v>
      </c>
      <c r="X750" s="80" t="str">
        <f>HYPERLINK("https://investireviver.com.br/6-passos-para-um-orcamento-domestico-mais-organizado/")</f>
        <v>https://investireviver.com.br/6-passos-para-um-orcamento-domestico-mais-organizado/</v>
      </c>
      <c r="Y750" s="77" t="s">
        <v>1978</v>
      </c>
      <c r="Z750" s="77"/>
      <c r="AA750" s="77"/>
      <c r="AB750" s="77"/>
      <c r="AC750" s="82" t="s">
        <v>2639</v>
      </c>
      <c r="AD750" s="77" t="s">
        <v>2670</v>
      </c>
      <c r="AE750" s="80" t="str">
        <f>HYPERLINK("https://twitter.com/investireviver8/status/1706287268661522546")</f>
        <v>https://twitter.com/investireviver8/status/1706287268661522546</v>
      </c>
      <c r="AF750" s="79">
        <v>45194.527314814812</v>
      </c>
      <c r="AG750" s="85">
        <v>45194</v>
      </c>
      <c r="AH750" s="82" t="s">
        <v>3253</v>
      </c>
      <c r="AI750" s="77" t="b">
        <v>0</v>
      </c>
      <c r="AJ750" s="77"/>
      <c r="AK750" s="77"/>
      <c r="AL750" s="77"/>
      <c r="AM750" s="77"/>
      <c r="AN750" s="77"/>
      <c r="AO750" s="77"/>
      <c r="AP750" s="77"/>
      <c r="AQ750" s="77"/>
      <c r="AR750" s="77"/>
      <c r="AS750" s="77"/>
      <c r="AT750" s="77"/>
      <c r="AU750" s="77"/>
      <c r="AV750" s="80" t="str">
        <f>HYPERLINK("https://pbs.twimg.com/profile_images/1687907833109516288/7INM3SmX_normal.png")</f>
        <v>https://pbs.twimg.com/profile_images/1687907833109516288/7INM3SmX_normal.png</v>
      </c>
      <c r="AW750" s="82" t="s">
        <v>4801</v>
      </c>
      <c r="AX750" s="82" t="s">
        <v>4801</v>
      </c>
      <c r="AY750" s="77"/>
      <c r="AZ750" s="82" t="s">
        <v>5075</v>
      </c>
      <c r="BA750" s="82" t="s">
        <v>5075</v>
      </c>
      <c r="BB750" s="82" t="s">
        <v>5075</v>
      </c>
      <c r="BC750" s="82" t="s">
        <v>4801</v>
      </c>
      <c r="BD750" s="82" t="s">
        <v>5241</v>
      </c>
      <c r="BE750" s="77"/>
      <c r="BF750" s="77"/>
      <c r="BG750" s="77"/>
      <c r="BH750" s="77"/>
      <c r="BI750" s="77"/>
    </row>
    <row r="751" spans="1:61" x14ac:dyDescent="0.25">
      <c r="A751" s="62" t="s">
        <v>440</v>
      </c>
      <c r="B751" s="62" t="s">
        <v>440</v>
      </c>
      <c r="C751" s="63"/>
      <c r="D751" s="64"/>
      <c r="E751" s="65"/>
      <c r="F751" s="66"/>
      <c r="G751" s="63"/>
      <c r="H751" s="67"/>
      <c r="I751" s="68"/>
      <c r="J751" s="68"/>
      <c r="K751" s="32"/>
      <c r="L751" s="75">
        <v>751</v>
      </c>
      <c r="M751" s="75"/>
      <c r="N751" s="70"/>
      <c r="O751" s="77" t="s">
        <v>179</v>
      </c>
      <c r="P751" s="79">
        <v>45021.583113425928</v>
      </c>
      <c r="Q751" s="77" t="s">
        <v>1278</v>
      </c>
      <c r="R751" s="77">
        <v>0</v>
      </c>
      <c r="S751" s="77">
        <v>1</v>
      </c>
      <c r="T751" s="77">
        <v>0</v>
      </c>
      <c r="U751" s="77">
        <v>0</v>
      </c>
      <c r="V751" s="77">
        <v>13</v>
      </c>
      <c r="W751" s="82" t="s">
        <v>1860</v>
      </c>
      <c r="X751" s="77"/>
      <c r="Y751" s="77"/>
      <c r="Z751" s="77"/>
      <c r="AA751" s="77" t="s">
        <v>2539</v>
      </c>
      <c r="AB751" s="77" t="s">
        <v>2632</v>
      </c>
      <c r="AC751" s="82" t="s">
        <v>2640</v>
      </c>
      <c r="AD751" s="77" t="s">
        <v>2673</v>
      </c>
      <c r="AE751" s="80" t="str">
        <f>HYPERLINK("https://twitter.com/mantovanicondo1/status/1643614385745567745")</f>
        <v>https://twitter.com/mantovanicondo1/status/1643614385745567745</v>
      </c>
      <c r="AF751" s="79">
        <v>45021.583113425928</v>
      </c>
      <c r="AG751" s="85">
        <v>45021</v>
      </c>
      <c r="AH751" s="82" t="s">
        <v>3254</v>
      </c>
      <c r="AI751" s="77" t="b">
        <v>0</v>
      </c>
      <c r="AJ751" s="77"/>
      <c r="AK751" s="77"/>
      <c r="AL751" s="77"/>
      <c r="AM751" s="77"/>
      <c r="AN751" s="77"/>
      <c r="AO751" s="77"/>
      <c r="AP751" s="77"/>
      <c r="AQ751" s="77" t="s">
        <v>3968</v>
      </c>
      <c r="AR751" s="77"/>
      <c r="AS751" s="77"/>
      <c r="AT751" s="77"/>
      <c r="AU751" s="77"/>
      <c r="AV751" s="80" t="str">
        <f>HYPERLINK("https://pbs.twimg.com/media/Fs9KkhbWwAQwtw6.jpg")</f>
        <v>https://pbs.twimg.com/media/Fs9KkhbWwAQwtw6.jpg</v>
      </c>
      <c r="AW751" s="82" t="s">
        <v>4802</v>
      </c>
      <c r="AX751" s="82" t="s">
        <v>4802</v>
      </c>
      <c r="AY751" s="77"/>
      <c r="AZ751" s="82" t="s">
        <v>5075</v>
      </c>
      <c r="BA751" s="82" t="s">
        <v>5075</v>
      </c>
      <c r="BB751" s="82" t="s">
        <v>5075</v>
      </c>
      <c r="BC751" s="82" t="s">
        <v>4802</v>
      </c>
      <c r="BD751" s="82" t="s">
        <v>5242</v>
      </c>
      <c r="BE751" s="77"/>
      <c r="BF751" s="77"/>
      <c r="BG751" s="77"/>
      <c r="BH751" s="77"/>
      <c r="BI751" s="77"/>
    </row>
    <row r="752" spans="1:61" x14ac:dyDescent="0.25">
      <c r="A752" s="62" t="s">
        <v>441</v>
      </c>
      <c r="B752" s="62" t="s">
        <v>441</v>
      </c>
      <c r="C752" s="63"/>
      <c r="D752" s="64"/>
      <c r="E752" s="65"/>
      <c r="F752" s="66"/>
      <c r="G752" s="63"/>
      <c r="H752" s="67"/>
      <c r="I752" s="68"/>
      <c r="J752" s="68"/>
      <c r="K752" s="32"/>
      <c r="L752" s="75">
        <v>752</v>
      </c>
      <c r="M752" s="75"/>
      <c r="N752" s="70"/>
      <c r="O752" s="77" t="s">
        <v>536</v>
      </c>
      <c r="P752" s="79">
        <v>45126.552546296298</v>
      </c>
      <c r="Q752" s="77" t="s">
        <v>1279</v>
      </c>
      <c r="R752" s="77">
        <v>0</v>
      </c>
      <c r="S752" s="77">
        <v>0</v>
      </c>
      <c r="T752" s="77">
        <v>0</v>
      </c>
      <c r="U752" s="77">
        <v>0</v>
      </c>
      <c r="V752" s="77">
        <v>27</v>
      </c>
      <c r="W752" s="82" t="s">
        <v>1861</v>
      </c>
      <c r="X752" s="77"/>
      <c r="Y752" s="77"/>
      <c r="Z752" s="77"/>
      <c r="AA752" s="77"/>
      <c r="AB752" s="77"/>
      <c r="AC752" s="82" t="s">
        <v>2639</v>
      </c>
      <c r="AD752" s="77" t="s">
        <v>2675</v>
      </c>
      <c r="AE752" s="80" t="str">
        <f>HYPERLINK("https://twitter.com/macedo_contador/status/1681654035248472066")</f>
        <v>https://twitter.com/macedo_contador/status/1681654035248472066</v>
      </c>
      <c r="AF752" s="79">
        <v>45126.552546296298</v>
      </c>
      <c r="AG752" s="85">
        <v>45126</v>
      </c>
      <c r="AH752" s="82" t="s">
        <v>3255</v>
      </c>
      <c r="AI752" s="77"/>
      <c r="AJ752" s="77"/>
      <c r="AK752" s="77"/>
      <c r="AL752" s="77"/>
      <c r="AM752" s="77"/>
      <c r="AN752" s="77"/>
      <c r="AO752" s="77"/>
      <c r="AP752" s="77"/>
      <c r="AQ752" s="77"/>
      <c r="AR752" s="77"/>
      <c r="AS752" s="77"/>
      <c r="AT752" s="77"/>
      <c r="AU752" s="77"/>
      <c r="AV752" s="80" t="str">
        <f>HYPERLINK("https://pbs.twimg.com/profile_images/1680928006276038656/TeWfTlis_normal.jpg")</f>
        <v>https://pbs.twimg.com/profile_images/1680928006276038656/TeWfTlis_normal.jpg</v>
      </c>
      <c r="AW752" s="82" t="s">
        <v>4803</v>
      </c>
      <c r="AX752" s="82" t="s">
        <v>5016</v>
      </c>
      <c r="AY752" s="82" t="s">
        <v>5065</v>
      </c>
      <c r="AZ752" s="82" t="s">
        <v>5016</v>
      </c>
      <c r="BA752" s="82" t="s">
        <v>5075</v>
      </c>
      <c r="BB752" s="82" t="s">
        <v>5075</v>
      </c>
      <c r="BC752" s="82" t="s">
        <v>5016</v>
      </c>
      <c r="BD752" s="82" t="s">
        <v>5065</v>
      </c>
      <c r="BE752" s="77"/>
      <c r="BF752" s="77"/>
      <c r="BG752" s="77"/>
      <c r="BH752" s="77"/>
      <c r="BI752" s="77"/>
    </row>
    <row r="753" spans="1:61" x14ac:dyDescent="0.25">
      <c r="A753" s="62" t="s">
        <v>442</v>
      </c>
      <c r="B753" s="62" t="s">
        <v>442</v>
      </c>
      <c r="C753" s="63"/>
      <c r="D753" s="64"/>
      <c r="E753" s="65"/>
      <c r="F753" s="66"/>
      <c r="G753" s="63"/>
      <c r="H753" s="67"/>
      <c r="I753" s="68"/>
      <c r="J753" s="68"/>
      <c r="K753" s="32"/>
      <c r="L753" s="75">
        <v>753</v>
      </c>
      <c r="M753" s="75"/>
      <c r="N753" s="70"/>
      <c r="O753" s="77" t="s">
        <v>179</v>
      </c>
      <c r="P753" s="79">
        <v>45112.516041666669</v>
      </c>
      <c r="Q753" s="77" t="s">
        <v>1280</v>
      </c>
      <c r="R753" s="77">
        <v>0</v>
      </c>
      <c r="S753" s="77">
        <v>1</v>
      </c>
      <c r="T753" s="77">
        <v>0</v>
      </c>
      <c r="U753" s="77">
        <v>0</v>
      </c>
      <c r="V753" s="77">
        <v>58</v>
      </c>
      <c r="W753" s="82" t="s">
        <v>1606</v>
      </c>
      <c r="X753" s="77"/>
      <c r="Y753" s="77"/>
      <c r="Z753" s="77"/>
      <c r="AA753" s="77"/>
      <c r="AB753" s="77"/>
      <c r="AC753" s="82" t="s">
        <v>2639</v>
      </c>
      <c r="AD753" s="77" t="s">
        <v>2670</v>
      </c>
      <c r="AE753" s="80" t="str">
        <f>HYPERLINK("https://twitter.com/leandromachadoz/status/1676567379067772930")</f>
        <v>https://twitter.com/leandromachadoz/status/1676567379067772930</v>
      </c>
      <c r="AF753" s="79">
        <v>45112.516041666669</v>
      </c>
      <c r="AG753" s="85">
        <v>45112</v>
      </c>
      <c r="AH753" s="82" t="s">
        <v>3256</v>
      </c>
      <c r="AI753" s="77"/>
      <c r="AJ753" s="77"/>
      <c r="AK753" s="77"/>
      <c r="AL753" s="77"/>
      <c r="AM753" s="77"/>
      <c r="AN753" s="77"/>
      <c r="AO753" s="77"/>
      <c r="AP753" s="77"/>
      <c r="AQ753" s="77"/>
      <c r="AR753" s="77"/>
      <c r="AS753" s="77"/>
      <c r="AT753" s="77"/>
      <c r="AU753" s="77"/>
      <c r="AV753" s="80" t="str">
        <f>HYPERLINK("https://pbs.twimg.com/profile_images/1706371043718275072/GvJyIN69_normal.jpg")</f>
        <v>https://pbs.twimg.com/profile_images/1706371043718275072/GvJyIN69_normal.jpg</v>
      </c>
      <c r="AW753" s="82" t="s">
        <v>4804</v>
      </c>
      <c r="AX753" s="82" t="s">
        <v>4804</v>
      </c>
      <c r="AY753" s="77"/>
      <c r="AZ753" s="82" t="s">
        <v>5075</v>
      </c>
      <c r="BA753" s="82" t="s">
        <v>5075</v>
      </c>
      <c r="BB753" s="82" t="s">
        <v>5075</v>
      </c>
      <c r="BC753" s="82" t="s">
        <v>4804</v>
      </c>
      <c r="BD753" s="82" t="s">
        <v>5243</v>
      </c>
      <c r="BE753" s="77"/>
      <c r="BF753" s="77"/>
      <c r="BG753" s="77"/>
      <c r="BH753" s="77"/>
      <c r="BI753" s="77"/>
    </row>
    <row r="754" spans="1:61" x14ac:dyDescent="0.25">
      <c r="A754" s="62" t="s">
        <v>443</v>
      </c>
      <c r="B754" s="62" t="s">
        <v>443</v>
      </c>
      <c r="C754" s="63"/>
      <c r="D754" s="64"/>
      <c r="E754" s="65"/>
      <c r="F754" s="66"/>
      <c r="G754" s="63"/>
      <c r="H754" s="67"/>
      <c r="I754" s="68"/>
      <c r="J754" s="68"/>
      <c r="K754" s="32"/>
      <c r="L754" s="75">
        <v>754</v>
      </c>
      <c r="M754" s="75"/>
      <c r="N754" s="70"/>
      <c r="O754" s="77" t="s">
        <v>179</v>
      </c>
      <c r="P754" s="79">
        <v>45078.036365740743</v>
      </c>
      <c r="Q754" s="77" t="s">
        <v>1281</v>
      </c>
      <c r="R754" s="77">
        <v>0</v>
      </c>
      <c r="S754" s="77">
        <v>0</v>
      </c>
      <c r="T754" s="77">
        <v>0</v>
      </c>
      <c r="U754" s="77">
        <v>0</v>
      </c>
      <c r="V754" s="77">
        <v>12</v>
      </c>
      <c r="W754" s="82" t="s">
        <v>1435</v>
      </c>
      <c r="X754" s="77"/>
      <c r="Y754" s="77"/>
      <c r="Z754" s="77"/>
      <c r="AA754" s="77"/>
      <c r="AB754" s="77"/>
      <c r="AC754" s="82" t="s">
        <v>2638</v>
      </c>
      <c r="AD754" s="77" t="s">
        <v>2670</v>
      </c>
      <c r="AE754" s="80" t="str">
        <f>HYPERLINK("https://twitter.com/rogeriomontali/status/1664072362554261505")</f>
        <v>https://twitter.com/rogeriomontali/status/1664072362554261505</v>
      </c>
      <c r="AF754" s="79">
        <v>45078.036365740743</v>
      </c>
      <c r="AG754" s="85">
        <v>45078</v>
      </c>
      <c r="AH754" s="82" t="s">
        <v>3257</v>
      </c>
      <c r="AI754" s="77"/>
      <c r="AJ754" s="77"/>
      <c r="AK754" s="77"/>
      <c r="AL754" s="77"/>
      <c r="AM754" s="77"/>
      <c r="AN754" s="77"/>
      <c r="AO754" s="77"/>
      <c r="AP754" s="77"/>
      <c r="AQ754" s="77"/>
      <c r="AR754" s="77"/>
      <c r="AS754" s="77"/>
      <c r="AT754" s="77"/>
      <c r="AU754" s="77"/>
      <c r="AV754" s="80" t="str">
        <f>HYPERLINK("https://pbs.twimg.com/profile_images/1650821209951485953/B1-WOrna_normal.jpg")</f>
        <v>https://pbs.twimg.com/profile_images/1650821209951485953/B1-WOrna_normal.jpg</v>
      </c>
      <c r="AW754" s="82" t="s">
        <v>4805</v>
      </c>
      <c r="AX754" s="82" t="s">
        <v>4805</v>
      </c>
      <c r="AY754" s="77"/>
      <c r="AZ754" s="82" t="s">
        <v>5075</v>
      </c>
      <c r="BA754" s="82" t="s">
        <v>5075</v>
      </c>
      <c r="BB754" s="82" t="s">
        <v>5075</v>
      </c>
      <c r="BC754" s="82" t="s">
        <v>4805</v>
      </c>
      <c r="BD754" s="77">
        <v>288550432</v>
      </c>
      <c r="BE754" s="77"/>
      <c r="BF754" s="77"/>
      <c r="BG754" s="77"/>
      <c r="BH754" s="77"/>
      <c r="BI754" s="77"/>
    </row>
    <row r="755" spans="1:61" x14ac:dyDescent="0.25">
      <c r="A755" s="62" t="s">
        <v>443</v>
      </c>
      <c r="B755" s="62" t="s">
        <v>443</v>
      </c>
      <c r="C755" s="63"/>
      <c r="D755" s="64"/>
      <c r="E755" s="65"/>
      <c r="F755" s="66"/>
      <c r="G755" s="63"/>
      <c r="H755" s="67"/>
      <c r="I755" s="68"/>
      <c r="J755" s="68"/>
      <c r="K755" s="32"/>
      <c r="L755" s="75">
        <v>755</v>
      </c>
      <c r="M755" s="75"/>
      <c r="N755" s="70"/>
      <c r="O755" s="77" t="s">
        <v>179</v>
      </c>
      <c r="P755" s="79">
        <v>45069.710694444446</v>
      </c>
      <c r="Q755" s="77" t="s">
        <v>1282</v>
      </c>
      <c r="R755" s="77">
        <v>0</v>
      </c>
      <c r="S755" s="77">
        <v>0</v>
      </c>
      <c r="T755" s="77">
        <v>0</v>
      </c>
      <c r="U755" s="77">
        <v>0</v>
      </c>
      <c r="V755" s="77">
        <v>15</v>
      </c>
      <c r="W755" s="82" t="s">
        <v>1862</v>
      </c>
      <c r="X755" s="77"/>
      <c r="Y755" s="77"/>
      <c r="Z755" s="77"/>
      <c r="AA755" s="77"/>
      <c r="AB755" s="77"/>
      <c r="AC755" s="82" t="s">
        <v>2662</v>
      </c>
      <c r="AD755" s="77" t="s">
        <v>2670</v>
      </c>
      <c r="AE755" s="80" t="str">
        <f>HYPERLINK("https://twitter.com/rogeriomontali/status/1661055236784504857")</f>
        <v>https://twitter.com/rogeriomontali/status/1661055236784504857</v>
      </c>
      <c r="AF755" s="79">
        <v>45069.710694444446</v>
      </c>
      <c r="AG755" s="85">
        <v>45069</v>
      </c>
      <c r="AH755" s="82" t="s">
        <v>3258</v>
      </c>
      <c r="AI755" s="77"/>
      <c r="AJ755" s="77"/>
      <c r="AK755" s="77"/>
      <c r="AL755" s="77"/>
      <c r="AM755" s="77"/>
      <c r="AN755" s="77"/>
      <c r="AO755" s="77"/>
      <c r="AP755" s="77"/>
      <c r="AQ755" s="77"/>
      <c r="AR755" s="77"/>
      <c r="AS755" s="77"/>
      <c r="AT755" s="77"/>
      <c r="AU755" s="77"/>
      <c r="AV755" s="80" t="str">
        <f>HYPERLINK("https://pbs.twimg.com/profile_images/1650821209951485953/B1-WOrna_normal.jpg")</f>
        <v>https://pbs.twimg.com/profile_images/1650821209951485953/B1-WOrna_normal.jpg</v>
      </c>
      <c r="AW755" s="82" t="s">
        <v>4806</v>
      </c>
      <c r="AX755" s="82" t="s">
        <v>4806</v>
      </c>
      <c r="AY755" s="77"/>
      <c r="AZ755" s="82" t="s">
        <v>5075</v>
      </c>
      <c r="BA755" s="82" t="s">
        <v>5075</v>
      </c>
      <c r="BB755" s="82" t="s">
        <v>5075</v>
      </c>
      <c r="BC755" s="82" t="s">
        <v>4806</v>
      </c>
      <c r="BD755" s="77">
        <v>288550432</v>
      </c>
      <c r="BE755" s="77"/>
      <c r="BF755" s="77"/>
      <c r="BG755" s="77"/>
      <c r="BH755" s="77"/>
      <c r="BI755" s="77"/>
    </row>
    <row r="756" spans="1:61" x14ac:dyDescent="0.25">
      <c r="A756" s="62" t="s">
        <v>443</v>
      </c>
      <c r="B756" s="62" t="s">
        <v>443</v>
      </c>
      <c r="C756" s="63"/>
      <c r="D756" s="64"/>
      <c r="E756" s="65"/>
      <c r="F756" s="66"/>
      <c r="G756" s="63"/>
      <c r="H756" s="67"/>
      <c r="I756" s="68"/>
      <c r="J756" s="68"/>
      <c r="K756" s="32"/>
      <c r="L756" s="75">
        <v>756</v>
      </c>
      <c r="M756" s="75"/>
      <c r="N756" s="70"/>
      <c r="O756" s="77" t="s">
        <v>179</v>
      </c>
      <c r="P756" s="79">
        <v>45076.50509259259</v>
      </c>
      <c r="Q756" s="77" t="s">
        <v>1283</v>
      </c>
      <c r="R756" s="77">
        <v>0</v>
      </c>
      <c r="S756" s="77">
        <v>0</v>
      </c>
      <c r="T756" s="77">
        <v>0</v>
      </c>
      <c r="U756" s="77">
        <v>0</v>
      </c>
      <c r="V756" s="77">
        <v>11</v>
      </c>
      <c r="W756" s="82" t="s">
        <v>1435</v>
      </c>
      <c r="X756" s="77"/>
      <c r="Y756" s="77"/>
      <c r="Z756" s="77"/>
      <c r="AA756" s="77"/>
      <c r="AB756" s="77"/>
      <c r="AC756" s="82" t="s">
        <v>2662</v>
      </c>
      <c r="AD756" s="77" t="s">
        <v>2670</v>
      </c>
      <c r="AE756" s="80" t="str">
        <f>HYPERLINK("https://twitter.com/rogeriomontali/status/1663517447561904129")</f>
        <v>https://twitter.com/rogeriomontali/status/1663517447561904129</v>
      </c>
      <c r="AF756" s="79">
        <v>45076.50509259259</v>
      </c>
      <c r="AG756" s="85">
        <v>45076</v>
      </c>
      <c r="AH756" s="82" t="s">
        <v>3259</v>
      </c>
      <c r="AI756" s="77"/>
      <c r="AJ756" s="77"/>
      <c r="AK756" s="77"/>
      <c r="AL756" s="77"/>
      <c r="AM756" s="77"/>
      <c r="AN756" s="77"/>
      <c r="AO756" s="77"/>
      <c r="AP756" s="77"/>
      <c r="AQ756" s="77"/>
      <c r="AR756" s="77"/>
      <c r="AS756" s="77"/>
      <c r="AT756" s="77"/>
      <c r="AU756" s="77"/>
      <c r="AV756" s="80" t="str">
        <f>HYPERLINK("https://pbs.twimg.com/profile_images/1650821209951485953/B1-WOrna_normal.jpg")</f>
        <v>https://pbs.twimg.com/profile_images/1650821209951485953/B1-WOrna_normal.jpg</v>
      </c>
      <c r="AW756" s="82" t="s">
        <v>4807</v>
      </c>
      <c r="AX756" s="82" t="s">
        <v>4807</v>
      </c>
      <c r="AY756" s="77"/>
      <c r="AZ756" s="82" t="s">
        <v>5075</v>
      </c>
      <c r="BA756" s="82" t="s">
        <v>5075</v>
      </c>
      <c r="BB756" s="82" t="s">
        <v>5075</v>
      </c>
      <c r="BC756" s="82" t="s">
        <v>4807</v>
      </c>
      <c r="BD756" s="77">
        <v>288550432</v>
      </c>
      <c r="BE756" s="77"/>
      <c r="BF756" s="77"/>
      <c r="BG756" s="77"/>
      <c r="BH756" s="77"/>
      <c r="BI756" s="77"/>
    </row>
    <row r="757" spans="1:61" x14ac:dyDescent="0.25">
      <c r="A757" s="62" t="s">
        <v>443</v>
      </c>
      <c r="B757" s="62" t="s">
        <v>443</v>
      </c>
      <c r="C757" s="63"/>
      <c r="D757" s="64"/>
      <c r="E757" s="65"/>
      <c r="F757" s="66"/>
      <c r="G757" s="63"/>
      <c r="H757" s="67"/>
      <c r="I757" s="68"/>
      <c r="J757" s="68"/>
      <c r="K757" s="32"/>
      <c r="L757" s="75">
        <v>757</v>
      </c>
      <c r="M757" s="75"/>
      <c r="N757" s="70"/>
      <c r="O757" s="77" t="s">
        <v>179</v>
      </c>
      <c r="P757" s="79">
        <v>45072.042361111111</v>
      </c>
      <c r="Q757" s="77" t="s">
        <v>1284</v>
      </c>
      <c r="R757" s="77">
        <v>0</v>
      </c>
      <c r="S757" s="77">
        <v>0</v>
      </c>
      <c r="T757" s="77">
        <v>0</v>
      </c>
      <c r="U757" s="77">
        <v>0</v>
      </c>
      <c r="V757" s="77">
        <v>12</v>
      </c>
      <c r="W757" s="82" t="s">
        <v>1862</v>
      </c>
      <c r="X757" s="77"/>
      <c r="Y757" s="77"/>
      <c r="Z757" s="77"/>
      <c r="AA757" s="77"/>
      <c r="AB757" s="77"/>
      <c r="AC757" s="82" t="s">
        <v>2662</v>
      </c>
      <c r="AD757" s="77" t="s">
        <v>2670</v>
      </c>
      <c r="AE757" s="80" t="str">
        <f>HYPERLINK("https://twitter.com/rogeriomontali/status/1661900207037067265")</f>
        <v>https://twitter.com/rogeriomontali/status/1661900207037067265</v>
      </c>
      <c r="AF757" s="79">
        <v>45072.042361111111</v>
      </c>
      <c r="AG757" s="85">
        <v>45072</v>
      </c>
      <c r="AH757" s="82" t="s">
        <v>3260</v>
      </c>
      <c r="AI757" s="77"/>
      <c r="AJ757" s="77"/>
      <c r="AK757" s="77"/>
      <c r="AL757" s="77"/>
      <c r="AM757" s="77"/>
      <c r="AN757" s="77"/>
      <c r="AO757" s="77"/>
      <c r="AP757" s="77"/>
      <c r="AQ757" s="77"/>
      <c r="AR757" s="77"/>
      <c r="AS757" s="77"/>
      <c r="AT757" s="77"/>
      <c r="AU757" s="77"/>
      <c r="AV757" s="80" t="str">
        <f>HYPERLINK("https://pbs.twimg.com/profile_images/1650821209951485953/B1-WOrna_normal.jpg")</f>
        <v>https://pbs.twimg.com/profile_images/1650821209951485953/B1-WOrna_normal.jpg</v>
      </c>
      <c r="AW757" s="82" t="s">
        <v>4808</v>
      </c>
      <c r="AX757" s="82" t="s">
        <v>4808</v>
      </c>
      <c r="AY757" s="77"/>
      <c r="AZ757" s="82" t="s">
        <v>5075</v>
      </c>
      <c r="BA757" s="82" t="s">
        <v>5075</v>
      </c>
      <c r="BB757" s="82" t="s">
        <v>5075</v>
      </c>
      <c r="BC757" s="82" t="s">
        <v>4808</v>
      </c>
      <c r="BD757" s="77">
        <v>288550432</v>
      </c>
      <c r="BE757" s="77"/>
      <c r="BF757" s="77"/>
      <c r="BG757" s="77"/>
      <c r="BH757" s="77"/>
      <c r="BI757" s="77"/>
    </row>
    <row r="758" spans="1:61" x14ac:dyDescent="0.25">
      <c r="A758" s="62" t="s">
        <v>443</v>
      </c>
      <c r="B758" s="62" t="s">
        <v>443</v>
      </c>
      <c r="C758" s="63"/>
      <c r="D758" s="64"/>
      <c r="E758" s="65"/>
      <c r="F758" s="66"/>
      <c r="G758" s="63"/>
      <c r="H758" s="67"/>
      <c r="I758" s="68"/>
      <c r="J758" s="68"/>
      <c r="K758" s="32"/>
      <c r="L758" s="75">
        <v>758</v>
      </c>
      <c r="M758" s="75"/>
      <c r="N758" s="70"/>
      <c r="O758" s="77" t="s">
        <v>179</v>
      </c>
      <c r="P758" s="79">
        <v>45091.402083333334</v>
      </c>
      <c r="Q758" s="77" t="s">
        <v>1285</v>
      </c>
      <c r="R758" s="77">
        <v>0</v>
      </c>
      <c r="S758" s="77">
        <v>0</v>
      </c>
      <c r="T758" s="77">
        <v>0</v>
      </c>
      <c r="U758" s="77">
        <v>0</v>
      </c>
      <c r="V758" s="77">
        <v>10</v>
      </c>
      <c r="W758" s="82" t="s">
        <v>1863</v>
      </c>
      <c r="X758" s="77"/>
      <c r="Y758" s="77"/>
      <c r="Z758" s="77"/>
      <c r="AA758" s="77"/>
      <c r="AB758" s="77"/>
      <c r="AC758" s="82" t="s">
        <v>2662</v>
      </c>
      <c r="AD758" s="77" t="s">
        <v>2670</v>
      </c>
      <c r="AE758" s="80" t="str">
        <f>HYPERLINK("https://twitter.com/rogeriomontali/status/1668915935397249024")</f>
        <v>https://twitter.com/rogeriomontali/status/1668915935397249024</v>
      </c>
      <c r="AF758" s="79">
        <v>45091.402083333334</v>
      </c>
      <c r="AG758" s="85">
        <v>45091</v>
      </c>
      <c r="AH758" s="82" t="s">
        <v>3261</v>
      </c>
      <c r="AI758" s="77"/>
      <c r="AJ758" s="77"/>
      <c r="AK758" s="77"/>
      <c r="AL758" s="77"/>
      <c r="AM758" s="77"/>
      <c r="AN758" s="77"/>
      <c r="AO758" s="77"/>
      <c r="AP758" s="77"/>
      <c r="AQ758" s="77"/>
      <c r="AR758" s="77"/>
      <c r="AS758" s="77"/>
      <c r="AT758" s="77"/>
      <c r="AU758" s="77"/>
      <c r="AV758" s="80" t="str">
        <f>HYPERLINK("https://pbs.twimg.com/profile_images/1650821209951485953/B1-WOrna_normal.jpg")</f>
        <v>https://pbs.twimg.com/profile_images/1650821209951485953/B1-WOrna_normal.jpg</v>
      </c>
      <c r="AW758" s="82" t="s">
        <v>4809</v>
      </c>
      <c r="AX758" s="82" t="s">
        <v>4809</v>
      </c>
      <c r="AY758" s="77"/>
      <c r="AZ758" s="82" t="s">
        <v>5075</v>
      </c>
      <c r="BA758" s="82" t="s">
        <v>5075</v>
      </c>
      <c r="BB758" s="82" t="s">
        <v>5075</v>
      </c>
      <c r="BC758" s="82" t="s">
        <v>4809</v>
      </c>
      <c r="BD758" s="77">
        <v>288550432</v>
      </c>
      <c r="BE758" s="77"/>
      <c r="BF758" s="77"/>
      <c r="BG758" s="77"/>
      <c r="BH758" s="77"/>
      <c r="BI758" s="77"/>
    </row>
    <row r="759" spans="1:61" x14ac:dyDescent="0.25">
      <c r="A759" s="62" t="s">
        <v>443</v>
      </c>
      <c r="B759" s="62" t="s">
        <v>443</v>
      </c>
      <c r="C759" s="63"/>
      <c r="D759" s="64"/>
      <c r="E759" s="65"/>
      <c r="F759" s="66"/>
      <c r="G759" s="63"/>
      <c r="H759" s="67"/>
      <c r="I759" s="68"/>
      <c r="J759" s="68"/>
      <c r="K759" s="32"/>
      <c r="L759" s="75">
        <v>759</v>
      </c>
      <c r="M759" s="75"/>
      <c r="N759" s="70"/>
      <c r="O759" s="77" t="s">
        <v>179</v>
      </c>
      <c r="P759" s="79">
        <v>45084.477083333331</v>
      </c>
      <c r="Q759" s="77" t="s">
        <v>1286</v>
      </c>
      <c r="R759" s="77">
        <v>0</v>
      </c>
      <c r="S759" s="77">
        <v>0</v>
      </c>
      <c r="T759" s="77">
        <v>0</v>
      </c>
      <c r="U759" s="77">
        <v>0</v>
      </c>
      <c r="V759" s="77">
        <v>7</v>
      </c>
      <c r="W759" s="82" t="s">
        <v>1435</v>
      </c>
      <c r="X759" s="77"/>
      <c r="Y759" s="77"/>
      <c r="Z759" s="77"/>
      <c r="AA759" s="77"/>
      <c r="AB759" s="77"/>
      <c r="AC759" s="82" t="s">
        <v>2662</v>
      </c>
      <c r="AD759" s="77" t="s">
        <v>2670</v>
      </c>
      <c r="AE759" s="80" t="str">
        <f>HYPERLINK("https://twitter.com/rogeriomontali/status/1666406400820428802")</f>
        <v>https://twitter.com/rogeriomontali/status/1666406400820428802</v>
      </c>
      <c r="AF759" s="79">
        <v>45084.477083333331</v>
      </c>
      <c r="AG759" s="85">
        <v>45084</v>
      </c>
      <c r="AH759" s="82" t="s">
        <v>3262</v>
      </c>
      <c r="AI759" s="77"/>
      <c r="AJ759" s="77"/>
      <c r="AK759" s="77"/>
      <c r="AL759" s="77"/>
      <c r="AM759" s="77"/>
      <c r="AN759" s="77"/>
      <c r="AO759" s="77"/>
      <c r="AP759" s="77"/>
      <c r="AQ759" s="77"/>
      <c r="AR759" s="77"/>
      <c r="AS759" s="77"/>
      <c r="AT759" s="77"/>
      <c r="AU759" s="77"/>
      <c r="AV759" s="80" t="str">
        <f>HYPERLINK("https://pbs.twimg.com/profile_images/1650821209951485953/B1-WOrna_normal.jpg")</f>
        <v>https://pbs.twimg.com/profile_images/1650821209951485953/B1-WOrna_normal.jpg</v>
      </c>
      <c r="AW759" s="82" t="s">
        <v>4810</v>
      </c>
      <c r="AX759" s="82" t="s">
        <v>4810</v>
      </c>
      <c r="AY759" s="77"/>
      <c r="AZ759" s="82" t="s">
        <v>5075</v>
      </c>
      <c r="BA759" s="82" t="s">
        <v>5075</v>
      </c>
      <c r="BB759" s="82" t="s">
        <v>5075</v>
      </c>
      <c r="BC759" s="82" t="s">
        <v>4810</v>
      </c>
      <c r="BD759" s="77">
        <v>288550432</v>
      </c>
      <c r="BE759" s="77"/>
      <c r="BF759" s="77"/>
      <c r="BG759" s="77"/>
      <c r="BH759" s="77"/>
      <c r="BI759" s="77"/>
    </row>
    <row r="760" spans="1:61" x14ac:dyDescent="0.25">
      <c r="A760" s="62" t="s">
        <v>443</v>
      </c>
      <c r="B760" s="62" t="s">
        <v>443</v>
      </c>
      <c r="C760" s="63"/>
      <c r="D760" s="64"/>
      <c r="E760" s="65"/>
      <c r="F760" s="66"/>
      <c r="G760" s="63"/>
      <c r="H760" s="67"/>
      <c r="I760" s="68"/>
      <c r="J760" s="68"/>
      <c r="K760" s="32"/>
      <c r="L760" s="75">
        <v>760</v>
      </c>
      <c r="M760" s="75"/>
      <c r="N760" s="70"/>
      <c r="O760" s="77" t="s">
        <v>179</v>
      </c>
      <c r="P760" s="79">
        <v>45086.570150462961</v>
      </c>
      <c r="Q760" s="77" t="s">
        <v>1287</v>
      </c>
      <c r="R760" s="77">
        <v>0</v>
      </c>
      <c r="S760" s="77">
        <v>0</v>
      </c>
      <c r="T760" s="77">
        <v>0</v>
      </c>
      <c r="U760" s="77">
        <v>0</v>
      </c>
      <c r="V760" s="77">
        <v>13</v>
      </c>
      <c r="W760" s="82" t="s">
        <v>1435</v>
      </c>
      <c r="X760" s="77"/>
      <c r="Y760" s="77"/>
      <c r="Z760" s="77"/>
      <c r="AA760" s="77"/>
      <c r="AB760" s="77"/>
      <c r="AC760" s="82" t="s">
        <v>2662</v>
      </c>
      <c r="AD760" s="77" t="s">
        <v>2670</v>
      </c>
      <c r="AE760" s="80" t="str">
        <f>HYPERLINK("https://twitter.com/rogeriomontali/status/1667164900349599744")</f>
        <v>https://twitter.com/rogeriomontali/status/1667164900349599744</v>
      </c>
      <c r="AF760" s="79">
        <v>45086.570150462961</v>
      </c>
      <c r="AG760" s="85">
        <v>45086</v>
      </c>
      <c r="AH760" s="82" t="s">
        <v>3263</v>
      </c>
      <c r="AI760" s="77"/>
      <c r="AJ760" s="77"/>
      <c r="AK760" s="77"/>
      <c r="AL760" s="77"/>
      <c r="AM760" s="77"/>
      <c r="AN760" s="77"/>
      <c r="AO760" s="77"/>
      <c r="AP760" s="77"/>
      <c r="AQ760" s="77"/>
      <c r="AR760" s="77"/>
      <c r="AS760" s="77"/>
      <c r="AT760" s="77"/>
      <c r="AU760" s="77"/>
      <c r="AV760" s="80" t="str">
        <f>HYPERLINK("https://pbs.twimg.com/profile_images/1650821209951485953/B1-WOrna_normal.jpg")</f>
        <v>https://pbs.twimg.com/profile_images/1650821209951485953/B1-WOrna_normal.jpg</v>
      </c>
      <c r="AW760" s="82" t="s">
        <v>4811</v>
      </c>
      <c r="AX760" s="82" t="s">
        <v>4811</v>
      </c>
      <c r="AY760" s="77"/>
      <c r="AZ760" s="82" t="s">
        <v>5075</v>
      </c>
      <c r="BA760" s="82" t="s">
        <v>5075</v>
      </c>
      <c r="BB760" s="82" t="s">
        <v>5075</v>
      </c>
      <c r="BC760" s="82" t="s">
        <v>4811</v>
      </c>
      <c r="BD760" s="77">
        <v>288550432</v>
      </c>
      <c r="BE760" s="77"/>
      <c r="BF760" s="77"/>
      <c r="BG760" s="77"/>
      <c r="BH760" s="77"/>
      <c r="BI760" s="77"/>
    </row>
    <row r="761" spans="1:61" x14ac:dyDescent="0.25">
      <c r="A761" s="62" t="s">
        <v>443</v>
      </c>
      <c r="B761" s="62" t="s">
        <v>443</v>
      </c>
      <c r="C761" s="63"/>
      <c r="D761" s="64"/>
      <c r="E761" s="65"/>
      <c r="F761" s="66"/>
      <c r="G761" s="63"/>
      <c r="H761" s="67"/>
      <c r="I761" s="68"/>
      <c r="J761" s="68"/>
      <c r="K761" s="32"/>
      <c r="L761" s="75">
        <v>761</v>
      </c>
      <c r="M761" s="75"/>
      <c r="N761" s="70"/>
      <c r="O761" s="77" t="s">
        <v>179</v>
      </c>
      <c r="P761" s="79">
        <v>45084.710833333331</v>
      </c>
      <c r="Q761" s="77" t="s">
        <v>1288</v>
      </c>
      <c r="R761" s="77">
        <v>0</v>
      </c>
      <c r="S761" s="77">
        <v>0</v>
      </c>
      <c r="T761" s="77">
        <v>0</v>
      </c>
      <c r="U761" s="77">
        <v>0</v>
      </c>
      <c r="V761" s="77">
        <v>6</v>
      </c>
      <c r="W761" s="82" t="s">
        <v>1435</v>
      </c>
      <c r="X761" s="77"/>
      <c r="Y761" s="77"/>
      <c r="Z761" s="77"/>
      <c r="AA761" s="77"/>
      <c r="AB761" s="77"/>
      <c r="AC761" s="82" t="s">
        <v>2662</v>
      </c>
      <c r="AD761" s="77" t="s">
        <v>2670</v>
      </c>
      <c r="AE761" s="80" t="str">
        <f>HYPERLINK("https://twitter.com/rogeriomontali/status/1666491108677808128")</f>
        <v>https://twitter.com/rogeriomontali/status/1666491108677808128</v>
      </c>
      <c r="AF761" s="79">
        <v>45084.710833333331</v>
      </c>
      <c r="AG761" s="85">
        <v>45084</v>
      </c>
      <c r="AH761" s="82" t="s">
        <v>3264</v>
      </c>
      <c r="AI761" s="77"/>
      <c r="AJ761" s="77"/>
      <c r="AK761" s="77"/>
      <c r="AL761" s="77"/>
      <c r="AM761" s="77"/>
      <c r="AN761" s="77"/>
      <c r="AO761" s="77"/>
      <c r="AP761" s="77"/>
      <c r="AQ761" s="77"/>
      <c r="AR761" s="77"/>
      <c r="AS761" s="77"/>
      <c r="AT761" s="77"/>
      <c r="AU761" s="77"/>
      <c r="AV761" s="80" t="str">
        <f>HYPERLINK("https://pbs.twimg.com/profile_images/1650821209951485953/B1-WOrna_normal.jpg")</f>
        <v>https://pbs.twimg.com/profile_images/1650821209951485953/B1-WOrna_normal.jpg</v>
      </c>
      <c r="AW761" s="82" t="s">
        <v>4812</v>
      </c>
      <c r="AX761" s="82" t="s">
        <v>4812</v>
      </c>
      <c r="AY761" s="77"/>
      <c r="AZ761" s="82" t="s">
        <v>5075</v>
      </c>
      <c r="BA761" s="82" t="s">
        <v>5075</v>
      </c>
      <c r="BB761" s="82" t="s">
        <v>5075</v>
      </c>
      <c r="BC761" s="82" t="s">
        <v>4812</v>
      </c>
      <c r="BD761" s="77">
        <v>288550432</v>
      </c>
      <c r="BE761" s="77"/>
      <c r="BF761" s="77"/>
      <c r="BG761" s="77"/>
      <c r="BH761" s="77"/>
      <c r="BI761" s="77"/>
    </row>
    <row r="762" spans="1:61" x14ac:dyDescent="0.25">
      <c r="A762" s="62" t="s">
        <v>443</v>
      </c>
      <c r="B762" s="62" t="s">
        <v>443</v>
      </c>
      <c r="C762" s="63"/>
      <c r="D762" s="64"/>
      <c r="E762" s="65"/>
      <c r="F762" s="66"/>
      <c r="G762" s="63"/>
      <c r="H762" s="67"/>
      <c r="I762" s="68"/>
      <c r="J762" s="68"/>
      <c r="K762" s="32"/>
      <c r="L762" s="75">
        <v>762</v>
      </c>
      <c r="M762" s="75"/>
      <c r="N762" s="70"/>
      <c r="O762" s="77" t="s">
        <v>179</v>
      </c>
      <c r="P762" s="79">
        <v>45089.445833333331</v>
      </c>
      <c r="Q762" s="77" t="s">
        <v>1289</v>
      </c>
      <c r="R762" s="77">
        <v>0</v>
      </c>
      <c r="S762" s="77">
        <v>0</v>
      </c>
      <c r="T762" s="77">
        <v>0</v>
      </c>
      <c r="U762" s="77">
        <v>1</v>
      </c>
      <c r="V762" s="77">
        <v>9</v>
      </c>
      <c r="W762" s="82" t="s">
        <v>1435</v>
      </c>
      <c r="X762" s="77"/>
      <c r="Y762" s="77"/>
      <c r="Z762" s="77"/>
      <c r="AA762" s="77"/>
      <c r="AB762" s="77"/>
      <c r="AC762" s="82" t="s">
        <v>2662</v>
      </c>
      <c r="AD762" s="77" t="s">
        <v>2670</v>
      </c>
      <c r="AE762" s="80" t="str">
        <f>HYPERLINK("https://twitter.com/rogeriomontali/status/1668207015242473472")</f>
        <v>https://twitter.com/rogeriomontali/status/1668207015242473472</v>
      </c>
      <c r="AF762" s="79">
        <v>45089.445833333331</v>
      </c>
      <c r="AG762" s="85">
        <v>45089</v>
      </c>
      <c r="AH762" s="82" t="s">
        <v>3265</v>
      </c>
      <c r="AI762" s="77"/>
      <c r="AJ762" s="77"/>
      <c r="AK762" s="77"/>
      <c r="AL762" s="77"/>
      <c r="AM762" s="77"/>
      <c r="AN762" s="77"/>
      <c r="AO762" s="77"/>
      <c r="AP762" s="77"/>
      <c r="AQ762" s="77"/>
      <c r="AR762" s="77"/>
      <c r="AS762" s="77"/>
      <c r="AT762" s="77"/>
      <c r="AU762" s="77"/>
      <c r="AV762" s="80" t="str">
        <f>HYPERLINK("https://pbs.twimg.com/profile_images/1650821209951485953/B1-WOrna_normal.jpg")</f>
        <v>https://pbs.twimg.com/profile_images/1650821209951485953/B1-WOrna_normal.jpg</v>
      </c>
      <c r="AW762" s="82" t="s">
        <v>4813</v>
      </c>
      <c r="AX762" s="82" t="s">
        <v>4813</v>
      </c>
      <c r="AY762" s="77"/>
      <c r="AZ762" s="82" t="s">
        <v>5075</v>
      </c>
      <c r="BA762" s="82" t="s">
        <v>5075</v>
      </c>
      <c r="BB762" s="82" t="s">
        <v>5075</v>
      </c>
      <c r="BC762" s="82" t="s">
        <v>4813</v>
      </c>
      <c r="BD762" s="77">
        <v>288550432</v>
      </c>
      <c r="BE762" s="77"/>
      <c r="BF762" s="77"/>
      <c r="BG762" s="77"/>
      <c r="BH762" s="77"/>
      <c r="BI762" s="77"/>
    </row>
    <row r="763" spans="1:61" x14ac:dyDescent="0.25">
      <c r="A763" s="62" t="s">
        <v>443</v>
      </c>
      <c r="B763" s="62" t="s">
        <v>443</v>
      </c>
      <c r="C763" s="63"/>
      <c r="D763" s="64"/>
      <c r="E763" s="65"/>
      <c r="F763" s="66"/>
      <c r="G763" s="63"/>
      <c r="H763" s="67"/>
      <c r="I763" s="68"/>
      <c r="J763" s="68"/>
      <c r="K763" s="32"/>
      <c r="L763" s="75">
        <v>763</v>
      </c>
      <c r="M763" s="75"/>
      <c r="N763" s="70"/>
      <c r="O763" s="77" t="s">
        <v>179</v>
      </c>
      <c r="P763" s="79">
        <v>45068.710543981484</v>
      </c>
      <c r="Q763" s="77" t="s">
        <v>1290</v>
      </c>
      <c r="R763" s="77">
        <v>0</v>
      </c>
      <c r="S763" s="77">
        <v>0</v>
      </c>
      <c r="T763" s="77">
        <v>0</v>
      </c>
      <c r="U763" s="77">
        <v>0</v>
      </c>
      <c r="V763" s="77">
        <v>20</v>
      </c>
      <c r="W763" s="82" t="s">
        <v>1435</v>
      </c>
      <c r="X763" s="77"/>
      <c r="Y763" s="77"/>
      <c r="Z763" s="77"/>
      <c r="AA763" s="77"/>
      <c r="AB763" s="77"/>
      <c r="AC763" s="82" t="s">
        <v>2662</v>
      </c>
      <c r="AD763" s="77" t="s">
        <v>2670</v>
      </c>
      <c r="AE763" s="80" t="str">
        <f>HYPERLINK("https://twitter.com/rogeriomontali/status/1660692794925563915")</f>
        <v>https://twitter.com/rogeriomontali/status/1660692794925563915</v>
      </c>
      <c r="AF763" s="79">
        <v>45068.710543981484</v>
      </c>
      <c r="AG763" s="85">
        <v>45068</v>
      </c>
      <c r="AH763" s="82" t="s">
        <v>3266</v>
      </c>
      <c r="AI763" s="77"/>
      <c r="AJ763" s="77"/>
      <c r="AK763" s="77"/>
      <c r="AL763" s="77"/>
      <c r="AM763" s="77"/>
      <c r="AN763" s="77"/>
      <c r="AO763" s="77"/>
      <c r="AP763" s="77"/>
      <c r="AQ763" s="77"/>
      <c r="AR763" s="77"/>
      <c r="AS763" s="77"/>
      <c r="AT763" s="77"/>
      <c r="AU763" s="77"/>
      <c r="AV763" s="80" t="str">
        <f>HYPERLINK("https://pbs.twimg.com/profile_images/1650821209951485953/B1-WOrna_normal.jpg")</f>
        <v>https://pbs.twimg.com/profile_images/1650821209951485953/B1-WOrna_normal.jpg</v>
      </c>
      <c r="AW763" s="82" t="s">
        <v>4814</v>
      </c>
      <c r="AX763" s="82" t="s">
        <v>4814</v>
      </c>
      <c r="AY763" s="77"/>
      <c r="AZ763" s="82" t="s">
        <v>5075</v>
      </c>
      <c r="BA763" s="82" t="s">
        <v>5075</v>
      </c>
      <c r="BB763" s="82" t="s">
        <v>5075</v>
      </c>
      <c r="BC763" s="82" t="s">
        <v>4814</v>
      </c>
      <c r="BD763" s="77">
        <v>288550432</v>
      </c>
      <c r="BE763" s="77"/>
      <c r="BF763" s="77"/>
      <c r="BG763" s="77"/>
      <c r="BH763" s="77"/>
      <c r="BI763" s="77"/>
    </row>
    <row r="764" spans="1:61" x14ac:dyDescent="0.25">
      <c r="A764" s="62" t="s">
        <v>443</v>
      </c>
      <c r="B764" s="62" t="s">
        <v>443</v>
      </c>
      <c r="C764" s="63"/>
      <c r="D764" s="64"/>
      <c r="E764" s="65"/>
      <c r="F764" s="66"/>
      <c r="G764" s="63"/>
      <c r="H764" s="67"/>
      <c r="I764" s="68"/>
      <c r="J764" s="68"/>
      <c r="K764" s="32"/>
      <c r="L764" s="75">
        <v>764</v>
      </c>
      <c r="M764" s="75"/>
      <c r="N764" s="70"/>
      <c r="O764" s="77" t="s">
        <v>179</v>
      </c>
      <c r="P764" s="79">
        <v>45063.500150462962</v>
      </c>
      <c r="Q764" s="77" t="s">
        <v>1291</v>
      </c>
      <c r="R764" s="77">
        <v>0</v>
      </c>
      <c r="S764" s="77">
        <v>0</v>
      </c>
      <c r="T764" s="77">
        <v>0</v>
      </c>
      <c r="U764" s="77">
        <v>0</v>
      </c>
      <c r="V764" s="77">
        <v>14</v>
      </c>
      <c r="W764" s="82" t="s">
        <v>1435</v>
      </c>
      <c r="X764" s="77"/>
      <c r="Y764" s="77"/>
      <c r="Z764" s="77"/>
      <c r="AA764" s="77"/>
      <c r="AB764" s="77"/>
      <c r="AC764" s="82" t="s">
        <v>2638</v>
      </c>
      <c r="AD764" s="77" t="s">
        <v>2670</v>
      </c>
      <c r="AE764" s="80" t="str">
        <f>HYPERLINK("https://twitter.com/rogeriomontali/status/1658804611543605248")</f>
        <v>https://twitter.com/rogeriomontali/status/1658804611543605248</v>
      </c>
      <c r="AF764" s="79">
        <v>45063.500150462962</v>
      </c>
      <c r="AG764" s="85">
        <v>45063</v>
      </c>
      <c r="AH764" s="82" t="s">
        <v>3267</v>
      </c>
      <c r="AI764" s="77"/>
      <c r="AJ764" s="77"/>
      <c r="AK764" s="77"/>
      <c r="AL764" s="77"/>
      <c r="AM764" s="77"/>
      <c r="AN764" s="77"/>
      <c r="AO764" s="77"/>
      <c r="AP764" s="77"/>
      <c r="AQ764" s="77"/>
      <c r="AR764" s="77"/>
      <c r="AS764" s="77"/>
      <c r="AT764" s="77"/>
      <c r="AU764" s="77"/>
      <c r="AV764" s="80" t="str">
        <f>HYPERLINK("https://pbs.twimg.com/profile_images/1650821209951485953/B1-WOrna_normal.jpg")</f>
        <v>https://pbs.twimg.com/profile_images/1650821209951485953/B1-WOrna_normal.jpg</v>
      </c>
      <c r="AW764" s="82" t="s">
        <v>4815</v>
      </c>
      <c r="AX764" s="82" t="s">
        <v>4815</v>
      </c>
      <c r="AY764" s="77"/>
      <c r="AZ764" s="82" t="s">
        <v>5075</v>
      </c>
      <c r="BA764" s="82" t="s">
        <v>5075</v>
      </c>
      <c r="BB764" s="82" t="s">
        <v>5075</v>
      </c>
      <c r="BC764" s="82" t="s">
        <v>4815</v>
      </c>
      <c r="BD764" s="77">
        <v>288550432</v>
      </c>
      <c r="BE764" s="77"/>
      <c r="BF764" s="77"/>
      <c r="BG764" s="77"/>
      <c r="BH764" s="77"/>
      <c r="BI764" s="77"/>
    </row>
    <row r="765" spans="1:61" x14ac:dyDescent="0.25">
      <c r="A765" s="62" t="s">
        <v>444</v>
      </c>
      <c r="B765" s="62" t="s">
        <v>444</v>
      </c>
      <c r="C765" s="63"/>
      <c r="D765" s="64"/>
      <c r="E765" s="65"/>
      <c r="F765" s="66"/>
      <c r="G765" s="63"/>
      <c r="H765" s="67"/>
      <c r="I765" s="68"/>
      <c r="J765" s="68"/>
      <c r="K765" s="32"/>
      <c r="L765" s="75">
        <v>765</v>
      </c>
      <c r="M765" s="75"/>
      <c r="N765" s="70"/>
      <c r="O765" s="77" t="s">
        <v>536</v>
      </c>
      <c r="P765" s="79">
        <v>45109.667858796296</v>
      </c>
      <c r="Q765" s="77" t="s">
        <v>1292</v>
      </c>
      <c r="R765" s="77">
        <v>0</v>
      </c>
      <c r="S765" s="77">
        <v>0</v>
      </c>
      <c r="T765" s="77">
        <v>0</v>
      </c>
      <c r="U765" s="77">
        <v>0</v>
      </c>
      <c r="V765" s="77">
        <v>6</v>
      </c>
      <c r="W765" s="82" t="s">
        <v>1864</v>
      </c>
      <c r="X765" s="80" t="str">
        <f>HYPERLINK("https://kiwify.app/EZJ9oHd")</f>
        <v>https://kiwify.app/EZJ9oHd</v>
      </c>
      <c r="Y765" s="77" t="s">
        <v>2002</v>
      </c>
      <c r="Z765" s="77"/>
      <c r="AA765" s="77"/>
      <c r="AB765" s="77"/>
      <c r="AC765" s="82" t="s">
        <v>2638</v>
      </c>
      <c r="AD765" s="77" t="s">
        <v>2673</v>
      </c>
      <c r="AE765" s="80" t="str">
        <f>HYPERLINK("https://twitter.com/achadosdomark/status/1675535229837082625")</f>
        <v>https://twitter.com/achadosdomark/status/1675535229837082625</v>
      </c>
      <c r="AF765" s="79">
        <v>45109.667858796296</v>
      </c>
      <c r="AG765" s="85">
        <v>45109</v>
      </c>
      <c r="AH765" s="82" t="s">
        <v>3268</v>
      </c>
      <c r="AI765" s="77" t="b">
        <v>0</v>
      </c>
      <c r="AJ765" s="77"/>
      <c r="AK765" s="77"/>
      <c r="AL765" s="77"/>
      <c r="AM765" s="77"/>
      <c r="AN765" s="77"/>
      <c r="AO765" s="77"/>
      <c r="AP765" s="77"/>
      <c r="AQ765" s="77"/>
      <c r="AR765" s="77"/>
      <c r="AS765" s="77"/>
      <c r="AT765" s="77"/>
      <c r="AU765" s="77"/>
      <c r="AV765" s="80" t="str">
        <f>HYPERLINK("https://pbs.twimg.com/profile_images/1672324531053010948/ZGQMaENz_normal.jpg")</f>
        <v>https://pbs.twimg.com/profile_images/1672324531053010948/ZGQMaENz_normal.jpg</v>
      </c>
      <c r="AW765" s="82" t="s">
        <v>4816</v>
      </c>
      <c r="AX765" s="82" t="s">
        <v>5017</v>
      </c>
      <c r="AY765" s="82" t="s">
        <v>5066</v>
      </c>
      <c r="AZ765" s="82" t="s">
        <v>5115</v>
      </c>
      <c r="BA765" s="82" t="s">
        <v>5075</v>
      </c>
      <c r="BB765" s="82" t="s">
        <v>5075</v>
      </c>
      <c r="BC765" s="82" t="s">
        <v>5115</v>
      </c>
      <c r="BD765" s="82" t="s">
        <v>5066</v>
      </c>
      <c r="BE765" s="77"/>
      <c r="BF765" s="77"/>
      <c r="BG765" s="77"/>
      <c r="BH765" s="77"/>
      <c r="BI765" s="77"/>
    </row>
    <row r="766" spans="1:61" x14ac:dyDescent="0.25">
      <c r="A766" s="62" t="s">
        <v>445</v>
      </c>
      <c r="B766" s="62" t="s">
        <v>445</v>
      </c>
      <c r="C766" s="63"/>
      <c r="D766" s="64"/>
      <c r="E766" s="65"/>
      <c r="F766" s="66"/>
      <c r="G766" s="63"/>
      <c r="H766" s="67"/>
      <c r="I766" s="68"/>
      <c r="J766" s="68"/>
      <c r="K766" s="32"/>
      <c r="L766" s="75">
        <v>766</v>
      </c>
      <c r="M766" s="75"/>
      <c r="N766" s="70"/>
      <c r="O766" s="77" t="s">
        <v>536</v>
      </c>
      <c r="P766" s="79">
        <v>45173.743090277778</v>
      </c>
      <c r="Q766" s="77" t="s">
        <v>1293</v>
      </c>
      <c r="R766" s="77">
        <v>0</v>
      </c>
      <c r="S766" s="77">
        <v>0</v>
      </c>
      <c r="T766" s="77">
        <v>0</v>
      </c>
      <c r="U766" s="77">
        <v>0</v>
      </c>
      <c r="V766" s="77">
        <v>3</v>
      </c>
      <c r="W766" s="82" t="s">
        <v>1865</v>
      </c>
      <c r="X766" s="77"/>
      <c r="Y766" s="77"/>
      <c r="Z766" s="77"/>
      <c r="AA766" s="77"/>
      <c r="AB766" s="77"/>
      <c r="AC766" s="82" t="s">
        <v>2639</v>
      </c>
      <c r="AD766" s="77" t="s">
        <v>2675</v>
      </c>
      <c r="AE766" s="80" t="str">
        <f>HYPERLINK("https://twitter.com/saudemaismetodo/status/1698755317289353217")</f>
        <v>https://twitter.com/saudemaismetodo/status/1698755317289353217</v>
      </c>
      <c r="AF766" s="79">
        <v>45173.743090277778</v>
      </c>
      <c r="AG766" s="85">
        <v>45173</v>
      </c>
      <c r="AH766" s="82" t="s">
        <v>3269</v>
      </c>
      <c r="AI766" s="77"/>
      <c r="AJ766" s="77"/>
      <c r="AK766" s="77"/>
      <c r="AL766" s="77"/>
      <c r="AM766" s="77"/>
      <c r="AN766" s="77"/>
      <c r="AO766" s="77"/>
      <c r="AP766" s="77"/>
      <c r="AQ766" s="77"/>
      <c r="AR766" s="77"/>
      <c r="AS766" s="77"/>
      <c r="AT766" s="77"/>
      <c r="AU766" s="77"/>
      <c r="AV766" s="80" t="str">
        <f>HYPERLINK("https://pbs.twimg.com/profile_images/1694740464530788353/gWG_XsGs_normal.jpg")</f>
        <v>https://pbs.twimg.com/profile_images/1694740464530788353/gWG_XsGs_normal.jpg</v>
      </c>
      <c r="AW766" s="82" t="s">
        <v>4817</v>
      </c>
      <c r="AX766" s="82" t="s">
        <v>5018</v>
      </c>
      <c r="AY766" s="82" t="s">
        <v>5067</v>
      </c>
      <c r="AZ766" s="82" t="s">
        <v>5018</v>
      </c>
      <c r="BA766" s="82" t="s">
        <v>5075</v>
      </c>
      <c r="BB766" s="82" t="s">
        <v>5075</v>
      </c>
      <c r="BC766" s="82" t="s">
        <v>5018</v>
      </c>
      <c r="BD766" s="82" t="s">
        <v>5067</v>
      </c>
      <c r="BE766" s="77"/>
      <c r="BF766" s="77"/>
      <c r="BG766" s="77"/>
      <c r="BH766" s="77"/>
      <c r="BI766" s="77"/>
    </row>
    <row r="767" spans="1:61" x14ac:dyDescent="0.25">
      <c r="A767" s="62" t="s">
        <v>446</v>
      </c>
      <c r="B767" s="62" t="s">
        <v>446</v>
      </c>
      <c r="C767" s="63"/>
      <c r="D767" s="64"/>
      <c r="E767" s="65"/>
      <c r="F767" s="66"/>
      <c r="G767" s="63"/>
      <c r="H767" s="67"/>
      <c r="I767" s="68"/>
      <c r="J767" s="68"/>
      <c r="K767" s="32"/>
      <c r="L767" s="75">
        <v>767</v>
      </c>
      <c r="M767" s="75"/>
      <c r="N767" s="70"/>
      <c r="O767" s="77" t="s">
        <v>179</v>
      </c>
      <c r="P767" s="79">
        <v>45139.537453703706</v>
      </c>
      <c r="Q767" s="77" t="s">
        <v>1294</v>
      </c>
      <c r="R767" s="77">
        <v>0</v>
      </c>
      <c r="S767" s="77">
        <v>0</v>
      </c>
      <c r="T767" s="77">
        <v>0</v>
      </c>
      <c r="U767" s="77">
        <v>0</v>
      </c>
      <c r="V767" s="77">
        <v>7</v>
      </c>
      <c r="W767" s="82" t="s">
        <v>1866</v>
      </c>
      <c r="X767" s="80" t="str">
        <f>HYPERLINK("https://www.instagram.com/p/CvXOhSrOZ74/?igshid=M2MyMzgzODVlNw==")</f>
        <v>https://www.instagram.com/p/CvXOhSrOZ74/?igshid=M2MyMzgzODVlNw==</v>
      </c>
      <c r="Y767" s="77" t="s">
        <v>1974</v>
      </c>
      <c r="Z767" s="77"/>
      <c r="AA767" s="77"/>
      <c r="AB767" s="77"/>
      <c r="AC767" s="82" t="s">
        <v>2638</v>
      </c>
      <c r="AD767" s="77" t="s">
        <v>2670</v>
      </c>
      <c r="AE767" s="80" t="str">
        <f>HYPERLINK("https://twitter.com/ricgaldino/status/1686359610469326849")</f>
        <v>https://twitter.com/ricgaldino/status/1686359610469326849</v>
      </c>
      <c r="AF767" s="79">
        <v>45139.537453703706</v>
      </c>
      <c r="AG767" s="85">
        <v>45139</v>
      </c>
      <c r="AH767" s="82" t="s">
        <v>3270</v>
      </c>
      <c r="AI767" s="77" t="b">
        <v>0</v>
      </c>
      <c r="AJ767" s="77" t="s">
        <v>3406</v>
      </c>
      <c r="AK767" s="77" t="s">
        <v>3410</v>
      </c>
      <c r="AL767" s="77" t="s">
        <v>3411</v>
      </c>
      <c r="AM767" s="77" t="s">
        <v>3418</v>
      </c>
      <c r="AN767" s="77" t="s">
        <v>3428</v>
      </c>
      <c r="AO767" s="77" t="s">
        <v>3438</v>
      </c>
      <c r="AP767" s="77" t="s">
        <v>3442</v>
      </c>
      <c r="AQ767" s="77"/>
      <c r="AR767" s="77"/>
      <c r="AS767" s="77"/>
      <c r="AT767" s="77"/>
      <c r="AU767" s="77"/>
      <c r="AV767" s="80" t="str">
        <f>HYPERLINK("https://pbs.twimg.com/profile_images/1666864261216256000/OmjCgPM2_normal.jpg")</f>
        <v>https://pbs.twimg.com/profile_images/1666864261216256000/OmjCgPM2_normal.jpg</v>
      </c>
      <c r="AW767" s="82" t="s">
        <v>4818</v>
      </c>
      <c r="AX767" s="82" t="s">
        <v>4818</v>
      </c>
      <c r="AY767" s="77"/>
      <c r="AZ767" s="82" t="s">
        <v>5075</v>
      </c>
      <c r="BA767" s="82" t="s">
        <v>5075</v>
      </c>
      <c r="BB767" s="82" t="s">
        <v>5075</v>
      </c>
      <c r="BC767" s="82" t="s">
        <v>4818</v>
      </c>
      <c r="BD767" s="77">
        <v>41479382</v>
      </c>
      <c r="BE767" s="77"/>
      <c r="BF767" s="77"/>
      <c r="BG767" s="77"/>
      <c r="BH767" s="77"/>
      <c r="BI767" s="77"/>
    </row>
    <row r="768" spans="1:61" x14ac:dyDescent="0.25">
      <c r="A768" s="62" t="s">
        <v>447</v>
      </c>
      <c r="B768" s="62" t="s">
        <v>447</v>
      </c>
      <c r="C768" s="63"/>
      <c r="D768" s="64"/>
      <c r="E768" s="65"/>
      <c r="F768" s="66"/>
      <c r="G768" s="63"/>
      <c r="H768" s="67"/>
      <c r="I768" s="68"/>
      <c r="J768" s="68"/>
      <c r="K768" s="32"/>
      <c r="L768" s="75">
        <v>768</v>
      </c>
      <c r="M768" s="75"/>
      <c r="N768" s="70"/>
      <c r="O768" s="77" t="s">
        <v>179</v>
      </c>
      <c r="P768" s="79">
        <v>45035.657280092593</v>
      </c>
      <c r="Q768" s="77" t="s">
        <v>1295</v>
      </c>
      <c r="R768" s="77">
        <v>0</v>
      </c>
      <c r="S768" s="77">
        <v>0</v>
      </c>
      <c r="T768" s="77">
        <v>0</v>
      </c>
      <c r="U768" s="77">
        <v>0</v>
      </c>
      <c r="V768" s="77">
        <v>13</v>
      </c>
      <c r="W768" s="82" t="s">
        <v>1867</v>
      </c>
      <c r="X768" s="80" t="str">
        <f>HYPERLINK("https://blogdojuares.com.br/noticia/76814/educacao-financeira-para-as-criancas---deve-comecar-desde-cedo.html")</f>
        <v>https://blogdojuares.com.br/noticia/76814/educacao-financeira-para-as-criancas---deve-comecar-desde-cedo.html</v>
      </c>
      <c r="Y768" s="77" t="s">
        <v>1978</v>
      </c>
      <c r="Z768" s="77"/>
      <c r="AA768" s="77"/>
      <c r="AB768" s="77"/>
      <c r="AC768" s="82" t="s">
        <v>2666</v>
      </c>
      <c r="AD768" s="77" t="s">
        <v>2670</v>
      </c>
      <c r="AE768" s="80" t="str">
        <f>HYPERLINK("https://twitter.com/blogdojuares/status/1648714692695654401")</f>
        <v>https://twitter.com/blogdojuares/status/1648714692695654401</v>
      </c>
      <c r="AF768" s="79">
        <v>45035.657280092593</v>
      </c>
      <c r="AG768" s="85">
        <v>45035</v>
      </c>
      <c r="AH768" s="82" t="s">
        <v>3271</v>
      </c>
      <c r="AI768" s="77" t="b">
        <v>0</v>
      </c>
      <c r="AJ768" s="77"/>
      <c r="AK768" s="77"/>
      <c r="AL768" s="77"/>
      <c r="AM768" s="77"/>
      <c r="AN768" s="77"/>
      <c r="AO768" s="77"/>
      <c r="AP768" s="77"/>
      <c r="AQ768" s="77"/>
      <c r="AR768" s="77"/>
      <c r="AS768" s="77"/>
      <c r="AT768" s="77"/>
      <c r="AU768" s="77"/>
      <c r="AV768" s="80" t="str">
        <f>HYPERLINK("https://pbs.twimg.com/profile_images/1686834655801024512/sVEKXAB3_normal.jpg")</f>
        <v>https://pbs.twimg.com/profile_images/1686834655801024512/sVEKXAB3_normal.jpg</v>
      </c>
      <c r="AW768" s="82" t="s">
        <v>4819</v>
      </c>
      <c r="AX768" s="82" t="s">
        <v>4819</v>
      </c>
      <c r="AY768" s="77"/>
      <c r="AZ768" s="82" t="s">
        <v>5075</v>
      </c>
      <c r="BA768" s="82" t="s">
        <v>5075</v>
      </c>
      <c r="BB768" s="82" t="s">
        <v>5075</v>
      </c>
      <c r="BC768" s="82" t="s">
        <v>4819</v>
      </c>
      <c r="BD768" s="77">
        <v>568494327</v>
      </c>
      <c r="BE768" s="77"/>
      <c r="BF768" s="77"/>
      <c r="BG768" s="77"/>
      <c r="BH768" s="77"/>
      <c r="BI768" s="77"/>
    </row>
    <row r="769" spans="1:61" x14ac:dyDescent="0.25">
      <c r="A769" s="62" t="s">
        <v>448</v>
      </c>
      <c r="B769" s="62" t="s">
        <v>448</v>
      </c>
      <c r="C769" s="63"/>
      <c r="D769" s="64"/>
      <c r="E769" s="65"/>
      <c r="F769" s="66"/>
      <c r="G769" s="63"/>
      <c r="H769" s="67"/>
      <c r="I769" s="68"/>
      <c r="J769" s="68"/>
      <c r="K769" s="32"/>
      <c r="L769" s="75">
        <v>769</v>
      </c>
      <c r="M769" s="75"/>
      <c r="N769" s="70"/>
      <c r="O769" s="77" t="s">
        <v>179</v>
      </c>
      <c r="P769" s="79">
        <v>45064.627268518518</v>
      </c>
      <c r="Q769" s="77" t="s">
        <v>1296</v>
      </c>
      <c r="R769" s="77">
        <v>0</v>
      </c>
      <c r="S769" s="77">
        <v>0</v>
      </c>
      <c r="T769" s="77">
        <v>0</v>
      </c>
      <c r="U769" s="77">
        <v>0</v>
      </c>
      <c r="V769" s="77">
        <v>16</v>
      </c>
      <c r="W769" s="82" t="s">
        <v>1868</v>
      </c>
      <c r="X769" s="77"/>
      <c r="Y769" s="77"/>
      <c r="Z769" s="77"/>
      <c r="AA769" s="77" t="s">
        <v>2540</v>
      </c>
      <c r="AB769" s="77" t="s">
        <v>2633</v>
      </c>
      <c r="AC769" s="82" t="s">
        <v>2645</v>
      </c>
      <c r="AD769" s="77" t="s">
        <v>2670</v>
      </c>
      <c r="AE769" s="80" t="str">
        <f>HYPERLINK("https://twitter.com/betteroluciana/status/1659213067798888448")</f>
        <v>https://twitter.com/betteroluciana/status/1659213067798888448</v>
      </c>
      <c r="AF769" s="79">
        <v>45064.627268518518</v>
      </c>
      <c r="AG769" s="85">
        <v>45064</v>
      </c>
      <c r="AH769" s="82" t="s">
        <v>3272</v>
      </c>
      <c r="AI769" s="77" t="b">
        <v>0</v>
      </c>
      <c r="AJ769" s="77"/>
      <c r="AK769" s="77"/>
      <c r="AL769" s="77"/>
      <c r="AM769" s="77"/>
      <c r="AN769" s="77"/>
      <c r="AO769" s="77"/>
      <c r="AP769" s="77"/>
      <c r="AQ769" s="77" t="s">
        <v>3969</v>
      </c>
      <c r="AR769" s="77">
        <v>10733</v>
      </c>
      <c r="AS769" s="77"/>
      <c r="AT769" s="77"/>
      <c r="AU769" s="77"/>
      <c r="AV769" s="80" t="str">
        <f>HYPERLINK("https://pbs.twimg.com/ext_tw_video_thumb/1659213011431858177/pu/img/3wd_OxFG4osNwKlz.jpg")</f>
        <v>https://pbs.twimg.com/ext_tw_video_thumb/1659213011431858177/pu/img/3wd_OxFG4osNwKlz.jpg</v>
      </c>
      <c r="AW769" s="82" t="s">
        <v>4820</v>
      </c>
      <c r="AX769" s="82" t="s">
        <v>4820</v>
      </c>
      <c r="AY769" s="77"/>
      <c r="AZ769" s="82" t="s">
        <v>5075</v>
      </c>
      <c r="BA769" s="82" t="s">
        <v>5075</v>
      </c>
      <c r="BB769" s="82" t="s">
        <v>5075</v>
      </c>
      <c r="BC769" s="82" t="s">
        <v>4820</v>
      </c>
      <c r="BD769" s="82" t="s">
        <v>5244</v>
      </c>
      <c r="BE769" s="77"/>
      <c r="BF769" s="77"/>
      <c r="BG769" s="77"/>
      <c r="BH769" s="77"/>
      <c r="BI769" s="77"/>
    </row>
    <row r="770" spans="1:61" x14ac:dyDescent="0.25">
      <c r="A770" s="62" t="s">
        <v>448</v>
      </c>
      <c r="B770" s="62" t="s">
        <v>448</v>
      </c>
      <c r="C770" s="63"/>
      <c r="D770" s="64"/>
      <c r="E770" s="65"/>
      <c r="F770" s="66"/>
      <c r="G770" s="63"/>
      <c r="H770" s="67"/>
      <c r="I770" s="68"/>
      <c r="J770" s="68"/>
      <c r="K770" s="32"/>
      <c r="L770" s="75">
        <v>770</v>
      </c>
      <c r="M770" s="75"/>
      <c r="N770" s="70"/>
      <c r="O770" s="77" t="s">
        <v>179</v>
      </c>
      <c r="P770" s="79">
        <v>45177.804016203707</v>
      </c>
      <c r="Q770" s="77" t="s">
        <v>1297</v>
      </c>
      <c r="R770" s="77">
        <v>0</v>
      </c>
      <c r="S770" s="77">
        <v>0</v>
      </c>
      <c r="T770" s="77">
        <v>0</v>
      </c>
      <c r="U770" s="77">
        <v>0</v>
      </c>
      <c r="V770" s="77">
        <v>7</v>
      </c>
      <c r="W770" s="82" t="s">
        <v>1869</v>
      </c>
      <c r="X770" s="77"/>
      <c r="Y770" s="77"/>
      <c r="Z770" s="77"/>
      <c r="AA770" s="77" t="s">
        <v>2541</v>
      </c>
      <c r="AB770" s="77" t="s">
        <v>2633</v>
      </c>
      <c r="AC770" s="82" t="s">
        <v>2645</v>
      </c>
      <c r="AD770" s="77" t="s">
        <v>2670</v>
      </c>
      <c r="AE770" s="80" t="str">
        <f>HYPERLINK("https://twitter.com/betteroluciana/status/1700226945747685810")</f>
        <v>https://twitter.com/betteroluciana/status/1700226945747685810</v>
      </c>
      <c r="AF770" s="79">
        <v>45177.804016203707</v>
      </c>
      <c r="AG770" s="85">
        <v>45177</v>
      </c>
      <c r="AH770" s="82" t="s">
        <v>3273</v>
      </c>
      <c r="AI770" s="77" t="b">
        <v>0</v>
      </c>
      <c r="AJ770" s="77"/>
      <c r="AK770" s="77"/>
      <c r="AL770" s="77"/>
      <c r="AM770" s="77"/>
      <c r="AN770" s="77"/>
      <c r="AO770" s="77"/>
      <c r="AP770" s="77"/>
      <c r="AQ770" s="77" t="s">
        <v>3970</v>
      </c>
      <c r="AR770" s="77">
        <v>59800</v>
      </c>
      <c r="AS770" s="77"/>
      <c r="AT770" s="77"/>
      <c r="AU770" s="77"/>
      <c r="AV770" s="80" t="str">
        <f>HYPERLINK("https://pbs.twimg.com/ext_tw_video_thumb/1700226891502784512/pu/img/78hqR8ACNo5xWy92.jpg")</f>
        <v>https://pbs.twimg.com/ext_tw_video_thumb/1700226891502784512/pu/img/78hqR8ACNo5xWy92.jpg</v>
      </c>
      <c r="AW770" s="82" t="s">
        <v>4821</v>
      </c>
      <c r="AX770" s="82" t="s">
        <v>4821</v>
      </c>
      <c r="AY770" s="77"/>
      <c r="AZ770" s="82" t="s">
        <v>5075</v>
      </c>
      <c r="BA770" s="82" t="s">
        <v>5075</v>
      </c>
      <c r="BB770" s="82" t="s">
        <v>5075</v>
      </c>
      <c r="BC770" s="82" t="s">
        <v>4821</v>
      </c>
      <c r="BD770" s="82" t="s">
        <v>5244</v>
      </c>
      <c r="BE770" s="77"/>
      <c r="BF770" s="77"/>
      <c r="BG770" s="77"/>
      <c r="BH770" s="77"/>
      <c r="BI770" s="77"/>
    </row>
    <row r="771" spans="1:61" x14ac:dyDescent="0.25">
      <c r="A771" s="62" t="s">
        <v>448</v>
      </c>
      <c r="B771" s="62" t="s">
        <v>448</v>
      </c>
      <c r="C771" s="63"/>
      <c r="D771" s="64"/>
      <c r="E771" s="65"/>
      <c r="F771" s="66"/>
      <c r="G771" s="63"/>
      <c r="H771" s="67"/>
      <c r="I771" s="68"/>
      <c r="J771" s="68"/>
      <c r="K771" s="32"/>
      <c r="L771" s="75">
        <v>771</v>
      </c>
      <c r="M771" s="75"/>
      <c r="N771" s="70"/>
      <c r="O771" s="77" t="s">
        <v>179</v>
      </c>
      <c r="P771" s="79">
        <v>45191.708657407406</v>
      </c>
      <c r="Q771" s="77" t="s">
        <v>1298</v>
      </c>
      <c r="R771" s="77">
        <v>0</v>
      </c>
      <c r="S771" s="77">
        <v>1</v>
      </c>
      <c r="T771" s="77">
        <v>0</v>
      </c>
      <c r="U771" s="77">
        <v>0</v>
      </c>
      <c r="V771" s="77">
        <v>76</v>
      </c>
      <c r="W771" s="82" t="s">
        <v>1870</v>
      </c>
      <c r="X771" s="77"/>
      <c r="Y771" s="77"/>
      <c r="Z771" s="77"/>
      <c r="AA771" s="77" t="s">
        <v>2542</v>
      </c>
      <c r="AB771" s="77" t="s">
        <v>2632</v>
      </c>
      <c r="AC771" s="82" t="s">
        <v>2645</v>
      </c>
      <c r="AD771" s="77" t="s">
        <v>2670</v>
      </c>
      <c r="AE771" s="80" t="str">
        <f>HYPERLINK("https://twitter.com/betteroluciana/status/1705265820354392182")</f>
        <v>https://twitter.com/betteroluciana/status/1705265820354392182</v>
      </c>
      <c r="AF771" s="79">
        <v>45191.708657407406</v>
      </c>
      <c r="AG771" s="85">
        <v>45191</v>
      </c>
      <c r="AH771" s="82" t="s">
        <v>3274</v>
      </c>
      <c r="AI771" s="77" t="b">
        <v>0</v>
      </c>
      <c r="AJ771" s="77"/>
      <c r="AK771" s="77"/>
      <c r="AL771" s="77"/>
      <c r="AM771" s="77"/>
      <c r="AN771" s="77"/>
      <c r="AO771" s="77"/>
      <c r="AP771" s="77"/>
      <c r="AQ771" s="77" t="s">
        <v>3971</v>
      </c>
      <c r="AR771" s="77"/>
      <c r="AS771" s="77"/>
      <c r="AT771" s="77"/>
      <c r="AU771" s="77"/>
      <c r="AV771" s="80" t="str">
        <f>HYPERLINK("https://pbs.twimg.com/media/F6pSOgNXwAAnqOy.jpg")</f>
        <v>https://pbs.twimg.com/media/F6pSOgNXwAAnqOy.jpg</v>
      </c>
      <c r="AW771" s="82" t="s">
        <v>4822</v>
      </c>
      <c r="AX771" s="82" t="s">
        <v>4822</v>
      </c>
      <c r="AY771" s="77"/>
      <c r="AZ771" s="82" t="s">
        <v>5075</v>
      </c>
      <c r="BA771" s="82" t="s">
        <v>5075</v>
      </c>
      <c r="BB771" s="82" t="s">
        <v>5075</v>
      </c>
      <c r="BC771" s="82" t="s">
        <v>4822</v>
      </c>
      <c r="BD771" s="82" t="s">
        <v>5244</v>
      </c>
      <c r="BE771" s="77"/>
      <c r="BF771" s="77"/>
      <c r="BG771" s="77"/>
      <c r="BH771" s="77"/>
      <c r="BI771" s="77"/>
    </row>
    <row r="772" spans="1:61" x14ac:dyDescent="0.25">
      <c r="A772" s="62" t="s">
        <v>449</v>
      </c>
      <c r="B772" s="62" t="s">
        <v>449</v>
      </c>
      <c r="C772" s="63"/>
      <c r="D772" s="64"/>
      <c r="E772" s="65"/>
      <c r="F772" s="66"/>
      <c r="G772" s="63"/>
      <c r="H772" s="67"/>
      <c r="I772" s="68"/>
      <c r="J772" s="68"/>
      <c r="K772" s="32"/>
      <c r="L772" s="75">
        <v>772</v>
      </c>
      <c r="M772" s="75"/>
      <c r="N772" s="70"/>
      <c r="O772" s="77" t="s">
        <v>536</v>
      </c>
      <c r="P772" s="79">
        <v>45028.657175925924</v>
      </c>
      <c r="Q772" s="77" t="s">
        <v>1299</v>
      </c>
      <c r="R772" s="77">
        <v>0</v>
      </c>
      <c r="S772" s="77">
        <v>0</v>
      </c>
      <c r="T772" s="77">
        <v>0</v>
      </c>
      <c r="U772" s="77">
        <v>0</v>
      </c>
      <c r="V772" s="77">
        <v>18</v>
      </c>
      <c r="W772" s="82" t="s">
        <v>1871</v>
      </c>
      <c r="X772" s="77"/>
      <c r="Y772" s="77"/>
      <c r="Z772" s="77" t="s">
        <v>2013</v>
      </c>
      <c r="AA772" s="77"/>
      <c r="AB772" s="77"/>
      <c r="AC772" s="82" t="s">
        <v>2638</v>
      </c>
      <c r="AD772" s="77" t="s">
        <v>2670</v>
      </c>
      <c r="AE772" s="80" t="str">
        <f>HYPERLINK("https://twitter.com/adrianoaragaofc/status/1646177941963919361")</f>
        <v>https://twitter.com/adrianoaragaofc/status/1646177941963919361</v>
      </c>
      <c r="AF772" s="79">
        <v>45028.657175925924</v>
      </c>
      <c r="AG772" s="85">
        <v>45028</v>
      </c>
      <c r="AH772" s="82" t="s">
        <v>3275</v>
      </c>
      <c r="AI772" s="77"/>
      <c r="AJ772" s="77"/>
      <c r="AK772" s="77"/>
      <c r="AL772" s="77"/>
      <c r="AM772" s="77"/>
      <c r="AN772" s="77"/>
      <c r="AO772" s="77"/>
      <c r="AP772" s="77"/>
      <c r="AQ772" s="77"/>
      <c r="AR772" s="77"/>
      <c r="AS772" s="77"/>
      <c r="AT772" s="77"/>
      <c r="AU772" s="77"/>
      <c r="AV772" s="80" t="str">
        <f>HYPERLINK("https://pbs.twimg.com/profile_images/1662213777511571456/O_3C7KyL_normal.jpg")</f>
        <v>https://pbs.twimg.com/profile_images/1662213777511571456/O_3C7KyL_normal.jpg</v>
      </c>
      <c r="AW772" s="82" t="s">
        <v>4823</v>
      </c>
      <c r="AX772" s="82" t="s">
        <v>5019</v>
      </c>
      <c r="AY772" s="82" t="s">
        <v>5068</v>
      </c>
      <c r="AZ772" s="82" t="s">
        <v>5019</v>
      </c>
      <c r="BA772" s="82" t="s">
        <v>5075</v>
      </c>
      <c r="BB772" s="82" t="s">
        <v>5075</v>
      </c>
      <c r="BC772" s="82" t="s">
        <v>5019</v>
      </c>
      <c r="BD772" s="82" t="s">
        <v>5068</v>
      </c>
      <c r="BE772" s="77"/>
      <c r="BF772" s="77"/>
      <c r="BG772" s="77"/>
      <c r="BH772" s="77"/>
      <c r="BI772" s="77"/>
    </row>
    <row r="773" spans="1:61" x14ac:dyDescent="0.25">
      <c r="A773" s="62" t="s">
        <v>450</v>
      </c>
      <c r="B773" s="62" t="s">
        <v>450</v>
      </c>
      <c r="C773" s="63"/>
      <c r="D773" s="64"/>
      <c r="E773" s="65"/>
      <c r="F773" s="66"/>
      <c r="G773" s="63"/>
      <c r="H773" s="67"/>
      <c r="I773" s="68"/>
      <c r="J773" s="68"/>
      <c r="K773" s="32"/>
      <c r="L773" s="75">
        <v>773</v>
      </c>
      <c r="M773" s="75"/>
      <c r="N773" s="70"/>
      <c r="O773" s="77" t="s">
        <v>179</v>
      </c>
      <c r="P773" s="79">
        <v>45148.084409722222</v>
      </c>
      <c r="Q773" s="77" t="s">
        <v>1300</v>
      </c>
      <c r="R773" s="77">
        <v>0</v>
      </c>
      <c r="S773" s="77">
        <v>0</v>
      </c>
      <c r="T773" s="77">
        <v>0</v>
      </c>
      <c r="U773" s="77">
        <v>0</v>
      </c>
      <c r="V773" s="77">
        <v>46</v>
      </c>
      <c r="W773" s="82" t="s">
        <v>1872</v>
      </c>
      <c r="X773" s="77"/>
      <c r="Y773" s="77"/>
      <c r="Z773" s="77"/>
      <c r="AA773" s="77" t="s">
        <v>2543</v>
      </c>
      <c r="AB773" s="77" t="s">
        <v>2632</v>
      </c>
      <c r="AC773" s="82" t="s">
        <v>2639</v>
      </c>
      <c r="AD773" s="77" t="s">
        <v>2670</v>
      </c>
      <c r="AE773" s="80" t="str">
        <f>HYPERLINK("https://twitter.com/duduhrosa13/status/1689456921122578432")</f>
        <v>https://twitter.com/duduhrosa13/status/1689456921122578432</v>
      </c>
      <c r="AF773" s="79">
        <v>45148.084409722222</v>
      </c>
      <c r="AG773" s="85">
        <v>45148</v>
      </c>
      <c r="AH773" s="82" t="s">
        <v>3276</v>
      </c>
      <c r="AI773" s="77" t="b">
        <v>0</v>
      </c>
      <c r="AJ773" s="77"/>
      <c r="AK773" s="77"/>
      <c r="AL773" s="77"/>
      <c r="AM773" s="77"/>
      <c r="AN773" s="77"/>
      <c r="AO773" s="77"/>
      <c r="AP773" s="77"/>
      <c r="AQ773" s="77" t="s">
        <v>3972</v>
      </c>
      <c r="AR773" s="77"/>
      <c r="AS773" s="77"/>
      <c r="AT773" s="77"/>
      <c r="AU773" s="77"/>
      <c r="AV773" s="80" t="str">
        <f>HYPERLINK("https://pbs.twimg.com/media/F3IoDjBWMAAe4aq.jpg")</f>
        <v>https://pbs.twimg.com/media/F3IoDjBWMAAe4aq.jpg</v>
      </c>
      <c r="AW773" s="82" t="s">
        <v>4824</v>
      </c>
      <c r="AX773" s="82" t="s">
        <v>4824</v>
      </c>
      <c r="AY773" s="77"/>
      <c r="AZ773" s="82" t="s">
        <v>5075</v>
      </c>
      <c r="BA773" s="82" t="s">
        <v>5075</v>
      </c>
      <c r="BB773" s="82" t="s">
        <v>5075</v>
      </c>
      <c r="BC773" s="82" t="s">
        <v>4824</v>
      </c>
      <c r="BD773" s="77">
        <v>244707852</v>
      </c>
      <c r="BE773" s="77"/>
      <c r="BF773" s="77"/>
      <c r="BG773" s="77"/>
      <c r="BH773" s="77"/>
      <c r="BI773" s="77"/>
    </row>
    <row r="774" spans="1:61" x14ac:dyDescent="0.25">
      <c r="A774" s="62" t="s">
        <v>450</v>
      </c>
      <c r="B774" s="62" t="s">
        <v>450</v>
      </c>
      <c r="C774" s="63"/>
      <c r="D774" s="64"/>
      <c r="E774" s="65"/>
      <c r="F774" s="66"/>
      <c r="G774" s="63"/>
      <c r="H774" s="67"/>
      <c r="I774" s="68"/>
      <c r="J774" s="68"/>
      <c r="K774" s="32"/>
      <c r="L774" s="75">
        <v>774</v>
      </c>
      <c r="M774" s="75"/>
      <c r="N774" s="70"/>
      <c r="O774" s="77" t="s">
        <v>179</v>
      </c>
      <c r="P774" s="79">
        <v>45146.997199074074</v>
      </c>
      <c r="Q774" s="77" t="s">
        <v>1301</v>
      </c>
      <c r="R774" s="77">
        <v>0</v>
      </c>
      <c r="S774" s="77">
        <v>0</v>
      </c>
      <c r="T774" s="77">
        <v>0</v>
      </c>
      <c r="U774" s="77">
        <v>0</v>
      </c>
      <c r="V774" s="77">
        <v>54</v>
      </c>
      <c r="W774" s="82" t="s">
        <v>1873</v>
      </c>
      <c r="X774" s="77"/>
      <c r="Y774" s="77"/>
      <c r="Z774" s="77"/>
      <c r="AA774" s="77" t="s">
        <v>2544</v>
      </c>
      <c r="AB774" s="77" t="s">
        <v>2634</v>
      </c>
      <c r="AC774" s="82" t="s">
        <v>2639</v>
      </c>
      <c r="AD774" s="77" t="s">
        <v>2670</v>
      </c>
      <c r="AE774" s="80" t="str">
        <f>HYPERLINK("https://twitter.com/duduhrosa13/status/1689062928375250945")</f>
        <v>https://twitter.com/duduhrosa13/status/1689062928375250945</v>
      </c>
      <c r="AF774" s="79">
        <v>45146.997199074074</v>
      </c>
      <c r="AG774" s="85">
        <v>45146</v>
      </c>
      <c r="AH774" s="82" t="s">
        <v>3277</v>
      </c>
      <c r="AI774" s="77" t="b">
        <v>0</v>
      </c>
      <c r="AJ774" s="77"/>
      <c r="AK774" s="77"/>
      <c r="AL774" s="77"/>
      <c r="AM774" s="77"/>
      <c r="AN774" s="77"/>
      <c r="AO774" s="77"/>
      <c r="AP774" s="77"/>
      <c r="AQ774" s="77" t="s">
        <v>3973</v>
      </c>
      <c r="AR774" s="77"/>
      <c r="AS774" s="77"/>
      <c r="AT774" s="77"/>
      <c r="AU774" s="77"/>
      <c r="AV774" s="80" t="str">
        <f>HYPERLINK("https://pbs.twimg.com/media/F3DBrF_X0AAeuHJ.png")</f>
        <v>https://pbs.twimg.com/media/F3DBrF_X0AAeuHJ.png</v>
      </c>
      <c r="AW774" s="82" t="s">
        <v>4825</v>
      </c>
      <c r="AX774" s="82" t="s">
        <v>4825</v>
      </c>
      <c r="AY774" s="77"/>
      <c r="AZ774" s="82" t="s">
        <v>5075</v>
      </c>
      <c r="BA774" s="82" t="s">
        <v>5075</v>
      </c>
      <c r="BB774" s="82" t="s">
        <v>5075</v>
      </c>
      <c r="BC774" s="82" t="s">
        <v>4825</v>
      </c>
      <c r="BD774" s="77">
        <v>244707852</v>
      </c>
      <c r="BE774" s="77"/>
      <c r="BF774" s="77"/>
      <c r="BG774" s="77"/>
      <c r="BH774" s="77"/>
      <c r="BI774" s="77"/>
    </row>
    <row r="775" spans="1:61" x14ac:dyDescent="0.25">
      <c r="A775" s="62" t="s">
        <v>451</v>
      </c>
      <c r="B775" s="62" t="s">
        <v>533</v>
      </c>
      <c r="C775" s="63"/>
      <c r="D775" s="64"/>
      <c r="E775" s="65"/>
      <c r="F775" s="66"/>
      <c r="G775" s="63"/>
      <c r="H775" s="67"/>
      <c r="I775" s="68"/>
      <c r="J775" s="68"/>
      <c r="K775" s="32"/>
      <c r="L775" s="75">
        <v>775</v>
      </c>
      <c r="M775" s="75"/>
      <c r="N775" s="70"/>
      <c r="O775" s="77" t="s">
        <v>539</v>
      </c>
      <c r="P775" s="79">
        <v>45008.751250000001</v>
      </c>
      <c r="Q775" s="77" t="s">
        <v>1302</v>
      </c>
      <c r="R775" s="77">
        <v>0</v>
      </c>
      <c r="S775" s="77">
        <v>0</v>
      </c>
      <c r="T775" s="77">
        <v>0</v>
      </c>
      <c r="U775" s="77">
        <v>0</v>
      </c>
      <c r="V775" s="77">
        <v>22</v>
      </c>
      <c r="W775" s="82" t="s">
        <v>1874</v>
      </c>
      <c r="X775" s="77"/>
      <c r="Y775" s="77"/>
      <c r="Z775" s="77" t="s">
        <v>533</v>
      </c>
      <c r="AA775" s="77" t="s">
        <v>2545</v>
      </c>
      <c r="AB775" s="77" t="s">
        <v>2633</v>
      </c>
      <c r="AC775" s="82" t="s">
        <v>2645</v>
      </c>
      <c r="AD775" s="77" t="s">
        <v>2670</v>
      </c>
      <c r="AE775" s="80" t="str">
        <f>HYPERLINK("https://twitter.com/investspace3/status/1638964277305569281")</f>
        <v>https://twitter.com/investspace3/status/1638964277305569281</v>
      </c>
      <c r="AF775" s="79">
        <v>45008.751250000001</v>
      </c>
      <c r="AG775" s="85">
        <v>45008</v>
      </c>
      <c r="AH775" s="82" t="s">
        <v>3278</v>
      </c>
      <c r="AI775" s="77" t="b">
        <v>0</v>
      </c>
      <c r="AJ775" s="77"/>
      <c r="AK775" s="77"/>
      <c r="AL775" s="77"/>
      <c r="AM775" s="77"/>
      <c r="AN775" s="77"/>
      <c r="AO775" s="77"/>
      <c r="AP775" s="77"/>
      <c r="AQ775" s="77" t="s">
        <v>3974</v>
      </c>
      <c r="AR775" s="77">
        <v>82833</v>
      </c>
      <c r="AS775" s="77"/>
      <c r="AT775" s="77"/>
      <c r="AU775" s="77"/>
      <c r="AV775" s="80" t="str">
        <f>HYPERLINK("https://pbs.twimg.com/ext_tw_video_thumb/1638964215028281344/pu/img/ZdyiWG6CdTXZ-A0m.jpg")</f>
        <v>https://pbs.twimg.com/ext_tw_video_thumb/1638964215028281344/pu/img/ZdyiWG6CdTXZ-A0m.jpg</v>
      </c>
      <c r="AW775" s="82" t="s">
        <v>4826</v>
      </c>
      <c r="AX775" s="82" t="s">
        <v>4826</v>
      </c>
      <c r="AY775" s="77"/>
      <c r="AZ775" s="82" t="s">
        <v>5075</v>
      </c>
      <c r="BA775" s="82" t="s">
        <v>5075</v>
      </c>
      <c r="BB775" s="82" t="s">
        <v>5075</v>
      </c>
      <c r="BC775" s="82" t="s">
        <v>4826</v>
      </c>
      <c r="BD775" s="82" t="s">
        <v>5245</v>
      </c>
      <c r="BE775" s="77"/>
      <c r="BF775" s="77"/>
      <c r="BG775" s="77"/>
      <c r="BH775" s="77"/>
      <c r="BI775" s="77"/>
    </row>
    <row r="776" spans="1:61" x14ac:dyDescent="0.25">
      <c r="A776" s="62" t="s">
        <v>451</v>
      </c>
      <c r="B776" s="62" t="s">
        <v>451</v>
      </c>
      <c r="C776" s="63"/>
      <c r="D776" s="64"/>
      <c r="E776" s="65"/>
      <c r="F776" s="66"/>
      <c r="G776" s="63"/>
      <c r="H776" s="67"/>
      <c r="I776" s="68"/>
      <c r="J776" s="68"/>
      <c r="K776" s="32"/>
      <c r="L776" s="75">
        <v>776</v>
      </c>
      <c r="M776" s="75"/>
      <c r="N776" s="70"/>
      <c r="O776" s="77" t="s">
        <v>179</v>
      </c>
      <c r="P776" s="79">
        <v>45023.84134259259</v>
      </c>
      <c r="Q776" s="77" t="s">
        <v>1303</v>
      </c>
      <c r="R776" s="77">
        <v>0</v>
      </c>
      <c r="S776" s="77">
        <v>0</v>
      </c>
      <c r="T776" s="77">
        <v>0</v>
      </c>
      <c r="U776" s="77">
        <v>0</v>
      </c>
      <c r="V776" s="77">
        <v>5</v>
      </c>
      <c r="W776" s="82" t="s">
        <v>1875</v>
      </c>
      <c r="X776" s="80" t="str">
        <f>HYPERLINK("https://www.youtube.com/watch?v=B4qgbrvZrfY")</f>
        <v>https://www.youtube.com/watch?v=B4qgbrvZrfY</v>
      </c>
      <c r="Y776" s="77" t="s">
        <v>1982</v>
      </c>
      <c r="Z776" s="77"/>
      <c r="AA776" s="77"/>
      <c r="AB776" s="77"/>
      <c r="AC776" s="82" t="s">
        <v>2663</v>
      </c>
      <c r="AD776" s="77" t="s">
        <v>2670</v>
      </c>
      <c r="AE776" s="80" t="str">
        <f>HYPERLINK("https://twitter.com/investspace3/status/1644432742791147542")</f>
        <v>https://twitter.com/investspace3/status/1644432742791147542</v>
      </c>
      <c r="AF776" s="79">
        <v>45023.84134259259</v>
      </c>
      <c r="AG776" s="85">
        <v>45023</v>
      </c>
      <c r="AH776" s="82" t="s">
        <v>3279</v>
      </c>
      <c r="AI776" s="77" t="b">
        <v>0</v>
      </c>
      <c r="AJ776" s="77"/>
      <c r="AK776" s="77"/>
      <c r="AL776" s="77"/>
      <c r="AM776" s="77"/>
      <c r="AN776" s="77"/>
      <c r="AO776" s="77"/>
      <c r="AP776" s="77"/>
      <c r="AQ776" s="77"/>
      <c r="AR776" s="77"/>
      <c r="AS776" s="77"/>
      <c r="AT776" s="77"/>
      <c r="AU776" s="77"/>
      <c r="AV776" s="80" t="str">
        <f>HYPERLINK("https://pbs.twimg.com/profile_images/1658616631122186243/ytPOxRv2_normal.jpg")</f>
        <v>https://pbs.twimg.com/profile_images/1658616631122186243/ytPOxRv2_normal.jpg</v>
      </c>
      <c r="AW776" s="82" t="s">
        <v>4827</v>
      </c>
      <c r="AX776" s="82" t="s">
        <v>4827</v>
      </c>
      <c r="AY776" s="77"/>
      <c r="AZ776" s="82" t="s">
        <v>5075</v>
      </c>
      <c r="BA776" s="82" t="s">
        <v>5075</v>
      </c>
      <c r="BB776" s="82" t="s">
        <v>5075</v>
      </c>
      <c r="BC776" s="82" t="s">
        <v>4827</v>
      </c>
      <c r="BD776" s="82" t="s">
        <v>5245</v>
      </c>
      <c r="BE776" s="77"/>
      <c r="BF776" s="77"/>
      <c r="BG776" s="77"/>
      <c r="BH776" s="77"/>
      <c r="BI776" s="77"/>
    </row>
    <row r="777" spans="1:61" x14ac:dyDescent="0.25">
      <c r="A777" s="62" t="s">
        <v>451</v>
      </c>
      <c r="B777" s="62" t="s">
        <v>451</v>
      </c>
      <c r="C777" s="63"/>
      <c r="D777" s="64"/>
      <c r="E777" s="65"/>
      <c r="F777" s="66"/>
      <c r="G777" s="63"/>
      <c r="H777" s="67"/>
      <c r="I777" s="68"/>
      <c r="J777" s="68"/>
      <c r="K777" s="32"/>
      <c r="L777" s="75">
        <v>777</v>
      </c>
      <c r="M777" s="75"/>
      <c r="N777" s="70"/>
      <c r="O777" s="77" t="s">
        <v>179</v>
      </c>
      <c r="P777" s="79">
        <v>45023.841331018521</v>
      </c>
      <c r="Q777" s="77" t="s">
        <v>1304</v>
      </c>
      <c r="R777" s="77">
        <v>0</v>
      </c>
      <c r="S777" s="77">
        <v>0</v>
      </c>
      <c r="T777" s="77">
        <v>0</v>
      </c>
      <c r="U777" s="77">
        <v>0</v>
      </c>
      <c r="V777" s="77">
        <v>4</v>
      </c>
      <c r="W777" s="82" t="s">
        <v>1875</v>
      </c>
      <c r="X777" s="80" t="str">
        <f>HYPERLINK("https://www.youtube.com/watch?v=_lKHuSud15U")</f>
        <v>https://www.youtube.com/watch?v=_lKHuSud15U</v>
      </c>
      <c r="Y777" s="77" t="s">
        <v>1982</v>
      </c>
      <c r="Z777" s="77"/>
      <c r="AA777" s="77"/>
      <c r="AB777" s="77"/>
      <c r="AC777" s="82" t="s">
        <v>2663</v>
      </c>
      <c r="AD777" s="77" t="s">
        <v>2670</v>
      </c>
      <c r="AE777" s="80" t="str">
        <f>HYPERLINK("https://twitter.com/investspace3/status/1644432736101310464")</f>
        <v>https://twitter.com/investspace3/status/1644432736101310464</v>
      </c>
      <c r="AF777" s="79">
        <v>45023.841331018521</v>
      </c>
      <c r="AG777" s="85">
        <v>45023</v>
      </c>
      <c r="AH777" s="82" t="s">
        <v>3280</v>
      </c>
      <c r="AI777" s="77" t="b">
        <v>0</v>
      </c>
      <c r="AJ777" s="77"/>
      <c r="AK777" s="77"/>
      <c r="AL777" s="77"/>
      <c r="AM777" s="77"/>
      <c r="AN777" s="77"/>
      <c r="AO777" s="77"/>
      <c r="AP777" s="77"/>
      <c r="AQ777" s="77"/>
      <c r="AR777" s="77"/>
      <c r="AS777" s="77"/>
      <c r="AT777" s="77"/>
      <c r="AU777" s="77"/>
      <c r="AV777" s="80" t="str">
        <f>HYPERLINK("https://pbs.twimg.com/profile_images/1658616631122186243/ytPOxRv2_normal.jpg")</f>
        <v>https://pbs.twimg.com/profile_images/1658616631122186243/ytPOxRv2_normal.jpg</v>
      </c>
      <c r="AW777" s="82" t="s">
        <v>4828</v>
      </c>
      <c r="AX777" s="82" t="s">
        <v>4828</v>
      </c>
      <c r="AY777" s="77"/>
      <c r="AZ777" s="82" t="s">
        <v>5075</v>
      </c>
      <c r="BA777" s="82" t="s">
        <v>5075</v>
      </c>
      <c r="BB777" s="82" t="s">
        <v>5075</v>
      </c>
      <c r="BC777" s="82" t="s">
        <v>4828</v>
      </c>
      <c r="BD777" s="82" t="s">
        <v>5245</v>
      </c>
      <c r="BE777" s="77"/>
      <c r="BF777" s="77"/>
      <c r="BG777" s="77"/>
      <c r="BH777" s="77"/>
      <c r="BI777" s="77"/>
    </row>
    <row r="778" spans="1:61" x14ac:dyDescent="0.25">
      <c r="A778" s="62" t="s">
        <v>451</v>
      </c>
      <c r="B778" s="62" t="s">
        <v>451</v>
      </c>
      <c r="C778" s="63"/>
      <c r="D778" s="64"/>
      <c r="E778" s="65"/>
      <c r="F778" s="66"/>
      <c r="G778" s="63"/>
      <c r="H778" s="67"/>
      <c r="I778" s="68"/>
      <c r="J778" s="68"/>
      <c r="K778" s="32"/>
      <c r="L778" s="75">
        <v>778</v>
      </c>
      <c r="M778" s="75"/>
      <c r="N778" s="70"/>
      <c r="O778" s="77" t="s">
        <v>179</v>
      </c>
      <c r="P778" s="79">
        <v>45031.667719907404</v>
      </c>
      <c r="Q778" s="77" t="s">
        <v>1305</v>
      </c>
      <c r="R778" s="77">
        <v>0</v>
      </c>
      <c r="S778" s="77">
        <v>1</v>
      </c>
      <c r="T778" s="77">
        <v>0</v>
      </c>
      <c r="U778" s="77">
        <v>0</v>
      </c>
      <c r="V778" s="77">
        <v>90</v>
      </c>
      <c r="W778" s="82" t="s">
        <v>1876</v>
      </c>
      <c r="X778" s="77"/>
      <c r="Y778" s="77"/>
      <c r="Z778" s="77"/>
      <c r="AA778" s="77" t="s">
        <v>2546</v>
      </c>
      <c r="AB778" s="77" t="s">
        <v>2633</v>
      </c>
      <c r="AC778" s="82" t="s">
        <v>2645</v>
      </c>
      <c r="AD778" s="77" t="s">
        <v>2670</v>
      </c>
      <c r="AE778" s="80" t="str">
        <f>HYPERLINK("https://twitter.com/investspace3/status/1647268925686661120")</f>
        <v>https://twitter.com/investspace3/status/1647268925686661120</v>
      </c>
      <c r="AF778" s="79">
        <v>45031.667719907404</v>
      </c>
      <c r="AG778" s="85">
        <v>45031</v>
      </c>
      <c r="AH778" s="82" t="s">
        <v>3281</v>
      </c>
      <c r="AI778" s="77" t="b">
        <v>0</v>
      </c>
      <c r="AJ778" s="77"/>
      <c r="AK778" s="77"/>
      <c r="AL778" s="77"/>
      <c r="AM778" s="77"/>
      <c r="AN778" s="77"/>
      <c r="AO778" s="77"/>
      <c r="AP778" s="77"/>
      <c r="AQ778" s="77" t="s">
        <v>3975</v>
      </c>
      <c r="AR778" s="77">
        <v>59833</v>
      </c>
      <c r="AS778" s="77"/>
      <c r="AT778" s="77"/>
      <c r="AU778" s="77"/>
      <c r="AV778" s="80" t="str">
        <f>HYPERLINK("https://pbs.twimg.com/ext_tw_video_thumb/1647268874180493312/pu/img/o22uN973upNE63H9.jpg")</f>
        <v>https://pbs.twimg.com/ext_tw_video_thumb/1647268874180493312/pu/img/o22uN973upNE63H9.jpg</v>
      </c>
      <c r="AW778" s="82" t="s">
        <v>4829</v>
      </c>
      <c r="AX778" s="82" t="s">
        <v>4829</v>
      </c>
      <c r="AY778" s="77"/>
      <c r="AZ778" s="82" t="s">
        <v>5075</v>
      </c>
      <c r="BA778" s="82" t="s">
        <v>5075</v>
      </c>
      <c r="BB778" s="82" t="s">
        <v>5075</v>
      </c>
      <c r="BC778" s="82" t="s">
        <v>4829</v>
      </c>
      <c r="BD778" s="82" t="s">
        <v>5245</v>
      </c>
      <c r="BE778" s="77"/>
      <c r="BF778" s="77"/>
      <c r="BG778" s="77"/>
      <c r="BH778" s="77"/>
      <c r="BI778" s="77"/>
    </row>
    <row r="779" spans="1:61" x14ac:dyDescent="0.25">
      <c r="A779" s="62" t="s">
        <v>452</v>
      </c>
      <c r="B779" s="62" t="s">
        <v>452</v>
      </c>
      <c r="C779" s="63"/>
      <c r="D779" s="64"/>
      <c r="E779" s="65"/>
      <c r="F779" s="66"/>
      <c r="G779" s="63"/>
      <c r="H779" s="67"/>
      <c r="I779" s="68"/>
      <c r="J779" s="68"/>
      <c r="K779" s="32"/>
      <c r="L779" s="75">
        <v>779</v>
      </c>
      <c r="M779" s="75"/>
      <c r="N779" s="70"/>
      <c r="O779" s="77" t="s">
        <v>179</v>
      </c>
      <c r="P779" s="79">
        <v>45105.614571759259</v>
      </c>
      <c r="Q779" s="77" t="s">
        <v>1306</v>
      </c>
      <c r="R779" s="77">
        <v>0</v>
      </c>
      <c r="S779" s="77">
        <v>1</v>
      </c>
      <c r="T779" s="77">
        <v>0</v>
      </c>
      <c r="U779" s="77">
        <v>0</v>
      </c>
      <c r="V779" s="77">
        <v>55</v>
      </c>
      <c r="W779" s="82" t="s">
        <v>1877</v>
      </c>
      <c r="X779" s="77"/>
      <c r="Y779" s="77"/>
      <c r="Z779" s="77"/>
      <c r="AA779" s="77"/>
      <c r="AB779" s="77"/>
      <c r="AC779" s="82" t="s">
        <v>2639</v>
      </c>
      <c r="AD779" s="77" t="s">
        <v>2670</v>
      </c>
      <c r="AE779" s="80" t="str">
        <f>HYPERLINK("https://twitter.com/hamashiaoficial/status/1674066366800748544")</f>
        <v>https://twitter.com/hamashiaoficial/status/1674066366800748544</v>
      </c>
      <c r="AF779" s="79">
        <v>45105.614571759259</v>
      </c>
      <c r="AG779" s="85">
        <v>45105</v>
      </c>
      <c r="AH779" s="82" t="s">
        <v>3282</v>
      </c>
      <c r="AI779" s="77"/>
      <c r="AJ779" s="77"/>
      <c r="AK779" s="77"/>
      <c r="AL779" s="77"/>
      <c r="AM779" s="77"/>
      <c r="AN779" s="77"/>
      <c r="AO779" s="77"/>
      <c r="AP779" s="77"/>
      <c r="AQ779" s="77"/>
      <c r="AR779" s="77"/>
      <c r="AS779" s="77"/>
      <c r="AT779" s="77"/>
      <c r="AU779" s="77"/>
      <c r="AV779" s="80" t="str">
        <f>HYPERLINK("https://pbs.twimg.com/profile_images/1674065554863210498/OC7ydwe3_normal.jpg")</f>
        <v>https://pbs.twimg.com/profile_images/1674065554863210498/OC7ydwe3_normal.jpg</v>
      </c>
      <c r="AW779" s="82" t="s">
        <v>4830</v>
      </c>
      <c r="AX779" s="82" t="s">
        <v>4830</v>
      </c>
      <c r="AY779" s="77"/>
      <c r="AZ779" s="82" t="s">
        <v>5075</v>
      </c>
      <c r="BA779" s="82" t="s">
        <v>5075</v>
      </c>
      <c r="BB779" s="82" t="s">
        <v>5075</v>
      </c>
      <c r="BC779" s="82" t="s">
        <v>4830</v>
      </c>
      <c r="BD779" s="82" t="s">
        <v>5246</v>
      </c>
      <c r="BE779" s="77"/>
      <c r="BF779" s="77"/>
      <c r="BG779" s="77"/>
      <c r="BH779" s="77"/>
      <c r="BI779" s="77"/>
    </row>
    <row r="780" spans="1:61" x14ac:dyDescent="0.25">
      <c r="A780" s="62" t="s">
        <v>453</v>
      </c>
      <c r="B780" s="62" t="s">
        <v>453</v>
      </c>
      <c r="C780" s="63"/>
      <c r="D780" s="64"/>
      <c r="E780" s="65"/>
      <c r="F780" s="66"/>
      <c r="G780" s="63"/>
      <c r="H780" s="67"/>
      <c r="I780" s="68"/>
      <c r="J780" s="68"/>
      <c r="K780" s="32"/>
      <c r="L780" s="75">
        <v>780</v>
      </c>
      <c r="M780" s="75"/>
      <c r="N780" s="70"/>
      <c r="O780" s="77" t="s">
        <v>179</v>
      </c>
      <c r="P780" s="79">
        <v>44979.663136574076</v>
      </c>
      <c r="Q780" s="77" t="s">
        <v>1307</v>
      </c>
      <c r="R780" s="77">
        <v>1</v>
      </c>
      <c r="S780" s="77">
        <v>1</v>
      </c>
      <c r="T780" s="77">
        <v>0</v>
      </c>
      <c r="U780" s="77">
        <v>0</v>
      </c>
      <c r="V780" s="77">
        <v>12</v>
      </c>
      <c r="W780" s="82" t="s">
        <v>1878</v>
      </c>
      <c r="X780" s="80" t="str">
        <f>HYPERLINK("http://bit.ly/3Z8YoGc")</f>
        <v>http://bit.ly/3Z8YoGc</v>
      </c>
      <c r="Y780" s="77" t="s">
        <v>1975</v>
      </c>
      <c r="Z780" s="77"/>
      <c r="AA780" s="77"/>
      <c r="AB780" s="77"/>
      <c r="AC780" s="82" t="s">
        <v>2639</v>
      </c>
      <c r="AD780" s="77" t="s">
        <v>2670</v>
      </c>
      <c r="AE780" s="80" t="str">
        <f>HYPERLINK("https://twitter.com/cdihoje/status/1628423098444791810")</f>
        <v>https://twitter.com/cdihoje/status/1628423098444791810</v>
      </c>
      <c r="AF780" s="79">
        <v>44979.663136574076</v>
      </c>
      <c r="AG780" s="85">
        <v>44979</v>
      </c>
      <c r="AH780" s="82" t="s">
        <v>3283</v>
      </c>
      <c r="AI780" s="77" t="b">
        <v>0</v>
      </c>
      <c r="AJ780" s="77"/>
      <c r="AK780" s="77"/>
      <c r="AL780" s="77"/>
      <c r="AM780" s="77"/>
      <c r="AN780" s="77"/>
      <c r="AO780" s="77"/>
      <c r="AP780" s="77"/>
      <c r="AQ780" s="77"/>
      <c r="AR780" s="77"/>
      <c r="AS780" s="77"/>
      <c r="AT780" s="77"/>
      <c r="AU780" s="77"/>
      <c r="AV780" s="80" t="str">
        <f>HYPERLINK("https://pbs.twimg.com/profile_images/1483046061899923457/aRNxfRz3_normal.jpg")</f>
        <v>https://pbs.twimg.com/profile_images/1483046061899923457/aRNxfRz3_normal.jpg</v>
      </c>
      <c r="AW780" s="82" t="s">
        <v>4831</v>
      </c>
      <c r="AX780" s="82" t="s">
        <v>4831</v>
      </c>
      <c r="AY780" s="77"/>
      <c r="AZ780" s="82" t="s">
        <v>5075</v>
      </c>
      <c r="BA780" s="82" t="s">
        <v>5075</v>
      </c>
      <c r="BB780" s="82" t="s">
        <v>5075</v>
      </c>
      <c r="BC780" s="82" t="s">
        <v>4831</v>
      </c>
      <c r="BD780" s="82" t="s">
        <v>5247</v>
      </c>
      <c r="BE780" s="77"/>
      <c r="BF780" s="77"/>
      <c r="BG780" s="77"/>
      <c r="BH780" s="77"/>
      <c r="BI780" s="77"/>
    </row>
    <row r="781" spans="1:61" x14ac:dyDescent="0.25">
      <c r="A781" s="62" t="s">
        <v>454</v>
      </c>
      <c r="B781" s="62" t="s">
        <v>454</v>
      </c>
      <c r="C781" s="63"/>
      <c r="D781" s="64"/>
      <c r="E781" s="65"/>
      <c r="F781" s="66"/>
      <c r="G781" s="63"/>
      <c r="H781" s="67"/>
      <c r="I781" s="68"/>
      <c r="J781" s="68"/>
      <c r="K781" s="32"/>
      <c r="L781" s="75">
        <v>781</v>
      </c>
      <c r="M781" s="75"/>
      <c r="N781" s="70"/>
      <c r="O781" s="77" t="s">
        <v>179</v>
      </c>
      <c r="P781" s="79">
        <v>44951.955706018518</v>
      </c>
      <c r="Q781" s="77" t="s">
        <v>1308</v>
      </c>
      <c r="R781" s="77">
        <v>0</v>
      </c>
      <c r="S781" s="77">
        <v>1</v>
      </c>
      <c r="T781" s="77">
        <v>0</v>
      </c>
      <c r="U781" s="77">
        <v>0</v>
      </c>
      <c r="V781" s="77">
        <v>6</v>
      </c>
      <c r="W781" s="82" t="s">
        <v>1879</v>
      </c>
      <c r="X781" s="77"/>
      <c r="Y781" s="77"/>
      <c r="Z781" s="77"/>
      <c r="AA781" s="77" t="s">
        <v>2547</v>
      </c>
      <c r="AB781" s="77" t="s">
        <v>2632</v>
      </c>
      <c r="AC781" s="82" t="s">
        <v>2638</v>
      </c>
      <c r="AD781" s="77" t="s">
        <v>2673</v>
      </c>
      <c r="AE781" s="80" t="str">
        <f>HYPERLINK("https://twitter.com/marcelobavila/status/1618382260012732417")</f>
        <v>https://twitter.com/marcelobavila/status/1618382260012732417</v>
      </c>
      <c r="AF781" s="79">
        <v>44951.955706018518</v>
      </c>
      <c r="AG781" s="85">
        <v>44951</v>
      </c>
      <c r="AH781" s="82" t="s">
        <v>3284</v>
      </c>
      <c r="AI781" s="77" t="b">
        <v>0</v>
      </c>
      <c r="AJ781" s="77"/>
      <c r="AK781" s="77"/>
      <c r="AL781" s="77"/>
      <c r="AM781" s="77"/>
      <c r="AN781" s="77"/>
      <c r="AO781" s="77"/>
      <c r="AP781" s="77"/>
      <c r="AQ781" s="77" t="s">
        <v>3976</v>
      </c>
      <c r="AR781" s="77"/>
      <c r="AS781" s="77"/>
      <c r="AT781" s="77"/>
      <c r="AU781" s="77"/>
      <c r="AV781" s="80" t="str">
        <f>HYPERLINK("https://pbs.twimg.com/media/FnWmFpLWYAYQVF3.jpg")</f>
        <v>https://pbs.twimg.com/media/FnWmFpLWYAYQVF3.jpg</v>
      </c>
      <c r="AW781" s="82" t="s">
        <v>4832</v>
      </c>
      <c r="AX781" s="82" t="s">
        <v>4832</v>
      </c>
      <c r="AY781" s="77"/>
      <c r="AZ781" s="82" t="s">
        <v>5075</v>
      </c>
      <c r="BA781" s="82" t="s">
        <v>5075</v>
      </c>
      <c r="BB781" s="82" t="s">
        <v>5075</v>
      </c>
      <c r="BC781" s="82" t="s">
        <v>4832</v>
      </c>
      <c r="BD781" s="77">
        <v>368459377</v>
      </c>
      <c r="BE781" s="77"/>
      <c r="BF781" s="77"/>
      <c r="BG781" s="77"/>
      <c r="BH781" s="77"/>
      <c r="BI781" s="77"/>
    </row>
    <row r="782" spans="1:61" x14ac:dyDescent="0.25">
      <c r="A782" s="62" t="s">
        <v>454</v>
      </c>
      <c r="B782" s="62" t="s">
        <v>454</v>
      </c>
      <c r="C782" s="63"/>
      <c r="D782" s="64"/>
      <c r="E782" s="65"/>
      <c r="F782" s="66"/>
      <c r="G782" s="63"/>
      <c r="H782" s="67"/>
      <c r="I782" s="68"/>
      <c r="J782" s="68"/>
      <c r="K782" s="32"/>
      <c r="L782" s="75">
        <v>782</v>
      </c>
      <c r="M782" s="75"/>
      <c r="N782" s="70"/>
      <c r="O782" s="77" t="s">
        <v>179</v>
      </c>
      <c r="P782" s="79">
        <v>45051.173611111109</v>
      </c>
      <c r="Q782" s="77" t="s">
        <v>1309</v>
      </c>
      <c r="R782" s="77">
        <v>1</v>
      </c>
      <c r="S782" s="77">
        <v>0</v>
      </c>
      <c r="T782" s="77">
        <v>0</v>
      </c>
      <c r="U782" s="77">
        <v>0</v>
      </c>
      <c r="V782" s="77">
        <v>25</v>
      </c>
      <c r="W782" s="82" t="s">
        <v>1880</v>
      </c>
      <c r="X782" s="77"/>
      <c r="Y782" s="77"/>
      <c r="Z782" s="77"/>
      <c r="AA782" s="77" t="s">
        <v>2548</v>
      </c>
      <c r="AB782" s="77" t="s">
        <v>2632</v>
      </c>
      <c r="AC782" s="82" t="s">
        <v>2638</v>
      </c>
      <c r="AD782" s="77" t="s">
        <v>2670</v>
      </c>
      <c r="AE782" s="80" t="str">
        <f>HYPERLINK("https://twitter.com/marcelobavila/status/1654337623098376192")</f>
        <v>https://twitter.com/marcelobavila/status/1654337623098376192</v>
      </c>
      <c r="AF782" s="79">
        <v>45051.173611111109</v>
      </c>
      <c r="AG782" s="85">
        <v>45051</v>
      </c>
      <c r="AH782" s="82" t="s">
        <v>3285</v>
      </c>
      <c r="AI782" s="77" t="b">
        <v>0</v>
      </c>
      <c r="AJ782" s="77"/>
      <c r="AK782" s="77"/>
      <c r="AL782" s="77"/>
      <c r="AM782" s="77"/>
      <c r="AN782" s="77"/>
      <c r="AO782" s="77"/>
      <c r="AP782" s="77"/>
      <c r="AQ782" s="77" t="s">
        <v>3977</v>
      </c>
      <c r="AR782" s="77"/>
      <c r="AS782" s="77"/>
      <c r="AT782" s="77"/>
      <c r="AU782" s="77"/>
      <c r="AV782" s="80" t="str">
        <f>HYPERLINK("https://pbs.twimg.com/media/FvVjTRlXsAMBJAY.jpg")</f>
        <v>https://pbs.twimg.com/media/FvVjTRlXsAMBJAY.jpg</v>
      </c>
      <c r="AW782" s="82" t="s">
        <v>4833</v>
      </c>
      <c r="AX782" s="82" t="s">
        <v>4833</v>
      </c>
      <c r="AY782" s="77"/>
      <c r="AZ782" s="82" t="s">
        <v>5075</v>
      </c>
      <c r="BA782" s="82" t="s">
        <v>5075</v>
      </c>
      <c r="BB782" s="82" t="s">
        <v>5075</v>
      </c>
      <c r="BC782" s="82" t="s">
        <v>4833</v>
      </c>
      <c r="BD782" s="77">
        <v>368459377</v>
      </c>
      <c r="BE782" s="77"/>
      <c r="BF782" s="77"/>
      <c r="BG782" s="77"/>
      <c r="BH782" s="77"/>
      <c r="BI782" s="77"/>
    </row>
    <row r="783" spans="1:61" x14ac:dyDescent="0.25">
      <c r="A783" s="62" t="s">
        <v>454</v>
      </c>
      <c r="B783" s="62" t="s">
        <v>454</v>
      </c>
      <c r="C783" s="63"/>
      <c r="D783" s="64"/>
      <c r="E783" s="65"/>
      <c r="F783" s="66"/>
      <c r="G783" s="63"/>
      <c r="H783" s="67"/>
      <c r="I783" s="68"/>
      <c r="J783" s="68"/>
      <c r="K783" s="32"/>
      <c r="L783" s="75">
        <v>783</v>
      </c>
      <c r="M783" s="75"/>
      <c r="N783" s="70"/>
      <c r="O783" s="77" t="s">
        <v>179</v>
      </c>
      <c r="P783" s="79">
        <v>45048.982233796298</v>
      </c>
      <c r="Q783" s="77" t="s">
        <v>1310</v>
      </c>
      <c r="R783" s="77">
        <v>1</v>
      </c>
      <c r="S783" s="77">
        <v>0</v>
      </c>
      <c r="T783" s="77">
        <v>0</v>
      </c>
      <c r="U783" s="77">
        <v>0</v>
      </c>
      <c r="V783" s="77">
        <v>46</v>
      </c>
      <c r="W783" s="82" t="s">
        <v>1881</v>
      </c>
      <c r="X783" s="77"/>
      <c r="Y783" s="77"/>
      <c r="Z783" s="77"/>
      <c r="AA783" s="77" t="s">
        <v>2549</v>
      </c>
      <c r="AB783" s="77" t="s">
        <v>2632</v>
      </c>
      <c r="AC783" s="82" t="s">
        <v>2638</v>
      </c>
      <c r="AD783" s="77" t="s">
        <v>2670</v>
      </c>
      <c r="AE783" s="80" t="str">
        <f>HYPERLINK("https://twitter.com/marcelobavila/status/1653543497327058946")</f>
        <v>https://twitter.com/marcelobavila/status/1653543497327058946</v>
      </c>
      <c r="AF783" s="79">
        <v>45048.982233796298</v>
      </c>
      <c r="AG783" s="85">
        <v>45048</v>
      </c>
      <c r="AH783" s="82" t="s">
        <v>3286</v>
      </c>
      <c r="AI783" s="77" t="b">
        <v>0</v>
      </c>
      <c r="AJ783" s="77"/>
      <c r="AK783" s="77"/>
      <c r="AL783" s="77"/>
      <c r="AM783" s="77"/>
      <c r="AN783" s="77"/>
      <c r="AO783" s="77"/>
      <c r="AP783" s="77"/>
      <c r="AQ783" s="77" t="s">
        <v>3978</v>
      </c>
      <c r="AR783" s="77"/>
      <c r="AS783" s="77"/>
      <c r="AT783" s="77"/>
      <c r="AU783" s="77"/>
      <c r="AV783" s="80" t="str">
        <f>HYPERLINK("https://pbs.twimg.com/media/FvKRDCeWIAAt3Gh.jpg")</f>
        <v>https://pbs.twimg.com/media/FvKRDCeWIAAt3Gh.jpg</v>
      </c>
      <c r="AW783" s="82" t="s">
        <v>4834</v>
      </c>
      <c r="AX783" s="82" t="s">
        <v>4834</v>
      </c>
      <c r="AY783" s="77"/>
      <c r="AZ783" s="82" t="s">
        <v>5075</v>
      </c>
      <c r="BA783" s="82" t="s">
        <v>5075</v>
      </c>
      <c r="BB783" s="82" t="s">
        <v>5075</v>
      </c>
      <c r="BC783" s="82" t="s">
        <v>4834</v>
      </c>
      <c r="BD783" s="77">
        <v>368459377</v>
      </c>
      <c r="BE783" s="77"/>
      <c r="BF783" s="77"/>
      <c r="BG783" s="77"/>
      <c r="BH783" s="77"/>
      <c r="BI783" s="77"/>
    </row>
    <row r="784" spans="1:61" x14ac:dyDescent="0.25">
      <c r="A784" s="62" t="s">
        <v>454</v>
      </c>
      <c r="B784" s="62" t="s">
        <v>454</v>
      </c>
      <c r="C784" s="63"/>
      <c r="D784" s="64"/>
      <c r="E784" s="65"/>
      <c r="F784" s="66"/>
      <c r="G784" s="63"/>
      <c r="H784" s="67"/>
      <c r="I784" s="68"/>
      <c r="J784" s="68"/>
      <c r="K784" s="32"/>
      <c r="L784" s="75">
        <v>784</v>
      </c>
      <c r="M784" s="75"/>
      <c r="N784" s="70"/>
      <c r="O784" s="77" t="s">
        <v>179</v>
      </c>
      <c r="P784" s="79">
        <v>45136.69021990741</v>
      </c>
      <c r="Q784" s="77" t="s">
        <v>1311</v>
      </c>
      <c r="R784" s="77">
        <v>0</v>
      </c>
      <c r="S784" s="77">
        <v>0</v>
      </c>
      <c r="T784" s="77">
        <v>0</v>
      </c>
      <c r="U784" s="77">
        <v>0</v>
      </c>
      <c r="V784" s="77">
        <v>7</v>
      </c>
      <c r="W784" s="82" t="s">
        <v>1879</v>
      </c>
      <c r="X784" s="77"/>
      <c r="Y784" s="77"/>
      <c r="Z784" s="77"/>
      <c r="AA784" s="77" t="s">
        <v>2550</v>
      </c>
      <c r="AB784" s="77" t="s">
        <v>2632</v>
      </c>
      <c r="AC784" s="82" t="s">
        <v>2638</v>
      </c>
      <c r="AD784" s="77" t="s">
        <v>2670</v>
      </c>
      <c r="AE784" s="80" t="str">
        <f>HYPERLINK("https://twitter.com/marcelobavila/status/1685327804747923457")</f>
        <v>https://twitter.com/marcelobavila/status/1685327804747923457</v>
      </c>
      <c r="AF784" s="79">
        <v>45136.69021990741</v>
      </c>
      <c r="AG784" s="85">
        <v>45136</v>
      </c>
      <c r="AH784" s="82" t="s">
        <v>3287</v>
      </c>
      <c r="AI784" s="77" t="b">
        <v>0</v>
      </c>
      <c r="AJ784" s="77"/>
      <c r="AK784" s="77"/>
      <c r="AL784" s="77"/>
      <c r="AM784" s="77"/>
      <c r="AN784" s="77"/>
      <c r="AO784" s="77"/>
      <c r="AP784" s="77"/>
      <c r="AQ784" s="77" t="s">
        <v>3979</v>
      </c>
      <c r="AR784" s="77"/>
      <c r="AS784" s="77"/>
      <c r="AT784" s="77"/>
      <c r="AU784" s="77"/>
      <c r="AV784" s="80" t="str">
        <f>HYPERLINK("https://pbs.twimg.com/media/F2N8tASXYAAx3M7.jpg")</f>
        <v>https://pbs.twimg.com/media/F2N8tASXYAAx3M7.jpg</v>
      </c>
      <c r="AW784" s="82" t="s">
        <v>4835</v>
      </c>
      <c r="AX784" s="82" t="s">
        <v>4835</v>
      </c>
      <c r="AY784" s="77"/>
      <c r="AZ784" s="82" t="s">
        <v>5075</v>
      </c>
      <c r="BA784" s="82" t="s">
        <v>5075</v>
      </c>
      <c r="BB784" s="82" t="s">
        <v>5075</v>
      </c>
      <c r="BC784" s="82" t="s">
        <v>4835</v>
      </c>
      <c r="BD784" s="77">
        <v>368459377</v>
      </c>
      <c r="BE784" s="77"/>
      <c r="BF784" s="77"/>
      <c r="BG784" s="77"/>
      <c r="BH784" s="77"/>
      <c r="BI784" s="77"/>
    </row>
    <row r="785" spans="1:61" x14ac:dyDescent="0.25">
      <c r="A785" s="62" t="s">
        <v>454</v>
      </c>
      <c r="B785" s="62" t="s">
        <v>454</v>
      </c>
      <c r="C785" s="63"/>
      <c r="D785" s="64"/>
      <c r="E785" s="65"/>
      <c r="F785" s="66"/>
      <c r="G785" s="63"/>
      <c r="H785" s="67"/>
      <c r="I785" s="68"/>
      <c r="J785" s="68"/>
      <c r="K785" s="32"/>
      <c r="L785" s="75">
        <v>785</v>
      </c>
      <c r="M785" s="75"/>
      <c r="N785" s="70"/>
      <c r="O785" s="77" t="s">
        <v>179</v>
      </c>
      <c r="P785" s="79">
        <v>45098.786238425928</v>
      </c>
      <c r="Q785" s="77" t="s">
        <v>1312</v>
      </c>
      <c r="R785" s="77">
        <v>0</v>
      </c>
      <c r="S785" s="77">
        <v>0</v>
      </c>
      <c r="T785" s="77">
        <v>0</v>
      </c>
      <c r="U785" s="77">
        <v>0</v>
      </c>
      <c r="V785" s="77">
        <v>13</v>
      </c>
      <c r="W785" s="82" t="s">
        <v>1879</v>
      </c>
      <c r="X785" s="77"/>
      <c r="Y785" s="77"/>
      <c r="Z785" s="77"/>
      <c r="AA785" s="77" t="s">
        <v>2551</v>
      </c>
      <c r="AB785" s="77" t="s">
        <v>2633</v>
      </c>
      <c r="AC785" s="82" t="s">
        <v>2638</v>
      </c>
      <c r="AD785" s="77" t="s">
        <v>2670</v>
      </c>
      <c r="AE785" s="80" t="str">
        <f>HYPERLINK("https://twitter.com/marcelobavila/status/1671591864682651648")</f>
        <v>https://twitter.com/marcelobavila/status/1671591864682651648</v>
      </c>
      <c r="AF785" s="79">
        <v>45098.786238425928</v>
      </c>
      <c r="AG785" s="85">
        <v>45098</v>
      </c>
      <c r="AH785" s="82" t="s">
        <v>3288</v>
      </c>
      <c r="AI785" s="77" t="b">
        <v>0</v>
      </c>
      <c r="AJ785" s="77"/>
      <c r="AK785" s="77"/>
      <c r="AL785" s="77"/>
      <c r="AM785" s="77"/>
      <c r="AN785" s="77"/>
      <c r="AO785" s="77"/>
      <c r="AP785" s="77"/>
      <c r="AQ785" s="77" t="s">
        <v>3980</v>
      </c>
      <c r="AR785" s="77">
        <v>10733</v>
      </c>
      <c r="AS785" s="77"/>
      <c r="AT785" s="77"/>
      <c r="AU785" s="77"/>
      <c r="AV785" s="80" t="str">
        <f>HYPERLINK("https://pbs.twimg.com/ext_tw_video_thumb/1671591841181966366/pu/img/a45qiXIRYQw7OhkB.jpg")</f>
        <v>https://pbs.twimg.com/ext_tw_video_thumb/1671591841181966366/pu/img/a45qiXIRYQw7OhkB.jpg</v>
      </c>
      <c r="AW785" s="82" t="s">
        <v>4836</v>
      </c>
      <c r="AX785" s="82" t="s">
        <v>4836</v>
      </c>
      <c r="AY785" s="77"/>
      <c r="AZ785" s="82" t="s">
        <v>5075</v>
      </c>
      <c r="BA785" s="82" t="s">
        <v>5075</v>
      </c>
      <c r="BB785" s="82" t="s">
        <v>5075</v>
      </c>
      <c r="BC785" s="82" t="s">
        <v>4836</v>
      </c>
      <c r="BD785" s="77">
        <v>368459377</v>
      </c>
      <c r="BE785" s="77"/>
      <c r="BF785" s="77"/>
      <c r="BG785" s="77"/>
      <c r="BH785" s="77"/>
      <c r="BI785" s="77"/>
    </row>
    <row r="786" spans="1:61" x14ac:dyDescent="0.25">
      <c r="A786" s="62" t="s">
        <v>454</v>
      </c>
      <c r="B786" s="62" t="s">
        <v>454</v>
      </c>
      <c r="C786" s="63"/>
      <c r="D786" s="64"/>
      <c r="E786" s="65"/>
      <c r="F786" s="66"/>
      <c r="G786" s="63"/>
      <c r="H786" s="67"/>
      <c r="I786" s="68"/>
      <c r="J786" s="68"/>
      <c r="K786" s="32"/>
      <c r="L786" s="75">
        <v>786</v>
      </c>
      <c r="M786" s="75"/>
      <c r="N786" s="70"/>
      <c r="O786" s="77" t="s">
        <v>179</v>
      </c>
      <c r="P786" s="79">
        <v>45097.568113425928</v>
      </c>
      <c r="Q786" s="77" t="s">
        <v>1313</v>
      </c>
      <c r="R786" s="77">
        <v>0</v>
      </c>
      <c r="S786" s="77">
        <v>0</v>
      </c>
      <c r="T786" s="77">
        <v>0</v>
      </c>
      <c r="U786" s="77">
        <v>0</v>
      </c>
      <c r="V786" s="77">
        <v>22</v>
      </c>
      <c r="W786" s="82" t="s">
        <v>1880</v>
      </c>
      <c r="X786" s="77"/>
      <c r="Y786" s="77"/>
      <c r="Z786" s="77"/>
      <c r="AA786" s="77" t="s">
        <v>2552</v>
      </c>
      <c r="AB786" s="77" t="s">
        <v>2632</v>
      </c>
      <c r="AC786" s="82" t="s">
        <v>2638</v>
      </c>
      <c r="AD786" s="77" t="s">
        <v>2670</v>
      </c>
      <c r="AE786" s="80" t="str">
        <f>HYPERLINK("https://twitter.com/marcelobavila/status/1671150430506590210")</f>
        <v>https://twitter.com/marcelobavila/status/1671150430506590210</v>
      </c>
      <c r="AF786" s="79">
        <v>45097.568113425928</v>
      </c>
      <c r="AG786" s="85">
        <v>45097</v>
      </c>
      <c r="AH786" s="82" t="s">
        <v>3289</v>
      </c>
      <c r="AI786" s="77" t="b">
        <v>0</v>
      </c>
      <c r="AJ786" s="77"/>
      <c r="AK786" s="77"/>
      <c r="AL786" s="77"/>
      <c r="AM786" s="77"/>
      <c r="AN786" s="77"/>
      <c r="AO786" s="77"/>
      <c r="AP786" s="77"/>
      <c r="AQ786" s="77" t="s">
        <v>3981</v>
      </c>
      <c r="AR786" s="77"/>
      <c r="AS786" s="77"/>
      <c r="AT786" s="77"/>
      <c r="AU786" s="77"/>
      <c r="AV786" s="80" t="str">
        <f>HYPERLINK("https://pbs.twimg.com/media/FzEedaIWAAA3dZy.jpg")</f>
        <v>https://pbs.twimg.com/media/FzEedaIWAAA3dZy.jpg</v>
      </c>
      <c r="AW786" s="82" t="s">
        <v>4837</v>
      </c>
      <c r="AX786" s="82" t="s">
        <v>4837</v>
      </c>
      <c r="AY786" s="77"/>
      <c r="AZ786" s="82" t="s">
        <v>5075</v>
      </c>
      <c r="BA786" s="82" t="s">
        <v>5075</v>
      </c>
      <c r="BB786" s="82" t="s">
        <v>5075</v>
      </c>
      <c r="BC786" s="82" t="s">
        <v>4837</v>
      </c>
      <c r="BD786" s="77">
        <v>368459377</v>
      </c>
      <c r="BE786" s="77"/>
      <c r="BF786" s="77"/>
      <c r="BG786" s="77"/>
      <c r="BH786" s="77"/>
      <c r="BI786" s="77"/>
    </row>
    <row r="787" spans="1:61" x14ac:dyDescent="0.25">
      <c r="A787" s="62" t="s">
        <v>454</v>
      </c>
      <c r="B787" s="62" t="s">
        <v>454</v>
      </c>
      <c r="C787" s="63"/>
      <c r="D787" s="64"/>
      <c r="E787" s="65"/>
      <c r="F787" s="66"/>
      <c r="G787" s="63"/>
      <c r="H787" s="67"/>
      <c r="I787" s="68"/>
      <c r="J787" s="68"/>
      <c r="K787" s="32"/>
      <c r="L787" s="75">
        <v>787</v>
      </c>
      <c r="M787" s="75"/>
      <c r="N787" s="70"/>
      <c r="O787" s="77" t="s">
        <v>179</v>
      </c>
      <c r="P787" s="79">
        <v>45140.509409722225</v>
      </c>
      <c r="Q787" s="77" t="s">
        <v>1314</v>
      </c>
      <c r="R787" s="77">
        <v>0</v>
      </c>
      <c r="S787" s="77">
        <v>0</v>
      </c>
      <c r="T787" s="77">
        <v>0</v>
      </c>
      <c r="U787" s="77">
        <v>0</v>
      </c>
      <c r="V787" s="77">
        <v>24</v>
      </c>
      <c r="W787" s="82" t="s">
        <v>1882</v>
      </c>
      <c r="X787" s="77"/>
      <c r="Y787" s="77"/>
      <c r="Z787" s="77"/>
      <c r="AA787" s="77" t="s">
        <v>2553</v>
      </c>
      <c r="AB787" s="77" t="s">
        <v>2632</v>
      </c>
      <c r="AC787" s="82" t="s">
        <v>2638</v>
      </c>
      <c r="AD787" s="77" t="s">
        <v>2670</v>
      </c>
      <c r="AE787" s="80" t="str">
        <f>HYPERLINK("https://twitter.com/marcelobavila/status/1686711836178108416")</f>
        <v>https://twitter.com/marcelobavila/status/1686711836178108416</v>
      </c>
      <c r="AF787" s="79">
        <v>45140.509409722225</v>
      </c>
      <c r="AG787" s="85">
        <v>45140</v>
      </c>
      <c r="AH787" s="82" t="s">
        <v>3290</v>
      </c>
      <c r="AI787" s="77" t="b">
        <v>0</v>
      </c>
      <c r="AJ787" s="77"/>
      <c r="AK787" s="77"/>
      <c r="AL787" s="77"/>
      <c r="AM787" s="77"/>
      <c r="AN787" s="77"/>
      <c r="AO787" s="77"/>
      <c r="AP787" s="77"/>
      <c r="AQ787" s="77" t="s">
        <v>3982</v>
      </c>
      <c r="AR787" s="77"/>
      <c r="AS787" s="77"/>
      <c r="AT787" s="77"/>
      <c r="AU787" s="77"/>
      <c r="AV787" s="80" t="str">
        <f>HYPERLINK("https://pbs.twimg.com/media/F2hneXYWkAAfY3h.jpg")</f>
        <v>https://pbs.twimg.com/media/F2hneXYWkAAfY3h.jpg</v>
      </c>
      <c r="AW787" s="82" t="s">
        <v>4838</v>
      </c>
      <c r="AX787" s="82" t="s">
        <v>4838</v>
      </c>
      <c r="AY787" s="77"/>
      <c r="AZ787" s="82" t="s">
        <v>5075</v>
      </c>
      <c r="BA787" s="82" t="s">
        <v>5075</v>
      </c>
      <c r="BB787" s="82" t="s">
        <v>5075</v>
      </c>
      <c r="BC787" s="82" t="s">
        <v>4838</v>
      </c>
      <c r="BD787" s="77">
        <v>368459377</v>
      </c>
      <c r="BE787" s="77"/>
      <c r="BF787" s="77"/>
      <c r="BG787" s="77"/>
      <c r="BH787" s="77"/>
      <c r="BI787" s="77"/>
    </row>
    <row r="788" spans="1:61" x14ac:dyDescent="0.25">
      <c r="A788" s="62" t="s">
        <v>454</v>
      </c>
      <c r="B788" s="62" t="s">
        <v>454</v>
      </c>
      <c r="C788" s="63"/>
      <c r="D788" s="64"/>
      <c r="E788" s="65"/>
      <c r="F788" s="66"/>
      <c r="G788" s="63"/>
      <c r="H788" s="67"/>
      <c r="I788" s="68"/>
      <c r="J788" s="68"/>
      <c r="K788" s="32"/>
      <c r="L788" s="75">
        <v>788</v>
      </c>
      <c r="M788" s="75"/>
      <c r="N788" s="70"/>
      <c r="O788" s="77" t="s">
        <v>179</v>
      </c>
      <c r="P788" s="79">
        <v>45134.891435185185</v>
      </c>
      <c r="Q788" s="77" t="s">
        <v>1315</v>
      </c>
      <c r="R788" s="77">
        <v>0</v>
      </c>
      <c r="S788" s="77">
        <v>0</v>
      </c>
      <c r="T788" s="77">
        <v>0</v>
      </c>
      <c r="U788" s="77">
        <v>0</v>
      </c>
      <c r="V788" s="77">
        <v>14</v>
      </c>
      <c r="W788" s="82" t="s">
        <v>1883</v>
      </c>
      <c r="X788" s="77"/>
      <c r="Y788" s="77"/>
      <c r="Z788" s="77"/>
      <c r="AA788" s="77" t="s">
        <v>2554</v>
      </c>
      <c r="AB788" s="77" t="s">
        <v>2632</v>
      </c>
      <c r="AC788" s="82" t="s">
        <v>2638</v>
      </c>
      <c r="AD788" s="77" t="s">
        <v>2670</v>
      </c>
      <c r="AE788" s="80" t="str">
        <f>HYPERLINK("https://twitter.com/marcelobavila/status/1684675949344743425")</f>
        <v>https://twitter.com/marcelobavila/status/1684675949344743425</v>
      </c>
      <c r="AF788" s="79">
        <v>45134.891435185185</v>
      </c>
      <c r="AG788" s="85">
        <v>45134</v>
      </c>
      <c r="AH788" s="82" t="s">
        <v>3291</v>
      </c>
      <c r="AI788" s="77" t="b">
        <v>0</v>
      </c>
      <c r="AJ788" s="77"/>
      <c r="AK788" s="77"/>
      <c r="AL788" s="77"/>
      <c r="AM788" s="77"/>
      <c r="AN788" s="77"/>
      <c r="AO788" s="77"/>
      <c r="AP788" s="77"/>
      <c r="AQ788" s="77" t="s">
        <v>3983</v>
      </c>
      <c r="AR788" s="77"/>
      <c r="AS788" s="77"/>
      <c r="AT788" s="77"/>
      <c r="AU788" s="77"/>
      <c r="AV788" s="80" t="str">
        <f>HYPERLINK("https://pbs.twimg.com/media/F2Er2L8XMAERkgy.jpg")</f>
        <v>https://pbs.twimg.com/media/F2Er2L8XMAERkgy.jpg</v>
      </c>
      <c r="AW788" s="82" t="s">
        <v>4839</v>
      </c>
      <c r="AX788" s="82" t="s">
        <v>4839</v>
      </c>
      <c r="AY788" s="77"/>
      <c r="AZ788" s="82" t="s">
        <v>5075</v>
      </c>
      <c r="BA788" s="82" t="s">
        <v>5075</v>
      </c>
      <c r="BB788" s="82" t="s">
        <v>5075</v>
      </c>
      <c r="BC788" s="82" t="s">
        <v>4839</v>
      </c>
      <c r="BD788" s="77">
        <v>368459377</v>
      </c>
      <c r="BE788" s="77"/>
      <c r="BF788" s="77"/>
      <c r="BG788" s="77"/>
      <c r="BH788" s="77"/>
      <c r="BI788" s="77"/>
    </row>
    <row r="789" spans="1:61" x14ac:dyDescent="0.25">
      <c r="A789" s="62" t="s">
        <v>454</v>
      </c>
      <c r="B789" s="62" t="s">
        <v>454</v>
      </c>
      <c r="C789" s="63"/>
      <c r="D789" s="64"/>
      <c r="E789" s="65"/>
      <c r="F789" s="66"/>
      <c r="G789" s="63"/>
      <c r="H789" s="67"/>
      <c r="I789" s="68"/>
      <c r="J789" s="68"/>
      <c r="K789" s="32"/>
      <c r="L789" s="75">
        <v>789</v>
      </c>
      <c r="M789" s="75"/>
      <c r="N789" s="70"/>
      <c r="O789" s="77" t="s">
        <v>179</v>
      </c>
      <c r="P789" s="79">
        <v>45113.510092592594</v>
      </c>
      <c r="Q789" s="77" t="s">
        <v>1316</v>
      </c>
      <c r="R789" s="77">
        <v>0</v>
      </c>
      <c r="S789" s="77">
        <v>0</v>
      </c>
      <c r="T789" s="77">
        <v>0</v>
      </c>
      <c r="U789" s="77">
        <v>0</v>
      </c>
      <c r="V789" s="77">
        <v>21</v>
      </c>
      <c r="W789" s="82" t="s">
        <v>1880</v>
      </c>
      <c r="X789" s="77"/>
      <c r="Y789" s="77"/>
      <c r="Z789" s="77"/>
      <c r="AA789" s="77" t="s">
        <v>2555</v>
      </c>
      <c r="AB789" s="77" t="s">
        <v>2632</v>
      </c>
      <c r="AC789" s="82" t="s">
        <v>2638</v>
      </c>
      <c r="AD789" s="77" t="s">
        <v>2670</v>
      </c>
      <c r="AE789" s="80" t="str">
        <f>HYPERLINK("https://twitter.com/marcelobavila/status/1676927608032751617")</f>
        <v>https://twitter.com/marcelobavila/status/1676927608032751617</v>
      </c>
      <c r="AF789" s="79">
        <v>45113.510092592594</v>
      </c>
      <c r="AG789" s="85">
        <v>45113</v>
      </c>
      <c r="AH789" s="82" t="s">
        <v>3292</v>
      </c>
      <c r="AI789" s="77" t="b">
        <v>0</v>
      </c>
      <c r="AJ789" s="77"/>
      <c r="AK789" s="77"/>
      <c r="AL789" s="77"/>
      <c r="AM789" s="77"/>
      <c r="AN789" s="77"/>
      <c r="AO789" s="77"/>
      <c r="AP789" s="77"/>
      <c r="AQ789" s="77" t="s">
        <v>3984</v>
      </c>
      <c r="AR789" s="77"/>
      <c r="AS789" s="77"/>
      <c r="AT789" s="77"/>
      <c r="AU789" s="77"/>
      <c r="AV789" s="80" t="str">
        <f>HYPERLINK("https://pbs.twimg.com/media/F0WkxZrXsAMb9gw.jpg")</f>
        <v>https://pbs.twimg.com/media/F0WkxZrXsAMb9gw.jpg</v>
      </c>
      <c r="AW789" s="82" t="s">
        <v>4840</v>
      </c>
      <c r="AX789" s="82" t="s">
        <v>4840</v>
      </c>
      <c r="AY789" s="77"/>
      <c r="AZ789" s="82" t="s">
        <v>5075</v>
      </c>
      <c r="BA789" s="82" t="s">
        <v>5075</v>
      </c>
      <c r="BB789" s="82" t="s">
        <v>5075</v>
      </c>
      <c r="BC789" s="82" t="s">
        <v>4840</v>
      </c>
      <c r="BD789" s="77">
        <v>368459377</v>
      </c>
      <c r="BE789" s="77"/>
      <c r="BF789" s="77"/>
      <c r="BG789" s="77"/>
      <c r="BH789" s="77"/>
      <c r="BI789" s="77"/>
    </row>
    <row r="790" spans="1:61" x14ac:dyDescent="0.25">
      <c r="A790" s="62" t="s">
        <v>454</v>
      </c>
      <c r="B790" s="62" t="s">
        <v>454</v>
      </c>
      <c r="C790" s="63"/>
      <c r="D790" s="64"/>
      <c r="E790" s="65"/>
      <c r="F790" s="66"/>
      <c r="G790" s="63"/>
      <c r="H790" s="67"/>
      <c r="I790" s="68"/>
      <c r="J790" s="68"/>
      <c r="K790" s="32"/>
      <c r="L790" s="75">
        <v>790</v>
      </c>
      <c r="M790" s="75"/>
      <c r="N790" s="70"/>
      <c r="O790" s="77" t="s">
        <v>179</v>
      </c>
      <c r="P790" s="79">
        <v>45164.021192129629</v>
      </c>
      <c r="Q790" s="77" t="s">
        <v>1317</v>
      </c>
      <c r="R790" s="77">
        <v>0</v>
      </c>
      <c r="S790" s="77">
        <v>0</v>
      </c>
      <c r="T790" s="77">
        <v>0</v>
      </c>
      <c r="U790" s="77">
        <v>0</v>
      </c>
      <c r="V790" s="77">
        <v>54</v>
      </c>
      <c r="W790" s="82" t="s">
        <v>1880</v>
      </c>
      <c r="X790" s="77"/>
      <c r="Y790" s="77"/>
      <c r="Z790" s="77"/>
      <c r="AA790" s="77" t="s">
        <v>2556</v>
      </c>
      <c r="AB790" s="77" t="s">
        <v>2632</v>
      </c>
      <c r="AC790" s="82" t="s">
        <v>2638</v>
      </c>
      <c r="AD790" s="77" t="s">
        <v>2670</v>
      </c>
      <c r="AE790" s="80" t="str">
        <f>HYPERLINK("https://twitter.com/marcelobavila/status/1695232217503486389")</f>
        <v>https://twitter.com/marcelobavila/status/1695232217503486389</v>
      </c>
      <c r="AF790" s="79">
        <v>45164.021192129629</v>
      </c>
      <c r="AG790" s="85">
        <v>45164</v>
      </c>
      <c r="AH790" s="82" t="s">
        <v>3293</v>
      </c>
      <c r="AI790" s="77" t="b">
        <v>0</v>
      </c>
      <c r="AJ790" s="77"/>
      <c r="AK790" s="77"/>
      <c r="AL790" s="77"/>
      <c r="AM790" s="77"/>
      <c r="AN790" s="77"/>
      <c r="AO790" s="77"/>
      <c r="AP790" s="77"/>
      <c r="AQ790" s="77" t="s">
        <v>3985</v>
      </c>
      <c r="AR790" s="77"/>
      <c r="AS790" s="77"/>
      <c r="AT790" s="77"/>
      <c r="AU790" s="77"/>
      <c r="AV790" s="80" t="str">
        <f>HYPERLINK("https://pbs.twimg.com/media/F4ast2VW8AAfVva.jpg")</f>
        <v>https://pbs.twimg.com/media/F4ast2VW8AAfVva.jpg</v>
      </c>
      <c r="AW790" s="82" t="s">
        <v>4841</v>
      </c>
      <c r="AX790" s="82" t="s">
        <v>4841</v>
      </c>
      <c r="AY790" s="77"/>
      <c r="AZ790" s="82" t="s">
        <v>5075</v>
      </c>
      <c r="BA790" s="82" t="s">
        <v>5075</v>
      </c>
      <c r="BB790" s="82" t="s">
        <v>5075</v>
      </c>
      <c r="BC790" s="82" t="s">
        <v>4841</v>
      </c>
      <c r="BD790" s="77">
        <v>368459377</v>
      </c>
      <c r="BE790" s="77"/>
      <c r="BF790" s="77"/>
      <c r="BG790" s="77"/>
      <c r="BH790" s="77"/>
      <c r="BI790" s="77"/>
    </row>
    <row r="791" spans="1:61" x14ac:dyDescent="0.25">
      <c r="A791" s="62" t="s">
        <v>454</v>
      </c>
      <c r="B791" s="62" t="s">
        <v>454</v>
      </c>
      <c r="C791" s="63"/>
      <c r="D791" s="64"/>
      <c r="E791" s="65"/>
      <c r="F791" s="66"/>
      <c r="G791" s="63"/>
      <c r="H791" s="67"/>
      <c r="I791" s="68"/>
      <c r="J791" s="68"/>
      <c r="K791" s="32"/>
      <c r="L791" s="75">
        <v>791</v>
      </c>
      <c r="M791" s="75"/>
      <c r="N791" s="70"/>
      <c r="O791" s="77" t="s">
        <v>179</v>
      </c>
      <c r="P791" s="79">
        <v>45189.017025462963</v>
      </c>
      <c r="Q791" s="77" t="s">
        <v>1318</v>
      </c>
      <c r="R791" s="77">
        <v>0</v>
      </c>
      <c r="S791" s="77">
        <v>0</v>
      </c>
      <c r="T791" s="77">
        <v>0</v>
      </c>
      <c r="U791" s="77">
        <v>0</v>
      </c>
      <c r="V791" s="77">
        <v>42</v>
      </c>
      <c r="W791" s="82" t="s">
        <v>1884</v>
      </c>
      <c r="X791" s="77"/>
      <c r="Y791" s="77"/>
      <c r="Z791" s="77"/>
      <c r="AA791" s="77" t="s">
        <v>2557</v>
      </c>
      <c r="AB791" s="77" t="s">
        <v>2632</v>
      </c>
      <c r="AC791" s="82" t="s">
        <v>2638</v>
      </c>
      <c r="AD791" s="77" t="s">
        <v>2670</v>
      </c>
      <c r="AE791" s="80" t="str">
        <f>HYPERLINK("https://twitter.com/marcelobavila/status/1704290405649457475")</f>
        <v>https://twitter.com/marcelobavila/status/1704290405649457475</v>
      </c>
      <c r="AF791" s="79">
        <v>45189.017025462963</v>
      </c>
      <c r="AG791" s="85">
        <v>45189</v>
      </c>
      <c r="AH791" s="82" t="s">
        <v>3294</v>
      </c>
      <c r="AI791" s="77" t="b">
        <v>0</v>
      </c>
      <c r="AJ791" s="77"/>
      <c r="AK791" s="77"/>
      <c r="AL791" s="77"/>
      <c r="AM791" s="77"/>
      <c r="AN791" s="77"/>
      <c r="AO791" s="77"/>
      <c r="AP791" s="77"/>
      <c r="AQ791" s="77" t="s">
        <v>3986</v>
      </c>
      <c r="AR791" s="77"/>
      <c r="AS791" s="77"/>
      <c r="AT791" s="77"/>
      <c r="AU791" s="77"/>
      <c r="AV791" s="80" t="str">
        <f>HYPERLINK("https://pbs.twimg.com/media/F6bbF5vWcAAs_Xy.jpg")</f>
        <v>https://pbs.twimg.com/media/F6bbF5vWcAAs_Xy.jpg</v>
      </c>
      <c r="AW791" s="82" t="s">
        <v>4842</v>
      </c>
      <c r="AX791" s="82" t="s">
        <v>4842</v>
      </c>
      <c r="AY791" s="77"/>
      <c r="AZ791" s="82" t="s">
        <v>5075</v>
      </c>
      <c r="BA791" s="82" t="s">
        <v>5075</v>
      </c>
      <c r="BB791" s="82" t="s">
        <v>5075</v>
      </c>
      <c r="BC791" s="82" t="s">
        <v>4842</v>
      </c>
      <c r="BD791" s="77">
        <v>368459377</v>
      </c>
      <c r="BE791" s="77"/>
      <c r="BF791" s="77"/>
      <c r="BG791" s="77"/>
      <c r="BH791" s="77"/>
      <c r="BI791" s="77"/>
    </row>
    <row r="792" spans="1:61" x14ac:dyDescent="0.25">
      <c r="A792" s="62" t="s">
        <v>454</v>
      </c>
      <c r="B792" s="62" t="s">
        <v>454</v>
      </c>
      <c r="C792" s="63"/>
      <c r="D792" s="64"/>
      <c r="E792" s="65"/>
      <c r="F792" s="66"/>
      <c r="G792" s="63"/>
      <c r="H792" s="67"/>
      <c r="I792" s="68"/>
      <c r="J792" s="68"/>
      <c r="K792" s="32"/>
      <c r="L792" s="75">
        <v>792</v>
      </c>
      <c r="M792" s="75"/>
      <c r="N792" s="70"/>
      <c r="O792" s="77" t="s">
        <v>179</v>
      </c>
      <c r="P792" s="79">
        <v>45059.018969907411</v>
      </c>
      <c r="Q792" s="77" t="s">
        <v>1319</v>
      </c>
      <c r="R792" s="77">
        <v>0</v>
      </c>
      <c r="S792" s="77">
        <v>0</v>
      </c>
      <c r="T792" s="77">
        <v>0</v>
      </c>
      <c r="U792" s="77">
        <v>0</v>
      </c>
      <c r="V792" s="77">
        <v>14</v>
      </c>
      <c r="W792" s="82" t="s">
        <v>1879</v>
      </c>
      <c r="X792" s="77"/>
      <c r="Y792" s="77"/>
      <c r="Z792" s="77"/>
      <c r="AA792" s="77" t="s">
        <v>2558</v>
      </c>
      <c r="AB792" s="77" t="s">
        <v>2633</v>
      </c>
      <c r="AC792" s="82" t="s">
        <v>2638</v>
      </c>
      <c r="AD792" s="77" t="s">
        <v>2670</v>
      </c>
      <c r="AE792" s="80" t="str">
        <f>HYPERLINK("https://twitter.com/marcelobavila/status/1657180688381009925")</f>
        <v>https://twitter.com/marcelobavila/status/1657180688381009925</v>
      </c>
      <c r="AF792" s="79">
        <v>45059.018969907411</v>
      </c>
      <c r="AG792" s="85">
        <v>45059</v>
      </c>
      <c r="AH792" s="82" t="s">
        <v>3295</v>
      </c>
      <c r="AI792" s="77" t="b">
        <v>0</v>
      </c>
      <c r="AJ792" s="77"/>
      <c r="AK792" s="77"/>
      <c r="AL792" s="77"/>
      <c r="AM792" s="77"/>
      <c r="AN792" s="77"/>
      <c r="AO792" s="77"/>
      <c r="AP792" s="77"/>
      <c r="AQ792" s="77" t="s">
        <v>3987</v>
      </c>
      <c r="AR792" s="77">
        <v>10733</v>
      </c>
      <c r="AS792" s="77"/>
      <c r="AT792" s="77"/>
      <c r="AU792" s="77"/>
      <c r="AV792" s="80" t="str">
        <f>HYPERLINK("https://pbs.twimg.com/ext_tw_video_thumb/1657180664427421696/pu/img/jBNvOJ8h9gVVxM8Y.jpg")</f>
        <v>https://pbs.twimg.com/ext_tw_video_thumb/1657180664427421696/pu/img/jBNvOJ8h9gVVxM8Y.jpg</v>
      </c>
      <c r="AW792" s="82" t="s">
        <v>4843</v>
      </c>
      <c r="AX792" s="82" t="s">
        <v>4843</v>
      </c>
      <c r="AY792" s="77"/>
      <c r="AZ792" s="82" t="s">
        <v>5075</v>
      </c>
      <c r="BA792" s="82" t="s">
        <v>5075</v>
      </c>
      <c r="BB792" s="82" t="s">
        <v>5075</v>
      </c>
      <c r="BC792" s="82" t="s">
        <v>4843</v>
      </c>
      <c r="BD792" s="77">
        <v>368459377</v>
      </c>
      <c r="BE792" s="77"/>
      <c r="BF792" s="77"/>
      <c r="BG792" s="77"/>
      <c r="BH792" s="77"/>
      <c r="BI792" s="77"/>
    </row>
    <row r="793" spans="1:61" x14ac:dyDescent="0.25">
      <c r="A793" s="62" t="s">
        <v>454</v>
      </c>
      <c r="B793" s="62" t="s">
        <v>454</v>
      </c>
      <c r="C793" s="63"/>
      <c r="D793" s="64"/>
      <c r="E793" s="65"/>
      <c r="F793" s="66"/>
      <c r="G793" s="63"/>
      <c r="H793" s="67"/>
      <c r="I793" s="68"/>
      <c r="J793" s="68"/>
      <c r="K793" s="32"/>
      <c r="L793" s="75">
        <v>793</v>
      </c>
      <c r="M793" s="75"/>
      <c r="N793" s="70"/>
      <c r="O793" s="77" t="s">
        <v>179</v>
      </c>
      <c r="P793" s="79">
        <v>45056.037048611113</v>
      </c>
      <c r="Q793" s="77" t="s">
        <v>1320</v>
      </c>
      <c r="R793" s="77">
        <v>0</v>
      </c>
      <c r="S793" s="77">
        <v>0</v>
      </c>
      <c r="T793" s="77">
        <v>0</v>
      </c>
      <c r="U793" s="77">
        <v>0</v>
      </c>
      <c r="V793" s="77">
        <v>16</v>
      </c>
      <c r="W793" s="82" t="s">
        <v>1880</v>
      </c>
      <c r="X793" s="77"/>
      <c r="Y793" s="77"/>
      <c r="Z793" s="77"/>
      <c r="AA793" s="77" t="s">
        <v>2559</v>
      </c>
      <c r="AB793" s="77" t="s">
        <v>2632</v>
      </c>
      <c r="AC793" s="82" t="s">
        <v>2638</v>
      </c>
      <c r="AD793" s="77" t="s">
        <v>2670</v>
      </c>
      <c r="AE793" s="80" t="str">
        <f>HYPERLINK("https://twitter.com/marcelobavila/status/1656100077511884801")</f>
        <v>https://twitter.com/marcelobavila/status/1656100077511884801</v>
      </c>
      <c r="AF793" s="79">
        <v>45056.037048611113</v>
      </c>
      <c r="AG793" s="85">
        <v>45056</v>
      </c>
      <c r="AH793" s="82" t="s">
        <v>3296</v>
      </c>
      <c r="AI793" s="77" t="b">
        <v>0</v>
      </c>
      <c r="AJ793" s="77"/>
      <c r="AK793" s="77"/>
      <c r="AL793" s="77"/>
      <c r="AM793" s="77"/>
      <c r="AN793" s="77"/>
      <c r="AO793" s="77"/>
      <c r="AP793" s="77"/>
      <c r="AQ793" s="77" t="s">
        <v>3988</v>
      </c>
      <c r="AR793" s="77"/>
      <c r="AS793" s="77"/>
      <c r="AT793" s="77"/>
      <c r="AU793" s="77"/>
      <c r="AV793" s="80" t="str">
        <f>HYPERLINK("https://pbs.twimg.com/media/FvumPlpXsAInuwo.jpg")</f>
        <v>https://pbs.twimg.com/media/FvumPlpXsAInuwo.jpg</v>
      </c>
      <c r="AW793" s="82" t="s">
        <v>4844</v>
      </c>
      <c r="AX793" s="82" t="s">
        <v>4844</v>
      </c>
      <c r="AY793" s="77"/>
      <c r="AZ793" s="82" t="s">
        <v>5075</v>
      </c>
      <c r="BA793" s="82" t="s">
        <v>5075</v>
      </c>
      <c r="BB793" s="82" t="s">
        <v>5075</v>
      </c>
      <c r="BC793" s="82" t="s">
        <v>4844</v>
      </c>
      <c r="BD793" s="77">
        <v>368459377</v>
      </c>
      <c r="BE793" s="77"/>
      <c r="BF793" s="77"/>
      <c r="BG793" s="77"/>
      <c r="BH793" s="77"/>
      <c r="BI793" s="77"/>
    </row>
    <row r="794" spans="1:61" x14ac:dyDescent="0.25">
      <c r="A794" s="62" t="s">
        <v>454</v>
      </c>
      <c r="B794" s="62" t="s">
        <v>454</v>
      </c>
      <c r="C794" s="63"/>
      <c r="D794" s="64"/>
      <c r="E794" s="65"/>
      <c r="F794" s="66"/>
      <c r="G794" s="63"/>
      <c r="H794" s="67"/>
      <c r="I794" s="68"/>
      <c r="J794" s="68"/>
      <c r="K794" s="32"/>
      <c r="L794" s="75">
        <v>794</v>
      </c>
      <c r="M794" s="75"/>
      <c r="N794" s="70"/>
      <c r="O794" s="77" t="s">
        <v>179</v>
      </c>
      <c r="P794" s="79">
        <v>45054.909803240742</v>
      </c>
      <c r="Q794" s="77" t="s">
        <v>1321</v>
      </c>
      <c r="R794" s="77">
        <v>0</v>
      </c>
      <c r="S794" s="77">
        <v>0</v>
      </c>
      <c r="T794" s="77">
        <v>0</v>
      </c>
      <c r="U794" s="77">
        <v>0</v>
      </c>
      <c r="V794" s="77">
        <v>12</v>
      </c>
      <c r="W794" s="82" t="s">
        <v>1885</v>
      </c>
      <c r="X794" s="77"/>
      <c r="Y794" s="77"/>
      <c r="Z794" s="77"/>
      <c r="AA794" s="77" t="s">
        <v>2560</v>
      </c>
      <c r="AB794" s="77" t="s">
        <v>2633</v>
      </c>
      <c r="AC794" s="82" t="s">
        <v>2638</v>
      </c>
      <c r="AD794" s="77" t="s">
        <v>2670</v>
      </c>
      <c r="AE794" s="80" t="str">
        <f>HYPERLINK("https://twitter.com/marcelobavila/status/1655691577195388929")</f>
        <v>https://twitter.com/marcelobavila/status/1655691577195388929</v>
      </c>
      <c r="AF794" s="79">
        <v>45054.909803240742</v>
      </c>
      <c r="AG794" s="85">
        <v>45054</v>
      </c>
      <c r="AH794" s="82" t="s">
        <v>3297</v>
      </c>
      <c r="AI794" s="77" t="b">
        <v>0</v>
      </c>
      <c r="AJ794" s="77"/>
      <c r="AK794" s="77"/>
      <c r="AL794" s="77"/>
      <c r="AM794" s="77"/>
      <c r="AN794" s="77"/>
      <c r="AO794" s="77"/>
      <c r="AP794" s="77"/>
      <c r="AQ794" s="77" t="s">
        <v>3989</v>
      </c>
      <c r="AR794" s="77">
        <v>9866</v>
      </c>
      <c r="AS794" s="77"/>
      <c r="AT794" s="77"/>
      <c r="AU794" s="77"/>
      <c r="AV794" s="80" t="str">
        <f>HYPERLINK("https://pbs.twimg.com/ext_tw_video_thumb/1655691562150445059/pu/img/hNItWFVoHdTWKs7z.jpg")</f>
        <v>https://pbs.twimg.com/ext_tw_video_thumb/1655691562150445059/pu/img/hNItWFVoHdTWKs7z.jpg</v>
      </c>
      <c r="AW794" s="82" t="s">
        <v>4845</v>
      </c>
      <c r="AX794" s="82" t="s">
        <v>4845</v>
      </c>
      <c r="AY794" s="77"/>
      <c r="AZ794" s="82" t="s">
        <v>5075</v>
      </c>
      <c r="BA794" s="82" t="s">
        <v>5075</v>
      </c>
      <c r="BB794" s="82" t="s">
        <v>5075</v>
      </c>
      <c r="BC794" s="82" t="s">
        <v>4845</v>
      </c>
      <c r="BD794" s="77">
        <v>368459377</v>
      </c>
      <c r="BE794" s="77"/>
      <c r="BF794" s="77"/>
      <c r="BG794" s="77"/>
      <c r="BH794" s="77"/>
      <c r="BI794" s="77"/>
    </row>
    <row r="795" spans="1:61" x14ac:dyDescent="0.25">
      <c r="A795" s="62" t="s">
        <v>455</v>
      </c>
      <c r="B795" s="62" t="s">
        <v>455</v>
      </c>
      <c r="C795" s="63"/>
      <c r="D795" s="64"/>
      <c r="E795" s="65"/>
      <c r="F795" s="66"/>
      <c r="G795" s="63"/>
      <c r="H795" s="67"/>
      <c r="I795" s="68"/>
      <c r="J795" s="68"/>
      <c r="K795" s="32"/>
      <c r="L795" s="75">
        <v>795</v>
      </c>
      <c r="M795" s="75"/>
      <c r="N795" s="70"/>
      <c r="O795" s="77" t="s">
        <v>179</v>
      </c>
      <c r="P795" s="79">
        <v>44947.86917824074</v>
      </c>
      <c r="Q795" s="77" t="s">
        <v>1322</v>
      </c>
      <c r="R795" s="77">
        <v>0</v>
      </c>
      <c r="S795" s="77">
        <v>1</v>
      </c>
      <c r="T795" s="77">
        <v>0</v>
      </c>
      <c r="U795" s="77">
        <v>0</v>
      </c>
      <c r="V795" s="77">
        <v>40</v>
      </c>
      <c r="W795" s="82" t="s">
        <v>1886</v>
      </c>
      <c r="X795" s="77"/>
      <c r="Y795" s="77"/>
      <c r="Z795" s="77"/>
      <c r="AA795" s="77"/>
      <c r="AB795" s="77"/>
      <c r="AC795" s="82" t="s">
        <v>2640</v>
      </c>
      <c r="AD795" s="77" t="s">
        <v>2670</v>
      </c>
      <c r="AE795" s="80" t="str">
        <f>HYPERLINK("https://twitter.com/filipedawson/status/1616901349760704512")</f>
        <v>https://twitter.com/filipedawson/status/1616901349760704512</v>
      </c>
      <c r="AF795" s="79">
        <v>44947.86917824074</v>
      </c>
      <c r="AG795" s="85">
        <v>44947</v>
      </c>
      <c r="AH795" s="82" t="s">
        <v>3298</v>
      </c>
      <c r="AI795" s="77"/>
      <c r="AJ795" s="77"/>
      <c r="AK795" s="77"/>
      <c r="AL795" s="77"/>
      <c r="AM795" s="77"/>
      <c r="AN795" s="77"/>
      <c r="AO795" s="77"/>
      <c r="AP795" s="77"/>
      <c r="AQ795" s="77"/>
      <c r="AR795" s="77"/>
      <c r="AS795" s="77"/>
      <c r="AT795" s="77"/>
      <c r="AU795" s="77"/>
      <c r="AV795" s="80" t="str">
        <f>HYPERLINK("https://pbs.twimg.com/profile_images/1611736899730677761/4wzt-Gsv_normal.jpg")</f>
        <v>https://pbs.twimg.com/profile_images/1611736899730677761/4wzt-Gsv_normal.jpg</v>
      </c>
      <c r="AW795" s="82" t="s">
        <v>4846</v>
      </c>
      <c r="AX795" s="82" t="s">
        <v>4846</v>
      </c>
      <c r="AY795" s="77"/>
      <c r="AZ795" s="82" t="s">
        <v>5075</v>
      </c>
      <c r="BA795" s="82" t="s">
        <v>5075</v>
      </c>
      <c r="BB795" s="82" t="s">
        <v>5075</v>
      </c>
      <c r="BC795" s="82" t="s">
        <v>4846</v>
      </c>
      <c r="BD795" s="77">
        <v>26825269</v>
      </c>
      <c r="BE795" s="77"/>
      <c r="BF795" s="77"/>
      <c r="BG795" s="77"/>
      <c r="BH795" s="77"/>
      <c r="BI795" s="77"/>
    </row>
    <row r="796" spans="1:61" x14ac:dyDescent="0.25">
      <c r="A796" s="62" t="s">
        <v>456</v>
      </c>
      <c r="B796" s="62" t="s">
        <v>456</v>
      </c>
      <c r="C796" s="63"/>
      <c r="D796" s="64"/>
      <c r="E796" s="65"/>
      <c r="F796" s="66"/>
      <c r="G796" s="63"/>
      <c r="H796" s="67"/>
      <c r="I796" s="68"/>
      <c r="J796" s="68"/>
      <c r="K796" s="32"/>
      <c r="L796" s="75">
        <v>796</v>
      </c>
      <c r="M796" s="75"/>
      <c r="N796" s="70"/>
      <c r="O796" s="77" t="s">
        <v>536</v>
      </c>
      <c r="P796" s="79">
        <v>45106.595810185187</v>
      </c>
      <c r="Q796" s="77" t="s">
        <v>1323</v>
      </c>
      <c r="R796" s="77">
        <v>0</v>
      </c>
      <c r="S796" s="77">
        <v>16</v>
      </c>
      <c r="T796" s="77">
        <v>0</v>
      </c>
      <c r="U796" s="77">
        <v>0</v>
      </c>
      <c r="V796" s="77">
        <v>455</v>
      </c>
      <c r="W796" s="82" t="s">
        <v>1887</v>
      </c>
      <c r="X796" s="77"/>
      <c r="Y796" s="77"/>
      <c r="Z796" s="77"/>
      <c r="AA796" s="77"/>
      <c r="AB796" s="77"/>
      <c r="AC796" s="82" t="s">
        <v>2639</v>
      </c>
      <c r="AD796" s="77" t="s">
        <v>2670</v>
      </c>
      <c r="AE796" s="80" t="str">
        <f>HYPERLINK("https://twitter.com/geraldoburigo/status/1674421955615928326")</f>
        <v>https://twitter.com/geraldoburigo/status/1674421955615928326</v>
      </c>
      <c r="AF796" s="79">
        <v>45106.595810185187</v>
      </c>
      <c r="AG796" s="85">
        <v>45106</v>
      </c>
      <c r="AH796" s="82" t="s">
        <v>3299</v>
      </c>
      <c r="AI796" s="77"/>
      <c r="AJ796" s="77"/>
      <c r="AK796" s="77"/>
      <c r="AL796" s="77"/>
      <c r="AM796" s="77"/>
      <c r="AN796" s="77"/>
      <c r="AO796" s="77"/>
      <c r="AP796" s="77"/>
      <c r="AQ796" s="77"/>
      <c r="AR796" s="77"/>
      <c r="AS796" s="77"/>
      <c r="AT796" s="77"/>
      <c r="AU796" s="77"/>
      <c r="AV796" s="80" t="str">
        <f>HYPERLINK("https://pbs.twimg.com/profile_images/1653893635660808192/ACoFpbyg_normal.jpg")</f>
        <v>https://pbs.twimg.com/profile_images/1653893635660808192/ACoFpbyg_normal.jpg</v>
      </c>
      <c r="AW796" s="82" t="s">
        <v>4847</v>
      </c>
      <c r="AX796" s="82" t="s">
        <v>5020</v>
      </c>
      <c r="AY796" s="82" t="s">
        <v>5069</v>
      </c>
      <c r="AZ796" s="82" t="s">
        <v>5020</v>
      </c>
      <c r="BA796" s="82" t="s">
        <v>5075</v>
      </c>
      <c r="BB796" s="82" t="s">
        <v>5075</v>
      </c>
      <c r="BC796" s="82" t="s">
        <v>5020</v>
      </c>
      <c r="BD796" s="77">
        <v>155223834</v>
      </c>
      <c r="BE796" s="77"/>
      <c r="BF796" s="77"/>
      <c r="BG796" s="77"/>
      <c r="BH796" s="77"/>
      <c r="BI796" s="77"/>
    </row>
    <row r="797" spans="1:61" x14ac:dyDescent="0.25">
      <c r="A797" s="62" t="s">
        <v>457</v>
      </c>
      <c r="B797" s="62" t="s">
        <v>457</v>
      </c>
      <c r="C797" s="63"/>
      <c r="D797" s="64"/>
      <c r="E797" s="65"/>
      <c r="F797" s="66"/>
      <c r="G797" s="63"/>
      <c r="H797" s="67"/>
      <c r="I797" s="68"/>
      <c r="J797" s="68"/>
      <c r="K797" s="32"/>
      <c r="L797" s="75">
        <v>797</v>
      </c>
      <c r="M797" s="75"/>
      <c r="N797" s="70"/>
      <c r="O797" s="77" t="s">
        <v>179</v>
      </c>
      <c r="P797" s="79">
        <v>45119.735405092593</v>
      </c>
      <c r="Q797" s="77" t="s">
        <v>1324</v>
      </c>
      <c r="R797" s="77">
        <v>0</v>
      </c>
      <c r="S797" s="77">
        <v>0</v>
      </c>
      <c r="T797" s="77">
        <v>0</v>
      </c>
      <c r="U797" s="77">
        <v>0</v>
      </c>
      <c r="V797" s="77">
        <v>30</v>
      </c>
      <c r="W797" s="82" t="s">
        <v>1888</v>
      </c>
      <c r="X797" s="77"/>
      <c r="Y797" s="77"/>
      <c r="Z797" s="77"/>
      <c r="AA797" s="77" t="s">
        <v>2561</v>
      </c>
      <c r="AB797" s="77" t="s">
        <v>2632</v>
      </c>
      <c r="AC797" s="82" t="s">
        <v>2639</v>
      </c>
      <c r="AD797" s="77" t="s">
        <v>2670</v>
      </c>
      <c r="AE797" s="80" t="str">
        <f>HYPERLINK("https://twitter.com/keepgrowing_/status/1679183588233707539")</f>
        <v>https://twitter.com/keepgrowing_/status/1679183588233707539</v>
      </c>
      <c r="AF797" s="79">
        <v>45119.735405092593</v>
      </c>
      <c r="AG797" s="85">
        <v>45119</v>
      </c>
      <c r="AH797" s="82" t="s">
        <v>3300</v>
      </c>
      <c r="AI797" s="77" t="b">
        <v>0</v>
      </c>
      <c r="AJ797" s="77"/>
      <c r="AK797" s="77"/>
      <c r="AL797" s="77"/>
      <c r="AM797" s="77"/>
      <c r="AN797" s="77"/>
      <c r="AO797" s="77"/>
      <c r="AP797" s="77"/>
      <c r="AQ797" s="77" t="s">
        <v>3990</v>
      </c>
      <c r="AR797" s="77"/>
      <c r="AS797" s="77"/>
      <c r="AT797" s="77"/>
      <c r="AU797" s="77"/>
      <c r="AV797" s="80" t="str">
        <f>HYPERLINK("https://pbs.twimg.com/media/F02okcBWIAAG9Qw.jpg")</f>
        <v>https://pbs.twimg.com/media/F02okcBWIAAG9Qw.jpg</v>
      </c>
      <c r="AW797" s="82" t="s">
        <v>4848</v>
      </c>
      <c r="AX797" s="82" t="s">
        <v>4848</v>
      </c>
      <c r="AY797" s="77"/>
      <c r="AZ797" s="82" t="s">
        <v>5075</v>
      </c>
      <c r="BA797" s="82" t="s">
        <v>5075</v>
      </c>
      <c r="BB797" s="82" t="s">
        <v>5075</v>
      </c>
      <c r="BC797" s="82" t="s">
        <v>4848</v>
      </c>
      <c r="BD797" s="82" t="s">
        <v>5248</v>
      </c>
      <c r="BE797" s="77"/>
      <c r="BF797" s="77"/>
      <c r="BG797" s="77"/>
      <c r="BH797" s="77"/>
      <c r="BI797" s="77"/>
    </row>
    <row r="798" spans="1:61" x14ac:dyDescent="0.25">
      <c r="A798" s="62" t="s">
        <v>458</v>
      </c>
      <c r="B798" s="62" t="s">
        <v>458</v>
      </c>
      <c r="C798" s="63"/>
      <c r="D798" s="64"/>
      <c r="E798" s="65"/>
      <c r="F798" s="66"/>
      <c r="G798" s="63"/>
      <c r="H798" s="67"/>
      <c r="I798" s="68"/>
      <c r="J798" s="68"/>
      <c r="K798" s="32"/>
      <c r="L798" s="75">
        <v>798</v>
      </c>
      <c r="M798" s="75"/>
      <c r="N798" s="70"/>
      <c r="O798" s="77" t="s">
        <v>179</v>
      </c>
      <c r="P798" s="79">
        <v>45039.474328703705</v>
      </c>
      <c r="Q798" s="77" t="s">
        <v>1325</v>
      </c>
      <c r="R798" s="77">
        <v>6</v>
      </c>
      <c r="S798" s="77">
        <v>5</v>
      </c>
      <c r="T798" s="77">
        <v>0</v>
      </c>
      <c r="U798" s="77">
        <v>0</v>
      </c>
      <c r="V798" s="77">
        <v>71</v>
      </c>
      <c r="W798" s="82" t="s">
        <v>1889</v>
      </c>
      <c r="X798" s="80" t="str">
        <f>HYPERLINK("https://extra.globo.com/economia/noticia/2023/04/inss-previdencia-privada-investimentos-saiba-como-autonomos-devem-planejar-a-aposentadoria.ghtml")</f>
        <v>https://extra.globo.com/economia/noticia/2023/04/inss-previdencia-privada-investimentos-saiba-como-autonomos-devem-planejar-a-aposentadoria.ghtml</v>
      </c>
      <c r="Y798" s="77" t="s">
        <v>2000</v>
      </c>
      <c r="Z798" s="77"/>
      <c r="AA798" s="77" t="s">
        <v>2562</v>
      </c>
      <c r="AB798" s="77" t="s">
        <v>2632</v>
      </c>
      <c r="AC798" s="82" t="s">
        <v>2638</v>
      </c>
      <c r="AD798" s="77" t="s">
        <v>2670</v>
      </c>
      <c r="AE798" s="80" t="str">
        <f>HYPERLINK("https://twitter.com/nossoinss/status/1650097944744345603")</f>
        <v>https://twitter.com/nossoinss/status/1650097944744345603</v>
      </c>
      <c r="AF798" s="79">
        <v>45039.474328703705</v>
      </c>
      <c r="AG798" s="85">
        <v>45039</v>
      </c>
      <c r="AH798" s="82" t="s">
        <v>3301</v>
      </c>
      <c r="AI798" s="77" t="b">
        <v>0</v>
      </c>
      <c r="AJ798" s="77"/>
      <c r="AK798" s="77"/>
      <c r="AL798" s="77"/>
      <c r="AM798" s="77"/>
      <c r="AN798" s="77"/>
      <c r="AO798" s="77"/>
      <c r="AP798" s="77"/>
      <c r="AQ798" s="77" t="s">
        <v>3991</v>
      </c>
      <c r="AR798" s="77"/>
      <c r="AS798" s="77"/>
      <c r="AT798" s="77"/>
      <c r="AU798" s="77"/>
      <c r="AV798" s="80" t="str">
        <f>HYPERLINK("https://pbs.twimg.com/media/FuZTVgRXsAc2YIU.jpg")</f>
        <v>https://pbs.twimg.com/media/FuZTVgRXsAc2YIU.jpg</v>
      </c>
      <c r="AW798" s="82" t="s">
        <v>4849</v>
      </c>
      <c r="AX798" s="82" t="s">
        <v>4849</v>
      </c>
      <c r="AY798" s="77"/>
      <c r="AZ798" s="82" t="s">
        <v>5075</v>
      </c>
      <c r="BA798" s="82" t="s">
        <v>5075</v>
      </c>
      <c r="BB798" s="82" t="s">
        <v>5075</v>
      </c>
      <c r="BC798" s="82" t="s">
        <v>4849</v>
      </c>
      <c r="BD798" s="77">
        <v>44000594</v>
      </c>
      <c r="BE798" s="77"/>
      <c r="BF798" s="77"/>
      <c r="BG798" s="77"/>
      <c r="BH798" s="77"/>
      <c r="BI798" s="77"/>
    </row>
    <row r="799" spans="1:61" x14ac:dyDescent="0.25">
      <c r="A799" s="62" t="s">
        <v>459</v>
      </c>
      <c r="B799" s="62" t="s">
        <v>459</v>
      </c>
      <c r="C799" s="63"/>
      <c r="D799" s="64"/>
      <c r="E799" s="65"/>
      <c r="F799" s="66"/>
      <c r="G799" s="63"/>
      <c r="H799" s="67"/>
      <c r="I799" s="68"/>
      <c r="J799" s="68"/>
      <c r="K799" s="32"/>
      <c r="L799" s="75">
        <v>799</v>
      </c>
      <c r="M799" s="75"/>
      <c r="N799" s="70"/>
      <c r="O799" s="77" t="s">
        <v>536</v>
      </c>
      <c r="P799" s="79">
        <v>45047.783460648148</v>
      </c>
      <c r="Q799" s="77" t="s">
        <v>1326</v>
      </c>
      <c r="R799" s="77">
        <v>0</v>
      </c>
      <c r="S799" s="77">
        <v>0</v>
      </c>
      <c r="T799" s="77">
        <v>1</v>
      </c>
      <c r="U799" s="77">
        <v>0</v>
      </c>
      <c r="V799" s="77">
        <v>23</v>
      </c>
      <c r="W799" s="82" t="s">
        <v>1435</v>
      </c>
      <c r="X799" s="77"/>
      <c r="Y799" s="77"/>
      <c r="Z799" s="77"/>
      <c r="AA799" s="77"/>
      <c r="AB799" s="77"/>
      <c r="AC799" s="82" t="s">
        <v>2640</v>
      </c>
      <c r="AD799" s="77" t="s">
        <v>2670</v>
      </c>
      <c r="AE799" s="80" t="str">
        <f>HYPERLINK("https://twitter.com/debiasethiago/status/1653109074395815939")</f>
        <v>https://twitter.com/debiasethiago/status/1653109074395815939</v>
      </c>
      <c r="AF799" s="79">
        <v>45047.783460648148</v>
      </c>
      <c r="AG799" s="85">
        <v>45047</v>
      </c>
      <c r="AH799" s="82" t="s">
        <v>3302</v>
      </c>
      <c r="AI799" s="77"/>
      <c r="AJ799" s="77"/>
      <c r="AK799" s="77"/>
      <c r="AL799" s="77"/>
      <c r="AM799" s="77"/>
      <c r="AN799" s="77"/>
      <c r="AO799" s="77"/>
      <c r="AP799" s="77"/>
      <c r="AQ799" s="77"/>
      <c r="AR799" s="77"/>
      <c r="AS799" s="77"/>
      <c r="AT799" s="77"/>
      <c r="AU799" s="77"/>
      <c r="AV799" s="80" t="str">
        <f>HYPERLINK("https://pbs.twimg.com/profile_images/1664560350912565248/YX1gnn53_normal.jpg")</f>
        <v>https://pbs.twimg.com/profile_images/1664560350912565248/YX1gnn53_normal.jpg</v>
      </c>
      <c r="AW799" s="82" t="s">
        <v>4850</v>
      </c>
      <c r="AX799" s="82" t="s">
        <v>5021</v>
      </c>
      <c r="AY799" s="82" t="s">
        <v>5070</v>
      </c>
      <c r="AZ799" s="82" t="s">
        <v>5116</v>
      </c>
      <c r="BA799" s="82" t="s">
        <v>5075</v>
      </c>
      <c r="BB799" s="82" t="s">
        <v>5075</v>
      </c>
      <c r="BC799" s="82" t="s">
        <v>5116</v>
      </c>
      <c r="BD799" s="82" t="s">
        <v>5070</v>
      </c>
      <c r="BE799" s="77"/>
      <c r="BF799" s="77"/>
      <c r="BG799" s="77"/>
      <c r="BH799" s="77"/>
      <c r="BI799" s="77"/>
    </row>
    <row r="800" spans="1:61" x14ac:dyDescent="0.25">
      <c r="A800" s="62" t="s">
        <v>460</v>
      </c>
      <c r="B800" s="62" t="s">
        <v>460</v>
      </c>
      <c r="C800" s="63"/>
      <c r="D800" s="64"/>
      <c r="E800" s="65"/>
      <c r="F800" s="66"/>
      <c r="G800" s="63"/>
      <c r="H800" s="67"/>
      <c r="I800" s="68"/>
      <c r="J800" s="68"/>
      <c r="K800" s="32"/>
      <c r="L800" s="75">
        <v>800</v>
      </c>
      <c r="M800" s="75"/>
      <c r="N800" s="70"/>
      <c r="O800" s="77" t="s">
        <v>179</v>
      </c>
      <c r="P800" s="79">
        <v>45041.882349537038</v>
      </c>
      <c r="Q800" s="77" t="s">
        <v>1327</v>
      </c>
      <c r="R800" s="77">
        <v>0</v>
      </c>
      <c r="S800" s="77">
        <v>0</v>
      </c>
      <c r="T800" s="77">
        <v>0</v>
      </c>
      <c r="U800" s="77">
        <v>0</v>
      </c>
      <c r="V800" s="77">
        <v>23</v>
      </c>
      <c r="W800" s="82" t="s">
        <v>1890</v>
      </c>
      <c r="X800" s="77"/>
      <c r="Y800" s="77"/>
      <c r="Z800" s="77"/>
      <c r="AA800" s="77" t="s">
        <v>2563</v>
      </c>
      <c r="AB800" s="77" t="s">
        <v>2632</v>
      </c>
      <c r="AC800" s="82" t="s">
        <v>2639</v>
      </c>
      <c r="AD800" s="77" t="s">
        <v>2670</v>
      </c>
      <c r="AE800" s="80" t="str">
        <f>HYPERLINK("https://twitter.com/cra__sc/status/1650970584535257094")</f>
        <v>https://twitter.com/cra__sc/status/1650970584535257094</v>
      </c>
      <c r="AF800" s="79">
        <v>45041.882349537038</v>
      </c>
      <c r="AG800" s="85">
        <v>45041</v>
      </c>
      <c r="AH800" s="82" t="s">
        <v>3303</v>
      </c>
      <c r="AI800" s="77" t="b">
        <v>0</v>
      </c>
      <c r="AJ800" s="77"/>
      <c r="AK800" s="77"/>
      <c r="AL800" s="77"/>
      <c r="AM800" s="77"/>
      <c r="AN800" s="77"/>
      <c r="AO800" s="77"/>
      <c r="AP800" s="77"/>
      <c r="AQ800" s="77" t="s">
        <v>3992</v>
      </c>
      <c r="AR800" s="77"/>
      <c r="AS800" s="77"/>
      <c r="AT800" s="77"/>
      <c r="AU800" s="77"/>
      <c r="AV800" s="80" t="str">
        <f>HYPERLINK("https://pbs.twimg.com/media/Fuls7IqX0AEjn6l.jpg")</f>
        <v>https://pbs.twimg.com/media/Fuls7IqX0AEjn6l.jpg</v>
      </c>
      <c r="AW800" s="82" t="s">
        <v>4851</v>
      </c>
      <c r="AX800" s="82" t="s">
        <v>4851</v>
      </c>
      <c r="AY800" s="77"/>
      <c r="AZ800" s="82" t="s">
        <v>5075</v>
      </c>
      <c r="BA800" s="82" t="s">
        <v>5075</v>
      </c>
      <c r="BB800" s="82" t="s">
        <v>5075</v>
      </c>
      <c r="BC800" s="82" t="s">
        <v>4851</v>
      </c>
      <c r="BD800" s="77">
        <v>308218410</v>
      </c>
      <c r="BE800" s="77"/>
      <c r="BF800" s="77"/>
      <c r="BG800" s="77"/>
      <c r="BH800" s="77"/>
      <c r="BI800" s="77"/>
    </row>
    <row r="801" spans="1:61" x14ac:dyDescent="0.25">
      <c r="A801" s="62" t="s">
        <v>460</v>
      </c>
      <c r="B801" s="62" t="s">
        <v>460</v>
      </c>
      <c r="C801" s="63"/>
      <c r="D801" s="64"/>
      <c r="E801" s="65"/>
      <c r="F801" s="66"/>
      <c r="G801" s="63"/>
      <c r="H801" s="67"/>
      <c r="I801" s="68"/>
      <c r="J801" s="68"/>
      <c r="K801" s="32"/>
      <c r="L801" s="75">
        <v>801</v>
      </c>
      <c r="M801" s="75"/>
      <c r="N801" s="70"/>
      <c r="O801" s="77" t="s">
        <v>179</v>
      </c>
      <c r="P801" s="79">
        <v>45091.588263888887</v>
      </c>
      <c r="Q801" s="77" t="s">
        <v>1328</v>
      </c>
      <c r="R801" s="77">
        <v>0</v>
      </c>
      <c r="S801" s="77">
        <v>0</v>
      </c>
      <c r="T801" s="77">
        <v>0</v>
      </c>
      <c r="U801" s="77">
        <v>0</v>
      </c>
      <c r="V801" s="77">
        <v>28</v>
      </c>
      <c r="W801" s="82" t="s">
        <v>1891</v>
      </c>
      <c r="X801" s="80" t="str">
        <f>HYPERLINK("https://web.previsc.com.br/lp-previte-cra/")</f>
        <v>https://web.previsc.com.br/lp-previte-cra/</v>
      </c>
      <c r="Y801" s="77" t="s">
        <v>1978</v>
      </c>
      <c r="Z801" s="77"/>
      <c r="AA801" s="77" t="s">
        <v>2564</v>
      </c>
      <c r="AB801" s="77" t="s">
        <v>2632</v>
      </c>
      <c r="AC801" s="82" t="s">
        <v>2639</v>
      </c>
      <c r="AD801" s="77" t="s">
        <v>2670</v>
      </c>
      <c r="AE801" s="80" t="str">
        <f>HYPERLINK("https://twitter.com/cra__sc/status/1668983405839630336")</f>
        <v>https://twitter.com/cra__sc/status/1668983405839630336</v>
      </c>
      <c r="AF801" s="79">
        <v>45091.588263888887</v>
      </c>
      <c r="AG801" s="85">
        <v>45091</v>
      </c>
      <c r="AH801" s="82" t="s">
        <v>3304</v>
      </c>
      <c r="AI801" s="77" t="b">
        <v>0</v>
      </c>
      <c r="AJ801" s="77"/>
      <c r="AK801" s="77"/>
      <c r="AL801" s="77"/>
      <c r="AM801" s="77"/>
      <c r="AN801" s="77"/>
      <c r="AO801" s="77"/>
      <c r="AP801" s="77"/>
      <c r="AQ801" s="77" t="s">
        <v>3993</v>
      </c>
      <c r="AR801" s="77"/>
      <c r="AS801" s="77"/>
      <c r="AT801" s="77"/>
      <c r="AU801" s="77"/>
      <c r="AV801" s="80" t="str">
        <f>HYPERLINK("https://pbs.twimg.com/media/Fylri6VXsAA9sLj.jpg")</f>
        <v>https://pbs.twimg.com/media/Fylri6VXsAA9sLj.jpg</v>
      </c>
      <c r="AW801" s="82" t="s">
        <v>4852</v>
      </c>
      <c r="AX801" s="82" t="s">
        <v>4852</v>
      </c>
      <c r="AY801" s="77"/>
      <c r="AZ801" s="82" t="s">
        <v>5075</v>
      </c>
      <c r="BA801" s="82" t="s">
        <v>5075</v>
      </c>
      <c r="BB801" s="82" t="s">
        <v>5075</v>
      </c>
      <c r="BC801" s="82" t="s">
        <v>4852</v>
      </c>
      <c r="BD801" s="77">
        <v>308218410</v>
      </c>
      <c r="BE801" s="77"/>
      <c r="BF801" s="77"/>
      <c r="BG801" s="77"/>
      <c r="BH801" s="77"/>
      <c r="BI801" s="77"/>
    </row>
    <row r="802" spans="1:61" x14ac:dyDescent="0.25">
      <c r="A802" s="62" t="s">
        <v>460</v>
      </c>
      <c r="B802" s="62" t="s">
        <v>460</v>
      </c>
      <c r="C802" s="63"/>
      <c r="D802" s="64"/>
      <c r="E802" s="65"/>
      <c r="F802" s="66"/>
      <c r="G802" s="63"/>
      <c r="H802" s="67"/>
      <c r="I802" s="68"/>
      <c r="J802" s="68"/>
      <c r="K802" s="32"/>
      <c r="L802" s="75">
        <v>802</v>
      </c>
      <c r="M802" s="75"/>
      <c r="N802" s="70"/>
      <c r="O802" s="77" t="s">
        <v>179</v>
      </c>
      <c r="P802" s="79">
        <v>45105.513298611113</v>
      </c>
      <c r="Q802" s="77" t="s">
        <v>1329</v>
      </c>
      <c r="R802" s="77">
        <v>0</v>
      </c>
      <c r="S802" s="77">
        <v>0</v>
      </c>
      <c r="T802" s="77">
        <v>0</v>
      </c>
      <c r="U802" s="77">
        <v>0</v>
      </c>
      <c r="V802" s="77">
        <v>25</v>
      </c>
      <c r="W802" s="82" t="s">
        <v>1892</v>
      </c>
      <c r="X802" s="80" t="str">
        <f>HYPERLINK("https://web.previsc.com.br/lp-previte-cra/")</f>
        <v>https://web.previsc.com.br/lp-previte-cra/</v>
      </c>
      <c r="Y802" s="77" t="s">
        <v>1978</v>
      </c>
      <c r="Z802" s="77"/>
      <c r="AA802" s="77" t="s">
        <v>2565</v>
      </c>
      <c r="AB802" s="77" t="s">
        <v>2632</v>
      </c>
      <c r="AC802" s="82" t="s">
        <v>2639</v>
      </c>
      <c r="AD802" s="77" t="s">
        <v>2670</v>
      </c>
      <c r="AE802" s="80" t="str">
        <f>HYPERLINK("https://twitter.com/cra__sc/status/1674029670109511683")</f>
        <v>https://twitter.com/cra__sc/status/1674029670109511683</v>
      </c>
      <c r="AF802" s="79">
        <v>45105.513298611113</v>
      </c>
      <c r="AG802" s="85">
        <v>45105</v>
      </c>
      <c r="AH802" s="82" t="s">
        <v>3305</v>
      </c>
      <c r="AI802" s="77" t="b">
        <v>0</v>
      </c>
      <c r="AJ802" s="77"/>
      <c r="AK802" s="77"/>
      <c r="AL802" s="77"/>
      <c r="AM802" s="77"/>
      <c r="AN802" s="77"/>
      <c r="AO802" s="77"/>
      <c r="AP802" s="77"/>
      <c r="AQ802" s="77" t="s">
        <v>3994</v>
      </c>
      <c r="AR802" s="77"/>
      <c r="AS802" s="77"/>
      <c r="AT802" s="77"/>
      <c r="AU802" s="77"/>
      <c r="AV802" s="80" t="str">
        <f>HYPERLINK("https://pbs.twimg.com/media/FztZE0tXwAQzfKG.jpg")</f>
        <v>https://pbs.twimg.com/media/FztZE0tXwAQzfKG.jpg</v>
      </c>
      <c r="AW802" s="82" t="s">
        <v>4853</v>
      </c>
      <c r="AX802" s="82" t="s">
        <v>4853</v>
      </c>
      <c r="AY802" s="77"/>
      <c r="AZ802" s="82" t="s">
        <v>5075</v>
      </c>
      <c r="BA802" s="82" t="s">
        <v>5075</v>
      </c>
      <c r="BB802" s="82" t="s">
        <v>5075</v>
      </c>
      <c r="BC802" s="82" t="s">
        <v>4853</v>
      </c>
      <c r="BD802" s="77">
        <v>308218410</v>
      </c>
      <c r="BE802" s="77"/>
      <c r="BF802" s="77"/>
      <c r="BG802" s="77"/>
      <c r="BH802" s="77"/>
      <c r="BI802" s="77"/>
    </row>
    <row r="803" spans="1:61" x14ac:dyDescent="0.25">
      <c r="A803" s="62" t="s">
        <v>461</v>
      </c>
      <c r="B803" s="62" t="s">
        <v>461</v>
      </c>
      <c r="C803" s="63"/>
      <c r="D803" s="64"/>
      <c r="E803" s="65"/>
      <c r="F803" s="66"/>
      <c r="G803" s="63"/>
      <c r="H803" s="67"/>
      <c r="I803" s="68"/>
      <c r="J803" s="68"/>
      <c r="K803" s="32"/>
      <c r="L803" s="75">
        <v>803</v>
      </c>
      <c r="M803" s="75"/>
      <c r="N803" s="70"/>
      <c r="O803" s="77" t="s">
        <v>179</v>
      </c>
      <c r="P803" s="79">
        <v>44993.935659722221</v>
      </c>
      <c r="Q803" s="77" t="s">
        <v>1330</v>
      </c>
      <c r="R803" s="77">
        <v>0</v>
      </c>
      <c r="S803" s="77">
        <v>1</v>
      </c>
      <c r="T803" s="77">
        <v>0</v>
      </c>
      <c r="U803" s="77">
        <v>0</v>
      </c>
      <c r="V803" s="77">
        <v>130</v>
      </c>
      <c r="W803" s="82" t="s">
        <v>1893</v>
      </c>
      <c r="X803" s="77"/>
      <c r="Y803" s="77"/>
      <c r="Z803" s="77"/>
      <c r="AA803" s="77" t="s">
        <v>2566</v>
      </c>
      <c r="AB803" s="77" t="s">
        <v>2633</v>
      </c>
      <c r="AC803" s="82" t="s">
        <v>2640</v>
      </c>
      <c r="AD803" s="77" t="s">
        <v>2670</v>
      </c>
      <c r="AE803" s="80" t="str">
        <f>HYPERLINK("https://twitter.com/camposwealth/status/1633595284667133954")</f>
        <v>https://twitter.com/camposwealth/status/1633595284667133954</v>
      </c>
      <c r="AF803" s="79">
        <v>44993.935659722221</v>
      </c>
      <c r="AG803" s="85">
        <v>44993</v>
      </c>
      <c r="AH803" s="82" t="s">
        <v>3306</v>
      </c>
      <c r="AI803" s="77" t="b">
        <v>0</v>
      </c>
      <c r="AJ803" s="77"/>
      <c r="AK803" s="77"/>
      <c r="AL803" s="77"/>
      <c r="AM803" s="77"/>
      <c r="AN803" s="77"/>
      <c r="AO803" s="77"/>
      <c r="AP803" s="77"/>
      <c r="AQ803" s="77" t="s">
        <v>3995</v>
      </c>
      <c r="AR803" s="77">
        <v>17933</v>
      </c>
      <c r="AS803" s="77"/>
      <c r="AT803" s="77"/>
      <c r="AU803" s="77"/>
      <c r="AV803" s="80" t="str">
        <f>HYPERLINK("https://pbs.twimg.com/ext_tw_video_thumb/1633595213938606080/pu/img/CZDO0E_RXO6Yf8oM.jpg")</f>
        <v>https://pbs.twimg.com/ext_tw_video_thumb/1633595213938606080/pu/img/CZDO0E_RXO6Yf8oM.jpg</v>
      </c>
      <c r="AW803" s="82" t="s">
        <v>4854</v>
      </c>
      <c r="AX803" s="82" t="s">
        <v>4854</v>
      </c>
      <c r="AY803" s="77"/>
      <c r="AZ803" s="82" t="s">
        <v>5075</v>
      </c>
      <c r="BA803" s="82" t="s">
        <v>5075</v>
      </c>
      <c r="BB803" s="82" t="s">
        <v>5075</v>
      </c>
      <c r="BC803" s="82" t="s">
        <v>4854</v>
      </c>
      <c r="BD803" s="82" t="s">
        <v>5249</v>
      </c>
      <c r="BE803" s="77"/>
      <c r="BF803" s="77"/>
      <c r="BG803" s="77"/>
      <c r="BH803" s="77"/>
      <c r="BI803" s="77"/>
    </row>
    <row r="804" spans="1:61" x14ac:dyDescent="0.25">
      <c r="A804" s="62" t="s">
        <v>462</v>
      </c>
      <c r="B804" s="62" t="s">
        <v>462</v>
      </c>
      <c r="C804" s="63"/>
      <c r="D804" s="64"/>
      <c r="E804" s="65"/>
      <c r="F804" s="66"/>
      <c r="G804" s="63"/>
      <c r="H804" s="67"/>
      <c r="I804" s="68"/>
      <c r="J804" s="68"/>
      <c r="K804" s="32"/>
      <c r="L804" s="75">
        <v>804</v>
      </c>
      <c r="M804" s="75"/>
      <c r="N804" s="70"/>
      <c r="O804" s="77" t="s">
        <v>179</v>
      </c>
      <c r="P804" s="79">
        <v>45124.750011574077</v>
      </c>
      <c r="Q804" s="77" t="s">
        <v>1331</v>
      </c>
      <c r="R804" s="77">
        <v>0</v>
      </c>
      <c r="S804" s="77">
        <v>0</v>
      </c>
      <c r="T804" s="77">
        <v>0</v>
      </c>
      <c r="U804" s="77">
        <v>0</v>
      </c>
      <c r="V804" s="77">
        <v>12</v>
      </c>
      <c r="W804" s="82" t="s">
        <v>1435</v>
      </c>
      <c r="X804" s="77"/>
      <c r="Y804" s="77"/>
      <c r="Z804" s="77"/>
      <c r="AA804" s="77"/>
      <c r="AB804" s="77"/>
      <c r="AC804" s="82" t="s">
        <v>2639</v>
      </c>
      <c r="AD804" s="77" t="s">
        <v>2670</v>
      </c>
      <c r="AE804" s="80" t="str">
        <f>HYPERLINK("https://twitter.com/brunotsantana/status/1681000817929887744")</f>
        <v>https://twitter.com/brunotsantana/status/1681000817929887744</v>
      </c>
      <c r="AF804" s="79">
        <v>45124.750011574077</v>
      </c>
      <c r="AG804" s="85">
        <v>45124</v>
      </c>
      <c r="AH804" s="82" t="s">
        <v>3307</v>
      </c>
      <c r="AI804" s="77"/>
      <c r="AJ804" s="77"/>
      <c r="AK804" s="77"/>
      <c r="AL804" s="77"/>
      <c r="AM804" s="77"/>
      <c r="AN804" s="77"/>
      <c r="AO804" s="77"/>
      <c r="AP804" s="77"/>
      <c r="AQ804" s="77"/>
      <c r="AR804" s="77"/>
      <c r="AS804" s="77"/>
      <c r="AT804" s="77"/>
      <c r="AU804" s="77"/>
      <c r="AV804" s="80" t="str">
        <f>HYPERLINK("https://pbs.twimg.com/profile_images/1658332022614421504/3w3jaRiu_normal.jpg")</f>
        <v>https://pbs.twimg.com/profile_images/1658332022614421504/3w3jaRiu_normal.jpg</v>
      </c>
      <c r="AW804" s="82" t="s">
        <v>4855</v>
      </c>
      <c r="AX804" s="82" t="s">
        <v>4855</v>
      </c>
      <c r="AY804" s="77"/>
      <c r="AZ804" s="82" t="s">
        <v>5075</v>
      </c>
      <c r="BA804" s="82" t="s">
        <v>5075</v>
      </c>
      <c r="BB804" s="82" t="s">
        <v>5075</v>
      </c>
      <c r="BC804" s="82" t="s">
        <v>4855</v>
      </c>
      <c r="BD804" s="77">
        <v>75428385</v>
      </c>
      <c r="BE804" s="77"/>
      <c r="BF804" s="77"/>
      <c r="BG804" s="77"/>
      <c r="BH804" s="77"/>
      <c r="BI804" s="77"/>
    </row>
    <row r="805" spans="1:61" x14ac:dyDescent="0.25">
      <c r="A805" s="62" t="s">
        <v>463</v>
      </c>
      <c r="B805" s="62" t="s">
        <v>463</v>
      </c>
      <c r="C805" s="63"/>
      <c r="D805" s="64"/>
      <c r="E805" s="65"/>
      <c r="F805" s="66"/>
      <c r="G805" s="63"/>
      <c r="H805" s="67"/>
      <c r="I805" s="68"/>
      <c r="J805" s="68"/>
      <c r="K805" s="32"/>
      <c r="L805" s="75">
        <v>805</v>
      </c>
      <c r="M805" s="75"/>
      <c r="N805" s="70"/>
      <c r="O805" s="77" t="s">
        <v>179</v>
      </c>
      <c r="P805" s="79">
        <v>45104.875451388885</v>
      </c>
      <c r="Q805" s="77" t="s">
        <v>1332</v>
      </c>
      <c r="R805" s="77">
        <v>0</v>
      </c>
      <c r="S805" s="77">
        <v>1</v>
      </c>
      <c r="T805" s="77">
        <v>0</v>
      </c>
      <c r="U805" s="77">
        <v>0</v>
      </c>
      <c r="V805" s="77">
        <v>6</v>
      </c>
      <c r="W805" s="82" t="s">
        <v>1465</v>
      </c>
      <c r="X805" s="77"/>
      <c r="Y805" s="77"/>
      <c r="Z805" s="77"/>
      <c r="AA805" s="77" t="s">
        <v>2567</v>
      </c>
      <c r="AB805" s="77" t="s">
        <v>2633</v>
      </c>
      <c r="AC805" s="82" t="s">
        <v>2643</v>
      </c>
      <c r="AD805" s="77" t="s">
        <v>2670</v>
      </c>
      <c r="AE805" s="80" t="str">
        <f>HYPERLINK("https://twitter.com/podbrandoficial/status/1673798519876902915")</f>
        <v>https://twitter.com/podbrandoficial/status/1673798519876902915</v>
      </c>
      <c r="AF805" s="79">
        <v>45104.875451388885</v>
      </c>
      <c r="AG805" s="85">
        <v>45104</v>
      </c>
      <c r="AH805" s="82" t="s">
        <v>3195</v>
      </c>
      <c r="AI805" s="77" t="b">
        <v>0</v>
      </c>
      <c r="AJ805" s="77"/>
      <c r="AK805" s="77"/>
      <c r="AL805" s="77"/>
      <c r="AM805" s="77"/>
      <c r="AN805" s="77"/>
      <c r="AO805" s="77"/>
      <c r="AP805" s="77"/>
      <c r="AQ805" s="77" t="s">
        <v>3996</v>
      </c>
      <c r="AR805" s="77">
        <v>10000</v>
      </c>
      <c r="AS805" s="77"/>
      <c r="AT805" s="77"/>
      <c r="AU805" s="77"/>
      <c r="AV805" s="80" t="str">
        <f>HYPERLINK("https://pbs.twimg.com/ext_tw_video_thumb/1673798497223557120/pu/img/_5xv1zKvQemie_N9.jpg")</f>
        <v>https://pbs.twimg.com/ext_tw_video_thumb/1673798497223557120/pu/img/_5xv1zKvQemie_N9.jpg</v>
      </c>
      <c r="AW805" s="82" t="s">
        <v>4856</v>
      </c>
      <c r="AX805" s="82" t="s">
        <v>4856</v>
      </c>
      <c r="AY805" s="77"/>
      <c r="AZ805" s="82" t="s">
        <v>5075</v>
      </c>
      <c r="BA805" s="82" t="s">
        <v>5075</v>
      </c>
      <c r="BB805" s="82" t="s">
        <v>5075</v>
      </c>
      <c r="BC805" s="82" t="s">
        <v>4856</v>
      </c>
      <c r="BD805" s="82" t="s">
        <v>5250</v>
      </c>
      <c r="BE805" s="77"/>
      <c r="BF805" s="77"/>
      <c r="BG805" s="77"/>
      <c r="BH805" s="77"/>
      <c r="BI805" s="77"/>
    </row>
    <row r="806" spans="1:61" x14ac:dyDescent="0.25">
      <c r="A806" s="62" t="s">
        <v>463</v>
      </c>
      <c r="B806" s="62" t="s">
        <v>463</v>
      </c>
      <c r="C806" s="63"/>
      <c r="D806" s="64"/>
      <c r="E806" s="65"/>
      <c r="F806" s="66"/>
      <c r="G806" s="63"/>
      <c r="H806" s="67"/>
      <c r="I806" s="68"/>
      <c r="J806" s="68"/>
      <c r="K806" s="32"/>
      <c r="L806" s="75">
        <v>806</v>
      </c>
      <c r="M806" s="75"/>
      <c r="N806" s="70"/>
      <c r="O806" s="77" t="s">
        <v>179</v>
      </c>
      <c r="P806" s="79">
        <v>45103.918009259258</v>
      </c>
      <c r="Q806" s="77" t="s">
        <v>1333</v>
      </c>
      <c r="R806" s="77">
        <v>0</v>
      </c>
      <c r="S806" s="77">
        <v>1</v>
      </c>
      <c r="T806" s="77">
        <v>0</v>
      </c>
      <c r="U806" s="77">
        <v>0</v>
      </c>
      <c r="V806" s="77">
        <v>6</v>
      </c>
      <c r="W806" s="82" t="s">
        <v>1465</v>
      </c>
      <c r="X806" s="77"/>
      <c r="Y806" s="77"/>
      <c r="Z806" s="77"/>
      <c r="AA806" s="77" t="s">
        <v>2568</v>
      </c>
      <c r="AB806" s="77" t="s">
        <v>2633</v>
      </c>
      <c r="AC806" s="82" t="s">
        <v>2643</v>
      </c>
      <c r="AD806" s="77" t="s">
        <v>2670</v>
      </c>
      <c r="AE806" s="80" t="str">
        <f>HYPERLINK("https://twitter.com/podbrandoficial/status/1673451553632428032")</f>
        <v>https://twitter.com/podbrandoficial/status/1673451553632428032</v>
      </c>
      <c r="AF806" s="79">
        <v>45103.918009259258</v>
      </c>
      <c r="AG806" s="85">
        <v>45103</v>
      </c>
      <c r="AH806" s="82" t="s">
        <v>3308</v>
      </c>
      <c r="AI806" s="77" t="b">
        <v>0</v>
      </c>
      <c r="AJ806" s="77"/>
      <c r="AK806" s="77"/>
      <c r="AL806" s="77"/>
      <c r="AM806" s="77"/>
      <c r="AN806" s="77"/>
      <c r="AO806" s="77"/>
      <c r="AP806" s="77"/>
      <c r="AQ806" s="77" t="s">
        <v>3997</v>
      </c>
      <c r="AR806" s="77">
        <v>10000</v>
      </c>
      <c r="AS806" s="77"/>
      <c r="AT806" s="77"/>
      <c r="AU806" s="77"/>
      <c r="AV806" s="80" t="str">
        <f>HYPERLINK("https://pbs.twimg.com/ext_tw_video_thumb/1673451535345303556/pu/img/fW2pvk0lO82QDhO2.jpg")</f>
        <v>https://pbs.twimg.com/ext_tw_video_thumb/1673451535345303556/pu/img/fW2pvk0lO82QDhO2.jpg</v>
      </c>
      <c r="AW806" s="82" t="s">
        <v>4857</v>
      </c>
      <c r="AX806" s="82" t="s">
        <v>4857</v>
      </c>
      <c r="AY806" s="77"/>
      <c r="AZ806" s="82" t="s">
        <v>5075</v>
      </c>
      <c r="BA806" s="82" t="s">
        <v>5075</v>
      </c>
      <c r="BB806" s="82" t="s">
        <v>5075</v>
      </c>
      <c r="BC806" s="82" t="s">
        <v>4857</v>
      </c>
      <c r="BD806" s="82" t="s">
        <v>5250</v>
      </c>
      <c r="BE806" s="77"/>
      <c r="BF806" s="77"/>
      <c r="BG806" s="77"/>
      <c r="BH806" s="77"/>
      <c r="BI806" s="77"/>
    </row>
    <row r="807" spans="1:61" x14ac:dyDescent="0.25">
      <c r="A807" s="62" t="s">
        <v>463</v>
      </c>
      <c r="B807" s="62" t="s">
        <v>463</v>
      </c>
      <c r="C807" s="63"/>
      <c r="D807" s="64"/>
      <c r="E807" s="65"/>
      <c r="F807" s="66"/>
      <c r="G807" s="63"/>
      <c r="H807" s="67"/>
      <c r="I807" s="68"/>
      <c r="J807" s="68"/>
      <c r="K807" s="32"/>
      <c r="L807" s="75">
        <v>807</v>
      </c>
      <c r="M807" s="75"/>
      <c r="N807" s="70"/>
      <c r="O807" s="77" t="s">
        <v>179</v>
      </c>
      <c r="P807" s="79">
        <v>45110.459456018521</v>
      </c>
      <c r="Q807" s="77" t="s">
        <v>1334</v>
      </c>
      <c r="R807" s="77">
        <v>0</v>
      </c>
      <c r="S807" s="77">
        <v>0</v>
      </c>
      <c r="T807" s="77">
        <v>0</v>
      </c>
      <c r="U807" s="77">
        <v>0</v>
      </c>
      <c r="V807" s="77">
        <v>1</v>
      </c>
      <c r="W807" s="82" t="s">
        <v>1465</v>
      </c>
      <c r="X807" s="77"/>
      <c r="Y807" s="77"/>
      <c r="Z807" s="77"/>
      <c r="AA807" s="77" t="s">
        <v>2569</v>
      </c>
      <c r="AB807" s="77" t="s">
        <v>2633</v>
      </c>
      <c r="AC807" s="82" t="s">
        <v>2643</v>
      </c>
      <c r="AD807" s="77" t="s">
        <v>2670</v>
      </c>
      <c r="AE807" s="80" t="str">
        <f>HYPERLINK("https://twitter.com/podbrandoficial/status/1675822096998453250")</f>
        <v>https://twitter.com/podbrandoficial/status/1675822096998453250</v>
      </c>
      <c r="AF807" s="79">
        <v>45110.459456018521</v>
      </c>
      <c r="AG807" s="85">
        <v>45110</v>
      </c>
      <c r="AH807" s="82" t="s">
        <v>3309</v>
      </c>
      <c r="AI807" s="77" t="b">
        <v>0</v>
      </c>
      <c r="AJ807" s="77"/>
      <c r="AK807" s="77"/>
      <c r="AL807" s="77"/>
      <c r="AM807" s="77"/>
      <c r="AN807" s="77"/>
      <c r="AO807" s="77"/>
      <c r="AP807" s="77"/>
      <c r="AQ807" s="77" t="s">
        <v>3998</v>
      </c>
      <c r="AR807" s="77">
        <v>10000</v>
      </c>
      <c r="AS807" s="77"/>
      <c r="AT807" s="77"/>
      <c r="AU807" s="77"/>
      <c r="AV807" s="80" t="str">
        <f>HYPERLINK("https://pbs.twimg.com/ext_tw_video_thumb/1675822069798383616/pu/img/FdaXtahQlNlHCT1R.jpg")</f>
        <v>https://pbs.twimg.com/ext_tw_video_thumb/1675822069798383616/pu/img/FdaXtahQlNlHCT1R.jpg</v>
      </c>
      <c r="AW807" s="82" t="s">
        <v>4858</v>
      </c>
      <c r="AX807" s="82" t="s">
        <v>4858</v>
      </c>
      <c r="AY807" s="77"/>
      <c r="AZ807" s="82" t="s">
        <v>5075</v>
      </c>
      <c r="BA807" s="82" t="s">
        <v>5075</v>
      </c>
      <c r="BB807" s="82" t="s">
        <v>5075</v>
      </c>
      <c r="BC807" s="82" t="s">
        <v>4858</v>
      </c>
      <c r="BD807" s="82" t="s">
        <v>5250</v>
      </c>
      <c r="BE807" s="77"/>
      <c r="BF807" s="77"/>
      <c r="BG807" s="77"/>
      <c r="BH807" s="77"/>
      <c r="BI807" s="77"/>
    </row>
    <row r="808" spans="1:61" x14ac:dyDescent="0.25">
      <c r="A808" s="62" t="s">
        <v>463</v>
      </c>
      <c r="B808" s="62" t="s">
        <v>463</v>
      </c>
      <c r="C808" s="63"/>
      <c r="D808" s="64"/>
      <c r="E808" s="65"/>
      <c r="F808" s="66"/>
      <c r="G808" s="63"/>
      <c r="H808" s="67"/>
      <c r="I808" s="68"/>
      <c r="J808" s="68"/>
      <c r="K808" s="32"/>
      <c r="L808" s="75">
        <v>808</v>
      </c>
      <c r="M808" s="75"/>
      <c r="N808" s="70"/>
      <c r="O808" s="77" t="s">
        <v>179</v>
      </c>
      <c r="P808" s="79">
        <v>45109.87604166667</v>
      </c>
      <c r="Q808" s="77" t="s">
        <v>1335</v>
      </c>
      <c r="R808" s="77">
        <v>0</v>
      </c>
      <c r="S808" s="77">
        <v>0</v>
      </c>
      <c r="T808" s="77">
        <v>0</v>
      </c>
      <c r="U808" s="77">
        <v>0</v>
      </c>
      <c r="V808" s="77">
        <v>9</v>
      </c>
      <c r="W808" s="82" t="s">
        <v>1465</v>
      </c>
      <c r="X808" s="77"/>
      <c r="Y808" s="77"/>
      <c r="Z808" s="77"/>
      <c r="AA808" s="77" t="s">
        <v>2570</v>
      </c>
      <c r="AB808" s="77" t="s">
        <v>2633</v>
      </c>
      <c r="AC808" s="82" t="s">
        <v>2643</v>
      </c>
      <c r="AD808" s="77" t="s">
        <v>2670</v>
      </c>
      <c r="AE808" s="80" t="str">
        <f>HYPERLINK("https://twitter.com/podbrandoficial/status/1675610671264694273")</f>
        <v>https://twitter.com/podbrandoficial/status/1675610671264694273</v>
      </c>
      <c r="AF808" s="79">
        <v>45109.87604166667</v>
      </c>
      <c r="AG808" s="85">
        <v>45109</v>
      </c>
      <c r="AH808" s="82" t="s">
        <v>3310</v>
      </c>
      <c r="AI808" s="77" t="b">
        <v>0</v>
      </c>
      <c r="AJ808" s="77"/>
      <c r="AK808" s="77"/>
      <c r="AL808" s="77"/>
      <c r="AM808" s="77"/>
      <c r="AN808" s="77"/>
      <c r="AO808" s="77"/>
      <c r="AP808" s="77"/>
      <c r="AQ808" s="77" t="s">
        <v>3999</v>
      </c>
      <c r="AR808" s="77">
        <v>10000</v>
      </c>
      <c r="AS808" s="77"/>
      <c r="AT808" s="77"/>
      <c r="AU808" s="77"/>
      <c r="AV808" s="80" t="str">
        <f>HYPERLINK("https://pbs.twimg.com/ext_tw_video_thumb/1675610653074026496/pu/img/8xaLp17n2z9tTzOx.jpg")</f>
        <v>https://pbs.twimg.com/ext_tw_video_thumb/1675610653074026496/pu/img/8xaLp17n2z9tTzOx.jpg</v>
      </c>
      <c r="AW808" s="82" t="s">
        <v>4859</v>
      </c>
      <c r="AX808" s="82" t="s">
        <v>4859</v>
      </c>
      <c r="AY808" s="77"/>
      <c r="AZ808" s="82" t="s">
        <v>5075</v>
      </c>
      <c r="BA808" s="82" t="s">
        <v>5075</v>
      </c>
      <c r="BB808" s="82" t="s">
        <v>5075</v>
      </c>
      <c r="BC808" s="82" t="s">
        <v>4859</v>
      </c>
      <c r="BD808" s="82" t="s">
        <v>5250</v>
      </c>
      <c r="BE808" s="77"/>
      <c r="BF808" s="77"/>
      <c r="BG808" s="77"/>
      <c r="BH808" s="77"/>
      <c r="BI808" s="77"/>
    </row>
    <row r="809" spans="1:61" x14ac:dyDescent="0.25">
      <c r="A809" s="62" t="s">
        <v>463</v>
      </c>
      <c r="B809" s="62" t="s">
        <v>463</v>
      </c>
      <c r="C809" s="63"/>
      <c r="D809" s="64"/>
      <c r="E809" s="65"/>
      <c r="F809" s="66"/>
      <c r="G809" s="63"/>
      <c r="H809" s="67"/>
      <c r="I809" s="68"/>
      <c r="J809" s="68"/>
      <c r="K809" s="32"/>
      <c r="L809" s="75">
        <v>809</v>
      </c>
      <c r="M809" s="75"/>
      <c r="N809" s="70"/>
      <c r="O809" s="77" t="s">
        <v>179</v>
      </c>
      <c r="P809" s="79">
        <v>45105.876006944447</v>
      </c>
      <c r="Q809" s="77" t="s">
        <v>1336</v>
      </c>
      <c r="R809" s="77">
        <v>0</v>
      </c>
      <c r="S809" s="77">
        <v>0</v>
      </c>
      <c r="T809" s="77">
        <v>0</v>
      </c>
      <c r="U809" s="77">
        <v>0</v>
      </c>
      <c r="V809" s="77">
        <v>2</v>
      </c>
      <c r="W809" s="82" t="s">
        <v>1465</v>
      </c>
      <c r="X809" s="77"/>
      <c r="Y809" s="77"/>
      <c r="Z809" s="77"/>
      <c r="AA809" s="77" t="s">
        <v>2571</v>
      </c>
      <c r="AB809" s="77" t="s">
        <v>2633</v>
      </c>
      <c r="AC809" s="82" t="s">
        <v>2643</v>
      </c>
      <c r="AD809" s="77" t="s">
        <v>2670</v>
      </c>
      <c r="AE809" s="80" t="str">
        <f>HYPERLINK("https://twitter.com/podbrandoficial/status/1674161107966017538")</f>
        <v>https://twitter.com/podbrandoficial/status/1674161107966017538</v>
      </c>
      <c r="AF809" s="79">
        <v>45105.876006944447</v>
      </c>
      <c r="AG809" s="85">
        <v>45105</v>
      </c>
      <c r="AH809" s="82" t="s">
        <v>3311</v>
      </c>
      <c r="AI809" s="77" t="b">
        <v>0</v>
      </c>
      <c r="AJ809" s="77"/>
      <c r="AK809" s="77"/>
      <c r="AL809" s="77"/>
      <c r="AM809" s="77"/>
      <c r="AN809" s="77"/>
      <c r="AO809" s="77"/>
      <c r="AP809" s="77"/>
      <c r="AQ809" s="77" t="s">
        <v>4000</v>
      </c>
      <c r="AR809" s="77">
        <v>10000</v>
      </c>
      <c r="AS809" s="77"/>
      <c r="AT809" s="77"/>
      <c r="AU809" s="77"/>
      <c r="AV809" s="80" t="str">
        <f>HYPERLINK("https://pbs.twimg.com/ext_tw_video_thumb/1674161085975261186/pu/img/1V6lwn6eBv8PE_iJ.jpg")</f>
        <v>https://pbs.twimg.com/ext_tw_video_thumb/1674161085975261186/pu/img/1V6lwn6eBv8PE_iJ.jpg</v>
      </c>
      <c r="AW809" s="82" t="s">
        <v>4860</v>
      </c>
      <c r="AX809" s="82" t="s">
        <v>4860</v>
      </c>
      <c r="AY809" s="77"/>
      <c r="AZ809" s="82" t="s">
        <v>5075</v>
      </c>
      <c r="BA809" s="82" t="s">
        <v>5075</v>
      </c>
      <c r="BB809" s="82" t="s">
        <v>5075</v>
      </c>
      <c r="BC809" s="82" t="s">
        <v>4860</v>
      </c>
      <c r="BD809" s="82" t="s">
        <v>5250</v>
      </c>
      <c r="BE809" s="77"/>
      <c r="BF809" s="77"/>
      <c r="BG809" s="77"/>
      <c r="BH809" s="77"/>
      <c r="BI809" s="77"/>
    </row>
    <row r="810" spans="1:61" x14ac:dyDescent="0.25">
      <c r="A810" s="62" t="s">
        <v>463</v>
      </c>
      <c r="B810" s="62" t="s">
        <v>463</v>
      </c>
      <c r="C810" s="63"/>
      <c r="D810" s="64"/>
      <c r="E810" s="65"/>
      <c r="F810" s="66"/>
      <c r="G810" s="63"/>
      <c r="H810" s="67"/>
      <c r="I810" s="68"/>
      <c r="J810" s="68"/>
      <c r="K810" s="32"/>
      <c r="L810" s="75">
        <v>810</v>
      </c>
      <c r="M810" s="75"/>
      <c r="N810" s="70"/>
      <c r="O810" s="77" t="s">
        <v>179</v>
      </c>
      <c r="P810" s="79">
        <v>45107.876423611109</v>
      </c>
      <c r="Q810" s="77" t="s">
        <v>1337</v>
      </c>
      <c r="R810" s="77">
        <v>0</v>
      </c>
      <c r="S810" s="77">
        <v>0</v>
      </c>
      <c r="T810" s="77">
        <v>0</v>
      </c>
      <c r="U810" s="77">
        <v>0</v>
      </c>
      <c r="V810" s="77">
        <v>4</v>
      </c>
      <c r="W810" s="82" t="s">
        <v>1465</v>
      </c>
      <c r="X810" s="77"/>
      <c r="Y810" s="77"/>
      <c r="Z810" s="77"/>
      <c r="AA810" s="77" t="s">
        <v>2572</v>
      </c>
      <c r="AB810" s="77" t="s">
        <v>2633</v>
      </c>
      <c r="AC810" s="82" t="s">
        <v>2643</v>
      </c>
      <c r="AD810" s="77" t="s">
        <v>2670</v>
      </c>
      <c r="AE810" s="80" t="str">
        <f>HYPERLINK("https://twitter.com/podbrandoficial/status/1674886034247516162")</f>
        <v>https://twitter.com/podbrandoficial/status/1674886034247516162</v>
      </c>
      <c r="AF810" s="79">
        <v>45107.876423611109</v>
      </c>
      <c r="AG810" s="85">
        <v>45107</v>
      </c>
      <c r="AH810" s="82" t="s">
        <v>3312</v>
      </c>
      <c r="AI810" s="77" t="b">
        <v>0</v>
      </c>
      <c r="AJ810" s="77"/>
      <c r="AK810" s="77"/>
      <c r="AL810" s="77"/>
      <c r="AM810" s="77"/>
      <c r="AN810" s="77"/>
      <c r="AO810" s="77"/>
      <c r="AP810" s="77"/>
      <c r="AQ810" s="77" t="s">
        <v>4001</v>
      </c>
      <c r="AR810" s="77">
        <v>10000</v>
      </c>
      <c r="AS810" s="77"/>
      <c r="AT810" s="77"/>
      <c r="AU810" s="77"/>
      <c r="AV810" s="80" t="str">
        <f>HYPERLINK("https://pbs.twimg.com/ext_tw_video_thumb/1674885920405745666/pu/img/0EVCDnGohdnTBRVJ.jpg")</f>
        <v>https://pbs.twimg.com/ext_tw_video_thumb/1674885920405745666/pu/img/0EVCDnGohdnTBRVJ.jpg</v>
      </c>
      <c r="AW810" s="82" t="s">
        <v>4861</v>
      </c>
      <c r="AX810" s="82" t="s">
        <v>4861</v>
      </c>
      <c r="AY810" s="77"/>
      <c r="AZ810" s="82" t="s">
        <v>5075</v>
      </c>
      <c r="BA810" s="82" t="s">
        <v>5075</v>
      </c>
      <c r="BB810" s="82" t="s">
        <v>5075</v>
      </c>
      <c r="BC810" s="82" t="s">
        <v>4861</v>
      </c>
      <c r="BD810" s="82" t="s">
        <v>5250</v>
      </c>
      <c r="BE810" s="77"/>
      <c r="BF810" s="77"/>
      <c r="BG810" s="77"/>
      <c r="BH810" s="77"/>
      <c r="BI810" s="77"/>
    </row>
    <row r="811" spans="1:61" x14ac:dyDescent="0.25">
      <c r="A811" s="62" t="s">
        <v>463</v>
      </c>
      <c r="B811" s="62" t="s">
        <v>463</v>
      </c>
      <c r="C811" s="63"/>
      <c r="D811" s="64"/>
      <c r="E811" s="65"/>
      <c r="F811" s="66"/>
      <c r="G811" s="63"/>
      <c r="H811" s="67"/>
      <c r="I811" s="68"/>
      <c r="J811" s="68"/>
      <c r="K811" s="32"/>
      <c r="L811" s="75">
        <v>811</v>
      </c>
      <c r="M811" s="75"/>
      <c r="N811" s="70"/>
      <c r="O811" s="77" t="s">
        <v>179</v>
      </c>
      <c r="P811" s="79">
        <v>45106.876087962963</v>
      </c>
      <c r="Q811" s="77" t="s">
        <v>1338</v>
      </c>
      <c r="R811" s="77">
        <v>0</v>
      </c>
      <c r="S811" s="77">
        <v>0</v>
      </c>
      <c r="T811" s="77">
        <v>0</v>
      </c>
      <c r="U811" s="77">
        <v>0</v>
      </c>
      <c r="V811" s="77">
        <v>4</v>
      </c>
      <c r="W811" s="82" t="s">
        <v>1465</v>
      </c>
      <c r="X811" s="77"/>
      <c r="Y811" s="77"/>
      <c r="Z811" s="77"/>
      <c r="AA811" s="77" t="s">
        <v>2573</v>
      </c>
      <c r="AB811" s="77" t="s">
        <v>2633</v>
      </c>
      <c r="AC811" s="82" t="s">
        <v>2643</v>
      </c>
      <c r="AD811" s="77" t="s">
        <v>2670</v>
      </c>
      <c r="AE811" s="80" t="str">
        <f>HYPERLINK("https://twitter.com/podbrandoficial/status/1674523526542290944")</f>
        <v>https://twitter.com/podbrandoficial/status/1674523526542290944</v>
      </c>
      <c r="AF811" s="79">
        <v>45106.876087962963</v>
      </c>
      <c r="AG811" s="85">
        <v>45106</v>
      </c>
      <c r="AH811" s="82" t="s">
        <v>3313</v>
      </c>
      <c r="AI811" s="77" t="b">
        <v>0</v>
      </c>
      <c r="AJ811" s="77"/>
      <c r="AK811" s="77"/>
      <c r="AL811" s="77"/>
      <c r="AM811" s="77"/>
      <c r="AN811" s="77"/>
      <c r="AO811" s="77"/>
      <c r="AP811" s="77"/>
      <c r="AQ811" s="77" t="s">
        <v>4002</v>
      </c>
      <c r="AR811" s="77">
        <v>10000</v>
      </c>
      <c r="AS811" s="77"/>
      <c r="AT811" s="77"/>
      <c r="AU811" s="77"/>
      <c r="AV811" s="80" t="str">
        <f>HYPERLINK("https://pbs.twimg.com/ext_tw_video_thumb/1674523501363953664/pu/img/rSQ45DUVkRfapzfl.jpg")</f>
        <v>https://pbs.twimg.com/ext_tw_video_thumb/1674523501363953664/pu/img/rSQ45DUVkRfapzfl.jpg</v>
      </c>
      <c r="AW811" s="82" t="s">
        <v>4862</v>
      </c>
      <c r="AX811" s="82" t="s">
        <v>4862</v>
      </c>
      <c r="AY811" s="77"/>
      <c r="AZ811" s="82" t="s">
        <v>5075</v>
      </c>
      <c r="BA811" s="82" t="s">
        <v>5075</v>
      </c>
      <c r="BB811" s="82" t="s">
        <v>5075</v>
      </c>
      <c r="BC811" s="82" t="s">
        <v>4862</v>
      </c>
      <c r="BD811" s="82" t="s">
        <v>5250</v>
      </c>
      <c r="BE811" s="77"/>
      <c r="BF811" s="77"/>
      <c r="BG811" s="77"/>
      <c r="BH811" s="77"/>
      <c r="BI811" s="77"/>
    </row>
    <row r="812" spans="1:61" x14ac:dyDescent="0.25">
      <c r="A812" s="62" t="s">
        <v>463</v>
      </c>
      <c r="B812" s="62" t="s">
        <v>463</v>
      </c>
      <c r="C812" s="63"/>
      <c r="D812" s="64"/>
      <c r="E812" s="65"/>
      <c r="F812" s="66"/>
      <c r="G812" s="63"/>
      <c r="H812" s="67"/>
      <c r="I812" s="68"/>
      <c r="J812" s="68"/>
      <c r="K812" s="32"/>
      <c r="L812" s="75">
        <v>812</v>
      </c>
      <c r="M812" s="75"/>
      <c r="N812" s="70"/>
      <c r="O812" s="77" t="s">
        <v>179</v>
      </c>
      <c r="P812" s="79">
        <v>45108.88040509259</v>
      </c>
      <c r="Q812" s="77" t="s">
        <v>1339</v>
      </c>
      <c r="R812" s="77">
        <v>0</v>
      </c>
      <c r="S812" s="77">
        <v>0</v>
      </c>
      <c r="T812" s="77">
        <v>0</v>
      </c>
      <c r="U812" s="77">
        <v>0</v>
      </c>
      <c r="V812" s="77">
        <v>6</v>
      </c>
      <c r="W812" s="82" t="s">
        <v>1465</v>
      </c>
      <c r="X812" s="77"/>
      <c r="Y812" s="77"/>
      <c r="Z812" s="77"/>
      <c r="AA812" s="77" t="s">
        <v>2574</v>
      </c>
      <c r="AB812" s="77" t="s">
        <v>2633</v>
      </c>
      <c r="AC812" s="82" t="s">
        <v>2643</v>
      </c>
      <c r="AD812" s="77" t="s">
        <v>2670</v>
      </c>
      <c r="AE812" s="80" t="str">
        <f>HYPERLINK("https://twitter.com/podbrandoficial/status/1675249867323482113")</f>
        <v>https://twitter.com/podbrandoficial/status/1675249867323482113</v>
      </c>
      <c r="AF812" s="79">
        <v>45108.88040509259</v>
      </c>
      <c r="AG812" s="85">
        <v>45108</v>
      </c>
      <c r="AH812" s="82" t="s">
        <v>3314</v>
      </c>
      <c r="AI812" s="77" t="b">
        <v>0</v>
      </c>
      <c r="AJ812" s="77"/>
      <c r="AK812" s="77"/>
      <c r="AL812" s="77"/>
      <c r="AM812" s="77"/>
      <c r="AN812" s="77"/>
      <c r="AO812" s="77"/>
      <c r="AP812" s="77"/>
      <c r="AQ812" s="77" t="s">
        <v>4003</v>
      </c>
      <c r="AR812" s="77">
        <v>10000</v>
      </c>
      <c r="AS812" s="77"/>
      <c r="AT812" s="77"/>
      <c r="AU812" s="77"/>
      <c r="AV812" s="80" t="str">
        <f>HYPERLINK("https://pbs.twimg.com/ext_tw_video_thumb/1675248641424908295/pu/img/Br694rBUMUn6Ju1C.jpg")</f>
        <v>https://pbs.twimg.com/ext_tw_video_thumb/1675248641424908295/pu/img/Br694rBUMUn6Ju1C.jpg</v>
      </c>
      <c r="AW812" s="82" t="s">
        <v>4863</v>
      </c>
      <c r="AX812" s="82" t="s">
        <v>4863</v>
      </c>
      <c r="AY812" s="77"/>
      <c r="AZ812" s="82" t="s">
        <v>5075</v>
      </c>
      <c r="BA812" s="82" t="s">
        <v>5075</v>
      </c>
      <c r="BB812" s="82" t="s">
        <v>5075</v>
      </c>
      <c r="BC812" s="82" t="s">
        <v>4863</v>
      </c>
      <c r="BD812" s="82" t="s">
        <v>5250</v>
      </c>
      <c r="BE812" s="77"/>
      <c r="BF812" s="77"/>
      <c r="BG812" s="77"/>
      <c r="BH812" s="77"/>
      <c r="BI812" s="77"/>
    </row>
    <row r="813" spans="1:61" x14ac:dyDescent="0.25">
      <c r="A813" s="62" t="s">
        <v>464</v>
      </c>
      <c r="B813" s="62" t="s">
        <v>464</v>
      </c>
      <c r="C813" s="63"/>
      <c r="D813" s="64"/>
      <c r="E813" s="65"/>
      <c r="F813" s="66"/>
      <c r="G813" s="63"/>
      <c r="H813" s="67"/>
      <c r="I813" s="68"/>
      <c r="J813" s="68"/>
      <c r="K813" s="32"/>
      <c r="L813" s="75">
        <v>813</v>
      </c>
      <c r="M813" s="75"/>
      <c r="N813" s="70"/>
      <c r="O813" s="77" t="s">
        <v>179</v>
      </c>
      <c r="P813" s="79">
        <v>45191.541678240741</v>
      </c>
      <c r="Q813" s="77" t="s">
        <v>1340</v>
      </c>
      <c r="R813" s="77">
        <v>0</v>
      </c>
      <c r="S813" s="77">
        <v>0</v>
      </c>
      <c r="T813" s="77">
        <v>0</v>
      </c>
      <c r="U813" s="77">
        <v>0</v>
      </c>
      <c r="V813" s="77">
        <v>27</v>
      </c>
      <c r="W813" s="82" t="s">
        <v>1894</v>
      </c>
      <c r="X813" s="77"/>
      <c r="Y813" s="77"/>
      <c r="Z813" s="77"/>
      <c r="AA813" s="77" t="s">
        <v>2575</v>
      </c>
      <c r="AB813" s="77" t="s">
        <v>2632</v>
      </c>
      <c r="AC813" s="82" t="s">
        <v>2639</v>
      </c>
      <c r="AD813" s="77" t="s">
        <v>2670</v>
      </c>
      <c r="AE813" s="80" t="str">
        <f>HYPERLINK("https://twitter.com/barbi_contabil/status/1705205307365036447")</f>
        <v>https://twitter.com/barbi_contabil/status/1705205307365036447</v>
      </c>
      <c r="AF813" s="79">
        <v>45191.541678240741</v>
      </c>
      <c r="AG813" s="85">
        <v>45191</v>
      </c>
      <c r="AH813" s="82" t="s">
        <v>2969</v>
      </c>
      <c r="AI813" s="77" t="b">
        <v>0</v>
      </c>
      <c r="AJ813" s="77"/>
      <c r="AK813" s="77"/>
      <c r="AL813" s="77"/>
      <c r="AM813" s="77"/>
      <c r="AN813" s="77"/>
      <c r="AO813" s="77"/>
      <c r="AP813" s="77"/>
      <c r="AQ813" s="77" t="s">
        <v>4004</v>
      </c>
      <c r="AR813" s="77"/>
      <c r="AS813" s="77"/>
      <c r="AT813" s="77"/>
      <c r="AU813" s="77"/>
      <c r="AV813" s="80" t="str">
        <f>HYPERLINK("https://pbs.twimg.com/media/F6fOziVW8AA5-wo.jpg")</f>
        <v>https://pbs.twimg.com/media/F6fOziVW8AA5-wo.jpg</v>
      </c>
      <c r="AW813" s="82" t="s">
        <v>4864</v>
      </c>
      <c r="AX813" s="82" t="s">
        <v>4864</v>
      </c>
      <c r="AY813" s="77"/>
      <c r="AZ813" s="82" t="s">
        <v>5075</v>
      </c>
      <c r="BA813" s="82" t="s">
        <v>5075</v>
      </c>
      <c r="BB813" s="82" t="s">
        <v>5075</v>
      </c>
      <c r="BC813" s="82" t="s">
        <v>4864</v>
      </c>
      <c r="BD813" s="82" t="s">
        <v>5251</v>
      </c>
      <c r="BE813" s="77"/>
      <c r="BF813" s="77"/>
      <c r="BG813" s="77"/>
      <c r="BH813" s="77"/>
      <c r="BI813" s="77"/>
    </row>
    <row r="814" spans="1:61" x14ac:dyDescent="0.25">
      <c r="A814" s="62" t="s">
        <v>465</v>
      </c>
      <c r="B814" s="62" t="s">
        <v>465</v>
      </c>
      <c r="C814" s="63"/>
      <c r="D814" s="64"/>
      <c r="E814" s="65"/>
      <c r="F814" s="66"/>
      <c r="G814" s="63"/>
      <c r="H814" s="67"/>
      <c r="I814" s="68"/>
      <c r="J814" s="68"/>
      <c r="K814" s="32"/>
      <c r="L814" s="75">
        <v>814</v>
      </c>
      <c r="M814" s="75"/>
      <c r="N814" s="70"/>
      <c r="O814" s="77" t="s">
        <v>536</v>
      </c>
      <c r="P814" s="79">
        <v>45097.024791666663</v>
      </c>
      <c r="Q814" s="77" t="s">
        <v>1341</v>
      </c>
      <c r="R814" s="77">
        <v>0</v>
      </c>
      <c r="S814" s="77">
        <v>0</v>
      </c>
      <c r="T814" s="77">
        <v>1</v>
      </c>
      <c r="U814" s="77">
        <v>0</v>
      </c>
      <c r="V814" s="77">
        <v>8</v>
      </c>
      <c r="W814" s="82" t="s">
        <v>1895</v>
      </c>
      <c r="X814" s="77"/>
      <c r="Y814" s="77"/>
      <c r="Z814" s="77"/>
      <c r="AA814" s="77"/>
      <c r="AB814" s="77"/>
      <c r="AC814" s="82" t="s">
        <v>2640</v>
      </c>
      <c r="AD814" s="77" t="s">
        <v>2670</v>
      </c>
      <c r="AE814" s="80" t="str">
        <f>HYPERLINK("https://twitter.com/anderson_crc/status/1670953538216681475")</f>
        <v>https://twitter.com/anderson_crc/status/1670953538216681475</v>
      </c>
      <c r="AF814" s="79">
        <v>45097.024791666663</v>
      </c>
      <c r="AG814" s="85">
        <v>45097</v>
      </c>
      <c r="AH814" s="82" t="s">
        <v>3315</v>
      </c>
      <c r="AI814" s="77"/>
      <c r="AJ814" s="77"/>
      <c r="AK814" s="77"/>
      <c r="AL814" s="77"/>
      <c r="AM814" s="77"/>
      <c r="AN814" s="77"/>
      <c r="AO814" s="77"/>
      <c r="AP814" s="77"/>
      <c r="AQ814" s="77"/>
      <c r="AR814" s="77"/>
      <c r="AS814" s="77"/>
      <c r="AT814" s="77"/>
      <c r="AU814" s="77"/>
      <c r="AV814" s="80" t="str">
        <f>HYPERLINK("https://pbs.twimg.com/profile_images/1661415324963438609/oGmKrDd6_normal.jpg")</f>
        <v>https://pbs.twimg.com/profile_images/1661415324963438609/oGmKrDd6_normal.jpg</v>
      </c>
      <c r="AW814" s="82" t="s">
        <v>4865</v>
      </c>
      <c r="AX814" s="82" t="s">
        <v>5022</v>
      </c>
      <c r="AY814" s="82" t="s">
        <v>5071</v>
      </c>
      <c r="AZ814" s="82" t="s">
        <v>5117</v>
      </c>
      <c r="BA814" s="82" t="s">
        <v>5075</v>
      </c>
      <c r="BB814" s="82" t="s">
        <v>5075</v>
      </c>
      <c r="BC814" s="82" t="s">
        <v>5117</v>
      </c>
      <c r="BD814" s="77">
        <v>4211523209</v>
      </c>
      <c r="BE814" s="77"/>
      <c r="BF814" s="77"/>
      <c r="BG814" s="77"/>
      <c r="BH814" s="77"/>
      <c r="BI814" s="77"/>
    </row>
    <row r="815" spans="1:61" x14ac:dyDescent="0.25">
      <c r="A815" s="62" t="s">
        <v>465</v>
      </c>
      <c r="B815" s="62" t="s">
        <v>465</v>
      </c>
      <c r="C815" s="63"/>
      <c r="D815" s="64"/>
      <c r="E815" s="65"/>
      <c r="F815" s="66"/>
      <c r="G815" s="63"/>
      <c r="H815" s="67"/>
      <c r="I815" s="68"/>
      <c r="J815" s="68"/>
      <c r="K815" s="32"/>
      <c r="L815" s="75">
        <v>815</v>
      </c>
      <c r="M815" s="75"/>
      <c r="N815" s="70"/>
      <c r="O815" s="77" t="s">
        <v>536</v>
      </c>
      <c r="P815" s="79">
        <v>45097.024768518517</v>
      </c>
      <c r="Q815" s="77" t="s">
        <v>1342</v>
      </c>
      <c r="R815" s="77">
        <v>0</v>
      </c>
      <c r="S815" s="77">
        <v>0</v>
      </c>
      <c r="T815" s="77">
        <v>1</v>
      </c>
      <c r="U815" s="77">
        <v>0</v>
      </c>
      <c r="V815" s="77">
        <v>6</v>
      </c>
      <c r="W815" s="82" t="s">
        <v>1896</v>
      </c>
      <c r="X815" s="77"/>
      <c r="Y815" s="77"/>
      <c r="Z815" s="77"/>
      <c r="AA815" s="77"/>
      <c r="AB815" s="77"/>
      <c r="AC815" s="82" t="s">
        <v>2640</v>
      </c>
      <c r="AD815" s="77" t="s">
        <v>2670</v>
      </c>
      <c r="AE815" s="80" t="str">
        <f>HYPERLINK("https://twitter.com/anderson_crc/status/1670953528003641354")</f>
        <v>https://twitter.com/anderson_crc/status/1670953528003641354</v>
      </c>
      <c r="AF815" s="79">
        <v>45097.024768518517</v>
      </c>
      <c r="AG815" s="85">
        <v>45097</v>
      </c>
      <c r="AH815" s="82" t="s">
        <v>3316</v>
      </c>
      <c r="AI815" s="77"/>
      <c r="AJ815" s="77"/>
      <c r="AK815" s="77"/>
      <c r="AL815" s="77"/>
      <c r="AM815" s="77"/>
      <c r="AN815" s="77"/>
      <c r="AO815" s="77"/>
      <c r="AP815" s="77"/>
      <c r="AQ815" s="77"/>
      <c r="AR815" s="77"/>
      <c r="AS815" s="77"/>
      <c r="AT815" s="77"/>
      <c r="AU815" s="77"/>
      <c r="AV815" s="80" t="str">
        <f>HYPERLINK("https://pbs.twimg.com/profile_images/1661415324963438609/oGmKrDd6_normal.jpg")</f>
        <v>https://pbs.twimg.com/profile_images/1661415324963438609/oGmKrDd6_normal.jpg</v>
      </c>
      <c r="AW815" s="82" t="s">
        <v>4866</v>
      </c>
      <c r="AX815" s="82" t="s">
        <v>5022</v>
      </c>
      <c r="AY815" s="82" t="s">
        <v>5071</v>
      </c>
      <c r="AZ815" s="82" t="s">
        <v>5118</v>
      </c>
      <c r="BA815" s="82" t="s">
        <v>5075</v>
      </c>
      <c r="BB815" s="82" t="s">
        <v>5075</v>
      </c>
      <c r="BC815" s="82" t="s">
        <v>5118</v>
      </c>
      <c r="BD815" s="77">
        <v>4211523209</v>
      </c>
      <c r="BE815" s="77"/>
      <c r="BF815" s="77"/>
      <c r="BG815" s="77"/>
      <c r="BH815" s="77"/>
      <c r="BI815" s="77"/>
    </row>
    <row r="816" spans="1:61" x14ac:dyDescent="0.25">
      <c r="A816" s="62" t="s">
        <v>466</v>
      </c>
      <c r="B816" s="62" t="s">
        <v>466</v>
      </c>
      <c r="C816" s="63"/>
      <c r="D816" s="64"/>
      <c r="E816" s="65"/>
      <c r="F816" s="66"/>
      <c r="G816" s="63"/>
      <c r="H816" s="67"/>
      <c r="I816" s="68"/>
      <c r="J816" s="68"/>
      <c r="K816" s="32"/>
      <c r="L816" s="75">
        <v>816</v>
      </c>
      <c r="M816" s="75"/>
      <c r="N816" s="70"/>
      <c r="O816" s="77" t="s">
        <v>179</v>
      </c>
      <c r="P816" s="79">
        <v>45140.876446759263</v>
      </c>
      <c r="Q816" s="77" t="s">
        <v>1343</v>
      </c>
      <c r="R816" s="77">
        <v>0</v>
      </c>
      <c r="S816" s="77">
        <v>0</v>
      </c>
      <c r="T816" s="77">
        <v>0</v>
      </c>
      <c r="U816" s="77">
        <v>0</v>
      </c>
      <c r="V816" s="77">
        <v>19</v>
      </c>
      <c r="W816" s="82" t="s">
        <v>1897</v>
      </c>
      <c r="X816" s="77"/>
      <c r="Y816" s="77"/>
      <c r="Z816" s="77"/>
      <c r="AA816" s="77" t="s">
        <v>2576</v>
      </c>
      <c r="AB816" s="77" t="s">
        <v>2632</v>
      </c>
      <c r="AC816" s="82" t="s">
        <v>2645</v>
      </c>
      <c r="AD816" s="77" t="s">
        <v>2670</v>
      </c>
      <c r="AE816" s="80" t="str">
        <f>HYPERLINK("https://twitter.com/luxcapital_/status/1686844843555803136")</f>
        <v>https://twitter.com/luxcapital_/status/1686844843555803136</v>
      </c>
      <c r="AF816" s="79">
        <v>45140.876446759263</v>
      </c>
      <c r="AG816" s="85">
        <v>45140</v>
      </c>
      <c r="AH816" s="82" t="s">
        <v>3317</v>
      </c>
      <c r="AI816" s="77" t="b">
        <v>0</v>
      </c>
      <c r="AJ816" s="77"/>
      <c r="AK816" s="77"/>
      <c r="AL816" s="77"/>
      <c r="AM816" s="77"/>
      <c r="AN816" s="77"/>
      <c r="AO816" s="77"/>
      <c r="AP816" s="77"/>
      <c r="AQ816" s="77" t="s">
        <v>4005</v>
      </c>
      <c r="AR816" s="77"/>
      <c r="AS816" s="77"/>
      <c r="AT816" s="77"/>
      <c r="AU816" s="77"/>
      <c r="AV816" s="80" t="str">
        <f>HYPERLINK("https://pbs.twimg.com/media/F2jgchVWcAAPFmx.jpg")</f>
        <v>https://pbs.twimg.com/media/F2jgchVWcAAPFmx.jpg</v>
      </c>
      <c r="AW816" s="82" t="s">
        <v>4867</v>
      </c>
      <c r="AX816" s="82" t="s">
        <v>4867</v>
      </c>
      <c r="AY816" s="77"/>
      <c r="AZ816" s="82" t="s">
        <v>5075</v>
      </c>
      <c r="BA816" s="82" t="s">
        <v>5075</v>
      </c>
      <c r="BB816" s="82" t="s">
        <v>5075</v>
      </c>
      <c r="BC816" s="82" t="s">
        <v>4867</v>
      </c>
      <c r="BD816" s="82" t="s">
        <v>5252</v>
      </c>
      <c r="BE816" s="77"/>
      <c r="BF816" s="77"/>
      <c r="BG816" s="77"/>
      <c r="BH816" s="77"/>
      <c r="BI816" s="77"/>
    </row>
    <row r="817" spans="1:61" x14ac:dyDescent="0.25">
      <c r="A817" s="62" t="s">
        <v>467</v>
      </c>
      <c r="B817" s="62" t="s">
        <v>467</v>
      </c>
      <c r="C817" s="63"/>
      <c r="D817" s="64"/>
      <c r="E817" s="65"/>
      <c r="F817" s="66"/>
      <c r="G817" s="63"/>
      <c r="H817" s="67"/>
      <c r="I817" s="68"/>
      <c r="J817" s="68"/>
      <c r="K817" s="32"/>
      <c r="L817" s="75">
        <v>817</v>
      </c>
      <c r="M817" s="75"/>
      <c r="N817" s="70"/>
      <c r="O817" s="77" t="s">
        <v>179</v>
      </c>
      <c r="P817" s="79">
        <v>45001.103703703702</v>
      </c>
      <c r="Q817" s="77" t="s">
        <v>1344</v>
      </c>
      <c r="R817" s="77">
        <v>0</v>
      </c>
      <c r="S817" s="77">
        <v>0</v>
      </c>
      <c r="T817" s="77">
        <v>0</v>
      </c>
      <c r="U817" s="77">
        <v>0</v>
      </c>
      <c r="V817" s="77">
        <v>20</v>
      </c>
      <c r="W817" s="82" t="s">
        <v>1681</v>
      </c>
      <c r="X817" s="77"/>
      <c r="Y817" s="77"/>
      <c r="Z817" s="77"/>
      <c r="AA817" s="77"/>
      <c r="AB817" s="77"/>
      <c r="AC817" s="82" t="s">
        <v>2640</v>
      </c>
      <c r="AD817" s="77" t="s">
        <v>2670</v>
      </c>
      <c r="AE817" s="80" t="str">
        <f>HYPERLINK("https://twitter.com/inteiramente_r/status/1636192899812474881")</f>
        <v>https://twitter.com/inteiramente_r/status/1636192899812474881</v>
      </c>
      <c r="AF817" s="79">
        <v>45001.103703703702</v>
      </c>
      <c r="AG817" s="85">
        <v>45001</v>
      </c>
      <c r="AH817" s="82" t="s">
        <v>3318</v>
      </c>
      <c r="AI817" s="77"/>
      <c r="AJ817" s="77"/>
      <c r="AK817" s="77"/>
      <c r="AL817" s="77"/>
      <c r="AM817" s="77"/>
      <c r="AN817" s="77"/>
      <c r="AO817" s="77"/>
      <c r="AP817" s="77"/>
      <c r="AQ817" s="77"/>
      <c r="AR817" s="77"/>
      <c r="AS817" s="77"/>
      <c r="AT817" s="77"/>
      <c r="AU817" s="77"/>
      <c r="AV817" s="80" t="str">
        <f>HYPERLINK("https://pbs.twimg.com/profile_images/1589762716134248456/JjaaWO6z_normal.jpg")</f>
        <v>https://pbs.twimg.com/profile_images/1589762716134248456/JjaaWO6z_normal.jpg</v>
      </c>
      <c r="AW817" s="82" t="s">
        <v>4868</v>
      </c>
      <c r="AX817" s="82" t="s">
        <v>4868</v>
      </c>
      <c r="AY817" s="77"/>
      <c r="AZ817" s="82" t="s">
        <v>5075</v>
      </c>
      <c r="BA817" s="82" t="s">
        <v>5075</v>
      </c>
      <c r="BB817" s="82" t="s">
        <v>5075</v>
      </c>
      <c r="BC817" s="82" t="s">
        <v>4868</v>
      </c>
      <c r="BD817" s="82" t="s">
        <v>5253</v>
      </c>
      <c r="BE817" s="77"/>
      <c r="BF817" s="77"/>
      <c r="BG817" s="77"/>
      <c r="BH817" s="77"/>
      <c r="BI817" s="77"/>
    </row>
    <row r="818" spans="1:61" x14ac:dyDescent="0.25">
      <c r="A818" s="62" t="s">
        <v>468</v>
      </c>
      <c r="B818" s="62" t="s">
        <v>468</v>
      </c>
      <c r="C818" s="63"/>
      <c r="D818" s="64"/>
      <c r="E818" s="65"/>
      <c r="F818" s="66"/>
      <c r="G818" s="63"/>
      <c r="H818" s="67"/>
      <c r="I818" s="68"/>
      <c r="J818" s="68"/>
      <c r="K818" s="32"/>
      <c r="L818" s="75">
        <v>818</v>
      </c>
      <c r="M818" s="75"/>
      <c r="N818" s="70"/>
      <c r="O818" s="77" t="s">
        <v>179</v>
      </c>
      <c r="P818" s="79">
        <v>45061.565648148149</v>
      </c>
      <c r="Q818" s="77" t="s">
        <v>1345</v>
      </c>
      <c r="R818" s="77">
        <v>0</v>
      </c>
      <c r="S818" s="77">
        <v>0</v>
      </c>
      <c r="T818" s="77">
        <v>0</v>
      </c>
      <c r="U818" s="77">
        <v>0</v>
      </c>
      <c r="V818" s="77">
        <v>22</v>
      </c>
      <c r="W818" s="82" t="s">
        <v>1898</v>
      </c>
      <c r="X818" s="77"/>
      <c r="Y818" s="77"/>
      <c r="Z818" s="77"/>
      <c r="AA818" s="77"/>
      <c r="AB818" s="77"/>
      <c r="AC818" s="82" t="s">
        <v>2639</v>
      </c>
      <c r="AD818" s="77" t="s">
        <v>2670</v>
      </c>
      <c r="AE818" s="80" t="str">
        <f>HYPERLINK("https://twitter.com/fabiolo14426262/status/1658103571118694400")</f>
        <v>https://twitter.com/fabiolo14426262/status/1658103571118694400</v>
      </c>
      <c r="AF818" s="79">
        <v>45061.565648148149</v>
      </c>
      <c r="AG818" s="85">
        <v>45061</v>
      </c>
      <c r="AH818" s="82" t="s">
        <v>3319</v>
      </c>
      <c r="AI818" s="77"/>
      <c r="AJ818" s="77"/>
      <c r="AK818" s="77"/>
      <c r="AL818" s="77"/>
      <c r="AM818" s="77"/>
      <c r="AN818" s="77"/>
      <c r="AO818" s="77"/>
      <c r="AP818" s="77"/>
      <c r="AQ818" s="77"/>
      <c r="AR818" s="77"/>
      <c r="AS818" s="77"/>
      <c r="AT818" s="77"/>
      <c r="AU818" s="77"/>
      <c r="AV818" s="80" t="str">
        <f>HYPERLINK("https://pbs.twimg.com/profile_images/1643067339947012096/5ciTbP7o_normal.jpg")</f>
        <v>https://pbs.twimg.com/profile_images/1643067339947012096/5ciTbP7o_normal.jpg</v>
      </c>
      <c r="AW818" s="82" t="s">
        <v>4869</v>
      </c>
      <c r="AX818" s="82" t="s">
        <v>4869</v>
      </c>
      <c r="AY818" s="77"/>
      <c r="AZ818" s="82" t="s">
        <v>5075</v>
      </c>
      <c r="BA818" s="82" t="s">
        <v>5075</v>
      </c>
      <c r="BB818" s="82" t="s">
        <v>5075</v>
      </c>
      <c r="BC818" s="82" t="s">
        <v>4869</v>
      </c>
      <c r="BD818" s="82" t="s">
        <v>5254</v>
      </c>
      <c r="BE818" s="77"/>
      <c r="BF818" s="77"/>
      <c r="BG818" s="77"/>
      <c r="BH818" s="77"/>
      <c r="BI818" s="77"/>
    </row>
    <row r="819" spans="1:61" x14ac:dyDescent="0.25">
      <c r="A819" s="62" t="s">
        <v>469</v>
      </c>
      <c r="B819" s="62" t="s">
        <v>469</v>
      </c>
      <c r="C819" s="63"/>
      <c r="D819" s="64"/>
      <c r="E819" s="65"/>
      <c r="F819" s="66"/>
      <c r="G819" s="63"/>
      <c r="H819" s="67"/>
      <c r="I819" s="68"/>
      <c r="J819" s="68"/>
      <c r="K819" s="32"/>
      <c r="L819" s="75">
        <v>819</v>
      </c>
      <c r="M819" s="75"/>
      <c r="N819" s="70"/>
      <c r="O819" s="77" t="s">
        <v>179</v>
      </c>
      <c r="P819" s="79">
        <v>45170.536747685182</v>
      </c>
      <c r="Q819" s="77" t="s">
        <v>1346</v>
      </c>
      <c r="R819" s="77">
        <v>0</v>
      </c>
      <c r="S819" s="77">
        <v>0</v>
      </c>
      <c r="T819" s="77">
        <v>0</v>
      </c>
      <c r="U819" s="77">
        <v>0</v>
      </c>
      <c r="V819" s="77">
        <v>43</v>
      </c>
      <c r="W819" s="82" t="s">
        <v>1899</v>
      </c>
      <c r="X819" s="77"/>
      <c r="Y819" s="77"/>
      <c r="Z819" s="77"/>
      <c r="AA819" s="77" t="s">
        <v>2577</v>
      </c>
      <c r="AB819" s="77" t="s">
        <v>2633</v>
      </c>
      <c r="AC819" s="82" t="s">
        <v>2640</v>
      </c>
      <c r="AD819" s="77" t="s">
        <v>2670</v>
      </c>
      <c r="AE819" s="80" t="str">
        <f>HYPERLINK("https://twitter.com/tarcisiovmiran1/status/1697593376974008719")</f>
        <v>https://twitter.com/tarcisiovmiran1/status/1697593376974008719</v>
      </c>
      <c r="AF819" s="79">
        <v>45170.536747685182</v>
      </c>
      <c r="AG819" s="85">
        <v>45170</v>
      </c>
      <c r="AH819" s="82" t="s">
        <v>3320</v>
      </c>
      <c r="AI819" s="77" t="b">
        <v>0</v>
      </c>
      <c r="AJ819" s="77"/>
      <c r="AK819" s="77"/>
      <c r="AL819" s="77"/>
      <c r="AM819" s="77"/>
      <c r="AN819" s="77"/>
      <c r="AO819" s="77"/>
      <c r="AP819" s="77"/>
      <c r="AQ819" s="77" t="s">
        <v>4006</v>
      </c>
      <c r="AR819" s="77">
        <v>19833</v>
      </c>
      <c r="AS819" s="77"/>
      <c r="AT819" s="77"/>
      <c r="AU819" s="77"/>
      <c r="AV819" s="80" t="str">
        <f>HYPERLINK("https://pbs.twimg.com/ext_tw_video_thumb/1697593339397156864/pu/img/fRlpYy9n2NipuS6R.jpg")</f>
        <v>https://pbs.twimg.com/ext_tw_video_thumb/1697593339397156864/pu/img/fRlpYy9n2NipuS6R.jpg</v>
      </c>
      <c r="AW819" s="82" t="s">
        <v>4870</v>
      </c>
      <c r="AX819" s="82" t="s">
        <v>4870</v>
      </c>
      <c r="AY819" s="77"/>
      <c r="AZ819" s="82" t="s">
        <v>5075</v>
      </c>
      <c r="BA819" s="82" t="s">
        <v>5075</v>
      </c>
      <c r="BB819" s="82" t="s">
        <v>5075</v>
      </c>
      <c r="BC819" s="82" t="s">
        <v>4870</v>
      </c>
      <c r="BD819" s="82" t="s">
        <v>5255</v>
      </c>
      <c r="BE819" s="77"/>
      <c r="BF819" s="77"/>
      <c r="BG819" s="77"/>
      <c r="BH819" s="77"/>
      <c r="BI819" s="77"/>
    </row>
    <row r="820" spans="1:61" x14ac:dyDescent="0.25">
      <c r="A820" s="62" t="s">
        <v>470</v>
      </c>
      <c r="B820" s="62" t="s">
        <v>470</v>
      </c>
      <c r="C820" s="63"/>
      <c r="D820" s="64"/>
      <c r="E820" s="65"/>
      <c r="F820" s="66"/>
      <c r="G820" s="63"/>
      <c r="H820" s="67"/>
      <c r="I820" s="68"/>
      <c r="J820" s="68"/>
      <c r="K820" s="32"/>
      <c r="L820" s="75">
        <v>820</v>
      </c>
      <c r="M820" s="75"/>
      <c r="N820" s="70"/>
      <c r="O820" s="77" t="s">
        <v>179</v>
      </c>
      <c r="P820" s="79">
        <v>44965.902303240742</v>
      </c>
      <c r="Q820" s="77" t="s">
        <v>1347</v>
      </c>
      <c r="R820" s="77">
        <v>0</v>
      </c>
      <c r="S820" s="77">
        <v>0</v>
      </c>
      <c r="T820" s="77">
        <v>0</v>
      </c>
      <c r="U820" s="77">
        <v>0</v>
      </c>
      <c r="V820" s="77">
        <v>7</v>
      </c>
      <c r="W820" s="82" t="s">
        <v>1900</v>
      </c>
      <c r="X820" s="80" t="str">
        <f>HYPERLINK("https://www.instagram.com/p/CoarOqMOyCi/?igshid=YTgzYjQ4ZTY=")</f>
        <v>https://www.instagram.com/p/CoarOqMOyCi/?igshid=YTgzYjQ4ZTY=</v>
      </c>
      <c r="Y820" s="77" t="s">
        <v>1974</v>
      </c>
      <c r="Z820" s="77"/>
      <c r="AA820" s="77"/>
      <c r="AB820" s="77"/>
      <c r="AC820" s="82" t="s">
        <v>2644</v>
      </c>
      <c r="AD820" s="77" t="s">
        <v>2670</v>
      </c>
      <c r="AE820" s="80" t="str">
        <f>HYPERLINK("https://twitter.com/robertogadelha/status/1623436338354876416")</f>
        <v>https://twitter.com/robertogadelha/status/1623436338354876416</v>
      </c>
      <c r="AF820" s="79">
        <v>44965.902303240742</v>
      </c>
      <c r="AG820" s="85">
        <v>44965</v>
      </c>
      <c r="AH820" s="82" t="s">
        <v>3321</v>
      </c>
      <c r="AI820" s="77" t="b">
        <v>0</v>
      </c>
      <c r="AJ820" s="77" t="s">
        <v>3407</v>
      </c>
      <c r="AK820" s="77" t="s">
        <v>3410</v>
      </c>
      <c r="AL820" s="77" t="s">
        <v>3411</v>
      </c>
      <c r="AM820" s="77" t="s">
        <v>3419</v>
      </c>
      <c r="AN820" s="77" t="s">
        <v>3429</v>
      </c>
      <c r="AO820" s="77" t="s">
        <v>3439</v>
      </c>
      <c r="AP820" s="77" t="s">
        <v>3442</v>
      </c>
      <c r="AQ820" s="77"/>
      <c r="AR820" s="77"/>
      <c r="AS820" s="77"/>
      <c r="AT820" s="77"/>
      <c r="AU820" s="77"/>
      <c r="AV820" s="80" t="str">
        <f>HYPERLINK("https://pbs.twimg.com/profile_images/1590486558171332611/p27vdXl0_normal.jpg")</f>
        <v>https://pbs.twimg.com/profile_images/1590486558171332611/p27vdXl0_normal.jpg</v>
      </c>
      <c r="AW820" s="82" t="s">
        <v>4871</v>
      </c>
      <c r="AX820" s="82" t="s">
        <v>4871</v>
      </c>
      <c r="AY820" s="77"/>
      <c r="AZ820" s="82" t="s">
        <v>5075</v>
      </c>
      <c r="BA820" s="82" t="s">
        <v>5075</v>
      </c>
      <c r="BB820" s="82" t="s">
        <v>5075</v>
      </c>
      <c r="BC820" s="82" t="s">
        <v>4871</v>
      </c>
      <c r="BD820" s="77">
        <v>297723598</v>
      </c>
      <c r="BE820" s="77"/>
      <c r="BF820" s="77"/>
      <c r="BG820" s="77"/>
      <c r="BH820" s="77"/>
      <c r="BI820" s="77"/>
    </row>
    <row r="821" spans="1:61" x14ac:dyDescent="0.25">
      <c r="A821" s="62" t="s">
        <v>470</v>
      </c>
      <c r="B821" s="62" t="s">
        <v>470</v>
      </c>
      <c r="C821" s="63"/>
      <c r="D821" s="64"/>
      <c r="E821" s="65"/>
      <c r="F821" s="66"/>
      <c r="G821" s="63"/>
      <c r="H821" s="67"/>
      <c r="I821" s="68"/>
      <c r="J821" s="68"/>
      <c r="K821" s="32"/>
      <c r="L821" s="75">
        <v>821</v>
      </c>
      <c r="M821" s="75"/>
      <c r="N821" s="70"/>
      <c r="O821" s="77" t="s">
        <v>179</v>
      </c>
      <c r="P821" s="79">
        <v>44929.942094907405</v>
      </c>
      <c r="Q821" s="77" t="s">
        <v>1348</v>
      </c>
      <c r="R821" s="77">
        <v>0</v>
      </c>
      <c r="S821" s="77">
        <v>0</v>
      </c>
      <c r="T821" s="77">
        <v>0</v>
      </c>
      <c r="U821" s="77">
        <v>0</v>
      </c>
      <c r="V821" s="77">
        <v>7</v>
      </c>
      <c r="W821" s="82" t="s">
        <v>1901</v>
      </c>
      <c r="X821" s="80" t="str">
        <f>HYPERLINK("https://www.instagram.com/p/Cm-FK3hOrNp/?igshid=YTgzYjQ4ZTY=")</f>
        <v>https://www.instagram.com/p/Cm-FK3hOrNp/?igshid=YTgzYjQ4ZTY=</v>
      </c>
      <c r="Y821" s="77" t="s">
        <v>1974</v>
      </c>
      <c r="Z821" s="77"/>
      <c r="AA821" s="77"/>
      <c r="AB821" s="77"/>
      <c r="AC821" s="82" t="s">
        <v>2644</v>
      </c>
      <c r="AD821" s="77" t="s">
        <v>2670</v>
      </c>
      <c r="AE821" s="80" t="str">
        <f>HYPERLINK("https://twitter.com/robertogadelha/status/1610404792710438919")</f>
        <v>https://twitter.com/robertogadelha/status/1610404792710438919</v>
      </c>
      <c r="AF821" s="79">
        <v>44929.942094907405</v>
      </c>
      <c r="AG821" s="85">
        <v>44929</v>
      </c>
      <c r="AH821" s="82" t="s">
        <v>3322</v>
      </c>
      <c r="AI821" s="77" t="b">
        <v>0</v>
      </c>
      <c r="AJ821" s="77" t="s">
        <v>3407</v>
      </c>
      <c r="AK821" s="77" t="s">
        <v>3410</v>
      </c>
      <c r="AL821" s="77" t="s">
        <v>3411</v>
      </c>
      <c r="AM821" s="77" t="s">
        <v>3419</v>
      </c>
      <c r="AN821" s="77" t="s">
        <v>3429</v>
      </c>
      <c r="AO821" s="77" t="s">
        <v>3439</v>
      </c>
      <c r="AP821" s="77" t="s">
        <v>3442</v>
      </c>
      <c r="AQ821" s="77"/>
      <c r="AR821" s="77"/>
      <c r="AS821" s="77"/>
      <c r="AT821" s="77"/>
      <c r="AU821" s="77"/>
      <c r="AV821" s="80" t="str">
        <f>HYPERLINK("https://pbs.twimg.com/profile_images/1590486558171332611/p27vdXl0_normal.jpg")</f>
        <v>https://pbs.twimg.com/profile_images/1590486558171332611/p27vdXl0_normal.jpg</v>
      </c>
      <c r="AW821" s="82" t="s">
        <v>4872</v>
      </c>
      <c r="AX821" s="82" t="s">
        <v>4872</v>
      </c>
      <c r="AY821" s="77"/>
      <c r="AZ821" s="82" t="s">
        <v>5075</v>
      </c>
      <c r="BA821" s="82" t="s">
        <v>5075</v>
      </c>
      <c r="BB821" s="82" t="s">
        <v>5075</v>
      </c>
      <c r="BC821" s="82" t="s">
        <v>4872</v>
      </c>
      <c r="BD821" s="77">
        <v>297723598</v>
      </c>
      <c r="BE821" s="77"/>
      <c r="BF821" s="77"/>
      <c r="BG821" s="77"/>
      <c r="BH821" s="77"/>
      <c r="BI821" s="77"/>
    </row>
    <row r="822" spans="1:61" x14ac:dyDescent="0.25">
      <c r="A822" s="62" t="s">
        <v>471</v>
      </c>
      <c r="B822" s="62" t="s">
        <v>471</v>
      </c>
      <c r="C822" s="63"/>
      <c r="D822" s="64"/>
      <c r="E822" s="65"/>
      <c r="F822" s="66"/>
      <c r="G822" s="63"/>
      <c r="H822" s="67"/>
      <c r="I822" s="68"/>
      <c r="J822" s="68"/>
      <c r="K822" s="32"/>
      <c r="L822" s="75">
        <v>822</v>
      </c>
      <c r="M822" s="75"/>
      <c r="N822" s="70"/>
      <c r="O822" s="77" t="s">
        <v>179</v>
      </c>
      <c r="P822" s="79">
        <v>45021.790416666663</v>
      </c>
      <c r="Q822" s="77" t="s">
        <v>1349</v>
      </c>
      <c r="R822" s="77">
        <v>0</v>
      </c>
      <c r="S822" s="77">
        <v>0</v>
      </c>
      <c r="T822" s="77">
        <v>0</v>
      </c>
      <c r="U822" s="77">
        <v>0</v>
      </c>
      <c r="V822" s="77">
        <v>21</v>
      </c>
      <c r="W822" s="82" t="s">
        <v>1902</v>
      </c>
      <c r="X822" s="80" t="str">
        <f>HYPERLINK("https://www.instagram.com/p/CqqKEBIvR7P/?igshid=ZGY5ODdmOGM=")</f>
        <v>https://www.instagram.com/p/CqqKEBIvR7P/?igshid=ZGY5ODdmOGM=</v>
      </c>
      <c r="Y822" s="77" t="s">
        <v>1974</v>
      </c>
      <c r="Z822" s="77"/>
      <c r="AA822" s="77"/>
      <c r="AB822" s="77"/>
      <c r="AC822" s="82" t="s">
        <v>2638</v>
      </c>
      <c r="AD822" s="77" t="s">
        <v>2670</v>
      </c>
      <c r="AE822" s="80" t="str">
        <f>HYPERLINK("https://twitter.com/narfortsac/status/1643689513183502373")</f>
        <v>https://twitter.com/narfortsac/status/1643689513183502373</v>
      </c>
      <c r="AF822" s="79">
        <v>45021.790416666663</v>
      </c>
      <c r="AG822" s="85">
        <v>45021</v>
      </c>
      <c r="AH822" s="82" t="s">
        <v>3323</v>
      </c>
      <c r="AI822" s="77" t="b">
        <v>0</v>
      </c>
      <c r="AJ822" s="77"/>
      <c r="AK822" s="77"/>
      <c r="AL822" s="77"/>
      <c r="AM822" s="77"/>
      <c r="AN822" s="77"/>
      <c r="AO822" s="77"/>
      <c r="AP822" s="77"/>
      <c r="AQ822" s="77"/>
      <c r="AR822" s="77"/>
      <c r="AS822" s="77"/>
      <c r="AT822" s="77"/>
      <c r="AU822" s="77"/>
      <c r="AV822" s="80" t="str">
        <f>HYPERLINK("https://pbs.twimg.com/profile_images/1668406966454976514/dGDemEaa_normal.jpg")</f>
        <v>https://pbs.twimg.com/profile_images/1668406966454976514/dGDemEaa_normal.jpg</v>
      </c>
      <c r="AW822" s="82" t="s">
        <v>4873</v>
      </c>
      <c r="AX822" s="82" t="s">
        <v>4873</v>
      </c>
      <c r="AY822" s="77"/>
      <c r="AZ822" s="82" t="s">
        <v>5075</v>
      </c>
      <c r="BA822" s="82" t="s">
        <v>5075</v>
      </c>
      <c r="BB822" s="82" t="s">
        <v>5075</v>
      </c>
      <c r="BC822" s="82" t="s">
        <v>4873</v>
      </c>
      <c r="BD822" s="82" t="s">
        <v>5256</v>
      </c>
      <c r="BE822" s="77"/>
      <c r="BF822" s="77"/>
      <c r="BG822" s="77"/>
      <c r="BH822" s="77"/>
      <c r="BI822" s="77"/>
    </row>
    <row r="823" spans="1:61" x14ac:dyDescent="0.25">
      <c r="A823" s="62" t="s">
        <v>471</v>
      </c>
      <c r="B823" s="62" t="s">
        <v>471</v>
      </c>
      <c r="C823" s="63"/>
      <c r="D823" s="64"/>
      <c r="E823" s="65"/>
      <c r="F823" s="66"/>
      <c r="G823" s="63"/>
      <c r="H823" s="67"/>
      <c r="I823" s="68"/>
      <c r="J823" s="68"/>
      <c r="K823" s="32"/>
      <c r="L823" s="75">
        <v>823</v>
      </c>
      <c r="M823" s="75"/>
      <c r="N823" s="70"/>
      <c r="O823" s="77" t="s">
        <v>179</v>
      </c>
      <c r="P823" s="79">
        <v>45021.672754629632</v>
      </c>
      <c r="Q823" s="77" t="s">
        <v>1350</v>
      </c>
      <c r="R823" s="77">
        <v>0</v>
      </c>
      <c r="S823" s="77">
        <v>0</v>
      </c>
      <c r="T823" s="77">
        <v>0</v>
      </c>
      <c r="U823" s="77">
        <v>0</v>
      </c>
      <c r="V823" s="77">
        <v>15</v>
      </c>
      <c r="W823" s="82" t="s">
        <v>1902</v>
      </c>
      <c r="X823" s="80" t="str">
        <f>HYPERLINK("https://www.instagram.com/p/CqqKEBIvR7P/?igshid=ZGY5ODdmOGM=")</f>
        <v>https://www.instagram.com/p/CqqKEBIvR7P/?igshid=ZGY5ODdmOGM=</v>
      </c>
      <c r="Y823" s="77" t="s">
        <v>1974</v>
      </c>
      <c r="Z823" s="77"/>
      <c r="AA823" s="77"/>
      <c r="AB823" s="77"/>
      <c r="AC823" s="82" t="s">
        <v>2638</v>
      </c>
      <c r="AD823" s="77" t="s">
        <v>2670</v>
      </c>
      <c r="AE823" s="80" t="str">
        <f>HYPERLINK("https://twitter.com/narfortsac/status/1643646873805238273")</f>
        <v>https://twitter.com/narfortsac/status/1643646873805238273</v>
      </c>
      <c r="AF823" s="79">
        <v>45021.672754629632</v>
      </c>
      <c r="AG823" s="85">
        <v>45021</v>
      </c>
      <c r="AH823" s="82" t="s">
        <v>3324</v>
      </c>
      <c r="AI823" s="77" t="b">
        <v>0</v>
      </c>
      <c r="AJ823" s="77"/>
      <c r="AK823" s="77"/>
      <c r="AL823" s="77"/>
      <c r="AM823" s="77"/>
      <c r="AN823" s="77"/>
      <c r="AO823" s="77"/>
      <c r="AP823" s="77"/>
      <c r="AQ823" s="77"/>
      <c r="AR823" s="77"/>
      <c r="AS823" s="77"/>
      <c r="AT823" s="77"/>
      <c r="AU823" s="77"/>
      <c r="AV823" s="80" t="str">
        <f>HYPERLINK("https://pbs.twimg.com/profile_images/1668406966454976514/dGDemEaa_normal.jpg")</f>
        <v>https://pbs.twimg.com/profile_images/1668406966454976514/dGDemEaa_normal.jpg</v>
      </c>
      <c r="AW823" s="82" t="s">
        <v>4874</v>
      </c>
      <c r="AX823" s="82" t="s">
        <v>4874</v>
      </c>
      <c r="AY823" s="77"/>
      <c r="AZ823" s="82" t="s">
        <v>5075</v>
      </c>
      <c r="BA823" s="82" t="s">
        <v>5075</v>
      </c>
      <c r="BB823" s="82" t="s">
        <v>5075</v>
      </c>
      <c r="BC823" s="82" t="s">
        <v>4874</v>
      </c>
      <c r="BD823" s="82" t="s">
        <v>5256</v>
      </c>
      <c r="BE823" s="77"/>
      <c r="BF823" s="77"/>
      <c r="BG823" s="77"/>
      <c r="BH823" s="77"/>
      <c r="BI823" s="77"/>
    </row>
    <row r="824" spans="1:61" x14ac:dyDescent="0.25">
      <c r="A824" s="62" t="s">
        <v>472</v>
      </c>
      <c r="B824" s="62" t="s">
        <v>472</v>
      </c>
      <c r="C824" s="63"/>
      <c r="D824" s="64"/>
      <c r="E824" s="65"/>
      <c r="F824" s="66"/>
      <c r="G824" s="63"/>
      <c r="H824" s="67"/>
      <c r="I824" s="68"/>
      <c r="J824" s="68"/>
      <c r="K824" s="32"/>
      <c r="L824" s="75">
        <v>824</v>
      </c>
      <c r="M824" s="75"/>
      <c r="N824" s="70"/>
      <c r="O824" s="77" t="s">
        <v>179</v>
      </c>
      <c r="P824" s="79">
        <v>45064.100960648146</v>
      </c>
      <c r="Q824" s="77" t="s">
        <v>1351</v>
      </c>
      <c r="R824" s="77">
        <v>0</v>
      </c>
      <c r="S824" s="77">
        <v>0</v>
      </c>
      <c r="T824" s="77">
        <v>0</v>
      </c>
      <c r="U824" s="77">
        <v>0</v>
      </c>
      <c r="V824" s="77">
        <v>7</v>
      </c>
      <c r="W824" s="82" t="s">
        <v>1903</v>
      </c>
      <c r="X824" s="80" t="str">
        <f>HYPERLINK("https://wordpress.com/page/emersonassistentevirtual.wordpress.com/7")</f>
        <v>https://wordpress.com/page/emersonassistentevirtual.wordpress.com/7</v>
      </c>
      <c r="Y824" s="77" t="s">
        <v>2003</v>
      </c>
      <c r="Z824" s="77"/>
      <c r="AA824" s="77" t="s">
        <v>2578</v>
      </c>
      <c r="AB824" s="77" t="s">
        <v>2632</v>
      </c>
      <c r="AC824" s="82" t="s">
        <v>2639</v>
      </c>
      <c r="AD824" s="77" t="s">
        <v>2670</v>
      </c>
      <c r="AE824" s="80" t="str">
        <f>HYPERLINK("https://twitter.com/ass_virtual/status/1659022341211340801")</f>
        <v>https://twitter.com/ass_virtual/status/1659022341211340801</v>
      </c>
      <c r="AF824" s="79">
        <v>45064.100960648146</v>
      </c>
      <c r="AG824" s="85">
        <v>45064</v>
      </c>
      <c r="AH824" s="82" t="s">
        <v>3325</v>
      </c>
      <c r="AI824" s="77" t="b">
        <v>0</v>
      </c>
      <c r="AJ824" s="77"/>
      <c r="AK824" s="77"/>
      <c r="AL824" s="77"/>
      <c r="AM824" s="77"/>
      <c r="AN824" s="77"/>
      <c r="AO824" s="77"/>
      <c r="AP824" s="77"/>
      <c r="AQ824" s="77" t="s">
        <v>4007</v>
      </c>
      <c r="AR824" s="77"/>
      <c r="AS824" s="77"/>
      <c r="AT824" s="77"/>
      <c r="AU824" s="77"/>
      <c r="AV824" s="80" t="str">
        <f>HYPERLINK("https://pbs.twimg.com/media/FwYEj_XWcAAl1Sb.png")</f>
        <v>https://pbs.twimg.com/media/FwYEj_XWcAAl1Sb.png</v>
      </c>
      <c r="AW824" s="82" t="s">
        <v>4875</v>
      </c>
      <c r="AX824" s="82" t="s">
        <v>4875</v>
      </c>
      <c r="AY824" s="77"/>
      <c r="AZ824" s="82" t="s">
        <v>5075</v>
      </c>
      <c r="BA824" s="82" t="s">
        <v>5075</v>
      </c>
      <c r="BB824" s="82" t="s">
        <v>5075</v>
      </c>
      <c r="BC824" s="82" t="s">
        <v>4875</v>
      </c>
      <c r="BD824" s="82" t="s">
        <v>5257</v>
      </c>
      <c r="BE824" s="77"/>
      <c r="BF824" s="77"/>
      <c r="BG824" s="77"/>
      <c r="BH824" s="77"/>
      <c r="BI824" s="77"/>
    </row>
    <row r="825" spans="1:61" x14ac:dyDescent="0.25">
      <c r="A825" s="62" t="s">
        <v>473</v>
      </c>
      <c r="B825" s="62" t="s">
        <v>473</v>
      </c>
      <c r="C825" s="63"/>
      <c r="D825" s="64"/>
      <c r="E825" s="65"/>
      <c r="F825" s="66"/>
      <c r="G825" s="63"/>
      <c r="H825" s="67"/>
      <c r="I825" s="68"/>
      <c r="J825" s="68"/>
      <c r="K825" s="32"/>
      <c r="L825" s="75">
        <v>825</v>
      </c>
      <c r="M825" s="75"/>
      <c r="N825" s="70"/>
      <c r="O825" s="77" t="s">
        <v>179</v>
      </c>
      <c r="P825" s="79">
        <v>45063.500543981485</v>
      </c>
      <c r="Q825" s="77" t="s">
        <v>1352</v>
      </c>
      <c r="R825" s="77">
        <v>0</v>
      </c>
      <c r="S825" s="77">
        <v>0</v>
      </c>
      <c r="T825" s="77">
        <v>0</v>
      </c>
      <c r="U825" s="77">
        <v>0</v>
      </c>
      <c r="V825" s="77">
        <v>3</v>
      </c>
      <c r="W825" s="82" t="s">
        <v>1904</v>
      </c>
      <c r="X825" s="77"/>
      <c r="Y825" s="77"/>
      <c r="Z825" s="77"/>
      <c r="AA825" s="77" t="s">
        <v>2579</v>
      </c>
      <c r="AB825" s="77" t="s">
        <v>2632</v>
      </c>
      <c r="AC825" s="82" t="s">
        <v>2642</v>
      </c>
      <c r="AD825" s="77" t="s">
        <v>2670</v>
      </c>
      <c r="AE825" s="80" t="str">
        <f>HYPERLINK("https://twitter.com/rnainvest/status/1658804755970539521")</f>
        <v>https://twitter.com/rnainvest/status/1658804755970539521</v>
      </c>
      <c r="AF825" s="79">
        <v>45063.500543981485</v>
      </c>
      <c r="AG825" s="85">
        <v>45063</v>
      </c>
      <c r="AH825" s="82" t="s">
        <v>3326</v>
      </c>
      <c r="AI825" s="77" t="b">
        <v>0</v>
      </c>
      <c r="AJ825" s="77"/>
      <c r="AK825" s="77"/>
      <c r="AL825" s="77"/>
      <c r="AM825" s="77"/>
      <c r="AN825" s="77"/>
      <c r="AO825" s="77"/>
      <c r="AP825" s="77"/>
      <c r="AQ825" s="77" t="s">
        <v>4008</v>
      </c>
      <c r="AR825" s="77"/>
      <c r="AS825" s="77"/>
      <c r="AT825" s="77"/>
      <c r="AU825" s="77"/>
      <c r="AV825" s="80" t="str">
        <f>HYPERLINK("https://pbs.twimg.com/media/FwVCInNXwAIVAUr.jpg")</f>
        <v>https://pbs.twimg.com/media/FwVCInNXwAIVAUr.jpg</v>
      </c>
      <c r="AW825" s="82" t="s">
        <v>4876</v>
      </c>
      <c r="AX825" s="82" t="s">
        <v>4876</v>
      </c>
      <c r="AY825" s="77"/>
      <c r="AZ825" s="82" t="s">
        <v>5075</v>
      </c>
      <c r="BA825" s="82" t="s">
        <v>5075</v>
      </c>
      <c r="BB825" s="82" t="s">
        <v>5075</v>
      </c>
      <c r="BC825" s="82" t="s">
        <v>4876</v>
      </c>
      <c r="BD825" s="82" t="s">
        <v>5258</v>
      </c>
      <c r="BE825" s="77"/>
      <c r="BF825" s="77"/>
      <c r="BG825" s="77"/>
      <c r="BH825" s="77"/>
      <c r="BI825" s="77"/>
    </row>
    <row r="826" spans="1:61" x14ac:dyDescent="0.25">
      <c r="A826" s="62" t="s">
        <v>473</v>
      </c>
      <c r="B826" s="62" t="s">
        <v>473</v>
      </c>
      <c r="C826" s="63"/>
      <c r="D826" s="64"/>
      <c r="E826" s="65"/>
      <c r="F826" s="66"/>
      <c r="G826" s="63"/>
      <c r="H826" s="67"/>
      <c r="I826" s="68"/>
      <c r="J826" s="68"/>
      <c r="K826" s="32"/>
      <c r="L826" s="75">
        <v>826</v>
      </c>
      <c r="M826" s="75"/>
      <c r="N826" s="70"/>
      <c r="O826" s="77" t="s">
        <v>179</v>
      </c>
      <c r="P826" s="79">
        <v>45093.555787037039</v>
      </c>
      <c r="Q826" s="77" t="s">
        <v>1353</v>
      </c>
      <c r="R826" s="77">
        <v>0</v>
      </c>
      <c r="S826" s="77">
        <v>0</v>
      </c>
      <c r="T826" s="77">
        <v>0</v>
      </c>
      <c r="U826" s="77">
        <v>0</v>
      </c>
      <c r="V826" s="77">
        <v>9</v>
      </c>
      <c r="W826" s="82" t="s">
        <v>1905</v>
      </c>
      <c r="X826" s="77"/>
      <c r="Y826" s="77"/>
      <c r="Z826" s="77"/>
      <c r="AA826" s="77" t="s">
        <v>2580</v>
      </c>
      <c r="AB826" s="77" t="s">
        <v>2632</v>
      </c>
      <c r="AC826" s="82" t="s">
        <v>2642</v>
      </c>
      <c r="AD826" s="77" t="s">
        <v>2670</v>
      </c>
      <c r="AE826" s="80" t="str">
        <f>HYPERLINK("https://twitter.com/rnainvest/status/1669696409145167874")</f>
        <v>https://twitter.com/rnainvest/status/1669696409145167874</v>
      </c>
      <c r="AF826" s="79">
        <v>45093.555787037039</v>
      </c>
      <c r="AG826" s="85">
        <v>45093</v>
      </c>
      <c r="AH826" s="82" t="s">
        <v>3327</v>
      </c>
      <c r="AI826" s="77" t="b">
        <v>0</v>
      </c>
      <c r="AJ826" s="77"/>
      <c r="AK826" s="77"/>
      <c r="AL826" s="77"/>
      <c r="AM826" s="77"/>
      <c r="AN826" s="77"/>
      <c r="AO826" s="77"/>
      <c r="AP826" s="77"/>
      <c r="AQ826" s="77" t="s">
        <v>4009</v>
      </c>
      <c r="AR826" s="77"/>
      <c r="AS826" s="77"/>
      <c r="AT826" s="77"/>
      <c r="AU826" s="77"/>
      <c r="AV826" s="80" t="str">
        <f>HYPERLINK("https://pbs.twimg.com/media/Fyv0CRHXwAI1hVh.jpg")</f>
        <v>https://pbs.twimg.com/media/Fyv0CRHXwAI1hVh.jpg</v>
      </c>
      <c r="AW826" s="82" t="s">
        <v>4877</v>
      </c>
      <c r="AX826" s="82" t="s">
        <v>4877</v>
      </c>
      <c r="AY826" s="77"/>
      <c r="AZ826" s="82" t="s">
        <v>5075</v>
      </c>
      <c r="BA826" s="82" t="s">
        <v>5075</v>
      </c>
      <c r="BB826" s="82" t="s">
        <v>5075</v>
      </c>
      <c r="BC826" s="82" t="s">
        <v>4877</v>
      </c>
      <c r="BD826" s="82" t="s">
        <v>5258</v>
      </c>
      <c r="BE826" s="77"/>
      <c r="BF826" s="77"/>
      <c r="BG826" s="77"/>
      <c r="BH826" s="77"/>
      <c r="BI826" s="77"/>
    </row>
    <row r="827" spans="1:61" x14ac:dyDescent="0.25">
      <c r="A827" s="62" t="s">
        <v>473</v>
      </c>
      <c r="B827" s="62" t="s">
        <v>473</v>
      </c>
      <c r="C827" s="63"/>
      <c r="D827" s="64"/>
      <c r="E827" s="65"/>
      <c r="F827" s="66"/>
      <c r="G827" s="63"/>
      <c r="H827" s="67"/>
      <c r="I827" s="68"/>
      <c r="J827" s="68"/>
      <c r="K827" s="32"/>
      <c r="L827" s="75">
        <v>827</v>
      </c>
      <c r="M827" s="75"/>
      <c r="N827" s="70"/>
      <c r="O827" s="77" t="s">
        <v>179</v>
      </c>
      <c r="P827" s="79">
        <v>45118.500532407408</v>
      </c>
      <c r="Q827" s="77" t="s">
        <v>1354</v>
      </c>
      <c r="R827" s="77">
        <v>0</v>
      </c>
      <c r="S827" s="77">
        <v>1</v>
      </c>
      <c r="T827" s="77">
        <v>0</v>
      </c>
      <c r="U827" s="77">
        <v>0</v>
      </c>
      <c r="V827" s="77">
        <v>14</v>
      </c>
      <c r="W827" s="82" t="s">
        <v>1906</v>
      </c>
      <c r="X827" s="80" t="str">
        <f>HYPERLINK("https://rnainvest.com.br/previdencia-privada-vs-outros-tipos-de-investimento-qual-e-o-melhor/")</f>
        <v>https://rnainvest.com.br/previdencia-privada-vs-outros-tipos-de-investimento-qual-e-o-melhor/</v>
      </c>
      <c r="Y827" s="77" t="s">
        <v>1978</v>
      </c>
      <c r="Z827" s="77"/>
      <c r="AA827" s="77" t="s">
        <v>2581</v>
      </c>
      <c r="AB827" s="77" t="s">
        <v>2632</v>
      </c>
      <c r="AC827" s="82" t="s">
        <v>2642</v>
      </c>
      <c r="AD827" s="77" t="s">
        <v>2670</v>
      </c>
      <c r="AE827" s="80" t="str">
        <f>HYPERLINK("https://twitter.com/rnainvest/status/1678736084094574592")</f>
        <v>https://twitter.com/rnainvest/status/1678736084094574592</v>
      </c>
      <c r="AF827" s="79">
        <v>45118.500532407408</v>
      </c>
      <c r="AG827" s="85">
        <v>45118</v>
      </c>
      <c r="AH827" s="82" t="s">
        <v>3138</v>
      </c>
      <c r="AI827" s="77" t="b">
        <v>0</v>
      </c>
      <c r="AJ827" s="77"/>
      <c r="AK827" s="77"/>
      <c r="AL827" s="77"/>
      <c r="AM827" s="77"/>
      <c r="AN827" s="77"/>
      <c r="AO827" s="77"/>
      <c r="AP827" s="77"/>
      <c r="AQ827" s="77" t="s">
        <v>4010</v>
      </c>
      <c r="AR827" s="77"/>
      <c r="AS827" s="77"/>
      <c r="AT827" s="77"/>
      <c r="AU827" s="77"/>
      <c r="AV827" s="80" t="str">
        <f>HYPERLINK("https://pbs.twimg.com/media/F0wRklFXgAECbAM.jpg")</f>
        <v>https://pbs.twimg.com/media/F0wRklFXgAECbAM.jpg</v>
      </c>
      <c r="AW827" s="82" t="s">
        <v>4878</v>
      </c>
      <c r="AX827" s="82" t="s">
        <v>4878</v>
      </c>
      <c r="AY827" s="77"/>
      <c r="AZ827" s="82" t="s">
        <v>5075</v>
      </c>
      <c r="BA827" s="82" t="s">
        <v>5075</v>
      </c>
      <c r="BB827" s="82" t="s">
        <v>5075</v>
      </c>
      <c r="BC827" s="82" t="s">
        <v>4878</v>
      </c>
      <c r="BD827" s="82" t="s">
        <v>5258</v>
      </c>
      <c r="BE827" s="77"/>
      <c r="BF827" s="77"/>
      <c r="BG827" s="77"/>
      <c r="BH827" s="77"/>
      <c r="BI827" s="77"/>
    </row>
    <row r="828" spans="1:61" x14ac:dyDescent="0.25">
      <c r="A828" s="62" t="s">
        <v>473</v>
      </c>
      <c r="B828" s="62" t="s">
        <v>473</v>
      </c>
      <c r="C828" s="63"/>
      <c r="D828" s="64"/>
      <c r="E828" s="65"/>
      <c r="F828" s="66"/>
      <c r="G828" s="63"/>
      <c r="H828" s="67"/>
      <c r="I828" s="68"/>
      <c r="J828" s="68"/>
      <c r="K828" s="32"/>
      <c r="L828" s="75">
        <v>828</v>
      </c>
      <c r="M828" s="75"/>
      <c r="N828" s="70"/>
      <c r="O828" s="77" t="s">
        <v>179</v>
      </c>
      <c r="P828" s="79">
        <v>45107.503831018519</v>
      </c>
      <c r="Q828" s="77" t="s">
        <v>1355</v>
      </c>
      <c r="R828" s="77">
        <v>1</v>
      </c>
      <c r="S828" s="77">
        <v>1</v>
      </c>
      <c r="T828" s="77">
        <v>0</v>
      </c>
      <c r="U828" s="77">
        <v>0</v>
      </c>
      <c r="V828" s="77">
        <v>21</v>
      </c>
      <c r="W828" s="82" t="s">
        <v>1907</v>
      </c>
      <c r="X828" s="80" t="str">
        <f>HYPERLINK("https://rnainvest.com.br/5-dicas-essenciais-para-comecar-na-previdencia-privada/")</f>
        <v>https://rnainvest.com.br/5-dicas-essenciais-para-comecar-na-previdencia-privada/</v>
      </c>
      <c r="Y828" s="77" t="s">
        <v>1978</v>
      </c>
      <c r="Z828" s="77"/>
      <c r="AA828" s="77" t="s">
        <v>2582</v>
      </c>
      <c r="AB828" s="77" t="s">
        <v>2632</v>
      </c>
      <c r="AC828" s="82" t="s">
        <v>2642</v>
      </c>
      <c r="AD828" s="77" t="s">
        <v>2670</v>
      </c>
      <c r="AE828" s="80" t="str">
        <f>HYPERLINK("https://twitter.com/rnainvest/status/1674751012257558531")</f>
        <v>https://twitter.com/rnainvest/status/1674751012257558531</v>
      </c>
      <c r="AF828" s="79">
        <v>45107.503831018519</v>
      </c>
      <c r="AG828" s="85">
        <v>45107</v>
      </c>
      <c r="AH828" s="82" t="s">
        <v>3328</v>
      </c>
      <c r="AI828" s="77" t="b">
        <v>0</v>
      </c>
      <c r="AJ828" s="77"/>
      <c r="AK828" s="77"/>
      <c r="AL828" s="77"/>
      <c r="AM828" s="77"/>
      <c r="AN828" s="77"/>
      <c r="AO828" s="77"/>
      <c r="AP828" s="77"/>
      <c r="AQ828" s="77" t="s">
        <v>4011</v>
      </c>
      <c r="AR828" s="77"/>
      <c r="AS828" s="77"/>
      <c r="AT828" s="77"/>
      <c r="AU828" s="77"/>
      <c r="AV828" s="80" t="str">
        <f>HYPERLINK("https://pbs.twimg.com/media/Fz3pK2bWAAA5InR.jpg")</f>
        <v>https://pbs.twimg.com/media/Fz3pK2bWAAA5InR.jpg</v>
      </c>
      <c r="AW828" s="82" t="s">
        <v>4879</v>
      </c>
      <c r="AX828" s="82" t="s">
        <v>4879</v>
      </c>
      <c r="AY828" s="77"/>
      <c r="AZ828" s="82" t="s">
        <v>5075</v>
      </c>
      <c r="BA828" s="82" t="s">
        <v>5075</v>
      </c>
      <c r="BB828" s="82" t="s">
        <v>5075</v>
      </c>
      <c r="BC828" s="82" t="s">
        <v>4879</v>
      </c>
      <c r="BD828" s="82" t="s">
        <v>5258</v>
      </c>
      <c r="BE828" s="77"/>
      <c r="BF828" s="77"/>
      <c r="BG828" s="77"/>
      <c r="BH828" s="77"/>
      <c r="BI828" s="77"/>
    </row>
    <row r="829" spans="1:61" x14ac:dyDescent="0.25">
      <c r="A829" s="62" t="s">
        <v>473</v>
      </c>
      <c r="B829" s="62" t="s">
        <v>473</v>
      </c>
      <c r="C829" s="63"/>
      <c r="D829" s="64"/>
      <c r="E829" s="65"/>
      <c r="F829" s="66"/>
      <c r="G829" s="63"/>
      <c r="H829" s="67"/>
      <c r="I829" s="68"/>
      <c r="J829" s="68"/>
      <c r="K829" s="32"/>
      <c r="L829" s="75">
        <v>829</v>
      </c>
      <c r="M829" s="75"/>
      <c r="N829" s="70"/>
      <c r="O829" s="77" t="s">
        <v>179</v>
      </c>
      <c r="P829" s="79">
        <v>45061.531585648147</v>
      </c>
      <c r="Q829" s="77" t="s">
        <v>1356</v>
      </c>
      <c r="R829" s="77">
        <v>0</v>
      </c>
      <c r="S829" s="77">
        <v>1</v>
      </c>
      <c r="T829" s="77">
        <v>0</v>
      </c>
      <c r="U829" s="77">
        <v>0</v>
      </c>
      <c r="V829" s="77">
        <v>57</v>
      </c>
      <c r="W829" s="82" t="s">
        <v>1908</v>
      </c>
      <c r="X829" s="77"/>
      <c r="Y829" s="77"/>
      <c r="Z829" s="77"/>
      <c r="AA829" s="77" t="s">
        <v>2583</v>
      </c>
      <c r="AB829" s="77" t="s">
        <v>2632</v>
      </c>
      <c r="AC829" s="82" t="s">
        <v>2642</v>
      </c>
      <c r="AD829" s="77" t="s">
        <v>2670</v>
      </c>
      <c r="AE829" s="80" t="str">
        <f>HYPERLINK("https://twitter.com/rnainvest/status/1658091229500809218")</f>
        <v>https://twitter.com/rnainvest/status/1658091229500809218</v>
      </c>
      <c r="AF829" s="79">
        <v>45061.531585648147</v>
      </c>
      <c r="AG829" s="85">
        <v>45061</v>
      </c>
      <c r="AH829" s="82" t="s">
        <v>3329</v>
      </c>
      <c r="AI829" s="77" t="b">
        <v>0</v>
      </c>
      <c r="AJ829" s="77"/>
      <c r="AK829" s="77"/>
      <c r="AL829" s="77"/>
      <c r="AM829" s="77"/>
      <c r="AN829" s="77"/>
      <c r="AO829" s="77"/>
      <c r="AP829" s="77"/>
      <c r="AQ829" s="77" t="s">
        <v>4012</v>
      </c>
      <c r="AR829" s="77"/>
      <c r="AS829" s="77"/>
      <c r="AT829" s="77"/>
      <c r="AU829" s="77"/>
      <c r="AV829" s="80" t="str">
        <f>HYPERLINK("https://pbs.twimg.com/media/FwK5L7IWIAAD9jf.jpg")</f>
        <v>https://pbs.twimg.com/media/FwK5L7IWIAAD9jf.jpg</v>
      </c>
      <c r="AW829" s="82" t="s">
        <v>4880</v>
      </c>
      <c r="AX829" s="82" t="s">
        <v>4880</v>
      </c>
      <c r="AY829" s="77"/>
      <c r="AZ829" s="82" t="s">
        <v>5075</v>
      </c>
      <c r="BA829" s="82" t="s">
        <v>5075</v>
      </c>
      <c r="BB829" s="82" t="s">
        <v>5075</v>
      </c>
      <c r="BC829" s="82" t="s">
        <v>4880</v>
      </c>
      <c r="BD829" s="82" t="s">
        <v>5258</v>
      </c>
      <c r="BE829" s="77"/>
      <c r="BF829" s="77"/>
      <c r="BG829" s="77"/>
      <c r="BH829" s="77"/>
      <c r="BI829" s="77"/>
    </row>
    <row r="830" spans="1:61" x14ac:dyDescent="0.25">
      <c r="A830" s="62" t="s">
        <v>473</v>
      </c>
      <c r="B830" s="62" t="s">
        <v>473</v>
      </c>
      <c r="C830" s="63"/>
      <c r="D830" s="64"/>
      <c r="E830" s="65"/>
      <c r="F830" s="66"/>
      <c r="G830" s="63"/>
      <c r="H830" s="67"/>
      <c r="I830" s="68"/>
      <c r="J830" s="68"/>
      <c r="K830" s="32"/>
      <c r="L830" s="75">
        <v>830</v>
      </c>
      <c r="M830" s="75"/>
      <c r="N830" s="70"/>
      <c r="O830" s="77" t="s">
        <v>179</v>
      </c>
      <c r="P830" s="79">
        <v>45056.554409722223</v>
      </c>
      <c r="Q830" s="77" t="s">
        <v>1357</v>
      </c>
      <c r="R830" s="77">
        <v>0</v>
      </c>
      <c r="S830" s="77">
        <v>0</v>
      </c>
      <c r="T830" s="77">
        <v>0</v>
      </c>
      <c r="U830" s="77">
        <v>0</v>
      </c>
      <c r="V830" s="77">
        <v>3</v>
      </c>
      <c r="W830" s="82" t="s">
        <v>1435</v>
      </c>
      <c r="X830" s="80" t="str">
        <f>HYPERLINK("https://rnainvest.com.br/5-erros-comuns-de-investidores-iniciantes/")</f>
        <v>https://rnainvest.com.br/5-erros-comuns-de-investidores-iniciantes/</v>
      </c>
      <c r="Y830" s="77" t="s">
        <v>1978</v>
      </c>
      <c r="Z830" s="77"/>
      <c r="AA830" s="77" t="s">
        <v>2584</v>
      </c>
      <c r="AB830" s="77" t="s">
        <v>2632</v>
      </c>
      <c r="AC830" s="82" t="s">
        <v>2642</v>
      </c>
      <c r="AD830" s="77" t="s">
        <v>2670</v>
      </c>
      <c r="AE830" s="80" t="str">
        <f>HYPERLINK("https://twitter.com/rnainvest/status/1656287559901650950")</f>
        <v>https://twitter.com/rnainvest/status/1656287559901650950</v>
      </c>
      <c r="AF830" s="79">
        <v>45056.554409722223</v>
      </c>
      <c r="AG830" s="85">
        <v>45056</v>
      </c>
      <c r="AH830" s="82" t="s">
        <v>3330</v>
      </c>
      <c r="AI830" s="77" t="b">
        <v>0</v>
      </c>
      <c r="AJ830" s="77"/>
      <c r="AK830" s="77"/>
      <c r="AL830" s="77"/>
      <c r="AM830" s="77"/>
      <c r="AN830" s="77"/>
      <c r="AO830" s="77"/>
      <c r="AP830" s="77"/>
      <c r="AQ830" s="77" t="s">
        <v>4013</v>
      </c>
      <c r="AR830" s="77"/>
      <c r="AS830" s="77"/>
      <c r="AT830" s="77"/>
      <c r="AU830" s="77"/>
      <c r="AV830" s="80" t="str">
        <f>HYPERLINK("https://pbs.twimg.com/media/FvxQwiFWAAIze0G.jpg")</f>
        <v>https://pbs.twimg.com/media/FvxQwiFWAAIze0G.jpg</v>
      </c>
      <c r="AW830" s="82" t="s">
        <v>4881</v>
      </c>
      <c r="AX830" s="82" t="s">
        <v>4881</v>
      </c>
      <c r="AY830" s="77"/>
      <c r="AZ830" s="82" t="s">
        <v>5075</v>
      </c>
      <c r="BA830" s="82" t="s">
        <v>5075</v>
      </c>
      <c r="BB830" s="82" t="s">
        <v>5075</v>
      </c>
      <c r="BC830" s="82" t="s">
        <v>4881</v>
      </c>
      <c r="BD830" s="82" t="s">
        <v>5258</v>
      </c>
      <c r="BE830" s="77"/>
      <c r="BF830" s="77"/>
      <c r="BG830" s="77"/>
      <c r="BH830" s="77"/>
      <c r="BI830" s="77"/>
    </row>
    <row r="831" spans="1:61" x14ac:dyDescent="0.25">
      <c r="A831" s="62" t="s">
        <v>474</v>
      </c>
      <c r="B831" s="62" t="s">
        <v>474</v>
      </c>
      <c r="C831" s="63"/>
      <c r="D831" s="64"/>
      <c r="E831" s="65"/>
      <c r="F831" s="66"/>
      <c r="G831" s="63"/>
      <c r="H831" s="67"/>
      <c r="I831" s="68"/>
      <c r="J831" s="68"/>
      <c r="K831" s="32"/>
      <c r="L831" s="75">
        <v>831</v>
      </c>
      <c r="M831" s="75"/>
      <c r="N831" s="70"/>
      <c r="O831" s="77" t="s">
        <v>179</v>
      </c>
      <c r="P831" s="79">
        <v>45097.498182870368</v>
      </c>
      <c r="Q831" s="77" t="s">
        <v>1358</v>
      </c>
      <c r="R831" s="77">
        <v>0</v>
      </c>
      <c r="S831" s="77">
        <v>0</v>
      </c>
      <c r="T831" s="77">
        <v>0</v>
      </c>
      <c r="U831" s="77">
        <v>0</v>
      </c>
      <c r="V831" s="77">
        <v>10</v>
      </c>
      <c r="W831" s="82" t="s">
        <v>1909</v>
      </c>
      <c r="X831" s="80" t="str">
        <f>HYPERLINK("https://lnkd.in/dNQUe9PF")</f>
        <v>https://lnkd.in/dNQUe9PF</v>
      </c>
      <c r="Y831" s="77" t="s">
        <v>1986</v>
      </c>
      <c r="Z831" s="77"/>
      <c r="AA831" s="77"/>
      <c r="AB831" s="77"/>
      <c r="AC831" s="82" t="s">
        <v>2661</v>
      </c>
      <c r="AD831" s="77" t="s">
        <v>2670</v>
      </c>
      <c r="AE831" s="80" t="str">
        <f>HYPERLINK("https://twitter.com/claudioguirao/status/1671125089008463874")</f>
        <v>https://twitter.com/claudioguirao/status/1671125089008463874</v>
      </c>
      <c r="AF831" s="79">
        <v>45097.498182870368</v>
      </c>
      <c r="AG831" s="85">
        <v>45097</v>
      </c>
      <c r="AH831" s="82" t="s">
        <v>3331</v>
      </c>
      <c r="AI831" s="77" t="b">
        <v>0</v>
      </c>
      <c r="AJ831" s="77"/>
      <c r="AK831" s="77"/>
      <c r="AL831" s="77"/>
      <c r="AM831" s="77"/>
      <c r="AN831" s="77"/>
      <c r="AO831" s="77"/>
      <c r="AP831" s="77"/>
      <c r="AQ831" s="77"/>
      <c r="AR831" s="77"/>
      <c r="AS831" s="77"/>
      <c r="AT831" s="77"/>
      <c r="AU831" s="77"/>
      <c r="AV831" s="80" t="str">
        <f>HYPERLINK("https://pbs.twimg.com/profile_images/1470853897426288649/32Xgk8p6_normal.jpg")</f>
        <v>https://pbs.twimg.com/profile_images/1470853897426288649/32Xgk8p6_normal.jpg</v>
      </c>
      <c r="AW831" s="82" t="s">
        <v>4882</v>
      </c>
      <c r="AX831" s="82" t="s">
        <v>4882</v>
      </c>
      <c r="AY831" s="77"/>
      <c r="AZ831" s="82" t="s">
        <v>5075</v>
      </c>
      <c r="BA831" s="82" t="s">
        <v>5075</v>
      </c>
      <c r="BB831" s="82" t="s">
        <v>5075</v>
      </c>
      <c r="BC831" s="82" t="s">
        <v>4882</v>
      </c>
      <c r="BD831" s="77">
        <v>356898814</v>
      </c>
      <c r="BE831" s="77"/>
      <c r="BF831" s="77"/>
      <c r="BG831" s="77"/>
      <c r="BH831" s="77"/>
      <c r="BI831" s="77"/>
    </row>
    <row r="832" spans="1:61" x14ac:dyDescent="0.25">
      <c r="A832" s="62" t="s">
        <v>475</v>
      </c>
      <c r="B832" s="62" t="s">
        <v>475</v>
      </c>
      <c r="C832" s="63"/>
      <c r="D832" s="64"/>
      <c r="E832" s="65"/>
      <c r="F832" s="66"/>
      <c r="G832" s="63"/>
      <c r="H832" s="67"/>
      <c r="I832" s="68"/>
      <c r="J832" s="68"/>
      <c r="K832" s="32"/>
      <c r="L832" s="75">
        <v>832</v>
      </c>
      <c r="M832" s="75"/>
      <c r="N832" s="70"/>
      <c r="O832" s="77" t="s">
        <v>179</v>
      </c>
      <c r="P832" s="79">
        <v>44962.944548611114</v>
      </c>
      <c r="Q832" s="77" t="s">
        <v>1359</v>
      </c>
      <c r="R832" s="77">
        <v>0</v>
      </c>
      <c r="S832" s="77">
        <v>0</v>
      </c>
      <c r="T832" s="77">
        <v>0</v>
      </c>
      <c r="U832" s="77">
        <v>0</v>
      </c>
      <c r="V832" s="77">
        <v>10</v>
      </c>
      <c r="W832" s="82" t="s">
        <v>1910</v>
      </c>
      <c r="X832" s="80" t="str">
        <f>HYPERLINK("https://link.medium.com/0VfiJwvlbxb")</f>
        <v>https://link.medium.com/0VfiJwvlbxb</v>
      </c>
      <c r="Y832" s="77" t="s">
        <v>2004</v>
      </c>
      <c r="Z832" s="77"/>
      <c r="AA832" s="77" t="s">
        <v>2585</v>
      </c>
      <c r="AB832" s="77" t="s">
        <v>2632</v>
      </c>
      <c r="AC832" s="82" t="s">
        <v>2640</v>
      </c>
      <c r="AD832" s="77" t="s">
        <v>2670</v>
      </c>
      <c r="AE832" s="80" t="str">
        <f>HYPERLINK("https://twitter.com/hilvieira/status/1622364483984232449")</f>
        <v>https://twitter.com/hilvieira/status/1622364483984232449</v>
      </c>
      <c r="AF832" s="79">
        <v>44962.944548611114</v>
      </c>
      <c r="AG832" s="85">
        <v>44962</v>
      </c>
      <c r="AH832" s="82" t="s">
        <v>3332</v>
      </c>
      <c r="AI832" s="77" t="b">
        <v>0</v>
      </c>
      <c r="AJ832" s="77"/>
      <c r="AK832" s="77"/>
      <c r="AL832" s="77"/>
      <c r="AM832" s="77"/>
      <c r="AN832" s="77"/>
      <c r="AO832" s="77"/>
      <c r="AP832" s="77"/>
      <c r="AQ832" s="77" t="s">
        <v>4014</v>
      </c>
      <c r="AR832" s="77"/>
      <c r="AS832" s="77"/>
      <c r="AT832" s="77"/>
      <c r="AU832" s="77"/>
      <c r="AV832" s="80" t="str">
        <f>HYPERLINK("https://pbs.twimg.com/media/FoPL5fFXwAMquVg.jpg")</f>
        <v>https://pbs.twimg.com/media/FoPL5fFXwAMquVg.jpg</v>
      </c>
      <c r="AW832" s="82" t="s">
        <v>4883</v>
      </c>
      <c r="AX832" s="82" t="s">
        <v>4883</v>
      </c>
      <c r="AY832" s="77"/>
      <c r="AZ832" s="82" t="s">
        <v>5075</v>
      </c>
      <c r="BA832" s="82" t="s">
        <v>5075</v>
      </c>
      <c r="BB832" s="82" t="s">
        <v>5075</v>
      </c>
      <c r="BC832" s="82" t="s">
        <v>4883</v>
      </c>
      <c r="BD832" s="77">
        <v>38833158</v>
      </c>
      <c r="BE832" s="77"/>
      <c r="BF832" s="77"/>
      <c r="BG832" s="77"/>
      <c r="BH832" s="77"/>
      <c r="BI832" s="77"/>
    </row>
    <row r="833" spans="1:61" x14ac:dyDescent="0.25">
      <c r="A833" s="62" t="s">
        <v>475</v>
      </c>
      <c r="B833" s="62" t="s">
        <v>475</v>
      </c>
      <c r="C833" s="63"/>
      <c r="D833" s="64"/>
      <c r="E833" s="65"/>
      <c r="F833" s="66"/>
      <c r="G833" s="63"/>
      <c r="H833" s="67"/>
      <c r="I833" s="68"/>
      <c r="J833" s="68"/>
      <c r="K833" s="32"/>
      <c r="L833" s="75">
        <v>833</v>
      </c>
      <c r="M833" s="75"/>
      <c r="N833" s="70"/>
      <c r="O833" s="77" t="s">
        <v>179</v>
      </c>
      <c r="P833" s="79">
        <v>44944.635694444441</v>
      </c>
      <c r="Q833" s="77" t="s">
        <v>1360</v>
      </c>
      <c r="R833" s="77">
        <v>0</v>
      </c>
      <c r="S833" s="77">
        <v>0</v>
      </c>
      <c r="T833" s="77">
        <v>0</v>
      </c>
      <c r="U833" s="77">
        <v>0</v>
      </c>
      <c r="V833" s="77">
        <v>6</v>
      </c>
      <c r="W833" s="82" t="s">
        <v>1911</v>
      </c>
      <c r="X833" s="80" t="str">
        <f>HYPERLINK("https://link.medium.com/NCuHfpvXGwb")</f>
        <v>https://link.medium.com/NCuHfpvXGwb</v>
      </c>
      <c r="Y833" s="77" t="s">
        <v>2004</v>
      </c>
      <c r="Z833" s="77"/>
      <c r="AA833" s="77" t="s">
        <v>2586</v>
      </c>
      <c r="AB833" s="77" t="s">
        <v>2632</v>
      </c>
      <c r="AC833" s="82" t="s">
        <v>2640</v>
      </c>
      <c r="AD833" s="77" t="s">
        <v>2670</v>
      </c>
      <c r="AE833" s="80" t="str">
        <f>HYPERLINK("https://twitter.com/hilvieira/status/1615729577346715652")</f>
        <v>https://twitter.com/hilvieira/status/1615729577346715652</v>
      </c>
      <c r="AF833" s="79">
        <v>44944.635694444441</v>
      </c>
      <c r="AG833" s="85">
        <v>44944</v>
      </c>
      <c r="AH833" s="82" t="s">
        <v>3333</v>
      </c>
      <c r="AI833" s="77" t="b">
        <v>0</v>
      </c>
      <c r="AJ833" s="77"/>
      <c r="AK833" s="77"/>
      <c r="AL833" s="77"/>
      <c r="AM833" s="77"/>
      <c r="AN833" s="77"/>
      <c r="AO833" s="77"/>
      <c r="AP833" s="77"/>
      <c r="AQ833" s="77" t="s">
        <v>4015</v>
      </c>
      <c r="AR833" s="77"/>
      <c r="AS833" s="77"/>
      <c r="AT833" s="77"/>
      <c r="AU833" s="77"/>
      <c r="AV833" s="80" t="str">
        <f>HYPERLINK("https://pbs.twimg.com/media/Fmw5e4lXoAAFd3y.jpg")</f>
        <v>https://pbs.twimg.com/media/Fmw5e4lXoAAFd3y.jpg</v>
      </c>
      <c r="AW833" s="82" t="s">
        <v>4884</v>
      </c>
      <c r="AX833" s="82" t="s">
        <v>4884</v>
      </c>
      <c r="AY833" s="77"/>
      <c r="AZ833" s="82" t="s">
        <v>5075</v>
      </c>
      <c r="BA833" s="82" t="s">
        <v>5075</v>
      </c>
      <c r="BB833" s="82" t="s">
        <v>5075</v>
      </c>
      <c r="BC833" s="82" t="s">
        <v>4884</v>
      </c>
      <c r="BD833" s="77">
        <v>38833158</v>
      </c>
      <c r="BE833" s="77"/>
      <c r="BF833" s="77"/>
      <c r="BG833" s="77"/>
      <c r="BH833" s="77"/>
      <c r="BI833" s="77"/>
    </row>
    <row r="834" spans="1:61" x14ac:dyDescent="0.25">
      <c r="A834" s="62" t="s">
        <v>476</v>
      </c>
      <c r="B834" s="62" t="s">
        <v>504</v>
      </c>
      <c r="C834" s="63"/>
      <c r="D834" s="64"/>
      <c r="E834" s="65"/>
      <c r="F834" s="66"/>
      <c r="G834" s="63"/>
      <c r="H834" s="67"/>
      <c r="I834" s="68"/>
      <c r="J834" s="68"/>
      <c r="K834" s="32"/>
      <c r="L834" s="75">
        <v>834</v>
      </c>
      <c r="M834" s="75"/>
      <c r="N834" s="70"/>
      <c r="O834" s="77" t="s">
        <v>538</v>
      </c>
      <c r="P834" s="79">
        <v>45031.876875000002</v>
      </c>
      <c r="Q834" s="77" t="s">
        <v>1361</v>
      </c>
      <c r="R834" s="77">
        <v>0</v>
      </c>
      <c r="S834" s="77">
        <v>0</v>
      </c>
      <c r="T834" s="77">
        <v>0</v>
      </c>
      <c r="U834" s="77">
        <v>0</v>
      </c>
      <c r="V834" s="77">
        <v>10</v>
      </c>
      <c r="W834" s="82" t="s">
        <v>1912</v>
      </c>
      <c r="X834" s="77"/>
      <c r="Y834" s="77"/>
      <c r="Z834" s="77"/>
      <c r="AA834" s="77"/>
      <c r="AB834" s="77"/>
      <c r="AC834" s="82" t="s">
        <v>2638</v>
      </c>
      <c r="AD834" s="77" t="s">
        <v>2670</v>
      </c>
      <c r="AE834" s="80" t="str">
        <f>HYPERLINK("https://twitter.com/lidialuciara/status/1647344722417942532")</f>
        <v>https://twitter.com/lidialuciara/status/1647344722417942532</v>
      </c>
      <c r="AF834" s="79">
        <v>45031.876875000002</v>
      </c>
      <c r="AG834" s="85">
        <v>45031</v>
      </c>
      <c r="AH834" s="82" t="s">
        <v>3334</v>
      </c>
      <c r="AI834" s="77"/>
      <c r="AJ834" s="77"/>
      <c r="AK834" s="77"/>
      <c r="AL834" s="77"/>
      <c r="AM834" s="77"/>
      <c r="AN834" s="77"/>
      <c r="AO834" s="77"/>
      <c r="AP834" s="77"/>
      <c r="AQ834" s="77"/>
      <c r="AR834" s="77"/>
      <c r="AS834" s="77"/>
      <c r="AT834" s="77"/>
      <c r="AU834" s="77"/>
      <c r="AV834" s="80" t="str">
        <f>HYPERLINK("https://pbs.twimg.com/profile_images/1647317230160363521/47RPk1TN_normal.jpg")</f>
        <v>https://pbs.twimg.com/profile_images/1647317230160363521/47RPk1TN_normal.jpg</v>
      </c>
      <c r="AW834" s="82" t="s">
        <v>4885</v>
      </c>
      <c r="AX834" s="82" t="s">
        <v>4885</v>
      </c>
      <c r="AY834" s="77"/>
      <c r="AZ834" s="82" t="s">
        <v>5075</v>
      </c>
      <c r="BA834" s="82" t="s">
        <v>4937</v>
      </c>
      <c r="BB834" s="82" t="s">
        <v>5075</v>
      </c>
      <c r="BC834" s="82" t="s">
        <v>4937</v>
      </c>
      <c r="BD834" s="82" t="s">
        <v>5259</v>
      </c>
      <c r="BE834" s="77"/>
      <c r="BF834" s="77"/>
      <c r="BG834" s="77"/>
      <c r="BH834" s="77"/>
      <c r="BI834" s="77"/>
    </row>
    <row r="835" spans="1:61" x14ac:dyDescent="0.25">
      <c r="A835" s="62" t="s">
        <v>477</v>
      </c>
      <c r="B835" s="62" t="s">
        <v>477</v>
      </c>
      <c r="C835" s="63"/>
      <c r="D835" s="64"/>
      <c r="E835" s="65"/>
      <c r="F835" s="66"/>
      <c r="G835" s="63"/>
      <c r="H835" s="67"/>
      <c r="I835" s="68"/>
      <c r="J835" s="68"/>
      <c r="K835" s="32"/>
      <c r="L835" s="75">
        <v>835</v>
      </c>
      <c r="M835" s="75"/>
      <c r="N835" s="70"/>
      <c r="O835" s="77" t="s">
        <v>179</v>
      </c>
      <c r="P835" s="79">
        <v>45190.084722222222</v>
      </c>
      <c r="Q835" s="77" t="s">
        <v>1362</v>
      </c>
      <c r="R835" s="77">
        <v>0</v>
      </c>
      <c r="S835" s="77">
        <v>1</v>
      </c>
      <c r="T835" s="77">
        <v>0</v>
      </c>
      <c r="U835" s="77">
        <v>0</v>
      </c>
      <c r="V835" s="77">
        <v>1</v>
      </c>
      <c r="W835" s="82" t="s">
        <v>1913</v>
      </c>
      <c r="X835" s="77"/>
      <c r="Y835" s="77"/>
      <c r="Z835" s="77"/>
      <c r="AA835" s="77" t="s">
        <v>2587</v>
      </c>
      <c r="AB835" s="77" t="s">
        <v>2632</v>
      </c>
      <c r="AC835" s="82" t="s">
        <v>2650</v>
      </c>
      <c r="AD835" s="77" t="s">
        <v>2670</v>
      </c>
      <c r="AE835" s="80" t="str">
        <f>HYPERLINK("https://twitter.com/mdmcontabil/status/1704677326556909772")</f>
        <v>https://twitter.com/mdmcontabil/status/1704677326556909772</v>
      </c>
      <c r="AF835" s="79">
        <v>45190.084722222222</v>
      </c>
      <c r="AG835" s="85">
        <v>45190</v>
      </c>
      <c r="AH835" s="82" t="s">
        <v>3335</v>
      </c>
      <c r="AI835" s="77" t="b">
        <v>0</v>
      </c>
      <c r="AJ835" s="77"/>
      <c r="AK835" s="77"/>
      <c r="AL835" s="77"/>
      <c r="AM835" s="77"/>
      <c r="AN835" s="77"/>
      <c r="AO835" s="77"/>
      <c r="AP835" s="77"/>
      <c r="AQ835" s="77" t="s">
        <v>4016</v>
      </c>
      <c r="AR835" s="77"/>
      <c r="AS835" s="77"/>
      <c r="AT835" s="77"/>
      <c r="AU835" s="77"/>
      <c r="AV835" s="80" t="str">
        <f>HYPERLINK("https://pbs.twimg.com/media/F6g6_o_XkAA58BY.jpg")</f>
        <v>https://pbs.twimg.com/media/F6g6_o_XkAA58BY.jpg</v>
      </c>
      <c r="AW835" s="82" t="s">
        <v>4886</v>
      </c>
      <c r="AX835" s="82" t="s">
        <v>4886</v>
      </c>
      <c r="AY835" s="77"/>
      <c r="AZ835" s="82" t="s">
        <v>5075</v>
      </c>
      <c r="BA835" s="82" t="s">
        <v>5075</v>
      </c>
      <c r="BB835" s="82" t="s">
        <v>5075</v>
      </c>
      <c r="BC835" s="82" t="s">
        <v>4886</v>
      </c>
      <c r="BD835" s="77">
        <v>55021181</v>
      </c>
      <c r="BE835" s="77"/>
      <c r="BF835" s="77"/>
      <c r="BG835" s="77"/>
      <c r="BH835" s="77"/>
      <c r="BI835" s="77"/>
    </row>
    <row r="836" spans="1:61" x14ac:dyDescent="0.25">
      <c r="A836" s="62" t="s">
        <v>478</v>
      </c>
      <c r="B836" s="62" t="s">
        <v>478</v>
      </c>
      <c r="C836" s="63"/>
      <c r="D836" s="64"/>
      <c r="E836" s="65"/>
      <c r="F836" s="66"/>
      <c r="G836" s="63"/>
      <c r="H836" s="67"/>
      <c r="I836" s="68"/>
      <c r="J836" s="68"/>
      <c r="K836" s="32"/>
      <c r="L836" s="75">
        <v>836</v>
      </c>
      <c r="M836" s="75"/>
      <c r="N836" s="70"/>
      <c r="O836" s="77" t="s">
        <v>179</v>
      </c>
      <c r="P836" s="79">
        <v>45019.520462962966</v>
      </c>
      <c r="Q836" s="77" t="s">
        <v>1363</v>
      </c>
      <c r="R836" s="77">
        <v>0</v>
      </c>
      <c r="S836" s="77">
        <v>0</v>
      </c>
      <c r="T836" s="77">
        <v>1</v>
      </c>
      <c r="U836" s="77">
        <v>0</v>
      </c>
      <c r="V836" s="77">
        <v>104</v>
      </c>
      <c r="W836" s="82" t="s">
        <v>1914</v>
      </c>
      <c r="X836" s="77"/>
      <c r="Y836" s="77"/>
      <c r="Z836" s="77"/>
      <c r="AA836" s="77" t="s">
        <v>2588</v>
      </c>
      <c r="AB836" s="77" t="s">
        <v>2635</v>
      </c>
      <c r="AC836" s="82" t="s">
        <v>2639</v>
      </c>
      <c r="AD836" s="77" t="s">
        <v>2670</v>
      </c>
      <c r="AE836" s="80" t="str">
        <f>HYPERLINK("https://twitter.com/embracon/status/1642866907177943042")</f>
        <v>https://twitter.com/embracon/status/1642866907177943042</v>
      </c>
      <c r="AF836" s="79">
        <v>45019.520462962966</v>
      </c>
      <c r="AG836" s="85">
        <v>45019</v>
      </c>
      <c r="AH836" s="82" t="s">
        <v>3336</v>
      </c>
      <c r="AI836" s="77" t="b">
        <v>0</v>
      </c>
      <c r="AJ836" s="77"/>
      <c r="AK836" s="77"/>
      <c r="AL836" s="77"/>
      <c r="AM836" s="77"/>
      <c r="AN836" s="77"/>
      <c r="AO836" s="77"/>
      <c r="AP836" s="77"/>
      <c r="AQ836" s="77" t="s">
        <v>4017</v>
      </c>
      <c r="AR836" s="77"/>
      <c r="AS836" s="77"/>
      <c r="AT836" s="77"/>
      <c r="AU836" s="77"/>
      <c r="AV836" s="80" t="str">
        <f>HYPERLINK("https://pbs.twimg.com/media/FsyitORWwAEADnY.jpg")</f>
        <v>https://pbs.twimg.com/media/FsyitORWwAEADnY.jpg</v>
      </c>
      <c r="AW836" s="82" t="s">
        <v>4887</v>
      </c>
      <c r="AX836" s="82" t="s">
        <v>4887</v>
      </c>
      <c r="AY836" s="77"/>
      <c r="AZ836" s="82" t="s">
        <v>5075</v>
      </c>
      <c r="BA836" s="82" t="s">
        <v>5075</v>
      </c>
      <c r="BB836" s="82" t="s">
        <v>5075</v>
      </c>
      <c r="BC836" s="82" t="s">
        <v>4887</v>
      </c>
      <c r="BD836" s="77">
        <v>51787459</v>
      </c>
      <c r="BE836" s="77"/>
      <c r="BF836" s="77"/>
      <c r="BG836" s="77"/>
      <c r="BH836" s="77"/>
      <c r="BI836" s="77"/>
    </row>
    <row r="837" spans="1:61" x14ac:dyDescent="0.25">
      <c r="A837" s="62" t="s">
        <v>478</v>
      </c>
      <c r="B837" s="62" t="s">
        <v>478</v>
      </c>
      <c r="C837" s="63"/>
      <c r="D837" s="64"/>
      <c r="E837" s="65"/>
      <c r="F837" s="66"/>
      <c r="G837" s="63"/>
      <c r="H837" s="67"/>
      <c r="I837" s="68"/>
      <c r="J837" s="68"/>
      <c r="K837" s="32"/>
      <c r="L837" s="75">
        <v>837</v>
      </c>
      <c r="M837" s="75"/>
      <c r="N837" s="70"/>
      <c r="O837" s="77" t="s">
        <v>179</v>
      </c>
      <c r="P837" s="79">
        <v>45075.521770833337</v>
      </c>
      <c r="Q837" s="77" t="s">
        <v>1364</v>
      </c>
      <c r="R837" s="77">
        <v>0</v>
      </c>
      <c r="S837" s="77">
        <v>0</v>
      </c>
      <c r="T837" s="77">
        <v>0</v>
      </c>
      <c r="U837" s="77">
        <v>0</v>
      </c>
      <c r="V837" s="77">
        <v>104</v>
      </c>
      <c r="W837" s="82" t="s">
        <v>1915</v>
      </c>
      <c r="X837" s="77"/>
      <c r="Y837" s="77"/>
      <c r="Z837" s="77"/>
      <c r="AA837" s="77" t="s">
        <v>2589</v>
      </c>
      <c r="AB837" s="77" t="s">
        <v>2632</v>
      </c>
      <c r="AC837" s="82" t="s">
        <v>2639</v>
      </c>
      <c r="AD837" s="77" t="s">
        <v>2670</v>
      </c>
      <c r="AE837" s="80" t="str">
        <f>HYPERLINK("https://twitter.com/embracon/status/1663161101809221632")</f>
        <v>https://twitter.com/embracon/status/1663161101809221632</v>
      </c>
      <c r="AF837" s="79">
        <v>45075.521770833337</v>
      </c>
      <c r="AG837" s="85">
        <v>45075</v>
      </c>
      <c r="AH837" s="82" t="s">
        <v>3337</v>
      </c>
      <c r="AI837" s="77" t="b">
        <v>0</v>
      </c>
      <c r="AJ837" s="77"/>
      <c r="AK837" s="77"/>
      <c r="AL837" s="77"/>
      <c r="AM837" s="77"/>
      <c r="AN837" s="77"/>
      <c r="AO837" s="77"/>
      <c r="AP837" s="77"/>
      <c r="AQ837" s="77" t="s">
        <v>4018</v>
      </c>
      <c r="AR837" s="77"/>
      <c r="AS837" s="77"/>
      <c r="AT837" s="77"/>
      <c r="AU837" s="77"/>
      <c r="AV837" s="80" t="str">
        <f>HYPERLINK("https://pbs.twimg.com/media/FxS8KSOXoAEETrw.jpg")</f>
        <v>https://pbs.twimg.com/media/FxS8KSOXoAEETrw.jpg</v>
      </c>
      <c r="AW837" s="82" t="s">
        <v>4888</v>
      </c>
      <c r="AX837" s="82" t="s">
        <v>4888</v>
      </c>
      <c r="AY837" s="77"/>
      <c r="AZ837" s="82" t="s">
        <v>5075</v>
      </c>
      <c r="BA837" s="82" t="s">
        <v>5075</v>
      </c>
      <c r="BB837" s="82" t="s">
        <v>5075</v>
      </c>
      <c r="BC837" s="82" t="s">
        <v>4888</v>
      </c>
      <c r="BD837" s="77">
        <v>51787459</v>
      </c>
      <c r="BE837" s="77"/>
      <c r="BF837" s="77"/>
      <c r="BG837" s="77"/>
      <c r="BH837" s="77"/>
      <c r="BI837" s="77"/>
    </row>
    <row r="838" spans="1:61" x14ac:dyDescent="0.25">
      <c r="A838" s="62" t="s">
        <v>478</v>
      </c>
      <c r="B838" s="62" t="s">
        <v>478</v>
      </c>
      <c r="C838" s="63"/>
      <c r="D838" s="64"/>
      <c r="E838" s="65"/>
      <c r="F838" s="66"/>
      <c r="G838" s="63"/>
      <c r="H838" s="67"/>
      <c r="I838" s="68"/>
      <c r="J838" s="68"/>
      <c r="K838" s="32"/>
      <c r="L838" s="75">
        <v>838</v>
      </c>
      <c r="M838" s="75"/>
      <c r="N838" s="70"/>
      <c r="O838" s="77" t="s">
        <v>179</v>
      </c>
      <c r="P838" s="79">
        <v>45026.499374999999</v>
      </c>
      <c r="Q838" s="77" t="s">
        <v>1365</v>
      </c>
      <c r="R838" s="77">
        <v>1</v>
      </c>
      <c r="S838" s="77">
        <v>0</v>
      </c>
      <c r="T838" s="77">
        <v>0</v>
      </c>
      <c r="U838" s="77">
        <v>0</v>
      </c>
      <c r="V838" s="77">
        <v>131</v>
      </c>
      <c r="W838" s="82" t="s">
        <v>1916</v>
      </c>
      <c r="X838" s="77"/>
      <c r="Y838" s="77"/>
      <c r="Z838" s="77"/>
      <c r="AA838" s="77" t="s">
        <v>2590</v>
      </c>
      <c r="AB838" s="77" t="s">
        <v>2632</v>
      </c>
      <c r="AC838" s="82" t="s">
        <v>2667</v>
      </c>
      <c r="AD838" s="77" t="s">
        <v>2670</v>
      </c>
      <c r="AE838" s="80" t="str">
        <f>HYPERLINK("https://twitter.com/embracon/status/1645395981041561600")</f>
        <v>https://twitter.com/embracon/status/1645395981041561600</v>
      </c>
      <c r="AF838" s="79">
        <v>45026.499374999999</v>
      </c>
      <c r="AG838" s="85">
        <v>45026</v>
      </c>
      <c r="AH838" s="82" t="s">
        <v>3338</v>
      </c>
      <c r="AI838" s="77" t="b">
        <v>0</v>
      </c>
      <c r="AJ838" s="77"/>
      <c r="AK838" s="77"/>
      <c r="AL838" s="77"/>
      <c r="AM838" s="77"/>
      <c r="AN838" s="77"/>
      <c r="AO838" s="77"/>
      <c r="AP838" s="77"/>
      <c r="AQ838" s="77" t="s">
        <v>4019</v>
      </c>
      <c r="AR838" s="77"/>
      <c r="AS838" s="77"/>
      <c r="AT838" s="77"/>
      <c r="AU838" s="77"/>
      <c r="AV838" s="80" t="str">
        <f>HYPERLINK("https://pbs.twimg.com/media/FtWe7OkX0AMm7wk.jpg")</f>
        <v>https://pbs.twimg.com/media/FtWe7OkX0AMm7wk.jpg</v>
      </c>
      <c r="AW838" s="82" t="s">
        <v>4889</v>
      </c>
      <c r="AX838" s="82" t="s">
        <v>4889</v>
      </c>
      <c r="AY838" s="77"/>
      <c r="AZ838" s="82" t="s">
        <v>5075</v>
      </c>
      <c r="BA838" s="82" t="s">
        <v>5075</v>
      </c>
      <c r="BB838" s="82" t="s">
        <v>5075</v>
      </c>
      <c r="BC838" s="82" t="s">
        <v>4889</v>
      </c>
      <c r="BD838" s="77">
        <v>51787459</v>
      </c>
      <c r="BE838" s="77"/>
      <c r="BF838" s="77"/>
      <c r="BG838" s="77"/>
      <c r="BH838" s="77"/>
      <c r="BI838" s="77"/>
    </row>
    <row r="839" spans="1:61" x14ac:dyDescent="0.25">
      <c r="A839" s="62" t="s">
        <v>479</v>
      </c>
      <c r="B839" s="62" t="s">
        <v>479</v>
      </c>
      <c r="C839" s="63"/>
      <c r="D839" s="64"/>
      <c r="E839" s="65"/>
      <c r="F839" s="66"/>
      <c r="G839" s="63"/>
      <c r="H839" s="67"/>
      <c r="I839" s="68"/>
      <c r="J839" s="68"/>
      <c r="K839" s="32"/>
      <c r="L839" s="75">
        <v>839</v>
      </c>
      <c r="M839" s="75"/>
      <c r="N839" s="70"/>
      <c r="O839" s="77" t="s">
        <v>179</v>
      </c>
      <c r="P839" s="79">
        <v>45195.495740740742</v>
      </c>
      <c r="Q839" s="77" t="s">
        <v>1366</v>
      </c>
      <c r="R839" s="77">
        <v>0</v>
      </c>
      <c r="S839" s="77">
        <v>0</v>
      </c>
      <c r="T839" s="77">
        <v>0</v>
      </c>
      <c r="U839" s="77">
        <v>0</v>
      </c>
      <c r="V839" s="77">
        <v>39</v>
      </c>
      <c r="W839" s="82" t="s">
        <v>1917</v>
      </c>
      <c r="X839" s="80" t="str">
        <f>HYPERLINK("http://red.edenred.com/rVVmUZ88K5SN")</f>
        <v>http://red.edenred.com/rVVmUZ88K5SN</v>
      </c>
      <c r="Y839" s="77" t="s">
        <v>2005</v>
      </c>
      <c r="Z839" s="77"/>
      <c r="AA839" s="77"/>
      <c r="AB839" s="77"/>
      <c r="AC839" s="82" t="s">
        <v>2668</v>
      </c>
      <c r="AD839" s="77" t="s">
        <v>2673</v>
      </c>
      <c r="AE839" s="80" t="str">
        <f>HYPERLINK("https://twitter.com/guedesia/status/1706638213018784206")</f>
        <v>https://twitter.com/guedesia/status/1706638213018784206</v>
      </c>
      <c r="AF839" s="79">
        <v>45195.495740740742</v>
      </c>
      <c r="AG839" s="85">
        <v>45195</v>
      </c>
      <c r="AH839" s="82" t="s">
        <v>3339</v>
      </c>
      <c r="AI839" s="77" t="b">
        <v>0</v>
      </c>
      <c r="AJ839" s="77"/>
      <c r="AK839" s="77"/>
      <c r="AL839" s="77"/>
      <c r="AM839" s="77"/>
      <c r="AN839" s="77"/>
      <c r="AO839" s="77"/>
      <c r="AP839" s="77"/>
      <c r="AQ839" s="77"/>
      <c r="AR839" s="77"/>
      <c r="AS839" s="77"/>
      <c r="AT839" s="77"/>
      <c r="AU839" s="77"/>
      <c r="AV839" s="80" t="str">
        <f>HYPERLINK("https://pbs.twimg.com/profile_images/1697617809147129856/RtZQmZuG_normal.jpg")</f>
        <v>https://pbs.twimg.com/profile_images/1697617809147129856/RtZQmZuG_normal.jpg</v>
      </c>
      <c r="AW839" s="82" t="s">
        <v>4890</v>
      </c>
      <c r="AX839" s="82" t="s">
        <v>4890</v>
      </c>
      <c r="AY839" s="77"/>
      <c r="AZ839" s="82" t="s">
        <v>5075</v>
      </c>
      <c r="BA839" s="82" t="s">
        <v>5075</v>
      </c>
      <c r="BB839" s="82" t="s">
        <v>5075</v>
      </c>
      <c r="BC839" s="82" t="s">
        <v>4890</v>
      </c>
      <c r="BD839" s="82" t="s">
        <v>5260</v>
      </c>
      <c r="BE839" s="77"/>
      <c r="BF839" s="77"/>
      <c r="BG839" s="77"/>
      <c r="BH839" s="77"/>
      <c r="BI839" s="77"/>
    </row>
    <row r="840" spans="1:61" x14ac:dyDescent="0.25">
      <c r="A840" s="62" t="s">
        <v>480</v>
      </c>
      <c r="B840" s="62" t="s">
        <v>480</v>
      </c>
      <c r="C840" s="63"/>
      <c r="D840" s="64"/>
      <c r="E840" s="65"/>
      <c r="F840" s="66"/>
      <c r="G840" s="63"/>
      <c r="H840" s="67"/>
      <c r="I840" s="68"/>
      <c r="J840" s="68"/>
      <c r="K840" s="32"/>
      <c r="L840" s="75">
        <v>840</v>
      </c>
      <c r="M840" s="75"/>
      <c r="N840" s="70"/>
      <c r="O840" s="77" t="s">
        <v>536</v>
      </c>
      <c r="P840" s="79">
        <v>45104.80537037037</v>
      </c>
      <c r="Q840" s="77" t="s">
        <v>1367</v>
      </c>
      <c r="R840" s="77">
        <v>0</v>
      </c>
      <c r="S840" s="77">
        <v>0</v>
      </c>
      <c r="T840" s="77">
        <v>0</v>
      </c>
      <c r="U840" s="77">
        <v>0</v>
      </c>
      <c r="V840" s="77">
        <v>16</v>
      </c>
      <c r="W840" s="82" t="s">
        <v>1918</v>
      </c>
      <c r="X840" s="77"/>
      <c r="Y840" s="77"/>
      <c r="Z840" s="77"/>
      <c r="AA840" s="77"/>
      <c r="AB840" s="77"/>
      <c r="AC840" s="82" t="s">
        <v>2639</v>
      </c>
      <c r="AD840" s="77" t="s">
        <v>2675</v>
      </c>
      <c r="AE840" s="80" t="str">
        <f>HYPERLINK("https://twitter.com/123passei/status/1673773123169136642")</f>
        <v>https://twitter.com/123passei/status/1673773123169136642</v>
      </c>
      <c r="AF840" s="79">
        <v>45104.80537037037</v>
      </c>
      <c r="AG840" s="85">
        <v>45104</v>
      </c>
      <c r="AH840" s="82" t="s">
        <v>3340</v>
      </c>
      <c r="AI840" s="77"/>
      <c r="AJ840" s="77"/>
      <c r="AK840" s="77"/>
      <c r="AL840" s="77"/>
      <c r="AM840" s="77"/>
      <c r="AN840" s="77"/>
      <c r="AO840" s="77"/>
      <c r="AP840" s="77"/>
      <c r="AQ840" s="77"/>
      <c r="AR840" s="77"/>
      <c r="AS840" s="77"/>
      <c r="AT840" s="77"/>
      <c r="AU840" s="77"/>
      <c r="AV840" s="80" t="str">
        <f>HYPERLINK("https://pbs.twimg.com/profile_images/1522270529243295746/TXJmk6A8_normal.jpg")</f>
        <v>https://pbs.twimg.com/profile_images/1522270529243295746/TXJmk6A8_normal.jpg</v>
      </c>
      <c r="AW840" s="82" t="s">
        <v>4891</v>
      </c>
      <c r="AX840" s="82" t="s">
        <v>5023</v>
      </c>
      <c r="AY840" s="82" t="s">
        <v>5072</v>
      </c>
      <c r="AZ840" s="82" t="s">
        <v>5119</v>
      </c>
      <c r="BA840" s="82" t="s">
        <v>5075</v>
      </c>
      <c r="BB840" s="82" t="s">
        <v>5075</v>
      </c>
      <c r="BC840" s="82" t="s">
        <v>5119</v>
      </c>
      <c r="BD840" s="82" t="s">
        <v>5072</v>
      </c>
      <c r="BE840" s="77"/>
      <c r="BF840" s="77"/>
      <c r="BG840" s="77"/>
      <c r="BH840" s="77"/>
      <c r="BI840" s="77"/>
    </row>
    <row r="841" spans="1:61" x14ac:dyDescent="0.25">
      <c r="A841" s="62" t="s">
        <v>481</v>
      </c>
      <c r="B841" s="62" t="s">
        <v>481</v>
      </c>
      <c r="C841" s="63"/>
      <c r="D841" s="64"/>
      <c r="E841" s="65"/>
      <c r="F841" s="66"/>
      <c r="G841" s="63"/>
      <c r="H841" s="67"/>
      <c r="I841" s="68"/>
      <c r="J841" s="68"/>
      <c r="K841" s="32"/>
      <c r="L841" s="75">
        <v>841</v>
      </c>
      <c r="M841" s="75"/>
      <c r="N841" s="70"/>
      <c r="O841" s="77" t="s">
        <v>179</v>
      </c>
      <c r="P841" s="79">
        <v>44989.61241898148</v>
      </c>
      <c r="Q841" s="77" t="s">
        <v>1368</v>
      </c>
      <c r="R841" s="77">
        <v>0</v>
      </c>
      <c r="S841" s="77">
        <v>0</v>
      </c>
      <c r="T841" s="77">
        <v>0</v>
      </c>
      <c r="U841" s="77">
        <v>0</v>
      </c>
      <c r="V841" s="77">
        <v>15</v>
      </c>
      <c r="W841" s="82" t="s">
        <v>1919</v>
      </c>
      <c r="X841" s="77"/>
      <c r="Y841" s="77"/>
      <c r="Z841" s="77"/>
      <c r="AA841" s="77"/>
      <c r="AB841" s="77"/>
      <c r="AC841" s="82" t="s">
        <v>2638</v>
      </c>
      <c r="AD841" s="77" t="s">
        <v>2670</v>
      </c>
      <c r="AE841" s="80" t="str">
        <f>HYPERLINK("https://twitter.com/ierick_moraess/status/1632028593827069956")</f>
        <v>https://twitter.com/ierick_moraess/status/1632028593827069956</v>
      </c>
      <c r="AF841" s="79">
        <v>44989.61241898148</v>
      </c>
      <c r="AG841" s="85">
        <v>44989</v>
      </c>
      <c r="AH841" s="82" t="s">
        <v>3341</v>
      </c>
      <c r="AI841" s="77"/>
      <c r="AJ841" s="77"/>
      <c r="AK841" s="77"/>
      <c r="AL841" s="77"/>
      <c r="AM841" s="77"/>
      <c r="AN841" s="77"/>
      <c r="AO841" s="77"/>
      <c r="AP841" s="77"/>
      <c r="AQ841" s="77"/>
      <c r="AR841" s="77"/>
      <c r="AS841" s="77"/>
      <c r="AT841" s="77"/>
      <c r="AU841" s="77"/>
      <c r="AV841" s="80" t="str">
        <f>HYPERLINK("https://pbs.twimg.com/profile_images/1677082932316364800/oT-G6BKb_normal.jpg")</f>
        <v>https://pbs.twimg.com/profile_images/1677082932316364800/oT-G6BKb_normal.jpg</v>
      </c>
      <c r="AW841" s="82" t="s">
        <v>4892</v>
      </c>
      <c r="AX841" s="82" t="s">
        <v>4892</v>
      </c>
      <c r="AY841" s="77"/>
      <c r="AZ841" s="82" t="s">
        <v>5075</v>
      </c>
      <c r="BA841" s="82" t="s">
        <v>5075</v>
      </c>
      <c r="BB841" s="82" t="s">
        <v>5075</v>
      </c>
      <c r="BC841" s="82" t="s">
        <v>4892</v>
      </c>
      <c r="BD841" s="82" t="s">
        <v>5261</v>
      </c>
      <c r="BE841" s="77"/>
      <c r="BF841" s="77"/>
      <c r="BG841" s="77"/>
      <c r="BH841" s="77"/>
      <c r="BI841" s="77"/>
    </row>
    <row r="842" spans="1:61" x14ac:dyDescent="0.25">
      <c r="A842" s="62" t="s">
        <v>482</v>
      </c>
      <c r="B842" s="62" t="s">
        <v>482</v>
      </c>
      <c r="C842" s="63"/>
      <c r="D842" s="64"/>
      <c r="E842" s="65"/>
      <c r="F842" s="66"/>
      <c r="G842" s="63"/>
      <c r="H842" s="67"/>
      <c r="I842" s="68"/>
      <c r="J842" s="68"/>
      <c r="K842" s="32"/>
      <c r="L842" s="75">
        <v>842</v>
      </c>
      <c r="M842" s="75"/>
      <c r="N842" s="70"/>
      <c r="O842" s="77" t="s">
        <v>179</v>
      </c>
      <c r="P842" s="79">
        <v>45138.895879629628</v>
      </c>
      <c r="Q842" s="77" t="s">
        <v>1369</v>
      </c>
      <c r="R842" s="77">
        <v>0</v>
      </c>
      <c r="S842" s="77">
        <v>0</v>
      </c>
      <c r="T842" s="77">
        <v>0</v>
      </c>
      <c r="U842" s="77">
        <v>0</v>
      </c>
      <c r="V842" s="77">
        <v>23</v>
      </c>
      <c r="W842" s="82" t="s">
        <v>1920</v>
      </c>
      <c r="X842" s="77"/>
      <c r="Y842" s="77"/>
      <c r="Z842" s="77"/>
      <c r="AA842" s="77" t="s">
        <v>2591</v>
      </c>
      <c r="AB842" s="77" t="s">
        <v>2632</v>
      </c>
      <c r="AC842" s="82" t="s">
        <v>2650</v>
      </c>
      <c r="AD842" s="77" t="s">
        <v>2670</v>
      </c>
      <c r="AE842" s="80" t="str">
        <f>HYPERLINK("https://twitter.com/crediconsegbr/status/1686127112216784897")</f>
        <v>https://twitter.com/crediconsegbr/status/1686127112216784897</v>
      </c>
      <c r="AF842" s="79">
        <v>45138.895879629628</v>
      </c>
      <c r="AG842" s="85">
        <v>45138</v>
      </c>
      <c r="AH842" s="82" t="s">
        <v>3342</v>
      </c>
      <c r="AI842" s="77" t="b">
        <v>0</v>
      </c>
      <c r="AJ842" s="77"/>
      <c r="AK842" s="77"/>
      <c r="AL842" s="77"/>
      <c r="AM842" s="77"/>
      <c r="AN842" s="77"/>
      <c r="AO842" s="77"/>
      <c r="AP842" s="77"/>
      <c r="AQ842" s="77" t="s">
        <v>4020</v>
      </c>
      <c r="AR842" s="77"/>
      <c r="AS842" s="77"/>
      <c r="AT842" s="77"/>
      <c r="AU842" s="77"/>
      <c r="AV842" s="80" t="str">
        <f>HYPERLINK("https://pbs.twimg.com/media/F2ZTqawW0AABZji.jpg")</f>
        <v>https://pbs.twimg.com/media/F2ZTqawW0AABZji.jpg</v>
      </c>
      <c r="AW842" s="82" t="s">
        <v>4893</v>
      </c>
      <c r="AX842" s="82" t="s">
        <v>4893</v>
      </c>
      <c r="AY842" s="77"/>
      <c r="AZ842" s="82" t="s">
        <v>5075</v>
      </c>
      <c r="BA842" s="82" t="s">
        <v>5075</v>
      </c>
      <c r="BB842" s="82" t="s">
        <v>5075</v>
      </c>
      <c r="BC842" s="82" t="s">
        <v>4893</v>
      </c>
      <c r="BD842" s="82" t="s">
        <v>5262</v>
      </c>
      <c r="BE842" s="77"/>
      <c r="BF842" s="77"/>
      <c r="BG842" s="77"/>
      <c r="BH842" s="77"/>
      <c r="BI842" s="77"/>
    </row>
    <row r="843" spans="1:61" x14ac:dyDescent="0.25">
      <c r="A843" s="62" t="s">
        <v>483</v>
      </c>
      <c r="B843" s="62" t="s">
        <v>483</v>
      </c>
      <c r="C843" s="63"/>
      <c r="D843" s="64"/>
      <c r="E843" s="65"/>
      <c r="F843" s="66"/>
      <c r="G843" s="63"/>
      <c r="H843" s="67"/>
      <c r="I843" s="68"/>
      <c r="J843" s="68"/>
      <c r="K843" s="32"/>
      <c r="L843" s="75">
        <v>843</v>
      </c>
      <c r="M843" s="75"/>
      <c r="N843" s="70"/>
      <c r="O843" s="77" t="s">
        <v>179</v>
      </c>
      <c r="P843" s="79">
        <v>45059.418055555558</v>
      </c>
      <c r="Q843" s="77" t="s">
        <v>1370</v>
      </c>
      <c r="R843" s="77">
        <v>0</v>
      </c>
      <c r="S843" s="77">
        <v>0</v>
      </c>
      <c r="T843" s="77">
        <v>0</v>
      </c>
      <c r="U843" s="77">
        <v>0</v>
      </c>
      <c r="V843" s="77">
        <v>14</v>
      </c>
      <c r="W843" s="82" t="s">
        <v>1921</v>
      </c>
      <c r="X843" s="77"/>
      <c r="Y843" s="77"/>
      <c r="Z843" s="77"/>
      <c r="AA843" s="77"/>
      <c r="AB843" s="77"/>
      <c r="AC843" s="82" t="s">
        <v>2639</v>
      </c>
      <c r="AD843" s="77" t="s">
        <v>2670</v>
      </c>
      <c r="AE843" s="80" t="str">
        <f>HYPERLINK("https://twitter.com/dividazero/status/1657325310415888388")</f>
        <v>https://twitter.com/dividazero/status/1657325310415888388</v>
      </c>
      <c r="AF843" s="79">
        <v>45059.418055555558</v>
      </c>
      <c r="AG843" s="85">
        <v>45059</v>
      </c>
      <c r="AH843" s="82" t="s">
        <v>3343</v>
      </c>
      <c r="AI843" s="77"/>
      <c r="AJ843" s="77"/>
      <c r="AK843" s="77"/>
      <c r="AL843" s="77"/>
      <c r="AM843" s="77"/>
      <c r="AN843" s="77"/>
      <c r="AO843" s="77"/>
      <c r="AP843" s="77"/>
      <c r="AQ843" s="77"/>
      <c r="AR843" s="77"/>
      <c r="AS843" s="77"/>
      <c r="AT843" s="77"/>
      <c r="AU843" s="77"/>
      <c r="AV843" s="80" t="str">
        <f>HYPERLINK("https://pbs.twimg.com/profile_images/1414576179131072512/vS1i_s2K_normal.jpg")</f>
        <v>https://pbs.twimg.com/profile_images/1414576179131072512/vS1i_s2K_normal.jpg</v>
      </c>
      <c r="AW843" s="82" t="s">
        <v>4894</v>
      </c>
      <c r="AX843" s="82" t="s">
        <v>4894</v>
      </c>
      <c r="AY843" s="77"/>
      <c r="AZ843" s="82" t="s">
        <v>5075</v>
      </c>
      <c r="BA843" s="82" t="s">
        <v>5075</v>
      </c>
      <c r="BB843" s="82" t="s">
        <v>5075</v>
      </c>
      <c r="BC843" s="82" t="s">
        <v>4894</v>
      </c>
      <c r="BD843" s="77">
        <v>112222090</v>
      </c>
      <c r="BE843" s="77"/>
      <c r="BF843" s="77"/>
      <c r="BG843" s="77"/>
      <c r="BH843" s="77"/>
      <c r="BI843" s="77"/>
    </row>
    <row r="844" spans="1:61" x14ac:dyDescent="0.25">
      <c r="A844" s="62" t="s">
        <v>484</v>
      </c>
      <c r="B844" s="62" t="s">
        <v>534</v>
      </c>
      <c r="C844" s="63"/>
      <c r="D844" s="64"/>
      <c r="E844" s="65"/>
      <c r="F844" s="66"/>
      <c r="G844" s="63"/>
      <c r="H844" s="67"/>
      <c r="I844" s="68"/>
      <c r="J844" s="68"/>
      <c r="K844" s="32"/>
      <c r="L844" s="75">
        <v>844</v>
      </c>
      <c r="M844" s="75"/>
      <c r="N844" s="70"/>
      <c r="O844" s="77" t="s">
        <v>539</v>
      </c>
      <c r="P844" s="79">
        <v>45026.434259259258</v>
      </c>
      <c r="Q844" s="77" t="s">
        <v>1371</v>
      </c>
      <c r="R844" s="77">
        <v>0</v>
      </c>
      <c r="S844" s="77">
        <v>3</v>
      </c>
      <c r="T844" s="77">
        <v>0</v>
      </c>
      <c r="U844" s="77">
        <v>0</v>
      </c>
      <c r="V844" s="77">
        <v>38</v>
      </c>
      <c r="W844" s="82" t="s">
        <v>1922</v>
      </c>
      <c r="X844" s="80" t="str">
        <f>HYPERLINK("https://valor.globo.com/financas/consultorio-financeiro/coluna/morar-de-aluguel-e-investir-ou-comprar-imovel-a-vista-o-que-vale-mais-a-pena.ghtml")</f>
        <v>https://valor.globo.com/financas/consultorio-financeiro/coluna/morar-de-aluguel-e-investir-ou-comprar-imovel-a-vista-o-que-vale-mais-a-pena.ghtml</v>
      </c>
      <c r="Y844" s="77" t="s">
        <v>2000</v>
      </c>
      <c r="Z844" s="77" t="s">
        <v>534</v>
      </c>
      <c r="AA844" s="77"/>
      <c r="AB844" s="77"/>
      <c r="AC844" s="82" t="s">
        <v>2638</v>
      </c>
      <c r="AD844" s="77" t="s">
        <v>2670</v>
      </c>
      <c r="AE844" s="80" t="str">
        <f>HYPERLINK("https://twitter.com/adrianadelucca/status/1645372385116446720")</f>
        <v>https://twitter.com/adrianadelucca/status/1645372385116446720</v>
      </c>
      <c r="AF844" s="79">
        <v>45026.434259259258</v>
      </c>
      <c r="AG844" s="85">
        <v>45026</v>
      </c>
      <c r="AH844" s="82" t="s">
        <v>3344</v>
      </c>
      <c r="AI844" s="77" t="b">
        <v>0</v>
      </c>
      <c r="AJ844" s="77"/>
      <c r="AK844" s="77"/>
      <c r="AL844" s="77"/>
      <c r="AM844" s="77"/>
      <c r="AN844" s="77"/>
      <c r="AO844" s="77"/>
      <c r="AP844" s="77"/>
      <c r="AQ844" s="77"/>
      <c r="AR844" s="77"/>
      <c r="AS844" s="77"/>
      <c r="AT844" s="77"/>
      <c r="AU844" s="77"/>
      <c r="AV844" s="80" t="str">
        <f>HYPERLINK("https://pbs.twimg.com/profile_images/1157457344336465920/rNRUUP4S_normal.jpg")</f>
        <v>https://pbs.twimg.com/profile_images/1157457344336465920/rNRUUP4S_normal.jpg</v>
      </c>
      <c r="AW844" s="82" t="s">
        <v>4895</v>
      </c>
      <c r="AX844" s="82" t="s">
        <v>4895</v>
      </c>
      <c r="AY844" s="77"/>
      <c r="AZ844" s="82" t="s">
        <v>5075</v>
      </c>
      <c r="BA844" s="82" t="s">
        <v>5075</v>
      </c>
      <c r="BB844" s="82" t="s">
        <v>5075</v>
      </c>
      <c r="BC844" s="82" t="s">
        <v>4895</v>
      </c>
      <c r="BD844" s="77">
        <v>213998056</v>
      </c>
      <c r="BE844" s="77"/>
      <c r="BF844" s="77"/>
      <c r="BG844" s="77"/>
      <c r="BH844" s="77"/>
      <c r="BI844" s="77"/>
    </row>
    <row r="845" spans="1:61" x14ac:dyDescent="0.25">
      <c r="A845" s="62" t="s">
        <v>485</v>
      </c>
      <c r="B845" s="62" t="s">
        <v>485</v>
      </c>
      <c r="C845" s="63"/>
      <c r="D845" s="64"/>
      <c r="E845" s="65"/>
      <c r="F845" s="66"/>
      <c r="G845" s="63"/>
      <c r="H845" s="67"/>
      <c r="I845" s="68"/>
      <c r="J845" s="68"/>
      <c r="K845" s="32"/>
      <c r="L845" s="75">
        <v>845</v>
      </c>
      <c r="M845" s="75"/>
      <c r="N845" s="70"/>
      <c r="O845" s="77" t="s">
        <v>179</v>
      </c>
      <c r="P845" s="79">
        <v>45120.521770833337</v>
      </c>
      <c r="Q845" s="77" t="s">
        <v>1372</v>
      </c>
      <c r="R845" s="77">
        <v>0</v>
      </c>
      <c r="S845" s="77">
        <v>0</v>
      </c>
      <c r="T845" s="77">
        <v>0</v>
      </c>
      <c r="U845" s="77">
        <v>0</v>
      </c>
      <c r="V845" s="77">
        <v>7</v>
      </c>
      <c r="W845" s="82" t="s">
        <v>1923</v>
      </c>
      <c r="X845" s="80" t="str">
        <f>HYPERLINK("http://fluir.ibgtaubate.com.br")</f>
        <v>http://fluir.ibgtaubate.com.br</v>
      </c>
      <c r="Y845" s="77" t="s">
        <v>1978</v>
      </c>
      <c r="Z845" s="77"/>
      <c r="AA845" s="77" t="s">
        <v>2592</v>
      </c>
      <c r="AB845" s="77" t="s">
        <v>2633</v>
      </c>
      <c r="AC845" s="82" t="s">
        <v>2639</v>
      </c>
      <c r="AD845" s="77" t="s">
        <v>2670</v>
      </c>
      <c r="AE845" s="80" t="str">
        <f>HYPERLINK("https://twitter.com/fluir_ibg/status/1679468556138819590")</f>
        <v>https://twitter.com/fluir_ibg/status/1679468556138819590</v>
      </c>
      <c r="AF845" s="79">
        <v>45120.521770833337</v>
      </c>
      <c r="AG845" s="85">
        <v>45120</v>
      </c>
      <c r="AH845" s="82" t="s">
        <v>3337</v>
      </c>
      <c r="AI845" s="77" t="b">
        <v>0</v>
      </c>
      <c r="AJ845" s="77"/>
      <c r="AK845" s="77"/>
      <c r="AL845" s="77"/>
      <c r="AM845" s="77"/>
      <c r="AN845" s="77"/>
      <c r="AO845" s="77"/>
      <c r="AP845" s="77"/>
      <c r="AQ845" s="77" t="s">
        <v>4021</v>
      </c>
      <c r="AR845" s="77">
        <v>30720</v>
      </c>
      <c r="AS845" s="77"/>
      <c r="AT845" s="77"/>
      <c r="AU845" s="77"/>
      <c r="AV845" s="80" t="str">
        <f>HYPERLINK("https://pbs.twimg.com/ext_tw_video_thumb/1679468142328676353/pu/img/LZO9eKPmZvmDnfeU.jpg")</f>
        <v>https://pbs.twimg.com/ext_tw_video_thumb/1679468142328676353/pu/img/LZO9eKPmZvmDnfeU.jpg</v>
      </c>
      <c r="AW845" s="82" t="s">
        <v>4896</v>
      </c>
      <c r="AX845" s="82" t="s">
        <v>4896</v>
      </c>
      <c r="AY845" s="77"/>
      <c r="AZ845" s="82" t="s">
        <v>5075</v>
      </c>
      <c r="BA845" s="82" t="s">
        <v>5075</v>
      </c>
      <c r="BB845" s="82" t="s">
        <v>5075</v>
      </c>
      <c r="BC845" s="82" t="s">
        <v>4896</v>
      </c>
      <c r="BD845" s="82" t="s">
        <v>5263</v>
      </c>
      <c r="BE845" s="77"/>
      <c r="BF845" s="77"/>
      <c r="BG845" s="77"/>
      <c r="BH845" s="77"/>
      <c r="BI845" s="77"/>
    </row>
    <row r="846" spans="1:61" x14ac:dyDescent="0.25">
      <c r="A846" s="62" t="s">
        <v>485</v>
      </c>
      <c r="B846" s="62" t="s">
        <v>485</v>
      </c>
      <c r="C846" s="63"/>
      <c r="D846" s="64"/>
      <c r="E846" s="65"/>
      <c r="F846" s="66"/>
      <c r="G846" s="63"/>
      <c r="H846" s="67"/>
      <c r="I846" s="68"/>
      <c r="J846" s="68"/>
      <c r="K846" s="32"/>
      <c r="L846" s="75">
        <v>846</v>
      </c>
      <c r="M846" s="75"/>
      <c r="N846" s="70"/>
      <c r="O846" s="77" t="s">
        <v>179</v>
      </c>
      <c r="P846" s="79">
        <v>45122.028032407405</v>
      </c>
      <c r="Q846" s="77" t="s">
        <v>1373</v>
      </c>
      <c r="R846" s="77">
        <v>0</v>
      </c>
      <c r="S846" s="77">
        <v>0</v>
      </c>
      <c r="T846" s="77">
        <v>0</v>
      </c>
      <c r="U846" s="77">
        <v>0</v>
      </c>
      <c r="V846" s="77">
        <v>4</v>
      </c>
      <c r="W846" s="82" t="s">
        <v>1924</v>
      </c>
      <c r="X846" s="80" t="str">
        <f>HYPERLINK("http://fluir.ibgtaubate.com.br/inscreva-se")</f>
        <v>http://fluir.ibgtaubate.com.br/inscreva-se</v>
      </c>
      <c r="Y846" s="77" t="s">
        <v>1978</v>
      </c>
      <c r="Z846" s="77"/>
      <c r="AA846" s="77" t="s">
        <v>2593</v>
      </c>
      <c r="AB846" s="77" t="s">
        <v>2633</v>
      </c>
      <c r="AC846" s="82" t="s">
        <v>2639</v>
      </c>
      <c r="AD846" s="77" t="s">
        <v>2670</v>
      </c>
      <c r="AE846" s="80" t="str">
        <f>HYPERLINK("https://twitter.com/fluir_ibg/status/1680014407282114561")</f>
        <v>https://twitter.com/fluir_ibg/status/1680014407282114561</v>
      </c>
      <c r="AF846" s="79">
        <v>45122.028032407405</v>
      </c>
      <c r="AG846" s="85">
        <v>45122</v>
      </c>
      <c r="AH846" s="82" t="s">
        <v>3345</v>
      </c>
      <c r="AI846" s="77" t="b">
        <v>0</v>
      </c>
      <c r="AJ846" s="77"/>
      <c r="AK846" s="77"/>
      <c r="AL846" s="77"/>
      <c r="AM846" s="77"/>
      <c r="AN846" s="77"/>
      <c r="AO846" s="77"/>
      <c r="AP846" s="77"/>
      <c r="AQ846" s="77" t="s">
        <v>4022</v>
      </c>
      <c r="AR846" s="77">
        <v>56625</v>
      </c>
      <c r="AS846" s="77"/>
      <c r="AT846" s="77"/>
      <c r="AU846" s="77"/>
      <c r="AV846" s="80" t="str">
        <f>HYPERLINK("https://pbs.twimg.com/ext_tw_video_thumb/1680012872728956929/pu/img/erZ6cMOViwm95upH.jpg")</f>
        <v>https://pbs.twimg.com/ext_tw_video_thumb/1680012872728956929/pu/img/erZ6cMOViwm95upH.jpg</v>
      </c>
      <c r="AW846" s="82" t="s">
        <v>4897</v>
      </c>
      <c r="AX846" s="82" t="s">
        <v>4897</v>
      </c>
      <c r="AY846" s="77"/>
      <c r="AZ846" s="82" t="s">
        <v>5075</v>
      </c>
      <c r="BA846" s="82" t="s">
        <v>5075</v>
      </c>
      <c r="BB846" s="82" t="s">
        <v>5075</v>
      </c>
      <c r="BC846" s="82" t="s">
        <v>4897</v>
      </c>
      <c r="BD846" s="82" t="s">
        <v>5263</v>
      </c>
      <c r="BE846" s="77"/>
      <c r="BF846" s="77"/>
      <c r="BG846" s="77"/>
      <c r="BH846" s="77"/>
      <c r="BI846" s="77"/>
    </row>
    <row r="847" spans="1:61" x14ac:dyDescent="0.25">
      <c r="A847" s="62" t="s">
        <v>485</v>
      </c>
      <c r="B847" s="62" t="s">
        <v>485</v>
      </c>
      <c r="C847" s="63"/>
      <c r="D847" s="64"/>
      <c r="E847" s="65"/>
      <c r="F847" s="66"/>
      <c r="G847" s="63"/>
      <c r="H847" s="67"/>
      <c r="I847" s="68"/>
      <c r="J847" s="68"/>
      <c r="K847" s="32"/>
      <c r="L847" s="75">
        <v>847</v>
      </c>
      <c r="M847" s="75"/>
      <c r="N847" s="70"/>
      <c r="O847" s="77" t="s">
        <v>179</v>
      </c>
      <c r="P847" s="79">
        <v>45111.729687500003</v>
      </c>
      <c r="Q847" s="77" t="s">
        <v>1374</v>
      </c>
      <c r="R847" s="77">
        <v>0</v>
      </c>
      <c r="S847" s="77">
        <v>0</v>
      </c>
      <c r="T847" s="77">
        <v>0</v>
      </c>
      <c r="U847" s="77">
        <v>0</v>
      </c>
      <c r="V847" s="77">
        <v>2</v>
      </c>
      <c r="W847" s="82" t="s">
        <v>1925</v>
      </c>
      <c r="X847" s="80" t="str">
        <f>HYPERLINK("http://fluir.ibgtaubate.com.br")</f>
        <v>http://fluir.ibgtaubate.com.br</v>
      </c>
      <c r="Y847" s="77" t="s">
        <v>1978</v>
      </c>
      <c r="Z847" s="77"/>
      <c r="AA847" s="77" t="s">
        <v>2594</v>
      </c>
      <c r="AB847" s="77" t="s">
        <v>2632</v>
      </c>
      <c r="AC847" s="82" t="s">
        <v>2642</v>
      </c>
      <c r="AD847" s="77" t="s">
        <v>2670</v>
      </c>
      <c r="AE847" s="80" t="str">
        <f>HYPERLINK("https://twitter.com/fluir_ibg/status/1676282412207054858")</f>
        <v>https://twitter.com/fluir_ibg/status/1676282412207054858</v>
      </c>
      <c r="AF847" s="79">
        <v>45111.729687500003</v>
      </c>
      <c r="AG847" s="85">
        <v>45111</v>
      </c>
      <c r="AH847" s="82" t="s">
        <v>3346</v>
      </c>
      <c r="AI847" s="77" t="b">
        <v>0</v>
      </c>
      <c r="AJ847" s="77"/>
      <c r="AK847" s="77"/>
      <c r="AL847" s="77"/>
      <c r="AM847" s="77"/>
      <c r="AN847" s="77"/>
      <c r="AO847" s="77"/>
      <c r="AP847" s="77"/>
      <c r="AQ847" s="77" t="s">
        <v>4023</v>
      </c>
      <c r="AR847" s="77"/>
      <c r="AS847" s="77"/>
      <c r="AT847" s="77"/>
      <c r="AU847" s="77"/>
      <c r="AV847" s="80" t="str">
        <f>HYPERLINK("https://pbs.twimg.com/media/F0NZ-G4WIAIe2Tk.jpg")</f>
        <v>https://pbs.twimg.com/media/F0NZ-G4WIAIe2Tk.jpg</v>
      </c>
      <c r="AW847" s="82" t="s">
        <v>4898</v>
      </c>
      <c r="AX847" s="82" t="s">
        <v>4898</v>
      </c>
      <c r="AY847" s="77"/>
      <c r="AZ847" s="82" t="s">
        <v>5075</v>
      </c>
      <c r="BA847" s="82" t="s">
        <v>5075</v>
      </c>
      <c r="BB847" s="82" t="s">
        <v>5075</v>
      </c>
      <c r="BC847" s="82" t="s">
        <v>4898</v>
      </c>
      <c r="BD847" s="82" t="s">
        <v>5263</v>
      </c>
      <c r="BE847" s="77"/>
      <c r="BF847" s="77"/>
      <c r="BG847" s="77"/>
      <c r="BH847" s="77"/>
      <c r="BI847" s="77"/>
    </row>
    <row r="848" spans="1:61" x14ac:dyDescent="0.25">
      <c r="A848" s="62" t="s">
        <v>485</v>
      </c>
      <c r="B848" s="62" t="s">
        <v>485</v>
      </c>
      <c r="C848" s="63"/>
      <c r="D848" s="64"/>
      <c r="E848" s="65"/>
      <c r="F848" s="66"/>
      <c r="G848" s="63"/>
      <c r="H848" s="67"/>
      <c r="I848" s="68"/>
      <c r="J848" s="68"/>
      <c r="K848" s="32"/>
      <c r="L848" s="75">
        <v>848</v>
      </c>
      <c r="M848" s="75"/>
      <c r="N848" s="70"/>
      <c r="O848" s="77" t="s">
        <v>179</v>
      </c>
      <c r="P848" s="79">
        <v>45119.753958333335</v>
      </c>
      <c r="Q848" s="77" t="s">
        <v>1375</v>
      </c>
      <c r="R848" s="77">
        <v>0</v>
      </c>
      <c r="S848" s="77">
        <v>0</v>
      </c>
      <c r="T848" s="77">
        <v>0</v>
      </c>
      <c r="U848" s="77">
        <v>0</v>
      </c>
      <c r="V848" s="77">
        <v>9</v>
      </c>
      <c r="W848" s="82" t="s">
        <v>1926</v>
      </c>
      <c r="X848" s="77"/>
      <c r="Y848" s="77"/>
      <c r="Z848" s="77"/>
      <c r="AA848" s="77" t="s">
        <v>2595</v>
      </c>
      <c r="AB848" s="77" t="s">
        <v>2633</v>
      </c>
      <c r="AC848" s="82" t="s">
        <v>2642</v>
      </c>
      <c r="AD848" s="77" t="s">
        <v>2670</v>
      </c>
      <c r="AE848" s="80" t="str">
        <f>HYPERLINK("https://twitter.com/fluir_ibg/status/1679190310147223554")</f>
        <v>https://twitter.com/fluir_ibg/status/1679190310147223554</v>
      </c>
      <c r="AF848" s="79">
        <v>45119.753958333335</v>
      </c>
      <c r="AG848" s="85">
        <v>45119</v>
      </c>
      <c r="AH848" s="82" t="s">
        <v>3347</v>
      </c>
      <c r="AI848" s="77" t="b">
        <v>0</v>
      </c>
      <c r="AJ848" s="77"/>
      <c r="AK848" s="77"/>
      <c r="AL848" s="77"/>
      <c r="AM848" s="77"/>
      <c r="AN848" s="77"/>
      <c r="AO848" s="77"/>
      <c r="AP848" s="77"/>
      <c r="AQ848" s="77" t="s">
        <v>4024</v>
      </c>
      <c r="AR848" s="77">
        <v>36958</v>
      </c>
      <c r="AS848" s="77"/>
      <c r="AT848" s="77"/>
      <c r="AU848" s="77"/>
      <c r="AV848" s="80" t="str">
        <f>HYPERLINK("https://pbs.twimg.com/ext_tw_video_thumb/1679190183785250816/pu/img/Qaisman1by3mUh69.jpg")</f>
        <v>https://pbs.twimg.com/ext_tw_video_thumb/1679190183785250816/pu/img/Qaisman1by3mUh69.jpg</v>
      </c>
      <c r="AW848" s="82" t="s">
        <v>4899</v>
      </c>
      <c r="AX848" s="82" t="s">
        <v>4899</v>
      </c>
      <c r="AY848" s="77"/>
      <c r="AZ848" s="82" t="s">
        <v>5075</v>
      </c>
      <c r="BA848" s="82" t="s">
        <v>5075</v>
      </c>
      <c r="BB848" s="82" t="s">
        <v>5075</v>
      </c>
      <c r="BC848" s="82" t="s">
        <v>4899</v>
      </c>
      <c r="BD848" s="82" t="s">
        <v>5263</v>
      </c>
      <c r="BE848" s="77"/>
      <c r="BF848" s="77"/>
      <c r="BG848" s="77"/>
      <c r="BH848" s="77"/>
      <c r="BI848" s="77"/>
    </row>
    <row r="849" spans="1:61" x14ac:dyDescent="0.25">
      <c r="A849" s="62" t="s">
        <v>486</v>
      </c>
      <c r="B849" s="62" t="s">
        <v>486</v>
      </c>
      <c r="C849" s="63"/>
      <c r="D849" s="64"/>
      <c r="E849" s="65"/>
      <c r="F849" s="66"/>
      <c r="G849" s="63"/>
      <c r="H849" s="67"/>
      <c r="I849" s="68"/>
      <c r="J849" s="68"/>
      <c r="K849" s="32"/>
      <c r="L849" s="75">
        <v>849</v>
      </c>
      <c r="M849" s="75"/>
      <c r="N849" s="70"/>
      <c r="O849" s="77" t="s">
        <v>179</v>
      </c>
      <c r="P849" s="79">
        <v>44944.531875000001</v>
      </c>
      <c r="Q849" s="77" t="s">
        <v>1376</v>
      </c>
      <c r="R849" s="77">
        <v>0</v>
      </c>
      <c r="S849" s="77">
        <v>0</v>
      </c>
      <c r="T849" s="77">
        <v>0</v>
      </c>
      <c r="U849" s="77">
        <v>0</v>
      </c>
      <c r="V849" s="77">
        <v>107</v>
      </c>
      <c r="W849" s="82" t="s">
        <v>1927</v>
      </c>
      <c r="X849" s="80" t="str">
        <f>HYPERLINK("https://www.instagram.com/p/CnjpfpzOAXa/?igshid=YTgzYjQ4ZTY=")</f>
        <v>https://www.instagram.com/p/CnjpfpzOAXa/?igshid=YTgzYjQ4ZTY=</v>
      </c>
      <c r="Y849" s="77" t="s">
        <v>1974</v>
      </c>
      <c r="Z849" s="77"/>
      <c r="AA849" s="77"/>
      <c r="AB849" s="77"/>
      <c r="AC849" s="82" t="s">
        <v>2644</v>
      </c>
      <c r="AD849" s="77" t="s">
        <v>2670</v>
      </c>
      <c r="AE849" s="80" t="str">
        <f>HYPERLINK("https://twitter.com/casalconsorcio/status/1615691955022823425")</f>
        <v>https://twitter.com/casalconsorcio/status/1615691955022823425</v>
      </c>
      <c r="AF849" s="79">
        <v>44944.531875000001</v>
      </c>
      <c r="AG849" s="85">
        <v>44944</v>
      </c>
      <c r="AH849" s="82" t="s">
        <v>3348</v>
      </c>
      <c r="AI849" s="77" t="b">
        <v>0</v>
      </c>
      <c r="AJ849" s="77" t="s">
        <v>3408</v>
      </c>
      <c r="AK849" s="77" t="s">
        <v>3410</v>
      </c>
      <c r="AL849" s="77" t="s">
        <v>3411</v>
      </c>
      <c r="AM849" s="77" t="s">
        <v>3420</v>
      </c>
      <c r="AN849" s="77" t="s">
        <v>3430</v>
      </c>
      <c r="AO849" s="77" t="s">
        <v>3440</v>
      </c>
      <c r="AP849" s="77" t="s">
        <v>3442</v>
      </c>
      <c r="AQ849" s="77"/>
      <c r="AR849" s="77"/>
      <c r="AS849" s="77"/>
      <c r="AT849" s="77"/>
      <c r="AU849" s="77"/>
      <c r="AV849" s="80" t="str">
        <f>HYPERLINK("https://pbs.twimg.com/profile_images/1625481051442147328/mgalMCqx_normal.jpg")</f>
        <v>https://pbs.twimg.com/profile_images/1625481051442147328/mgalMCqx_normal.jpg</v>
      </c>
      <c r="AW849" s="82" t="s">
        <v>4900</v>
      </c>
      <c r="AX849" s="82" t="s">
        <v>4900</v>
      </c>
      <c r="AY849" s="77"/>
      <c r="AZ849" s="82" t="s">
        <v>5075</v>
      </c>
      <c r="BA849" s="82" t="s">
        <v>5075</v>
      </c>
      <c r="BB849" s="82" t="s">
        <v>5075</v>
      </c>
      <c r="BC849" s="82" t="s">
        <v>4900</v>
      </c>
      <c r="BD849" s="82" t="s">
        <v>5264</v>
      </c>
      <c r="BE849" s="77"/>
      <c r="BF849" s="77"/>
      <c r="BG849" s="77"/>
      <c r="BH849" s="77"/>
      <c r="BI849" s="77"/>
    </row>
    <row r="850" spans="1:61" x14ac:dyDescent="0.25">
      <c r="A850" s="62" t="s">
        <v>486</v>
      </c>
      <c r="B850" s="62" t="s">
        <v>486</v>
      </c>
      <c r="C850" s="63"/>
      <c r="D850" s="64"/>
      <c r="E850" s="65"/>
      <c r="F850" s="66"/>
      <c r="G850" s="63"/>
      <c r="H850" s="67"/>
      <c r="I850" s="68"/>
      <c r="J850" s="68"/>
      <c r="K850" s="32"/>
      <c r="L850" s="75">
        <v>850</v>
      </c>
      <c r="M850" s="75"/>
      <c r="N850" s="70"/>
      <c r="O850" s="77" t="s">
        <v>179</v>
      </c>
      <c r="P850" s="79">
        <v>44942.637106481481</v>
      </c>
      <c r="Q850" s="77" t="s">
        <v>1377</v>
      </c>
      <c r="R850" s="77">
        <v>0</v>
      </c>
      <c r="S850" s="77">
        <v>0</v>
      </c>
      <c r="T850" s="77">
        <v>0</v>
      </c>
      <c r="U850" s="77">
        <v>0</v>
      </c>
      <c r="V850" s="77">
        <v>43</v>
      </c>
      <c r="W850" s="82" t="s">
        <v>1928</v>
      </c>
      <c r="X850" s="80" t="str">
        <f>HYPERLINK("https://www.instagram.com/p/CnexPlfObFg/?igshid=YTgzYjQ4ZTY=")</f>
        <v>https://www.instagram.com/p/CnexPlfObFg/?igshid=YTgzYjQ4ZTY=</v>
      </c>
      <c r="Y850" s="77" t="s">
        <v>1974</v>
      </c>
      <c r="Z850" s="77"/>
      <c r="AA850" s="77"/>
      <c r="AB850" s="77"/>
      <c r="AC850" s="82" t="s">
        <v>2644</v>
      </c>
      <c r="AD850" s="77" t="s">
        <v>2670</v>
      </c>
      <c r="AE850" s="80" t="str">
        <f>HYPERLINK("https://twitter.com/casalconsorcio/status/1615005311391203331")</f>
        <v>https://twitter.com/casalconsorcio/status/1615005311391203331</v>
      </c>
      <c r="AF850" s="79">
        <v>44942.637106481481</v>
      </c>
      <c r="AG850" s="85">
        <v>44942</v>
      </c>
      <c r="AH850" s="82" t="s">
        <v>3349</v>
      </c>
      <c r="AI850" s="77" t="b">
        <v>0</v>
      </c>
      <c r="AJ850" s="77" t="s">
        <v>3408</v>
      </c>
      <c r="AK850" s="77" t="s">
        <v>3410</v>
      </c>
      <c r="AL850" s="77" t="s">
        <v>3411</v>
      </c>
      <c r="AM850" s="77" t="s">
        <v>3420</v>
      </c>
      <c r="AN850" s="77" t="s">
        <v>3430</v>
      </c>
      <c r="AO850" s="77" t="s">
        <v>3440</v>
      </c>
      <c r="AP850" s="77" t="s">
        <v>3442</v>
      </c>
      <c r="AQ850" s="77"/>
      <c r="AR850" s="77"/>
      <c r="AS850" s="77"/>
      <c r="AT850" s="77"/>
      <c r="AU850" s="77"/>
      <c r="AV850" s="80" t="str">
        <f>HYPERLINK("https://pbs.twimg.com/profile_images/1625481051442147328/mgalMCqx_normal.jpg")</f>
        <v>https://pbs.twimg.com/profile_images/1625481051442147328/mgalMCqx_normal.jpg</v>
      </c>
      <c r="AW850" s="82" t="s">
        <v>4901</v>
      </c>
      <c r="AX850" s="82" t="s">
        <v>4901</v>
      </c>
      <c r="AY850" s="77"/>
      <c r="AZ850" s="82" t="s">
        <v>5075</v>
      </c>
      <c r="BA850" s="82" t="s">
        <v>5075</v>
      </c>
      <c r="BB850" s="82" t="s">
        <v>5075</v>
      </c>
      <c r="BC850" s="82" t="s">
        <v>4901</v>
      </c>
      <c r="BD850" s="82" t="s">
        <v>5264</v>
      </c>
      <c r="BE850" s="77"/>
      <c r="BF850" s="77"/>
      <c r="BG850" s="77"/>
      <c r="BH850" s="77"/>
      <c r="BI850" s="77"/>
    </row>
    <row r="851" spans="1:61" x14ac:dyDescent="0.25">
      <c r="A851" s="62" t="s">
        <v>487</v>
      </c>
      <c r="B851" s="62" t="s">
        <v>487</v>
      </c>
      <c r="C851" s="63"/>
      <c r="D851" s="64"/>
      <c r="E851" s="65"/>
      <c r="F851" s="66"/>
      <c r="G851" s="63"/>
      <c r="H851" s="67"/>
      <c r="I851" s="68"/>
      <c r="J851" s="68"/>
      <c r="K851" s="32"/>
      <c r="L851" s="75">
        <v>851</v>
      </c>
      <c r="M851" s="75"/>
      <c r="N851" s="70"/>
      <c r="O851" s="77" t="s">
        <v>179</v>
      </c>
      <c r="P851" s="79">
        <v>44977.834062499998</v>
      </c>
      <c r="Q851" s="77" t="s">
        <v>1378</v>
      </c>
      <c r="R851" s="77">
        <v>0</v>
      </c>
      <c r="S851" s="77">
        <v>0</v>
      </c>
      <c r="T851" s="77">
        <v>0</v>
      </c>
      <c r="U851" s="77">
        <v>0</v>
      </c>
      <c r="V851" s="77">
        <v>4</v>
      </c>
      <c r="W851" s="82" t="s">
        <v>1929</v>
      </c>
      <c r="X851" s="77"/>
      <c r="Y851" s="77"/>
      <c r="Z851" s="77"/>
      <c r="AA851" s="77" t="s">
        <v>2596</v>
      </c>
      <c r="AB851" s="77" t="s">
        <v>2632</v>
      </c>
      <c r="AC851" s="82" t="s">
        <v>2642</v>
      </c>
      <c r="AD851" s="77" t="s">
        <v>2670</v>
      </c>
      <c r="AE851" s="80" t="str">
        <f>HYPERLINK("https://twitter.com/radio54online/status/1627760261330264069")</f>
        <v>https://twitter.com/radio54online/status/1627760261330264069</v>
      </c>
      <c r="AF851" s="79">
        <v>44977.834062499998</v>
      </c>
      <c r="AG851" s="85">
        <v>44977</v>
      </c>
      <c r="AH851" s="82" t="s">
        <v>3350</v>
      </c>
      <c r="AI851" s="77" t="b">
        <v>0</v>
      </c>
      <c r="AJ851" s="77"/>
      <c r="AK851" s="77"/>
      <c r="AL851" s="77"/>
      <c r="AM851" s="77"/>
      <c r="AN851" s="77"/>
      <c r="AO851" s="77"/>
      <c r="AP851" s="77"/>
      <c r="AQ851" s="77" t="s">
        <v>4025</v>
      </c>
      <c r="AR851" s="77"/>
      <c r="AS851" s="77"/>
      <c r="AT851" s="77"/>
      <c r="AU851" s="77"/>
      <c r="AV851" s="80" t="str">
        <f>HYPERLINK("https://pbs.twimg.com/media/Fpb3VNXX0Aw_zYQ.jpg")</f>
        <v>https://pbs.twimg.com/media/Fpb3VNXX0Aw_zYQ.jpg</v>
      </c>
      <c r="AW851" s="82" t="s">
        <v>4902</v>
      </c>
      <c r="AX851" s="82" t="s">
        <v>4902</v>
      </c>
      <c r="AY851" s="77"/>
      <c r="AZ851" s="82" t="s">
        <v>5075</v>
      </c>
      <c r="BA851" s="82" t="s">
        <v>5075</v>
      </c>
      <c r="BB851" s="82" t="s">
        <v>5075</v>
      </c>
      <c r="BC851" s="82" t="s">
        <v>4902</v>
      </c>
      <c r="BD851" s="77">
        <v>3386454485</v>
      </c>
      <c r="BE851" s="77"/>
      <c r="BF851" s="77"/>
      <c r="BG851" s="77"/>
      <c r="BH851" s="77"/>
      <c r="BI851" s="77"/>
    </row>
    <row r="852" spans="1:61" x14ac:dyDescent="0.25">
      <c r="A852" s="62" t="s">
        <v>488</v>
      </c>
      <c r="B852" s="62" t="s">
        <v>488</v>
      </c>
      <c r="C852" s="63"/>
      <c r="D852" s="64"/>
      <c r="E852" s="65"/>
      <c r="F852" s="66"/>
      <c r="G852" s="63"/>
      <c r="H852" s="67"/>
      <c r="I852" s="68"/>
      <c r="J852" s="68"/>
      <c r="K852" s="32"/>
      <c r="L852" s="75">
        <v>852</v>
      </c>
      <c r="M852" s="75"/>
      <c r="N852" s="70"/>
      <c r="O852" s="77" t="s">
        <v>179</v>
      </c>
      <c r="P852" s="79">
        <v>45196.42564814815</v>
      </c>
      <c r="Q852" s="77" t="s">
        <v>1379</v>
      </c>
      <c r="R852" s="77">
        <v>1</v>
      </c>
      <c r="S852" s="77">
        <v>1</v>
      </c>
      <c r="T852" s="77">
        <v>0</v>
      </c>
      <c r="U852" s="77">
        <v>0</v>
      </c>
      <c r="V852" s="77">
        <v>12</v>
      </c>
      <c r="W852" s="82" t="s">
        <v>1930</v>
      </c>
      <c r="X852" s="77"/>
      <c r="Y852" s="77"/>
      <c r="Z852" s="77"/>
      <c r="AA852" s="77" t="s">
        <v>2597</v>
      </c>
      <c r="AB852" s="77" t="s">
        <v>2632</v>
      </c>
      <c r="AC852" s="82" t="s">
        <v>2640</v>
      </c>
      <c r="AD852" s="77" t="s">
        <v>2670</v>
      </c>
      <c r="AE852" s="80" t="str">
        <f>HYPERLINK("https://twitter.com/montezziconsult/status/1706975198522577112")</f>
        <v>https://twitter.com/montezziconsult/status/1706975198522577112</v>
      </c>
      <c r="AF852" s="79">
        <v>45196.42564814815</v>
      </c>
      <c r="AG852" s="85">
        <v>45196</v>
      </c>
      <c r="AH852" s="82" t="s">
        <v>3351</v>
      </c>
      <c r="AI852" s="77" t="b">
        <v>0</v>
      </c>
      <c r="AJ852" s="77"/>
      <c r="AK852" s="77"/>
      <c r="AL852" s="77"/>
      <c r="AM852" s="77"/>
      <c r="AN852" s="77"/>
      <c r="AO852" s="77"/>
      <c r="AP852" s="77"/>
      <c r="AQ852" s="77" t="s">
        <v>4026</v>
      </c>
      <c r="AR852" s="77"/>
      <c r="AS852" s="77"/>
      <c r="AT852" s="77"/>
      <c r="AU852" s="77"/>
      <c r="AV852" s="80" t="str">
        <f>HYPERLINK("https://pbs.twimg.com/media/F7Bk5LvXwAAzJ3i.jpg")</f>
        <v>https://pbs.twimg.com/media/F7Bk5LvXwAAzJ3i.jpg</v>
      </c>
      <c r="AW852" s="82" t="s">
        <v>4903</v>
      </c>
      <c r="AX852" s="82" t="s">
        <v>4903</v>
      </c>
      <c r="AY852" s="77"/>
      <c r="AZ852" s="82" t="s">
        <v>5075</v>
      </c>
      <c r="BA852" s="82" t="s">
        <v>5075</v>
      </c>
      <c r="BB852" s="82" t="s">
        <v>5075</v>
      </c>
      <c r="BC852" s="82" t="s">
        <v>4903</v>
      </c>
      <c r="BD852" s="82" t="s">
        <v>5265</v>
      </c>
      <c r="BE852" s="77"/>
      <c r="BF852" s="77"/>
      <c r="BG852" s="77"/>
      <c r="BH852" s="77"/>
      <c r="BI852" s="77"/>
    </row>
    <row r="853" spans="1:61" x14ac:dyDescent="0.25">
      <c r="A853" s="62" t="s">
        <v>489</v>
      </c>
      <c r="B853" s="62" t="s">
        <v>489</v>
      </c>
      <c r="C853" s="63"/>
      <c r="D853" s="64"/>
      <c r="E853" s="65"/>
      <c r="F853" s="66"/>
      <c r="G853" s="63"/>
      <c r="H853" s="67"/>
      <c r="I853" s="68"/>
      <c r="J853" s="68"/>
      <c r="K853" s="32"/>
      <c r="L853" s="75">
        <v>853</v>
      </c>
      <c r="M853" s="75"/>
      <c r="N853" s="70"/>
      <c r="O853" s="77" t="s">
        <v>179</v>
      </c>
      <c r="P853" s="79">
        <v>45193.47284722222</v>
      </c>
      <c r="Q853" s="77" t="s">
        <v>1380</v>
      </c>
      <c r="R853" s="77">
        <v>0</v>
      </c>
      <c r="S853" s="77">
        <v>0</v>
      </c>
      <c r="T853" s="77">
        <v>0</v>
      </c>
      <c r="U853" s="77">
        <v>0</v>
      </c>
      <c r="V853" s="77">
        <v>52</v>
      </c>
      <c r="W853" s="82" t="s">
        <v>1843</v>
      </c>
      <c r="X853" s="77"/>
      <c r="Y853" s="77"/>
      <c r="Z853" s="77"/>
      <c r="AA853" s="77"/>
      <c r="AB853" s="77"/>
      <c r="AC853" s="82" t="s">
        <v>2638</v>
      </c>
      <c r="AD853" s="77" t="s">
        <v>2670</v>
      </c>
      <c r="AE853" s="80" t="str">
        <f>HYPERLINK("https://twitter.com/financeiroemdia/status/1705905141910782396")</f>
        <v>https://twitter.com/financeiroemdia/status/1705905141910782396</v>
      </c>
      <c r="AF853" s="79">
        <v>45193.47284722222</v>
      </c>
      <c r="AG853" s="85">
        <v>45193</v>
      </c>
      <c r="AH853" s="82" t="s">
        <v>3352</v>
      </c>
      <c r="AI853" s="77"/>
      <c r="AJ853" s="77"/>
      <c r="AK853" s="77"/>
      <c r="AL853" s="77"/>
      <c r="AM853" s="77"/>
      <c r="AN853" s="77"/>
      <c r="AO853" s="77"/>
      <c r="AP853" s="77"/>
      <c r="AQ853" s="77"/>
      <c r="AR853" s="77"/>
      <c r="AS853" s="77"/>
      <c r="AT853" s="77"/>
      <c r="AU853" s="77"/>
      <c r="AV853" s="80" t="str">
        <f>HYPERLINK("https://pbs.twimg.com/profile_images/1704901054918246400/bfda1RM7_normal.jpg")</f>
        <v>https://pbs.twimg.com/profile_images/1704901054918246400/bfda1RM7_normal.jpg</v>
      </c>
      <c r="AW853" s="82" t="s">
        <v>4904</v>
      </c>
      <c r="AX853" s="82" t="s">
        <v>4904</v>
      </c>
      <c r="AY853" s="77"/>
      <c r="AZ853" s="82" t="s">
        <v>5075</v>
      </c>
      <c r="BA853" s="82" t="s">
        <v>5075</v>
      </c>
      <c r="BB853" s="82" t="s">
        <v>5075</v>
      </c>
      <c r="BC853" s="82" t="s">
        <v>4904</v>
      </c>
      <c r="BD853" s="82" t="s">
        <v>5266</v>
      </c>
      <c r="BE853" s="77"/>
      <c r="BF853" s="77"/>
      <c r="BG853" s="77"/>
      <c r="BH853" s="77"/>
      <c r="BI853" s="77"/>
    </row>
    <row r="854" spans="1:61" x14ac:dyDescent="0.25">
      <c r="A854" s="62" t="s">
        <v>490</v>
      </c>
      <c r="B854" s="62" t="s">
        <v>490</v>
      </c>
      <c r="C854" s="63"/>
      <c r="D854" s="64"/>
      <c r="E854" s="65"/>
      <c r="F854" s="66"/>
      <c r="G854" s="63"/>
      <c r="H854" s="67"/>
      <c r="I854" s="68"/>
      <c r="J854" s="68"/>
      <c r="K854" s="32"/>
      <c r="L854" s="75">
        <v>854</v>
      </c>
      <c r="M854" s="75"/>
      <c r="N854" s="70"/>
      <c r="O854" s="77" t="s">
        <v>179</v>
      </c>
      <c r="P854" s="79">
        <v>44984.527303240742</v>
      </c>
      <c r="Q854" s="77" t="s">
        <v>1381</v>
      </c>
      <c r="R854" s="77">
        <v>0</v>
      </c>
      <c r="S854" s="77">
        <v>0</v>
      </c>
      <c r="T854" s="77">
        <v>0</v>
      </c>
      <c r="U854" s="77">
        <v>0</v>
      </c>
      <c r="V854" s="77">
        <v>45</v>
      </c>
      <c r="W854" s="82" t="s">
        <v>1462</v>
      </c>
      <c r="X854" s="80" t="str">
        <f>HYPERLINK("https://bit.ly/Lucro-E-Rentabilidade-sebrae")</f>
        <v>https://bit.ly/Lucro-E-Rentabilidade-sebrae</v>
      </c>
      <c r="Y854" s="77" t="s">
        <v>1975</v>
      </c>
      <c r="Z854" s="77"/>
      <c r="AA854" s="77"/>
      <c r="AB854" s="77"/>
      <c r="AC854" s="82" t="s">
        <v>2639</v>
      </c>
      <c r="AD854" s="77" t="s">
        <v>2670</v>
      </c>
      <c r="AE854" s="80" t="str">
        <f>HYPERLINK("https://twitter.com/sebraepa/status/1630185811789398017")</f>
        <v>https://twitter.com/sebraepa/status/1630185811789398017</v>
      </c>
      <c r="AF854" s="79">
        <v>44984.527303240742</v>
      </c>
      <c r="AG854" s="85">
        <v>44984</v>
      </c>
      <c r="AH854" s="82" t="s">
        <v>3353</v>
      </c>
      <c r="AI854" s="77" t="b">
        <v>0</v>
      </c>
      <c r="AJ854" s="77"/>
      <c r="AK854" s="77"/>
      <c r="AL854" s="77"/>
      <c r="AM854" s="77"/>
      <c r="AN854" s="77"/>
      <c r="AO854" s="77"/>
      <c r="AP854" s="77"/>
      <c r="AQ854" s="77"/>
      <c r="AR854" s="77"/>
      <c r="AS854" s="77"/>
      <c r="AT854" s="77"/>
      <c r="AU854" s="77"/>
      <c r="AV854" s="80" t="str">
        <f>HYPERLINK("https://pbs.twimg.com/profile_images/1638168581723635712/F_InepjI_normal.jpg")</f>
        <v>https://pbs.twimg.com/profile_images/1638168581723635712/F_InepjI_normal.jpg</v>
      </c>
      <c r="AW854" s="82" t="s">
        <v>4905</v>
      </c>
      <c r="AX854" s="82" t="s">
        <v>4905</v>
      </c>
      <c r="AY854" s="77"/>
      <c r="AZ854" s="82" t="s">
        <v>5075</v>
      </c>
      <c r="BA854" s="82" t="s">
        <v>5075</v>
      </c>
      <c r="BB854" s="82" t="s">
        <v>5075</v>
      </c>
      <c r="BC854" s="82" t="s">
        <v>4905</v>
      </c>
      <c r="BD854" s="77">
        <v>85354996</v>
      </c>
      <c r="BE854" s="77"/>
      <c r="BF854" s="77"/>
      <c r="BG854" s="77"/>
      <c r="BH854" s="77"/>
      <c r="BI854" s="77"/>
    </row>
    <row r="855" spans="1:61" x14ac:dyDescent="0.25">
      <c r="A855" s="62" t="s">
        <v>491</v>
      </c>
      <c r="B855" s="62" t="s">
        <v>491</v>
      </c>
      <c r="C855" s="63"/>
      <c r="D855" s="64"/>
      <c r="E855" s="65"/>
      <c r="F855" s="66"/>
      <c r="G855" s="63"/>
      <c r="H855" s="67"/>
      <c r="I855" s="68"/>
      <c r="J855" s="68"/>
      <c r="K855" s="32"/>
      <c r="L855" s="75">
        <v>855</v>
      </c>
      <c r="M855" s="75"/>
      <c r="N855" s="70"/>
      <c r="O855" s="77" t="s">
        <v>179</v>
      </c>
      <c r="P855" s="79">
        <v>45124.077847222223</v>
      </c>
      <c r="Q855" s="77" t="s">
        <v>1382</v>
      </c>
      <c r="R855" s="77">
        <v>0</v>
      </c>
      <c r="S855" s="77">
        <v>0</v>
      </c>
      <c r="T855" s="77">
        <v>0</v>
      </c>
      <c r="U855" s="77">
        <v>0</v>
      </c>
      <c r="V855" s="77">
        <v>157</v>
      </c>
      <c r="W855" s="82" t="s">
        <v>1931</v>
      </c>
      <c r="X855" s="77"/>
      <c r="Y855" s="77"/>
      <c r="Z855" s="77"/>
      <c r="AA855" s="77" t="s">
        <v>2598</v>
      </c>
      <c r="AB855" s="77" t="s">
        <v>2633</v>
      </c>
      <c r="AC855" s="82" t="s">
        <v>2639</v>
      </c>
      <c r="AD855" s="77" t="s">
        <v>2670</v>
      </c>
      <c r="AE855" s="80" t="str">
        <f>HYPERLINK("https://twitter.com/blumenauagora/status/1680757234022621184")</f>
        <v>https://twitter.com/blumenauagora/status/1680757234022621184</v>
      </c>
      <c r="AF855" s="79">
        <v>45124.077847222223</v>
      </c>
      <c r="AG855" s="85">
        <v>45124</v>
      </c>
      <c r="AH855" s="82" t="s">
        <v>3354</v>
      </c>
      <c r="AI855" s="77" t="b">
        <v>0</v>
      </c>
      <c r="AJ855" s="77"/>
      <c r="AK855" s="77"/>
      <c r="AL855" s="77"/>
      <c r="AM855" s="77"/>
      <c r="AN855" s="77"/>
      <c r="AO855" s="77"/>
      <c r="AP855" s="77"/>
      <c r="AQ855" s="77" t="s">
        <v>4027</v>
      </c>
      <c r="AR855" s="77">
        <v>43166</v>
      </c>
      <c r="AS855" s="77"/>
      <c r="AT855" s="77"/>
      <c r="AU855" s="77"/>
      <c r="AV855" s="80" t="str">
        <f>HYPERLINK("https://pbs.twimg.com/ext_tw_video_thumb/1680756966430326785/pu/img/St0olVtCuCUSH_tR.jpg")</f>
        <v>https://pbs.twimg.com/ext_tw_video_thumb/1680756966430326785/pu/img/St0olVtCuCUSH_tR.jpg</v>
      </c>
      <c r="AW855" s="82" t="s">
        <v>4906</v>
      </c>
      <c r="AX855" s="82" t="s">
        <v>4906</v>
      </c>
      <c r="AY855" s="77"/>
      <c r="AZ855" s="82" t="s">
        <v>5075</v>
      </c>
      <c r="BA855" s="82" t="s">
        <v>5075</v>
      </c>
      <c r="BB855" s="82" t="s">
        <v>5075</v>
      </c>
      <c r="BC855" s="82" t="s">
        <v>4906</v>
      </c>
      <c r="BD855" s="77">
        <v>116233438</v>
      </c>
      <c r="BE855" s="77"/>
      <c r="BF855" s="77"/>
      <c r="BG855" s="77"/>
      <c r="BH855" s="77"/>
      <c r="BI855" s="77"/>
    </row>
    <row r="856" spans="1:61" x14ac:dyDescent="0.25">
      <c r="A856" s="62" t="s">
        <v>492</v>
      </c>
      <c r="B856" s="62" t="s">
        <v>492</v>
      </c>
      <c r="C856" s="63"/>
      <c r="D856" s="64"/>
      <c r="E856" s="65"/>
      <c r="F856" s="66"/>
      <c r="G856" s="63"/>
      <c r="H856" s="67"/>
      <c r="I856" s="68"/>
      <c r="J856" s="68"/>
      <c r="K856" s="32"/>
      <c r="L856" s="75">
        <v>856</v>
      </c>
      <c r="M856" s="75"/>
      <c r="N856" s="70"/>
      <c r="O856" s="77" t="s">
        <v>179</v>
      </c>
      <c r="P856" s="79">
        <v>45116.952523148146</v>
      </c>
      <c r="Q856" s="77" t="s">
        <v>1383</v>
      </c>
      <c r="R856" s="77">
        <v>0</v>
      </c>
      <c r="S856" s="77">
        <v>0</v>
      </c>
      <c r="T856" s="77">
        <v>0</v>
      </c>
      <c r="U856" s="77">
        <v>0</v>
      </c>
      <c r="V856" s="77">
        <v>9</v>
      </c>
      <c r="W856" s="82" t="s">
        <v>1606</v>
      </c>
      <c r="X856" s="77"/>
      <c r="Y856" s="77"/>
      <c r="Z856" s="77"/>
      <c r="AA856" s="77"/>
      <c r="AB856" s="77"/>
      <c r="AC856" s="82" t="s">
        <v>2640</v>
      </c>
      <c r="AD856" s="77" t="s">
        <v>2670</v>
      </c>
      <c r="AE856" s="80" t="str">
        <f>HYPERLINK("https://twitter.com/paulonodigital/status/1678175102318379011")</f>
        <v>https://twitter.com/paulonodigital/status/1678175102318379011</v>
      </c>
      <c r="AF856" s="79">
        <v>45116.952523148146</v>
      </c>
      <c r="AG856" s="85">
        <v>45116</v>
      </c>
      <c r="AH856" s="82" t="s">
        <v>3355</v>
      </c>
      <c r="AI856" s="77"/>
      <c r="AJ856" s="77"/>
      <c r="AK856" s="77"/>
      <c r="AL856" s="77"/>
      <c r="AM856" s="77"/>
      <c r="AN856" s="77"/>
      <c r="AO856" s="77"/>
      <c r="AP856" s="77"/>
      <c r="AQ856" s="77"/>
      <c r="AR856" s="77"/>
      <c r="AS856" s="77"/>
      <c r="AT856" s="77"/>
      <c r="AU856" s="77"/>
      <c r="AV856" s="80" t="str">
        <f>HYPERLINK("https://pbs.twimg.com/profile_images/1642214481383104513/CSuLwrVo_normal.jpg")</f>
        <v>https://pbs.twimg.com/profile_images/1642214481383104513/CSuLwrVo_normal.jpg</v>
      </c>
      <c r="AW856" s="82" t="s">
        <v>4907</v>
      </c>
      <c r="AX856" s="82" t="s">
        <v>4907</v>
      </c>
      <c r="AY856" s="77"/>
      <c r="AZ856" s="82" t="s">
        <v>5075</v>
      </c>
      <c r="BA856" s="82" t="s">
        <v>5075</v>
      </c>
      <c r="BB856" s="82" t="s">
        <v>5075</v>
      </c>
      <c r="BC856" s="82" t="s">
        <v>4907</v>
      </c>
      <c r="BD856" s="77">
        <v>153904334</v>
      </c>
      <c r="BE856" s="77"/>
      <c r="BF856" s="77"/>
      <c r="BG856" s="77"/>
      <c r="BH856" s="77"/>
      <c r="BI856" s="77"/>
    </row>
    <row r="857" spans="1:61" x14ac:dyDescent="0.25">
      <c r="A857" s="62" t="s">
        <v>493</v>
      </c>
      <c r="B857" s="62" t="s">
        <v>493</v>
      </c>
      <c r="C857" s="63"/>
      <c r="D857" s="64"/>
      <c r="E857" s="65"/>
      <c r="F857" s="66"/>
      <c r="G857" s="63"/>
      <c r="H857" s="67"/>
      <c r="I857" s="68"/>
      <c r="J857" s="68"/>
      <c r="K857" s="32"/>
      <c r="L857" s="75">
        <v>857</v>
      </c>
      <c r="M857" s="75"/>
      <c r="N857" s="70"/>
      <c r="O857" s="77" t="s">
        <v>179</v>
      </c>
      <c r="P857" s="79">
        <v>45157.485092592593</v>
      </c>
      <c r="Q857" s="77" t="s">
        <v>1384</v>
      </c>
      <c r="R857" s="77">
        <v>0</v>
      </c>
      <c r="S857" s="77">
        <v>0</v>
      </c>
      <c r="T857" s="77">
        <v>0</v>
      </c>
      <c r="U857" s="77">
        <v>0</v>
      </c>
      <c r="V857" s="77">
        <v>4</v>
      </c>
      <c r="W857" s="82" t="s">
        <v>1932</v>
      </c>
      <c r="X857" s="80" t="str">
        <f>HYPERLINK("https://bible.com/pt/bible/212/pro.13.22.ARC")</f>
        <v>https://bible.com/pt/bible/212/pro.13.22.ARC</v>
      </c>
      <c r="Y857" s="77" t="s">
        <v>2006</v>
      </c>
      <c r="Z857" s="77"/>
      <c r="AA857" s="77"/>
      <c r="AB857" s="77"/>
      <c r="AC857" s="82" t="s">
        <v>2638</v>
      </c>
      <c r="AD857" s="77" t="s">
        <v>2670</v>
      </c>
      <c r="AE857" s="80" t="str">
        <f>HYPERLINK("https://twitter.com/lnogueiralucas/status/1692863616469336440")</f>
        <v>https://twitter.com/lnogueiralucas/status/1692863616469336440</v>
      </c>
      <c r="AF857" s="79">
        <v>45157.485092592593</v>
      </c>
      <c r="AG857" s="85">
        <v>45157</v>
      </c>
      <c r="AH857" s="82" t="s">
        <v>3356</v>
      </c>
      <c r="AI857" s="77" t="b">
        <v>0</v>
      </c>
      <c r="AJ857" s="77"/>
      <c r="AK857" s="77"/>
      <c r="AL857" s="77"/>
      <c r="AM857" s="77"/>
      <c r="AN857" s="77"/>
      <c r="AO857" s="77"/>
      <c r="AP857" s="77"/>
      <c r="AQ857" s="77"/>
      <c r="AR857" s="77"/>
      <c r="AS857" s="77"/>
      <c r="AT857" s="77"/>
      <c r="AU857" s="77"/>
      <c r="AV857" s="80" t="str">
        <f>HYPERLINK("https://pbs.twimg.com/profile_images/1679956426137952258/gd3LrX5L_normal.jpg")</f>
        <v>https://pbs.twimg.com/profile_images/1679956426137952258/gd3LrX5L_normal.jpg</v>
      </c>
      <c r="AW857" s="82" t="s">
        <v>4908</v>
      </c>
      <c r="AX857" s="82" t="s">
        <v>4908</v>
      </c>
      <c r="AY857" s="77"/>
      <c r="AZ857" s="82" t="s">
        <v>5075</v>
      </c>
      <c r="BA857" s="82" t="s">
        <v>5075</v>
      </c>
      <c r="BB857" s="82" t="s">
        <v>5075</v>
      </c>
      <c r="BC857" s="82" t="s">
        <v>4908</v>
      </c>
      <c r="BD857" s="82" t="s">
        <v>5267</v>
      </c>
      <c r="BE857" s="77"/>
      <c r="BF857" s="77"/>
      <c r="BG857" s="77"/>
      <c r="BH857" s="77"/>
      <c r="BI857" s="77"/>
    </row>
    <row r="858" spans="1:61" x14ac:dyDescent="0.25">
      <c r="A858" s="62" t="s">
        <v>494</v>
      </c>
      <c r="B858" s="62" t="s">
        <v>494</v>
      </c>
      <c r="C858" s="63"/>
      <c r="D858" s="64"/>
      <c r="E858" s="65"/>
      <c r="F858" s="66"/>
      <c r="G858" s="63"/>
      <c r="H858" s="67"/>
      <c r="I858" s="68"/>
      <c r="J858" s="68"/>
      <c r="K858" s="32"/>
      <c r="L858" s="75">
        <v>858</v>
      </c>
      <c r="M858" s="75"/>
      <c r="N858" s="70"/>
      <c r="O858" s="77" t="s">
        <v>179</v>
      </c>
      <c r="P858" s="79">
        <v>45055.502939814818</v>
      </c>
      <c r="Q858" s="77" t="s">
        <v>1385</v>
      </c>
      <c r="R858" s="77">
        <v>0</v>
      </c>
      <c r="S858" s="77">
        <v>0</v>
      </c>
      <c r="T858" s="77">
        <v>0</v>
      </c>
      <c r="U858" s="77">
        <v>0</v>
      </c>
      <c r="V858" s="77">
        <v>16</v>
      </c>
      <c r="W858" s="82" t="s">
        <v>1933</v>
      </c>
      <c r="X858" s="80" t="str">
        <f>HYPERLINK("https://wa.me/5518996690757?text=Ola,%20vim%20para%20saber%20mais%20sobre%20o%20cons%C3%B3rcio%20")</f>
        <v>https://wa.me/5518996690757?text=Ola,%20vim%20para%20saber%20mais%20sobre%20o%20cons%C3%B3rcio%20</v>
      </c>
      <c r="Y858" s="77" t="s">
        <v>2007</v>
      </c>
      <c r="Z858" s="77"/>
      <c r="AA858" s="77" t="s">
        <v>2599</v>
      </c>
      <c r="AB858" s="77" t="s">
        <v>2632</v>
      </c>
      <c r="AC858" s="82" t="s">
        <v>2638</v>
      </c>
      <c r="AD858" s="77" t="s">
        <v>2670</v>
      </c>
      <c r="AE858" s="80" t="str">
        <f>HYPERLINK("https://twitter.com/cristina201820/status/1655906521350303745")</f>
        <v>https://twitter.com/cristina201820/status/1655906521350303745</v>
      </c>
      <c r="AF858" s="79">
        <v>45055.502939814818</v>
      </c>
      <c r="AG858" s="85">
        <v>45055</v>
      </c>
      <c r="AH858" s="82" t="s">
        <v>3357</v>
      </c>
      <c r="AI858" s="77" t="b">
        <v>0</v>
      </c>
      <c r="AJ858" s="77"/>
      <c r="AK858" s="77"/>
      <c r="AL858" s="77"/>
      <c r="AM858" s="77"/>
      <c r="AN858" s="77"/>
      <c r="AO858" s="77"/>
      <c r="AP858" s="77"/>
      <c r="AQ858" s="77" t="s">
        <v>4028</v>
      </c>
      <c r="AR858" s="77"/>
      <c r="AS858" s="77"/>
      <c r="AT858" s="77"/>
      <c r="AU858" s="77"/>
      <c r="AV858" s="80" t="str">
        <f>HYPERLINK("https://pbs.twimg.com/media/Fvr2NJZXoAAtacA.jpg")</f>
        <v>https://pbs.twimg.com/media/Fvr2NJZXoAAtacA.jpg</v>
      </c>
      <c r="AW858" s="82" t="s">
        <v>4909</v>
      </c>
      <c r="AX858" s="82" t="s">
        <v>4909</v>
      </c>
      <c r="AY858" s="77"/>
      <c r="AZ858" s="82" t="s">
        <v>5075</v>
      </c>
      <c r="BA858" s="82" t="s">
        <v>5075</v>
      </c>
      <c r="BB858" s="82" t="s">
        <v>5075</v>
      </c>
      <c r="BC858" s="82" t="s">
        <v>4909</v>
      </c>
      <c r="BD858" s="82" t="s">
        <v>5268</v>
      </c>
      <c r="BE858" s="77"/>
      <c r="BF858" s="77"/>
      <c r="BG858" s="77"/>
      <c r="BH858" s="77"/>
      <c r="BI858" s="77"/>
    </row>
    <row r="859" spans="1:61" x14ac:dyDescent="0.25">
      <c r="A859" s="62" t="s">
        <v>495</v>
      </c>
      <c r="B859" s="62" t="s">
        <v>495</v>
      </c>
      <c r="C859" s="63"/>
      <c r="D859" s="64"/>
      <c r="E859" s="65"/>
      <c r="F859" s="66"/>
      <c r="G859" s="63"/>
      <c r="H859" s="67"/>
      <c r="I859" s="68"/>
      <c r="J859" s="68"/>
      <c r="K859" s="32"/>
      <c r="L859" s="75">
        <v>859</v>
      </c>
      <c r="M859" s="75"/>
      <c r="N859" s="70"/>
      <c r="O859" s="77" t="s">
        <v>179</v>
      </c>
      <c r="P859" s="79">
        <v>45054.486828703702</v>
      </c>
      <c r="Q859" s="77" t="s">
        <v>1386</v>
      </c>
      <c r="R859" s="77">
        <v>0</v>
      </c>
      <c r="S859" s="77">
        <v>1</v>
      </c>
      <c r="T859" s="77">
        <v>0</v>
      </c>
      <c r="U859" s="77">
        <v>0</v>
      </c>
      <c r="V859" s="77">
        <v>176</v>
      </c>
      <c r="W859" s="82" t="s">
        <v>1934</v>
      </c>
      <c r="X859" s="77"/>
      <c r="Y859" s="77"/>
      <c r="Z859" s="77"/>
      <c r="AA859" s="77" t="s">
        <v>2600</v>
      </c>
      <c r="AB859" s="77" t="s">
        <v>2633</v>
      </c>
      <c r="AC859" s="82" t="s">
        <v>2640</v>
      </c>
      <c r="AD859" s="77" t="s">
        <v>2670</v>
      </c>
      <c r="AE859" s="80" t="str">
        <f>HYPERLINK("https://twitter.com/romerofinancas/status/1655538296095645696")</f>
        <v>https://twitter.com/romerofinancas/status/1655538296095645696</v>
      </c>
      <c r="AF859" s="79">
        <v>45054.486828703702</v>
      </c>
      <c r="AG859" s="85">
        <v>45054</v>
      </c>
      <c r="AH859" s="82" t="s">
        <v>3358</v>
      </c>
      <c r="AI859" s="77" t="b">
        <v>0</v>
      </c>
      <c r="AJ859" s="77"/>
      <c r="AK859" s="77"/>
      <c r="AL859" s="77"/>
      <c r="AM859" s="77"/>
      <c r="AN859" s="77"/>
      <c r="AO859" s="77"/>
      <c r="AP859" s="77"/>
      <c r="AQ859" s="77" t="s">
        <v>4029</v>
      </c>
      <c r="AR859" s="77">
        <v>20033</v>
      </c>
      <c r="AS859" s="77"/>
      <c r="AT859" s="77"/>
      <c r="AU859" s="77"/>
      <c r="AV859" s="80" t="str">
        <f>HYPERLINK("https://pbs.twimg.com/ext_tw_video_thumb/1655538258669981697/pu/img/tO38AR0946YhoUbw.jpg")</f>
        <v>https://pbs.twimg.com/ext_tw_video_thumb/1655538258669981697/pu/img/tO38AR0946YhoUbw.jpg</v>
      </c>
      <c r="AW859" s="82" t="s">
        <v>4910</v>
      </c>
      <c r="AX859" s="82" t="s">
        <v>4910</v>
      </c>
      <c r="AY859" s="77"/>
      <c r="AZ859" s="82" t="s">
        <v>5075</v>
      </c>
      <c r="BA859" s="82" t="s">
        <v>5075</v>
      </c>
      <c r="BB859" s="82" t="s">
        <v>5075</v>
      </c>
      <c r="BC859" s="82" t="s">
        <v>4910</v>
      </c>
      <c r="BD859" s="77">
        <v>3341974577</v>
      </c>
      <c r="BE859" s="77"/>
      <c r="BF859" s="77"/>
      <c r="BG859" s="77"/>
      <c r="BH859" s="77"/>
      <c r="BI859" s="77"/>
    </row>
    <row r="860" spans="1:61" x14ac:dyDescent="0.25">
      <c r="A860" s="62" t="s">
        <v>495</v>
      </c>
      <c r="B860" s="62" t="s">
        <v>495</v>
      </c>
      <c r="C860" s="63"/>
      <c r="D860" s="64"/>
      <c r="E860" s="65"/>
      <c r="F860" s="66"/>
      <c r="G860" s="63"/>
      <c r="H860" s="67"/>
      <c r="I860" s="68"/>
      <c r="J860" s="68"/>
      <c r="K860" s="32"/>
      <c r="L860" s="75">
        <v>860</v>
      </c>
      <c r="M860" s="75"/>
      <c r="N860" s="70"/>
      <c r="O860" s="77" t="s">
        <v>179</v>
      </c>
      <c r="P860" s="79">
        <v>45053.777141203704</v>
      </c>
      <c r="Q860" s="77" t="s">
        <v>1387</v>
      </c>
      <c r="R860" s="77">
        <v>0</v>
      </c>
      <c r="S860" s="77">
        <v>0</v>
      </c>
      <c r="T860" s="77">
        <v>0</v>
      </c>
      <c r="U860" s="77">
        <v>0</v>
      </c>
      <c r="V860" s="77">
        <v>92</v>
      </c>
      <c r="W860" s="82" t="s">
        <v>1935</v>
      </c>
      <c r="X860" s="77"/>
      <c r="Y860" s="77"/>
      <c r="Z860" s="77"/>
      <c r="AA860" s="77" t="s">
        <v>2601</v>
      </c>
      <c r="AB860" s="77" t="s">
        <v>2633</v>
      </c>
      <c r="AC860" s="82" t="s">
        <v>2640</v>
      </c>
      <c r="AD860" s="77" t="s">
        <v>2670</v>
      </c>
      <c r="AE860" s="80" t="str">
        <f>HYPERLINK("https://twitter.com/romerofinancas/status/1655281112040583168")</f>
        <v>https://twitter.com/romerofinancas/status/1655281112040583168</v>
      </c>
      <c r="AF860" s="79">
        <v>45053.777141203704</v>
      </c>
      <c r="AG860" s="85">
        <v>45053</v>
      </c>
      <c r="AH860" s="82" t="s">
        <v>3359</v>
      </c>
      <c r="AI860" s="77" t="b">
        <v>0</v>
      </c>
      <c r="AJ860" s="77"/>
      <c r="AK860" s="77"/>
      <c r="AL860" s="77"/>
      <c r="AM860" s="77"/>
      <c r="AN860" s="77"/>
      <c r="AO860" s="77"/>
      <c r="AP860" s="77"/>
      <c r="AQ860" s="77" t="s">
        <v>4030</v>
      </c>
      <c r="AR860" s="77">
        <v>15333</v>
      </c>
      <c r="AS860" s="77"/>
      <c r="AT860" s="77"/>
      <c r="AU860" s="77"/>
      <c r="AV860" s="80" t="str">
        <f>HYPERLINK("https://pbs.twimg.com/ext_tw_video_thumb/1655281073226383360/pu/img/jS7cfKXgDb0_QqSa.jpg")</f>
        <v>https://pbs.twimg.com/ext_tw_video_thumb/1655281073226383360/pu/img/jS7cfKXgDb0_QqSa.jpg</v>
      </c>
      <c r="AW860" s="82" t="s">
        <v>4911</v>
      </c>
      <c r="AX860" s="82" t="s">
        <v>4911</v>
      </c>
      <c r="AY860" s="77"/>
      <c r="AZ860" s="82" t="s">
        <v>5075</v>
      </c>
      <c r="BA860" s="82" t="s">
        <v>5075</v>
      </c>
      <c r="BB860" s="82" t="s">
        <v>5075</v>
      </c>
      <c r="BC860" s="82" t="s">
        <v>4911</v>
      </c>
      <c r="BD860" s="77">
        <v>3341974577</v>
      </c>
      <c r="BE860" s="77"/>
      <c r="BF860" s="77"/>
      <c r="BG860" s="77"/>
      <c r="BH860" s="77"/>
      <c r="BI860" s="77"/>
    </row>
    <row r="861" spans="1:61" x14ac:dyDescent="0.25">
      <c r="A861" s="62" t="s">
        <v>496</v>
      </c>
      <c r="B861" s="62" t="s">
        <v>496</v>
      </c>
      <c r="C861" s="63"/>
      <c r="D861" s="64"/>
      <c r="E861" s="65"/>
      <c r="F861" s="66"/>
      <c r="G861" s="63"/>
      <c r="H861" s="67"/>
      <c r="I861" s="68"/>
      <c r="J861" s="68"/>
      <c r="K861" s="32"/>
      <c r="L861" s="75">
        <v>861</v>
      </c>
      <c r="M861" s="75"/>
      <c r="N861" s="70"/>
      <c r="O861" s="77" t="s">
        <v>179</v>
      </c>
      <c r="P861" s="79">
        <v>44945.660370370373</v>
      </c>
      <c r="Q861" s="77" t="s">
        <v>1388</v>
      </c>
      <c r="R861" s="77">
        <v>0</v>
      </c>
      <c r="S861" s="77">
        <v>0</v>
      </c>
      <c r="T861" s="77">
        <v>0</v>
      </c>
      <c r="U861" s="77">
        <v>0</v>
      </c>
      <c r="V861" s="77">
        <v>12</v>
      </c>
      <c r="W861" s="82" t="s">
        <v>1936</v>
      </c>
      <c r="X861" s="77"/>
      <c r="Y861" s="77"/>
      <c r="Z861" s="77"/>
      <c r="AA861" s="77"/>
      <c r="AB861" s="77"/>
      <c r="AC861" s="82" t="s">
        <v>2639</v>
      </c>
      <c r="AD861" s="77" t="s">
        <v>2671</v>
      </c>
      <c r="AE861" s="80" t="str">
        <f>HYPERLINK("https://twitter.com/maniam_podcast/status/1616100906973466627")</f>
        <v>https://twitter.com/maniam_podcast/status/1616100906973466627</v>
      </c>
      <c r="AF861" s="79">
        <v>44945.660370370373</v>
      </c>
      <c r="AG861" s="85">
        <v>44945</v>
      </c>
      <c r="AH861" s="82" t="s">
        <v>3360</v>
      </c>
      <c r="AI861" s="77"/>
      <c r="AJ861" s="77"/>
      <c r="AK861" s="77"/>
      <c r="AL861" s="77"/>
      <c r="AM861" s="77"/>
      <c r="AN861" s="77"/>
      <c r="AO861" s="77"/>
      <c r="AP861" s="77"/>
      <c r="AQ861" s="77"/>
      <c r="AR861" s="77"/>
      <c r="AS861" s="77"/>
      <c r="AT861" s="77"/>
      <c r="AU861" s="77"/>
      <c r="AV861" s="80" t="str">
        <f>HYPERLINK("https://pbs.twimg.com/profile_images/1649855069355909121/SaNTSIuQ_normal.jpg")</f>
        <v>https://pbs.twimg.com/profile_images/1649855069355909121/SaNTSIuQ_normal.jpg</v>
      </c>
      <c r="AW861" s="82" t="s">
        <v>4912</v>
      </c>
      <c r="AX861" s="82" t="s">
        <v>4912</v>
      </c>
      <c r="AY861" s="77"/>
      <c r="AZ861" s="82" t="s">
        <v>5075</v>
      </c>
      <c r="BA861" s="82" t="s">
        <v>5075</v>
      </c>
      <c r="BB861" s="82" t="s">
        <v>5075</v>
      </c>
      <c r="BC861" s="82" t="s">
        <v>4912</v>
      </c>
      <c r="BD861" s="82" t="s">
        <v>5269</v>
      </c>
      <c r="BE861" s="77"/>
      <c r="BF861" s="77"/>
      <c r="BG861" s="77"/>
      <c r="BH861" s="77"/>
      <c r="BI861" s="77"/>
    </row>
    <row r="862" spans="1:61" x14ac:dyDescent="0.25">
      <c r="A862" s="62" t="s">
        <v>496</v>
      </c>
      <c r="B862" s="62" t="s">
        <v>496</v>
      </c>
      <c r="C862" s="63"/>
      <c r="D862" s="64"/>
      <c r="E862" s="65"/>
      <c r="F862" s="66"/>
      <c r="G862" s="63"/>
      <c r="H862" s="67"/>
      <c r="I862" s="68"/>
      <c r="J862" s="68"/>
      <c r="K862" s="32"/>
      <c r="L862" s="75">
        <v>862</v>
      </c>
      <c r="M862" s="75"/>
      <c r="N862" s="70"/>
      <c r="O862" s="77" t="s">
        <v>179</v>
      </c>
      <c r="P862" s="79">
        <v>44945.658321759256</v>
      </c>
      <c r="Q862" s="77" t="s">
        <v>1389</v>
      </c>
      <c r="R862" s="77">
        <v>0</v>
      </c>
      <c r="S862" s="77">
        <v>0</v>
      </c>
      <c r="T862" s="77">
        <v>0</v>
      </c>
      <c r="U862" s="77">
        <v>0</v>
      </c>
      <c r="V862" s="77">
        <v>17</v>
      </c>
      <c r="W862" s="82" t="s">
        <v>1936</v>
      </c>
      <c r="X862" s="77"/>
      <c r="Y862" s="77"/>
      <c r="Z862" s="77"/>
      <c r="AA862" s="77"/>
      <c r="AB862" s="77"/>
      <c r="AC862" s="82" t="s">
        <v>2639</v>
      </c>
      <c r="AD862" s="77" t="s">
        <v>2670</v>
      </c>
      <c r="AE862" s="80" t="str">
        <f>HYPERLINK("https://twitter.com/maniam_podcast/status/1616100163470196736")</f>
        <v>https://twitter.com/maniam_podcast/status/1616100163470196736</v>
      </c>
      <c r="AF862" s="79">
        <v>44945.658321759256</v>
      </c>
      <c r="AG862" s="85">
        <v>44945</v>
      </c>
      <c r="AH862" s="82" t="s">
        <v>3361</v>
      </c>
      <c r="AI862" s="77"/>
      <c r="AJ862" s="77"/>
      <c r="AK862" s="77"/>
      <c r="AL862" s="77"/>
      <c r="AM862" s="77"/>
      <c r="AN862" s="77"/>
      <c r="AO862" s="77"/>
      <c r="AP862" s="77"/>
      <c r="AQ862" s="77"/>
      <c r="AR862" s="77"/>
      <c r="AS862" s="77"/>
      <c r="AT862" s="77"/>
      <c r="AU862" s="77"/>
      <c r="AV862" s="80" t="str">
        <f>HYPERLINK("https://pbs.twimg.com/profile_images/1649855069355909121/SaNTSIuQ_normal.jpg")</f>
        <v>https://pbs.twimg.com/profile_images/1649855069355909121/SaNTSIuQ_normal.jpg</v>
      </c>
      <c r="AW862" s="82" t="s">
        <v>4913</v>
      </c>
      <c r="AX862" s="82" t="s">
        <v>4913</v>
      </c>
      <c r="AY862" s="77"/>
      <c r="AZ862" s="82" t="s">
        <v>5075</v>
      </c>
      <c r="BA862" s="82" t="s">
        <v>5075</v>
      </c>
      <c r="BB862" s="82" t="s">
        <v>5075</v>
      </c>
      <c r="BC862" s="82" t="s">
        <v>4913</v>
      </c>
      <c r="BD862" s="82" t="s">
        <v>5269</v>
      </c>
      <c r="BE862" s="77"/>
      <c r="BF862" s="77"/>
      <c r="BG862" s="77"/>
      <c r="BH862" s="77"/>
      <c r="BI862" s="77"/>
    </row>
    <row r="863" spans="1:61" x14ac:dyDescent="0.25">
      <c r="A863" s="62" t="s">
        <v>497</v>
      </c>
      <c r="B863" s="62" t="s">
        <v>497</v>
      </c>
      <c r="C863" s="63"/>
      <c r="D863" s="64"/>
      <c r="E863" s="65"/>
      <c r="F863" s="66"/>
      <c r="G863" s="63"/>
      <c r="H863" s="67"/>
      <c r="I863" s="68"/>
      <c r="J863" s="68"/>
      <c r="K863" s="32"/>
      <c r="L863" s="75">
        <v>863</v>
      </c>
      <c r="M863" s="75"/>
      <c r="N863" s="70"/>
      <c r="O863" s="77" t="s">
        <v>179</v>
      </c>
      <c r="P863" s="79">
        <v>45184.605856481481</v>
      </c>
      <c r="Q863" s="77" t="s">
        <v>1390</v>
      </c>
      <c r="R863" s="77">
        <v>0</v>
      </c>
      <c r="S863" s="77">
        <v>0</v>
      </c>
      <c r="T863" s="77">
        <v>0</v>
      </c>
      <c r="U863" s="77">
        <v>0</v>
      </c>
      <c r="V863" s="77">
        <v>26</v>
      </c>
      <c r="W863" s="82" t="s">
        <v>1937</v>
      </c>
      <c r="X863" s="77"/>
      <c r="Y863" s="77"/>
      <c r="Z863" s="77"/>
      <c r="AA863" s="77" t="s">
        <v>2602</v>
      </c>
      <c r="AB863" s="77" t="s">
        <v>2632</v>
      </c>
      <c r="AC863" s="82" t="s">
        <v>2669</v>
      </c>
      <c r="AD863" s="77" t="s">
        <v>2670</v>
      </c>
      <c r="AE863" s="80" t="str">
        <f>HYPERLINK("https://twitter.com/majesegseguros/status/1702691850598158677")</f>
        <v>https://twitter.com/majesegseguros/status/1702691850598158677</v>
      </c>
      <c r="AF863" s="79">
        <v>45184.605856481481</v>
      </c>
      <c r="AG863" s="85">
        <v>45184</v>
      </c>
      <c r="AH863" s="82" t="s">
        <v>3362</v>
      </c>
      <c r="AI863" s="77" t="b">
        <v>0</v>
      </c>
      <c r="AJ863" s="77"/>
      <c r="AK863" s="77"/>
      <c r="AL863" s="77"/>
      <c r="AM863" s="77"/>
      <c r="AN863" s="77"/>
      <c r="AO863" s="77"/>
      <c r="AP863" s="77"/>
      <c r="AQ863" s="77" t="s">
        <v>4031</v>
      </c>
      <c r="AR863" s="77"/>
      <c r="AS863" s="77"/>
      <c r="AT863" s="77"/>
      <c r="AU863" s="77"/>
      <c r="AV863" s="80" t="str">
        <f>HYPERLINK("https://pbs.twimg.com/media/F6EtNwPakAA6Ey8.jpg")</f>
        <v>https://pbs.twimg.com/media/F6EtNwPakAA6Ey8.jpg</v>
      </c>
      <c r="AW863" s="82" t="s">
        <v>4914</v>
      </c>
      <c r="AX863" s="82" t="s">
        <v>4914</v>
      </c>
      <c r="AY863" s="77"/>
      <c r="AZ863" s="82" t="s">
        <v>5075</v>
      </c>
      <c r="BA863" s="82" t="s">
        <v>5075</v>
      </c>
      <c r="BB863" s="82" t="s">
        <v>5075</v>
      </c>
      <c r="BC863" s="82" t="s">
        <v>4914</v>
      </c>
      <c r="BD863" s="77">
        <v>2483025594</v>
      </c>
      <c r="BE863" s="77"/>
      <c r="BF863" s="77"/>
      <c r="BG863" s="77"/>
      <c r="BH863" s="77"/>
      <c r="BI863" s="77"/>
    </row>
    <row r="864" spans="1:61" x14ac:dyDescent="0.25">
      <c r="A864" s="62" t="s">
        <v>498</v>
      </c>
      <c r="B864" s="62" t="s">
        <v>498</v>
      </c>
      <c r="C864" s="63"/>
      <c r="D864" s="64"/>
      <c r="E864" s="65"/>
      <c r="F864" s="66"/>
      <c r="G864" s="63"/>
      <c r="H864" s="67"/>
      <c r="I864" s="68"/>
      <c r="J864" s="68"/>
      <c r="K864" s="32"/>
      <c r="L864" s="75">
        <v>864</v>
      </c>
      <c r="M864" s="75"/>
      <c r="N864" s="70"/>
      <c r="O864" s="77" t="s">
        <v>179</v>
      </c>
      <c r="P864" s="79">
        <v>45007.613819444443</v>
      </c>
      <c r="Q864" s="77" t="s">
        <v>1391</v>
      </c>
      <c r="R864" s="77">
        <v>0</v>
      </c>
      <c r="S864" s="77">
        <v>0</v>
      </c>
      <c r="T864" s="77">
        <v>0</v>
      </c>
      <c r="U864" s="77">
        <v>0</v>
      </c>
      <c r="V864" s="77">
        <v>11</v>
      </c>
      <c r="W864" s="82" t="s">
        <v>1938</v>
      </c>
      <c r="X864" s="80" t="str">
        <f>HYPERLINK("https://lnkd.in/dM57JQze")</f>
        <v>https://lnkd.in/dM57JQze</v>
      </c>
      <c r="Y864" s="77" t="s">
        <v>1986</v>
      </c>
      <c r="Z864" s="77"/>
      <c r="AA864" s="77"/>
      <c r="AB864" s="77"/>
      <c r="AC864" s="82" t="s">
        <v>2661</v>
      </c>
      <c r="AD864" s="77" t="s">
        <v>2670</v>
      </c>
      <c r="AE864" s="80" t="str">
        <f>HYPERLINK("https://twitter.com/making_differen/status/1638552083094724612")</f>
        <v>https://twitter.com/making_differen/status/1638552083094724612</v>
      </c>
      <c r="AF864" s="79">
        <v>45007.613819444443</v>
      </c>
      <c r="AG864" s="85">
        <v>45007</v>
      </c>
      <c r="AH864" s="82" t="s">
        <v>3363</v>
      </c>
      <c r="AI864" s="77" t="b">
        <v>0</v>
      </c>
      <c r="AJ864" s="77"/>
      <c r="AK864" s="77"/>
      <c r="AL864" s="77"/>
      <c r="AM864" s="77"/>
      <c r="AN864" s="77"/>
      <c r="AO864" s="77"/>
      <c r="AP864" s="77"/>
      <c r="AQ864" s="77"/>
      <c r="AR864" s="77"/>
      <c r="AS864" s="77"/>
      <c r="AT864" s="77"/>
      <c r="AU864" s="77"/>
      <c r="AV864" s="80" t="str">
        <f>HYPERLINK("https://pbs.twimg.com/profile_images/1592865105192128512/sfPc7zOs_normal.jpg")</f>
        <v>https://pbs.twimg.com/profile_images/1592865105192128512/sfPc7zOs_normal.jpg</v>
      </c>
      <c r="AW864" s="82" t="s">
        <v>4915</v>
      </c>
      <c r="AX864" s="82" t="s">
        <v>4915</v>
      </c>
      <c r="AY864" s="77"/>
      <c r="AZ864" s="82" t="s">
        <v>5075</v>
      </c>
      <c r="BA864" s="82" t="s">
        <v>5075</v>
      </c>
      <c r="BB864" s="82" t="s">
        <v>5075</v>
      </c>
      <c r="BC864" s="82" t="s">
        <v>4915</v>
      </c>
      <c r="BD864" s="77">
        <v>604061758</v>
      </c>
      <c r="BE864" s="77"/>
      <c r="BF864" s="77"/>
      <c r="BG864" s="77"/>
      <c r="BH864" s="77"/>
      <c r="BI864" s="77"/>
    </row>
    <row r="865" spans="1:61" x14ac:dyDescent="0.25">
      <c r="A865" s="62" t="s">
        <v>499</v>
      </c>
      <c r="B865" s="62" t="s">
        <v>499</v>
      </c>
      <c r="C865" s="63"/>
      <c r="D865" s="64"/>
      <c r="E865" s="65"/>
      <c r="F865" s="66"/>
      <c r="G865" s="63"/>
      <c r="H865" s="67"/>
      <c r="I865" s="68"/>
      <c r="J865" s="68"/>
      <c r="K865" s="32"/>
      <c r="L865" s="75">
        <v>865</v>
      </c>
      <c r="M865" s="75"/>
      <c r="N865" s="70"/>
      <c r="O865" s="77" t="s">
        <v>179</v>
      </c>
      <c r="P865" s="79">
        <v>45046.833564814813</v>
      </c>
      <c r="Q865" s="77" t="s">
        <v>1392</v>
      </c>
      <c r="R865" s="77">
        <v>0</v>
      </c>
      <c r="S865" s="77">
        <v>0</v>
      </c>
      <c r="T865" s="77">
        <v>0</v>
      </c>
      <c r="U865" s="77">
        <v>0</v>
      </c>
      <c r="V865" s="77">
        <v>89</v>
      </c>
      <c r="W865" s="82" t="s">
        <v>1939</v>
      </c>
      <c r="X865" s="77"/>
      <c r="Y865" s="77"/>
      <c r="Z865" s="77"/>
      <c r="AA865" s="77" t="s">
        <v>2603</v>
      </c>
      <c r="AB865" s="77" t="s">
        <v>2632</v>
      </c>
      <c r="AC865" s="82" t="s">
        <v>2645</v>
      </c>
      <c r="AD865" s="77" t="s">
        <v>2670</v>
      </c>
      <c r="AE865" s="80" t="str">
        <f>HYPERLINK("https://twitter.com/guaruconto/status/1652764846708891649")</f>
        <v>https://twitter.com/guaruconto/status/1652764846708891649</v>
      </c>
      <c r="AF865" s="79">
        <v>45046.833564814813</v>
      </c>
      <c r="AG865" s="85">
        <v>45046</v>
      </c>
      <c r="AH865" s="82" t="s">
        <v>3364</v>
      </c>
      <c r="AI865" s="77" t="b">
        <v>0</v>
      </c>
      <c r="AJ865" s="77"/>
      <c r="AK865" s="77"/>
      <c r="AL865" s="77"/>
      <c r="AM865" s="77"/>
      <c r="AN865" s="77"/>
      <c r="AO865" s="77"/>
      <c r="AP865" s="77"/>
      <c r="AQ865" s="77" t="s">
        <v>4032</v>
      </c>
      <c r="AR865" s="77"/>
      <c r="AS865" s="77"/>
      <c r="AT865" s="77"/>
      <c r="AU865" s="77"/>
      <c r="AV865" s="80" t="str">
        <f>HYPERLINK("https://pbs.twimg.com/media/Fu_M3pBWcAARnsQ.jpg")</f>
        <v>https://pbs.twimg.com/media/Fu_M3pBWcAARnsQ.jpg</v>
      </c>
      <c r="AW865" s="82" t="s">
        <v>4916</v>
      </c>
      <c r="AX865" s="82" t="s">
        <v>4916</v>
      </c>
      <c r="AY865" s="77"/>
      <c r="AZ865" s="82" t="s">
        <v>5075</v>
      </c>
      <c r="BA865" s="82" t="s">
        <v>5075</v>
      </c>
      <c r="BB865" s="82" t="s">
        <v>5075</v>
      </c>
      <c r="BC865" s="82" t="s">
        <v>4916</v>
      </c>
      <c r="BD865" s="82" t="s">
        <v>5270</v>
      </c>
      <c r="BE865" s="77"/>
      <c r="BF865" s="77"/>
      <c r="BG865" s="77"/>
      <c r="BH865" s="77"/>
      <c r="BI865" s="77"/>
    </row>
    <row r="866" spans="1:61" x14ac:dyDescent="0.25">
      <c r="A866" s="62" t="s">
        <v>500</v>
      </c>
      <c r="B866" s="62" t="s">
        <v>500</v>
      </c>
      <c r="C866" s="63"/>
      <c r="D866" s="64"/>
      <c r="E866" s="65"/>
      <c r="F866" s="66"/>
      <c r="G866" s="63"/>
      <c r="H866" s="67"/>
      <c r="I866" s="68"/>
      <c r="J866" s="68"/>
      <c r="K866" s="32"/>
      <c r="L866" s="75">
        <v>866</v>
      </c>
      <c r="M866" s="75"/>
      <c r="N866" s="70"/>
      <c r="O866" s="77" t="s">
        <v>179</v>
      </c>
      <c r="P866" s="79">
        <v>44963.635254629633</v>
      </c>
      <c r="Q866" s="77" t="s">
        <v>1393</v>
      </c>
      <c r="R866" s="77">
        <v>0</v>
      </c>
      <c r="S866" s="77">
        <v>1</v>
      </c>
      <c r="T866" s="77">
        <v>0</v>
      </c>
      <c r="U866" s="77">
        <v>0</v>
      </c>
      <c r="V866" s="77">
        <v>9</v>
      </c>
      <c r="W866" s="82" t="s">
        <v>1940</v>
      </c>
      <c r="X866" s="77"/>
      <c r="Y866" s="77"/>
      <c r="Z866" s="77"/>
      <c r="AA866" s="77"/>
      <c r="AB866" s="77"/>
      <c r="AC866" s="82" t="s">
        <v>2638</v>
      </c>
      <c r="AD866" s="77" t="s">
        <v>2670</v>
      </c>
      <c r="AE866" s="80" t="str">
        <f>HYPERLINK("https://twitter.com/leidesalomao/status/1622614786528669705")</f>
        <v>https://twitter.com/leidesalomao/status/1622614786528669705</v>
      </c>
      <c r="AF866" s="79">
        <v>44963.635254629633</v>
      </c>
      <c r="AG866" s="85">
        <v>44963</v>
      </c>
      <c r="AH866" s="82" t="s">
        <v>3365</v>
      </c>
      <c r="AI866" s="77"/>
      <c r="AJ866" s="77"/>
      <c r="AK866" s="77"/>
      <c r="AL866" s="77"/>
      <c r="AM866" s="77"/>
      <c r="AN866" s="77"/>
      <c r="AO866" s="77"/>
      <c r="AP866" s="77"/>
      <c r="AQ866" s="77"/>
      <c r="AR866" s="77"/>
      <c r="AS866" s="77"/>
      <c r="AT866" s="77"/>
      <c r="AU866" s="77"/>
      <c r="AV866" s="80" t="str">
        <f>HYPERLINK("https://pbs.twimg.com/profile_images/1553730260256038913/ZtRvJWhx_normal.jpg")</f>
        <v>https://pbs.twimg.com/profile_images/1553730260256038913/ZtRvJWhx_normal.jpg</v>
      </c>
      <c r="AW866" s="82" t="s">
        <v>4917</v>
      </c>
      <c r="AX866" s="82" t="s">
        <v>4917</v>
      </c>
      <c r="AY866" s="77"/>
      <c r="AZ866" s="82" t="s">
        <v>5075</v>
      </c>
      <c r="BA866" s="82" t="s">
        <v>5075</v>
      </c>
      <c r="BB866" s="82" t="s">
        <v>5075</v>
      </c>
      <c r="BC866" s="82" t="s">
        <v>4917</v>
      </c>
      <c r="BD866" s="82" t="s">
        <v>5271</v>
      </c>
      <c r="BE866" s="77"/>
      <c r="BF866" s="77"/>
      <c r="BG866" s="77"/>
      <c r="BH866" s="77"/>
      <c r="BI866" s="77"/>
    </row>
    <row r="867" spans="1:61" x14ac:dyDescent="0.25">
      <c r="A867" s="62" t="s">
        <v>501</v>
      </c>
      <c r="B867" s="62" t="s">
        <v>501</v>
      </c>
      <c r="C867" s="63"/>
      <c r="D867" s="64"/>
      <c r="E867" s="65"/>
      <c r="F867" s="66"/>
      <c r="G867" s="63"/>
      <c r="H867" s="67"/>
      <c r="I867" s="68"/>
      <c r="J867" s="68"/>
      <c r="K867" s="32"/>
      <c r="L867" s="75">
        <v>867</v>
      </c>
      <c r="M867" s="75"/>
      <c r="N867" s="70"/>
      <c r="O867" s="77" t="s">
        <v>536</v>
      </c>
      <c r="P867" s="79">
        <v>45135.784074074072</v>
      </c>
      <c r="Q867" s="77" t="s">
        <v>1394</v>
      </c>
      <c r="R867" s="77">
        <v>0</v>
      </c>
      <c r="S867" s="77">
        <v>0</v>
      </c>
      <c r="T867" s="77">
        <v>1</v>
      </c>
      <c r="U867" s="77">
        <v>0</v>
      </c>
      <c r="V867" s="77">
        <v>8</v>
      </c>
      <c r="W867" s="82" t="s">
        <v>1941</v>
      </c>
      <c r="X867" s="77"/>
      <c r="Y867" s="77"/>
      <c r="Z867" s="77"/>
      <c r="AA867" s="77"/>
      <c r="AB867" s="77"/>
      <c r="AC867" s="82" t="s">
        <v>2639</v>
      </c>
      <c r="AD867" s="77" t="s">
        <v>2670</v>
      </c>
      <c r="AE867" s="80" t="str">
        <f>HYPERLINK("https://twitter.com/oluizbaur/status/1684999430011805696")</f>
        <v>https://twitter.com/oluizbaur/status/1684999430011805696</v>
      </c>
      <c r="AF867" s="79">
        <v>45135.784074074072</v>
      </c>
      <c r="AG867" s="85">
        <v>45135</v>
      </c>
      <c r="AH867" s="82" t="s">
        <v>3366</v>
      </c>
      <c r="AI867" s="77"/>
      <c r="AJ867" s="77"/>
      <c r="AK867" s="77"/>
      <c r="AL867" s="77"/>
      <c r="AM867" s="77"/>
      <c r="AN867" s="77"/>
      <c r="AO867" s="77"/>
      <c r="AP867" s="77"/>
      <c r="AQ867" s="77"/>
      <c r="AR867" s="77"/>
      <c r="AS867" s="77"/>
      <c r="AT867" s="77"/>
      <c r="AU867" s="77"/>
      <c r="AV867" s="80" t="str">
        <f>HYPERLINK("https://pbs.twimg.com/profile_images/1328021585350025217/H4jzJqXW_normal.jpg")</f>
        <v>https://pbs.twimg.com/profile_images/1328021585350025217/H4jzJqXW_normal.jpg</v>
      </c>
      <c r="AW867" s="82" t="s">
        <v>4918</v>
      </c>
      <c r="AX867" s="82" t="s">
        <v>5024</v>
      </c>
      <c r="AY867" s="82" t="s">
        <v>5073</v>
      </c>
      <c r="AZ867" s="82" t="s">
        <v>5024</v>
      </c>
      <c r="BA867" s="82" t="s">
        <v>5075</v>
      </c>
      <c r="BB867" s="82" t="s">
        <v>5075</v>
      </c>
      <c r="BC867" s="82" t="s">
        <v>5024</v>
      </c>
      <c r="BD867" s="77">
        <v>1731964476</v>
      </c>
      <c r="BE867" s="77"/>
      <c r="BF867" s="77"/>
      <c r="BG867" s="77"/>
      <c r="BH867" s="77"/>
      <c r="BI867" s="77"/>
    </row>
    <row r="868" spans="1:61" x14ac:dyDescent="0.25">
      <c r="A868" s="62" t="s">
        <v>502</v>
      </c>
      <c r="B868" s="62" t="s">
        <v>502</v>
      </c>
      <c r="C868" s="63"/>
      <c r="D868" s="64"/>
      <c r="E868" s="65"/>
      <c r="F868" s="66"/>
      <c r="G868" s="63"/>
      <c r="H868" s="67"/>
      <c r="I868" s="68"/>
      <c r="J868" s="68"/>
      <c r="K868" s="32"/>
      <c r="L868" s="75">
        <v>868</v>
      </c>
      <c r="M868" s="75"/>
      <c r="N868" s="70"/>
      <c r="O868" s="77" t="s">
        <v>179</v>
      </c>
      <c r="P868" s="79">
        <v>45083.573101851849</v>
      </c>
      <c r="Q868" s="77" t="s">
        <v>1395</v>
      </c>
      <c r="R868" s="77">
        <v>0</v>
      </c>
      <c r="S868" s="77">
        <v>0</v>
      </c>
      <c r="T868" s="77">
        <v>0</v>
      </c>
      <c r="U868" s="77">
        <v>0</v>
      </c>
      <c r="V868" s="77">
        <v>3</v>
      </c>
      <c r="W868" s="82" t="s">
        <v>1942</v>
      </c>
      <c r="X868" s="80" t="str">
        <f>HYPERLINK("https://lp4planejamento.com.br/os-segredos-para-uma-aposentadoria-tranquila/")</f>
        <v>https://lp4planejamento.com.br/os-segredos-para-uma-aposentadoria-tranquila/</v>
      </c>
      <c r="Y868" s="77" t="s">
        <v>1978</v>
      </c>
      <c r="Z868" s="77"/>
      <c r="AA868" s="77" t="s">
        <v>2604</v>
      </c>
      <c r="AB868" s="77" t="s">
        <v>2632</v>
      </c>
      <c r="AC868" s="82" t="s">
        <v>2642</v>
      </c>
      <c r="AD868" s="77" t="s">
        <v>2670</v>
      </c>
      <c r="AE868" s="80" t="str">
        <f>HYPERLINK("https://twitter.com/lp4planejamento/status/1666078808364154881")</f>
        <v>https://twitter.com/lp4planejamento/status/1666078808364154881</v>
      </c>
      <c r="AF868" s="79">
        <v>45083.573101851849</v>
      </c>
      <c r="AG868" s="85">
        <v>45083</v>
      </c>
      <c r="AH868" s="82" t="s">
        <v>3367</v>
      </c>
      <c r="AI868" s="77" t="b">
        <v>0</v>
      </c>
      <c r="AJ868" s="77"/>
      <c r="AK868" s="77"/>
      <c r="AL868" s="77"/>
      <c r="AM868" s="77"/>
      <c r="AN868" s="77"/>
      <c r="AO868" s="77"/>
      <c r="AP868" s="77"/>
      <c r="AQ868" s="77" t="s">
        <v>4033</v>
      </c>
      <c r="AR868" s="77"/>
      <c r="AS868" s="77"/>
      <c r="AT868" s="77"/>
      <c r="AU868" s="77"/>
      <c r="AV868" s="80" t="str">
        <f>HYPERLINK("https://pbs.twimg.com/media/Fx8Z2KfaQAAJLvb.jpg")</f>
        <v>https://pbs.twimg.com/media/Fx8Z2KfaQAAJLvb.jpg</v>
      </c>
      <c r="AW868" s="82" t="s">
        <v>4919</v>
      </c>
      <c r="AX868" s="82" t="s">
        <v>4919</v>
      </c>
      <c r="AY868" s="77"/>
      <c r="AZ868" s="82" t="s">
        <v>5075</v>
      </c>
      <c r="BA868" s="82" t="s">
        <v>5075</v>
      </c>
      <c r="BB868" s="82" t="s">
        <v>5075</v>
      </c>
      <c r="BC868" s="82" t="s">
        <v>4919</v>
      </c>
      <c r="BD868" s="82" t="s">
        <v>5272</v>
      </c>
      <c r="BE868" s="77"/>
      <c r="BF868" s="77"/>
      <c r="BG868" s="77"/>
      <c r="BH868" s="77"/>
      <c r="BI868" s="77"/>
    </row>
    <row r="869" spans="1:61" x14ac:dyDescent="0.25">
      <c r="A869" s="62" t="s">
        <v>502</v>
      </c>
      <c r="B869" s="62" t="s">
        <v>502</v>
      </c>
      <c r="C869" s="63"/>
      <c r="D869" s="64"/>
      <c r="E869" s="65"/>
      <c r="F869" s="66"/>
      <c r="G869" s="63"/>
      <c r="H869" s="67"/>
      <c r="I869" s="68"/>
      <c r="J869" s="68"/>
      <c r="K869" s="32"/>
      <c r="L869" s="75">
        <v>869</v>
      </c>
      <c r="M869" s="75"/>
      <c r="N869" s="70"/>
      <c r="O869" s="77" t="s">
        <v>179</v>
      </c>
      <c r="P869" s="79">
        <v>45082.531689814816</v>
      </c>
      <c r="Q869" s="77" t="s">
        <v>1396</v>
      </c>
      <c r="R869" s="77">
        <v>0</v>
      </c>
      <c r="S869" s="77">
        <v>0</v>
      </c>
      <c r="T869" s="77">
        <v>0</v>
      </c>
      <c r="U869" s="77">
        <v>0</v>
      </c>
      <c r="V869" s="77">
        <v>1</v>
      </c>
      <c r="W869" s="82" t="s">
        <v>1943</v>
      </c>
      <c r="X869" s="80" t="str">
        <f>HYPERLINK("https://lp4planejamento.com.br/como-escolher-um-plano-de-seguro-de-vida-adequado/")</f>
        <v>https://lp4planejamento.com.br/como-escolher-um-plano-de-seguro-de-vida-adequado/</v>
      </c>
      <c r="Y869" s="77" t="s">
        <v>1978</v>
      </c>
      <c r="Z869" s="77"/>
      <c r="AA869" s="77" t="s">
        <v>2605</v>
      </c>
      <c r="AB869" s="77" t="s">
        <v>2632</v>
      </c>
      <c r="AC869" s="82" t="s">
        <v>2642</v>
      </c>
      <c r="AD869" s="77" t="s">
        <v>2670</v>
      </c>
      <c r="AE869" s="80" t="str">
        <f>HYPERLINK("https://twitter.com/lp4planejamento/status/1665701413073059840")</f>
        <v>https://twitter.com/lp4planejamento/status/1665701413073059840</v>
      </c>
      <c r="AF869" s="79">
        <v>45082.531689814816</v>
      </c>
      <c r="AG869" s="85">
        <v>45082</v>
      </c>
      <c r="AH869" s="82" t="s">
        <v>3368</v>
      </c>
      <c r="AI869" s="77" t="b">
        <v>0</v>
      </c>
      <c r="AJ869" s="77"/>
      <c r="AK869" s="77"/>
      <c r="AL869" s="77"/>
      <c r="AM869" s="77"/>
      <c r="AN869" s="77"/>
      <c r="AO869" s="77"/>
      <c r="AP869" s="77"/>
      <c r="AQ869" s="77" t="s">
        <v>4034</v>
      </c>
      <c r="AR869" s="77"/>
      <c r="AS869" s="77"/>
      <c r="AT869" s="77"/>
      <c r="AU869" s="77"/>
      <c r="AV869" s="80" t="str">
        <f>HYPERLINK("https://pbs.twimg.com/media/Fx3Cm5OWwAgATlM.jpg")</f>
        <v>https://pbs.twimg.com/media/Fx3Cm5OWwAgATlM.jpg</v>
      </c>
      <c r="AW869" s="82" t="s">
        <v>4920</v>
      </c>
      <c r="AX869" s="82" t="s">
        <v>4920</v>
      </c>
      <c r="AY869" s="77"/>
      <c r="AZ869" s="82" t="s">
        <v>5075</v>
      </c>
      <c r="BA869" s="82" t="s">
        <v>5075</v>
      </c>
      <c r="BB869" s="82" t="s">
        <v>5075</v>
      </c>
      <c r="BC869" s="82" t="s">
        <v>4920</v>
      </c>
      <c r="BD869" s="82" t="s">
        <v>5272</v>
      </c>
      <c r="BE869" s="77"/>
      <c r="BF869" s="77"/>
      <c r="BG869" s="77"/>
      <c r="BH869" s="77"/>
      <c r="BI869" s="77"/>
    </row>
    <row r="870" spans="1:61" x14ac:dyDescent="0.25">
      <c r="A870" s="62" t="s">
        <v>502</v>
      </c>
      <c r="B870" s="62" t="s">
        <v>502</v>
      </c>
      <c r="C870" s="63"/>
      <c r="D870" s="64"/>
      <c r="E870" s="65"/>
      <c r="F870" s="66"/>
      <c r="G870" s="63"/>
      <c r="H870" s="67"/>
      <c r="I870" s="68"/>
      <c r="J870" s="68"/>
      <c r="K870" s="32"/>
      <c r="L870" s="75">
        <v>870</v>
      </c>
      <c r="M870" s="75"/>
      <c r="N870" s="70"/>
      <c r="O870" s="77" t="s">
        <v>179</v>
      </c>
      <c r="P870" s="79">
        <v>45091.559224537035</v>
      </c>
      <c r="Q870" s="77" t="s">
        <v>1397</v>
      </c>
      <c r="R870" s="77">
        <v>0</v>
      </c>
      <c r="S870" s="77">
        <v>0</v>
      </c>
      <c r="T870" s="77">
        <v>0</v>
      </c>
      <c r="U870" s="77">
        <v>0</v>
      </c>
      <c r="V870" s="77">
        <v>5</v>
      </c>
      <c r="W870" s="82" t="s">
        <v>1944</v>
      </c>
      <c r="X870" s="77"/>
      <c r="Y870" s="77"/>
      <c r="Z870" s="77"/>
      <c r="AA870" s="77" t="s">
        <v>2606</v>
      </c>
      <c r="AB870" s="77" t="s">
        <v>2632</v>
      </c>
      <c r="AC870" s="82" t="s">
        <v>2642</v>
      </c>
      <c r="AD870" s="77" t="s">
        <v>2670</v>
      </c>
      <c r="AE870" s="80" t="str">
        <f>HYPERLINK("https://twitter.com/lp4planejamento/status/1668972879533187073")</f>
        <v>https://twitter.com/lp4planejamento/status/1668972879533187073</v>
      </c>
      <c r="AF870" s="79">
        <v>45091.559224537035</v>
      </c>
      <c r="AG870" s="85">
        <v>45091</v>
      </c>
      <c r="AH870" s="82" t="s">
        <v>3369</v>
      </c>
      <c r="AI870" s="77" t="b">
        <v>0</v>
      </c>
      <c r="AJ870" s="77"/>
      <c r="AK870" s="77"/>
      <c r="AL870" s="77"/>
      <c r="AM870" s="77"/>
      <c r="AN870" s="77"/>
      <c r="AO870" s="77"/>
      <c r="AP870" s="77"/>
      <c r="AQ870" s="77" t="s">
        <v>4035</v>
      </c>
      <c r="AR870" s="77"/>
      <c r="AS870" s="77"/>
      <c r="AT870" s="77"/>
      <c r="AU870" s="77"/>
      <c r="AV870" s="80" t="str">
        <f>HYPERLINK("https://pbs.twimg.com/media/Fylh_QQX0AE2si1.jpg")</f>
        <v>https://pbs.twimg.com/media/Fylh_QQX0AE2si1.jpg</v>
      </c>
      <c r="AW870" s="82" t="s">
        <v>4921</v>
      </c>
      <c r="AX870" s="82" t="s">
        <v>4921</v>
      </c>
      <c r="AY870" s="77"/>
      <c r="AZ870" s="82" t="s">
        <v>5075</v>
      </c>
      <c r="BA870" s="82" t="s">
        <v>5075</v>
      </c>
      <c r="BB870" s="82" t="s">
        <v>5075</v>
      </c>
      <c r="BC870" s="82" t="s">
        <v>4921</v>
      </c>
      <c r="BD870" s="82" t="s">
        <v>5272</v>
      </c>
      <c r="BE870" s="77"/>
      <c r="BF870" s="77"/>
      <c r="BG870" s="77"/>
      <c r="BH870" s="77"/>
      <c r="BI870" s="77"/>
    </row>
    <row r="871" spans="1:61" x14ac:dyDescent="0.25">
      <c r="A871" s="62" t="s">
        <v>502</v>
      </c>
      <c r="B871" s="62" t="s">
        <v>502</v>
      </c>
      <c r="C871" s="63"/>
      <c r="D871" s="64"/>
      <c r="E871" s="65"/>
      <c r="F871" s="66"/>
      <c r="G871" s="63"/>
      <c r="H871" s="67"/>
      <c r="I871" s="68"/>
      <c r="J871" s="68"/>
      <c r="K871" s="32"/>
      <c r="L871" s="75">
        <v>871</v>
      </c>
      <c r="M871" s="75"/>
      <c r="N871" s="70"/>
      <c r="O871" s="77" t="s">
        <v>179</v>
      </c>
      <c r="P871" s="79">
        <v>45089.798692129632</v>
      </c>
      <c r="Q871" s="77" t="s">
        <v>1398</v>
      </c>
      <c r="R871" s="77">
        <v>0</v>
      </c>
      <c r="S871" s="77">
        <v>0</v>
      </c>
      <c r="T871" s="77">
        <v>0</v>
      </c>
      <c r="U871" s="77">
        <v>0</v>
      </c>
      <c r="V871" s="77">
        <v>1</v>
      </c>
      <c r="W871" s="82" t="s">
        <v>1945</v>
      </c>
      <c r="X871" s="80" t="str">
        <f>HYPERLINK("https://lp4planejamento.com.br/dicas-para-planejar-a-aposentadoria-garanta-um-futuro-financeiramente-seguro/")</f>
        <v>https://lp4planejamento.com.br/dicas-para-planejar-a-aposentadoria-garanta-um-futuro-financeiramente-seguro/</v>
      </c>
      <c r="Y871" s="77" t="s">
        <v>1978</v>
      </c>
      <c r="Z871" s="77"/>
      <c r="AA871" s="77" t="s">
        <v>2607</v>
      </c>
      <c r="AB871" s="77" t="s">
        <v>2632</v>
      </c>
      <c r="AC871" s="82" t="s">
        <v>2642</v>
      </c>
      <c r="AD871" s="77" t="s">
        <v>2670</v>
      </c>
      <c r="AE871" s="80" t="str">
        <f>HYPERLINK("https://twitter.com/lp4planejamento/status/1668334884350205953")</f>
        <v>https://twitter.com/lp4planejamento/status/1668334884350205953</v>
      </c>
      <c r="AF871" s="79">
        <v>45089.798692129632</v>
      </c>
      <c r="AG871" s="85">
        <v>45089</v>
      </c>
      <c r="AH871" s="82" t="s">
        <v>3370</v>
      </c>
      <c r="AI871" s="77" t="b">
        <v>0</v>
      </c>
      <c r="AJ871" s="77"/>
      <c r="AK871" s="77"/>
      <c r="AL871" s="77"/>
      <c r="AM871" s="77"/>
      <c r="AN871" s="77"/>
      <c r="AO871" s="77"/>
      <c r="AP871" s="77"/>
      <c r="AQ871" s="77" t="s">
        <v>4036</v>
      </c>
      <c r="AR871" s="77"/>
      <c r="AS871" s="77"/>
      <c r="AT871" s="77"/>
      <c r="AU871" s="77"/>
      <c r="AV871" s="80" t="str">
        <f>HYPERLINK("https://pbs.twimg.com/media/FycdvGOWYAkl5oq.jpg")</f>
        <v>https://pbs.twimg.com/media/FycdvGOWYAkl5oq.jpg</v>
      </c>
      <c r="AW871" s="82" t="s">
        <v>4922</v>
      </c>
      <c r="AX871" s="82" t="s">
        <v>4922</v>
      </c>
      <c r="AY871" s="77"/>
      <c r="AZ871" s="82" t="s">
        <v>5075</v>
      </c>
      <c r="BA871" s="82" t="s">
        <v>5075</v>
      </c>
      <c r="BB871" s="82" t="s">
        <v>5075</v>
      </c>
      <c r="BC871" s="82" t="s">
        <v>4922</v>
      </c>
      <c r="BD871" s="82" t="s">
        <v>5272</v>
      </c>
      <c r="BE871" s="77"/>
      <c r="BF871" s="77"/>
      <c r="BG871" s="77"/>
      <c r="BH871" s="77"/>
      <c r="BI871" s="77"/>
    </row>
    <row r="872" spans="1:61" x14ac:dyDescent="0.25">
      <c r="A872" s="62" t="s">
        <v>502</v>
      </c>
      <c r="B872" s="62" t="s">
        <v>502</v>
      </c>
      <c r="C872" s="63"/>
      <c r="D872" s="64"/>
      <c r="E872" s="65"/>
      <c r="F872" s="66"/>
      <c r="G872" s="63"/>
      <c r="H872" s="67"/>
      <c r="I872" s="68"/>
      <c r="J872" s="68"/>
      <c r="K872" s="32"/>
      <c r="L872" s="75">
        <v>872</v>
      </c>
      <c r="M872" s="75"/>
      <c r="N872" s="70"/>
      <c r="O872" s="77" t="s">
        <v>179</v>
      </c>
      <c r="P872" s="79">
        <v>45111.500497685185</v>
      </c>
      <c r="Q872" s="77" t="s">
        <v>1399</v>
      </c>
      <c r="R872" s="77">
        <v>0</v>
      </c>
      <c r="S872" s="77">
        <v>0</v>
      </c>
      <c r="T872" s="77">
        <v>0</v>
      </c>
      <c r="U872" s="77">
        <v>0</v>
      </c>
      <c r="V872" s="77">
        <v>15</v>
      </c>
      <c r="W872" s="82" t="s">
        <v>1946</v>
      </c>
      <c r="X872" s="77"/>
      <c r="Y872" s="77"/>
      <c r="Z872" s="77"/>
      <c r="AA872" s="77" t="s">
        <v>2608</v>
      </c>
      <c r="AB872" s="77" t="s">
        <v>2632</v>
      </c>
      <c r="AC872" s="82" t="s">
        <v>2642</v>
      </c>
      <c r="AD872" s="77" t="s">
        <v>2670</v>
      </c>
      <c r="AE872" s="80" t="str">
        <f>HYPERLINK("https://twitter.com/lp4planejamento/status/1676199356184027137")</f>
        <v>https://twitter.com/lp4planejamento/status/1676199356184027137</v>
      </c>
      <c r="AF872" s="79">
        <v>45111.500497685185</v>
      </c>
      <c r="AG872" s="85">
        <v>45111</v>
      </c>
      <c r="AH872" s="82" t="s">
        <v>2892</v>
      </c>
      <c r="AI872" s="77" t="b">
        <v>0</v>
      </c>
      <c r="AJ872" s="77"/>
      <c r="AK872" s="77"/>
      <c r="AL872" s="77"/>
      <c r="AM872" s="77"/>
      <c r="AN872" s="77"/>
      <c r="AO872" s="77"/>
      <c r="AP872" s="77"/>
      <c r="AQ872" s="77" t="s">
        <v>4037</v>
      </c>
      <c r="AR872" s="77"/>
      <c r="AS872" s="77"/>
      <c r="AT872" s="77"/>
      <c r="AU872" s="77"/>
      <c r="AV872" s="80" t="str">
        <f>HYPERLINK("https://pbs.twimg.com/media/F0MObh4WcAEyK-V.jpg")</f>
        <v>https://pbs.twimg.com/media/F0MObh4WcAEyK-V.jpg</v>
      </c>
      <c r="AW872" s="82" t="s">
        <v>4923</v>
      </c>
      <c r="AX872" s="82" t="s">
        <v>4923</v>
      </c>
      <c r="AY872" s="77"/>
      <c r="AZ872" s="82" t="s">
        <v>5075</v>
      </c>
      <c r="BA872" s="82" t="s">
        <v>5075</v>
      </c>
      <c r="BB872" s="82" t="s">
        <v>5075</v>
      </c>
      <c r="BC872" s="82" t="s">
        <v>4923</v>
      </c>
      <c r="BD872" s="82" t="s">
        <v>5272</v>
      </c>
      <c r="BE872" s="77"/>
      <c r="BF872" s="77"/>
      <c r="BG872" s="77"/>
      <c r="BH872" s="77"/>
      <c r="BI872" s="77"/>
    </row>
    <row r="873" spans="1:61" x14ac:dyDescent="0.25">
      <c r="A873" s="62" t="s">
        <v>502</v>
      </c>
      <c r="B873" s="62" t="s">
        <v>502</v>
      </c>
      <c r="C873" s="63"/>
      <c r="D873" s="64"/>
      <c r="E873" s="65"/>
      <c r="F873" s="66"/>
      <c r="G873" s="63"/>
      <c r="H873" s="67"/>
      <c r="I873" s="68"/>
      <c r="J873" s="68"/>
      <c r="K873" s="32"/>
      <c r="L873" s="75">
        <v>873</v>
      </c>
      <c r="M873" s="75"/>
      <c r="N873" s="70"/>
      <c r="O873" s="77" t="s">
        <v>179</v>
      </c>
      <c r="P873" s="79">
        <v>45110.498877314814</v>
      </c>
      <c r="Q873" s="77" t="s">
        <v>1400</v>
      </c>
      <c r="R873" s="77">
        <v>0</v>
      </c>
      <c r="S873" s="77">
        <v>0</v>
      </c>
      <c r="T873" s="77">
        <v>0</v>
      </c>
      <c r="U873" s="77">
        <v>0</v>
      </c>
      <c r="V873" s="77">
        <v>15</v>
      </c>
      <c r="W873" s="82" t="s">
        <v>1947</v>
      </c>
      <c r="X873" s="80" t="str">
        <f>HYPERLINK("https://lp4planejamento.com.br/planejamento-financeiro-para-casais-como-fazer-juntos/")</f>
        <v>https://lp4planejamento.com.br/planejamento-financeiro-para-casais-como-fazer-juntos/</v>
      </c>
      <c r="Y873" s="77" t="s">
        <v>1978</v>
      </c>
      <c r="Z873" s="77"/>
      <c r="AA873" s="77" t="s">
        <v>2609</v>
      </c>
      <c r="AB873" s="77" t="s">
        <v>2632</v>
      </c>
      <c r="AC873" s="82" t="s">
        <v>2642</v>
      </c>
      <c r="AD873" s="77" t="s">
        <v>2670</v>
      </c>
      <c r="AE873" s="80" t="str">
        <f>HYPERLINK("https://twitter.com/lp4planejamento/status/1675836382097334272")</f>
        <v>https://twitter.com/lp4planejamento/status/1675836382097334272</v>
      </c>
      <c r="AF873" s="79">
        <v>45110.498877314814</v>
      </c>
      <c r="AG873" s="85">
        <v>45110</v>
      </c>
      <c r="AH873" s="82" t="s">
        <v>3371</v>
      </c>
      <c r="AI873" s="77" t="b">
        <v>0</v>
      </c>
      <c r="AJ873" s="77"/>
      <c r="AK873" s="77"/>
      <c r="AL873" s="77"/>
      <c r="AM873" s="77"/>
      <c r="AN873" s="77"/>
      <c r="AO873" s="77"/>
      <c r="AP873" s="77"/>
      <c r="AQ873" s="77" t="s">
        <v>4038</v>
      </c>
      <c r="AR873" s="77"/>
      <c r="AS873" s="77"/>
      <c r="AT873" s="77"/>
      <c r="AU873" s="77"/>
      <c r="AV873" s="80" t="str">
        <f>HYPERLINK("https://pbs.twimg.com/media/F0HETv5WAAUQ_Po.jpg")</f>
        <v>https://pbs.twimg.com/media/F0HETv5WAAUQ_Po.jpg</v>
      </c>
      <c r="AW873" s="82" t="s">
        <v>4924</v>
      </c>
      <c r="AX873" s="82" t="s">
        <v>4924</v>
      </c>
      <c r="AY873" s="77"/>
      <c r="AZ873" s="82" t="s">
        <v>5075</v>
      </c>
      <c r="BA873" s="82" t="s">
        <v>5075</v>
      </c>
      <c r="BB873" s="82" t="s">
        <v>5075</v>
      </c>
      <c r="BC873" s="82" t="s">
        <v>4924</v>
      </c>
      <c r="BD873" s="82" t="s">
        <v>5272</v>
      </c>
      <c r="BE873" s="77"/>
      <c r="BF873" s="77"/>
      <c r="BG873" s="77"/>
      <c r="BH873" s="77"/>
      <c r="BI873" s="77"/>
    </row>
    <row r="874" spans="1:61" x14ac:dyDescent="0.25">
      <c r="A874" s="62" t="s">
        <v>502</v>
      </c>
      <c r="B874" s="62" t="s">
        <v>502</v>
      </c>
      <c r="C874" s="63"/>
      <c r="D874" s="64"/>
      <c r="E874" s="65"/>
      <c r="F874" s="66"/>
      <c r="G874" s="63"/>
      <c r="H874" s="67"/>
      <c r="I874" s="68"/>
      <c r="J874" s="68"/>
      <c r="K874" s="32"/>
      <c r="L874" s="75">
        <v>874</v>
      </c>
      <c r="M874" s="75"/>
      <c r="N874" s="70"/>
      <c r="O874" s="77" t="s">
        <v>179</v>
      </c>
      <c r="P874" s="79">
        <v>45093.562962962962</v>
      </c>
      <c r="Q874" s="77" t="s">
        <v>1401</v>
      </c>
      <c r="R874" s="77">
        <v>0</v>
      </c>
      <c r="S874" s="77">
        <v>0</v>
      </c>
      <c r="T874" s="77">
        <v>0</v>
      </c>
      <c r="U874" s="77">
        <v>0</v>
      </c>
      <c r="V874" s="77">
        <v>2</v>
      </c>
      <c r="W874" s="82" t="s">
        <v>1948</v>
      </c>
      <c r="X874" s="80" t="str">
        <f>HYPERLINK("https://lp4planejamento.com.br/os-melhores-investimentos-para-aposentadoria-planejando-um-futuro-financeiro-solido/")</f>
        <v>https://lp4planejamento.com.br/os-melhores-investimentos-para-aposentadoria-planejando-um-futuro-financeiro-solido/</v>
      </c>
      <c r="Y874" s="77" t="s">
        <v>1978</v>
      </c>
      <c r="Z874" s="77"/>
      <c r="AA874" s="77" t="s">
        <v>2610</v>
      </c>
      <c r="AB874" s="77" t="s">
        <v>2632</v>
      </c>
      <c r="AC874" s="82" t="s">
        <v>2642</v>
      </c>
      <c r="AD874" s="77" t="s">
        <v>2670</v>
      </c>
      <c r="AE874" s="80" t="str">
        <f>HYPERLINK("https://twitter.com/lp4planejamento/status/1669699011446558720")</f>
        <v>https://twitter.com/lp4planejamento/status/1669699011446558720</v>
      </c>
      <c r="AF874" s="79">
        <v>45093.562962962962</v>
      </c>
      <c r="AG874" s="85">
        <v>45093</v>
      </c>
      <c r="AH874" s="82" t="s">
        <v>3372</v>
      </c>
      <c r="AI874" s="77" t="b">
        <v>0</v>
      </c>
      <c r="AJ874" s="77"/>
      <c r="AK874" s="77"/>
      <c r="AL874" s="77"/>
      <c r="AM874" s="77"/>
      <c r="AN874" s="77"/>
      <c r="AO874" s="77"/>
      <c r="AP874" s="77"/>
      <c r="AQ874" s="77" t="s">
        <v>4039</v>
      </c>
      <c r="AR874" s="77"/>
      <c r="AS874" s="77"/>
      <c r="AT874" s="77"/>
      <c r="AU874" s="77"/>
      <c r="AV874" s="80" t="str">
        <f>HYPERLINK("https://pbs.twimg.com/media/Fyv2Zs6WYAEDmtM.jpg")</f>
        <v>https://pbs.twimg.com/media/Fyv2Zs6WYAEDmtM.jpg</v>
      </c>
      <c r="AW874" s="82" t="s">
        <v>4925</v>
      </c>
      <c r="AX874" s="82" t="s">
        <v>4925</v>
      </c>
      <c r="AY874" s="77"/>
      <c r="AZ874" s="82" t="s">
        <v>5075</v>
      </c>
      <c r="BA874" s="82" t="s">
        <v>5075</v>
      </c>
      <c r="BB874" s="82" t="s">
        <v>5075</v>
      </c>
      <c r="BC874" s="82" t="s">
        <v>4925</v>
      </c>
      <c r="BD874" s="82" t="s">
        <v>5272</v>
      </c>
      <c r="BE874" s="77"/>
      <c r="BF874" s="77"/>
      <c r="BG874" s="77"/>
      <c r="BH874" s="77"/>
      <c r="BI874" s="77"/>
    </row>
    <row r="875" spans="1:61" x14ac:dyDescent="0.25">
      <c r="A875" s="62" t="s">
        <v>502</v>
      </c>
      <c r="B875" s="62" t="s">
        <v>502</v>
      </c>
      <c r="C875" s="63"/>
      <c r="D875" s="64"/>
      <c r="E875" s="65"/>
      <c r="F875" s="66"/>
      <c r="G875" s="63"/>
      <c r="H875" s="67"/>
      <c r="I875" s="68"/>
      <c r="J875" s="68"/>
      <c r="K875" s="32"/>
      <c r="L875" s="75">
        <v>875</v>
      </c>
      <c r="M875" s="75"/>
      <c r="N875" s="70"/>
      <c r="O875" s="77" t="s">
        <v>179</v>
      </c>
      <c r="P875" s="79">
        <v>45092.538287037038</v>
      </c>
      <c r="Q875" s="77" t="s">
        <v>1402</v>
      </c>
      <c r="R875" s="77">
        <v>0</v>
      </c>
      <c r="S875" s="77">
        <v>0</v>
      </c>
      <c r="T875" s="77">
        <v>0</v>
      </c>
      <c r="U875" s="77">
        <v>0</v>
      </c>
      <c r="V875" s="77">
        <v>7</v>
      </c>
      <c r="W875" s="82" t="s">
        <v>1949</v>
      </c>
      <c r="X875" s="80" t="str">
        <f>HYPERLINK("https://lp4planejamento.com.br/como-escolher-um-plano-de-previdencia-privada/")</f>
        <v>https://lp4planejamento.com.br/como-escolher-um-plano-de-previdencia-privada/</v>
      </c>
      <c r="Y875" s="77" t="s">
        <v>1978</v>
      </c>
      <c r="Z875" s="77"/>
      <c r="AA875" s="77" t="s">
        <v>2611</v>
      </c>
      <c r="AB875" s="77" t="s">
        <v>2632</v>
      </c>
      <c r="AC875" s="82" t="s">
        <v>2642</v>
      </c>
      <c r="AD875" s="77" t="s">
        <v>2670</v>
      </c>
      <c r="AE875" s="80" t="str">
        <f>HYPERLINK("https://twitter.com/lp4planejamento/status/1669327680636956672")</f>
        <v>https://twitter.com/lp4planejamento/status/1669327680636956672</v>
      </c>
      <c r="AF875" s="79">
        <v>45092.538287037038</v>
      </c>
      <c r="AG875" s="85">
        <v>45092</v>
      </c>
      <c r="AH875" s="82" t="s">
        <v>3373</v>
      </c>
      <c r="AI875" s="77" t="b">
        <v>0</v>
      </c>
      <c r="AJ875" s="77"/>
      <c r="AK875" s="77"/>
      <c r="AL875" s="77"/>
      <c r="AM875" s="77"/>
      <c r="AN875" s="77"/>
      <c r="AO875" s="77"/>
      <c r="AP875" s="77"/>
      <c r="AQ875" s="77" t="s">
        <v>4040</v>
      </c>
      <c r="AR875" s="77"/>
      <c r="AS875" s="77"/>
      <c r="AT875" s="77"/>
      <c r="AU875" s="77"/>
      <c r="AV875" s="80" t="str">
        <f>HYPERLINK("https://pbs.twimg.com/media/FyqkrcBX0AI8ilq.jpg")</f>
        <v>https://pbs.twimg.com/media/FyqkrcBX0AI8ilq.jpg</v>
      </c>
      <c r="AW875" s="82" t="s">
        <v>4926</v>
      </c>
      <c r="AX875" s="82" t="s">
        <v>4926</v>
      </c>
      <c r="AY875" s="77"/>
      <c r="AZ875" s="82" t="s">
        <v>5075</v>
      </c>
      <c r="BA875" s="82" t="s">
        <v>5075</v>
      </c>
      <c r="BB875" s="82" t="s">
        <v>5075</v>
      </c>
      <c r="BC875" s="82" t="s">
        <v>4926</v>
      </c>
      <c r="BD875" s="82" t="s">
        <v>5272</v>
      </c>
      <c r="BE875" s="77"/>
      <c r="BF875" s="77"/>
      <c r="BG875" s="77"/>
      <c r="BH875" s="77"/>
      <c r="BI875" s="77"/>
    </row>
    <row r="876" spans="1:61" x14ac:dyDescent="0.25">
      <c r="A876" s="62" t="s">
        <v>502</v>
      </c>
      <c r="B876" s="62" t="s">
        <v>502</v>
      </c>
      <c r="C876" s="63"/>
      <c r="D876" s="64"/>
      <c r="E876" s="65"/>
      <c r="F876" s="66"/>
      <c r="G876" s="63"/>
      <c r="H876" s="67"/>
      <c r="I876" s="68"/>
      <c r="J876" s="68"/>
      <c r="K876" s="32"/>
      <c r="L876" s="75">
        <v>876</v>
      </c>
      <c r="M876" s="75"/>
      <c r="N876" s="70"/>
      <c r="O876" s="77" t="s">
        <v>179</v>
      </c>
      <c r="P876" s="79">
        <v>45119.511655092596</v>
      </c>
      <c r="Q876" s="77" t="s">
        <v>1403</v>
      </c>
      <c r="R876" s="77">
        <v>0</v>
      </c>
      <c r="S876" s="77">
        <v>0</v>
      </c>
      <c r="T876" s="77">
        <v>0</v>
      </c>
      <c r="U876" s="77">
        <v>0</v>
      </c>
      <c r="V876" s="77">
        <v>15</v>
      </c>
      <c r="W876" s="82" t="s">
        <v>1950</v>
      </c>
      <c r="X876" s="77"/>
      <c r="Y876" s="77"/>
      <c r="Z876" s="77"/>
      <c r="AA876" s="77" t="s">
        <v>2612</v>
      </c>
      <c r="AB876" s="77" t="s">
        <v>2632</v>
      </c>
      <c r="AC876" s="82" t="s">
        <v>2642</v>
      </c>
      <c r="AD876" s="77" t="s">
        <v>2670</v>
      </c>
      <c r="AE876" s="80" t="str">
        <f>HYPERLINK("https://twitter.com/lp4planejamento/status/1679102502518640642")</f>
        <v>https://twitter.com/lp4planejamento/status/1679102502518640642</v>
      </c>
      <c r="AF876" s="79">
        <v>45119.511655092596</v>
      </c>
      <c r="AG876" s="85">
        <v>45119</v>
      </c>
      <c r="AH876" s="82" t="s">
        <v>3374</v>
      </c>
      <c r="AI876" s="77" t="b">
        <v>0</v>
      </c>
      <c r="AJ876" s="77"/>
      <c r="AK876" s="77"/>
      <c r="AL876" s="77"/>
      <c r="AM876" s="77"/>
      <c r="AN876" s="77"/>
      <c r="AO876" s="77"/>
      <c r="AP876" s="77"/>
      <c r="AQ876" s="77" t="s">
        <v>4041</v>
      </c>
      <c r="AR876" s="77"/>
      <c r="AS876" s="77"/>
      <c r="AT876" s="77"/>
      <c r="AU876" s="77"/>
      <c r="AV876" s="80" t="str">
        <f>HYPERLINK("https://pbs.twimg.com/media/F01e08UWYAEyEZi.jpg")</f>
        <v>https://pbs.twimg.com/media/F01e08UWYAEyEZi.jpg</v>
      </c>
      <c r="AW876" s="82" t="s">
        <v>4927</v>
      </c>
      <c r="AX876" s="82" t="s">
        <v>4927</v>
      </c>
      <c r="AY876" s="77"/>
      <c r="AZ876" s="82" t="s">
        <v>5075</v>
      </c>
      <c r="BA876" s="82" t="s">
        <v>5075</v>
      </c>
      <c r="BB876" s="82" t="s">
        <v>5075</v>
      </c>
      <c r="BC876" s="82" t="s">
        <v>4927</v>
      </c>
      <c r="BD876" s="82" t="s">
        <v>5272</v>
      </c>
      <c r="BE876" s="77"/>
      <c r="BF876" s="77"/>
      <c r="BG876" s="77"/>
      <c r="BH876" s="77"/>
      <c r="BI876" s="77"/>
    </row>
    <row r="877" spans="1:61" x14ac:dyDescent="0.25">
      <c r="A877" s="62" t="s">
        <v>502</v>
      </c>
      <c r="B877" s="62" t="s">
        <v>502</v>
      </c>
      <c r="C877" s="63"/>
      <c r="D877" s="64"/>
      <c r="E877" s="65"/>
      <c r="F877" s="66"/>
      <c r="G877" s="63"/>
      <c r="H877" s="67"/>
      <c r="I877" s="68"/>
      <c r="J877" s="68"/>
      <c r="K877" s="32"/>
      <c r="L877" s="75">
        <v>877</v>
      </c>
      <c r="M877" s="75"/>
      <c r="N877" s="70"/>
      <c r="O877" s="77" t="s">
        <v>179</v>
      </c>
      <c r="P877" s="79">
        <v>45097.458877314813</v>
      </c>
      <c r="Q877" s="77" t="s">
        <v>1404</v>
      </c>
      <c r="R877" s="77">
        <v>0</v>
      </c>
      <c r="S877" s="77">
        <v>0</v>
      </c>
      <c r="T877" s="77">
        <v>0</v>
      </c>
      <c r="U877" s="77">
        <v>0</v>
      </c>
      <c r="V877" s="77">
        <v>5</v>
      </c>
      <c r="W877" s="82" t="s">
        <v>1951</v>
      </c>
      <c r="X877" s="80" t="str">
        <f>HYPERLINK("https://lp4planejamento.com.br/os-beneficios-de-uma-previdencia-privada-garantindo-um-futuro-financeiro-seguro/")</f>
        <v>https://lp4planejamento.com.br/os-beneficios-de-uma-previdencia-privada-garantindo-um-futuro-financeiro-seguro/</v>
      </c>
      <c r="Y877" s="77" t="s">
        <v>1978</v>
      </c>
      <c r="Z877" s="77"/>
      <c r="AA877" s="77" t="s">
        <v>2613</v>
      </c>
      <c r="AB877" s="77" t="s">
        <v>2632</v>
      </c>
      <c r="AC877" s="82" t="s">
        <v>2642</v>
      </c>
      <c r="AD877" s="77" t="s">
        <v>2670</v>
      </c>
      <c r="AE877" s="80" t="str">
        <f>HYPERLINK("https://twitter.com/lp4planejamento/status/1671110842782212097")</f>
        <v>https://twitter.com/lp4planejamento/status/1671110842782212097</v>
      </c>
      <c r="AF877" s="79">
        <v>45097.458877314813</v>
      </c>
      <c r="AG877" s="85">
        <v>45097</v>
      </c>
      <c r="AH877" s="82" t="s">
        <v>3101</v>
      </c>
      <c r="AI877" s="77" t="b">
        <v>0</v>
      </c>
      <c r="AJ877" s="77"/>
      <c r="AK877" s="77"/>
      <c r="AL877" s="77"/>
      <c r="AM877" s="77"/>
      <c r="AN877" s="77"/>
      <c r="AO877" s="77"/>
      <c r="AP877" s="77"/>
      <c r="AQ877" s="77" t="s">
        <v>4042</v>
      </c>
      <c r="AR877" s="77"/>
      <c r="AS877" s="77"/>
      <c r="AT877" s="77"/>
      <c r="AU877" s="77"/>
      <c r="AV877" s="80" t="str">
        <f>HYPERLINK("https://pbs.twimg.com/media/FzD6dJqXoAE1aZb.jpg")</f>
        <v>https://pbs.twimg.com/media/FzD6dJqXoAE1aZb.jpg</v>
      </c>
      <c r="AW877" s="82" t="s">
        <v>4928</v>
      </c>
      <c r="AX877" s="82" t="s">
        <v>4928</v>
      </c>
      <c r="AY877" s="77"/>
      <c r="AZ877" s="82" t="s">
        <v>5075</v>
      </c>
      <c r="BA877" s="82" t="s">
        <v>5075</v>
      </c>
      <c r="BB877" s="82" t="s">
        <v>5075</v>
      </c>
      <c r="BC877" s="82" t="s">
        <v>4928</v>
      </c>
      <c r="BD877" s="82" t="s">
        <v>5272</v>
      </c>
      <c r="BE877" s="77"/>
      <c r="BF877" s="77"/>
      <c r="BG877" s="77"/>
      <c r="BH877" s="77"/>
      <c r="BI877" s="77"/>
    </row>
    <row r="878" spans="1:61" x14ac:dyDescent="0.25">
      <c r="A878" s="62" t="s">
        <v>502</v>
      </c>
      <c r="B878" s="62" t="s">
        <v>502</v>
      </c>
      <c r="C878" s="63"/>
      <c r="D878" s="64"/>
      <c r="E878" s="65"/>
      <c r="F878" s="66"/>
      <c r="G878" s="63"/>
      <c r="H878" s="67"/>
      <c r="I878" s="68"/>
      <c r="J878" s="68"/>
      <c r="K878" s="32"/>
      <c r="L878" s="75">
        <v>878</v>
      </c>
      <c r="M878" s="75"/>
      <c r="N878" s="70"/>
      <c r="O878" s="77" t="s">
        <v>179</v>
      </c>
      <c r="P878" s="79">
        <v>45077.552581018521</v>
      </c>
      <c r="Q878" s="77" t="s">
        <v>1405</v>
      </c>
      <c r="R878" s="77">
        <v>0</v>
      </c>
      <c r="S878" s="77">
        <v>0</v>
      </c>
      <c r="T878" s="77">
        <v>0</v>
      </c>
      <c r="U878" s="77">
        <v>0</v>
      </c>
      <c r="V878" s="77">
        <v>2</v>
      </c>
      <c r="W878" s="82" t="s">
        <v>1952</v>
      </c>
      <c r="X878" s="80" t="str">
        <f>HYPERLINK("https://lp4planejamento.com.br/os-melhores-investimentos-para-aposentadoria-garanta-seu-futuro-financeiro/")</f>
        <v>https://lp4planejamento.com.br/os-melhores-investimentos-para-aposentadoria-garanta-seu-futuro-financeiro/</v>
      </c>
      <c r="Y878" s="77" t="s">
        <v>1978</v>
      </c>
      <c r="Z878" s="77"/>
      <c r="AA878" s="77" t="s">
        <v>2614</v>
      </c>
      <c r="AB878" s="77" t="s">
        <v>2632</v>
      </c>
      <c r="AC878" s="82" t="s">
        <v>2642</v>
      </c>
      <c r="AD878" s="77" t="s">
        <v>2670</v>
      </c>
      <c r="AE878" s="80" t="str">
        <f>HYPERLINK("https://twitter.com/lp4planejamento/status/1663897044149256197")</f>
        <v>https://twitter.com/lp4planejamento/status/1663897044149256197</v>
      </c>
      <c r="AF878" s="79">
        <v>45077.552581018521</v>
      </c>
      <c r="AG878" s="85">
        <v>45077</v>
      </c>
      <c r="AH878" s="82" t="s">
        <v>3375</v>
      </c>
      <c r="AI878" s="77" t="b">
        <v>0</v>
      </c>
      <c r="AJ878" s="77"/>
      <c r="AK878" s="77"/>
      <c r="AL878" s="77"/>
      <c r="AM878" s="77"/>
      <c r="AN878" s="77"/>
      <c r="AO878" s="77"/>
      <c r="AP878" s="77"/>
      <c r="AQ878" s="77" t="s">
        <v>4043</v>
      </c>
      <c r="AR878" s="77"/>
      <c r="AS878" s="77"/>
      <c r="AT878" s="77"/>
      <c r="AU878" s="77"/>
      <c r="AV878" s="80" t="str">
        <f>HYPERLINK("https://pbs.twimg.com/media/FxdZizEWAAEUXhd.jpg")</f>
        <v>https://pbs.twimg.com/media/FxdZizEWAAEUXhd.jpg</v>
      </c>
      <c r="AW878" s="82" t="s">
        <v>4929</v>
      </c>
      <c r="AX878" s="82" t="s">
        <v>4929</v>
      </c>
      <c r="AY878" s="77"/>
      <c r="AZ878" s="82" t="s">
        <v>5075</v>
      </c>
      <c r="BA878" s="82" t="s">
        <v>5075</v>
      </c>
      <c r="BB878" s="82" t="s">
        <v>5075</v>
      </c>
      <c r="BC878" s="82" t="s">
        <v>4929</v>
      </c>
      <c r="BD878" s="82" t="s">
        <v>5272</v>
      </c>
      <c r="BE878" s="77"/>
      <c r="BF878" s="77"/>
      <c r="BG878" s="77"/>
      <c r="BH878" s="77"/>
      <c r="BI878" s="77"/>
    </row>
    <row r="879" spans="1:61" x14ac:dyDescent="0.25">
      <c r="A879" s="62" t="s">
        <v>502</v>
      </c>
      <c r="B879" s="62" t="s">
        <v>502</v>
      </c>
      <c r="C879" s="63"/>
      <c r="D879" s="64"/>
      <c r="E879" s="65"/>
      <c r="F879" s="66"/>
      <c r="G879" s="63"/>
      <c r="H879" s="67"/>
      <c r="I879" s="68"/>
      <c r="J879" s="68"/>
      <c r="K879" s="32"/>
      <c r="L879" s="75">
        <v>879</v>
      </c>
      <c r="M879" s="75"/>
      <c r="N879" s="70"/>
      <c r="O879" s="77" t="s">
        <v>179</v>
      </c>
      <c r="P879" s="79">
        <v>45117.636284722219</v>
      </c>
      <c r="Q879" s="77" t="s">
        <v>1406</v>
      </c>
      <c r="R879" s="77">
        <v>0</v>
      </c>
      <c r="S879" s="77">
        <v>0</v>
      </c>
      <c r="T879" s="77">
        <v>0</v>
      </c>
      <c r="U879" s="77">
        <v>0</v>
      </c>
      <c r="V879" s="77">
        <v>40</v>
      </c>
      <c r="W879" s="82" t="s">
        <v>1953</v>
      </c>
      <c r="X879" s="77"/>
      <c r="Y879" s="77"/>
      <c r="Z879" s="77"/>
      <c r="AA879" s="77" t="s">
        <v>2615</v>
      </c>
      <c r="AB879" s="77" t="s">
        <v>2632</v>
      </c>
      <c r="AC879" s="82" t="s">
        <v>2642</v>
      </c>
      <c r="AD879" s="77" t="s">
        <v>2670</v>
      </c>
      <c r="AE879" s="80" t="str">
        <f>HYPERLINK("https://twitter.com/lp4planejamento/status/1678422891354812416")</f>
        <v>https://twitter.com/lp4planejamento/status/1678422891354812416</v>
      </c>
      <c r="AF879" s="79">
        <v>45117.636284722219</v>
      </c>
      <c r="AG879" s="85">
        <v>45117</v>
      </c>
      <c r="AH879" s="82" t="s">
        <v>3376</v>
      </c>
      <c r="AI879" s="77" t="b">
        <v>0</v>
      </c>
      <c r="AJ879" s="77"/>
      <c r="AK879" s="77"/>
      <c r="AL879" s="77"/>
      <c r="AM879" s="77"/>
      <c r="AN879" s="77"/>
      <c r="AO879" s="77"/>
      <c r="AP879" s="77"/>
      <c r="AQ879" s="77" t="s">
        <v>4044</v>
      </c>
      <c r="AR879" s="77"/>
      <c r="AS879" s="77"/>
      <c r="AT879" s="77"/>
      <c r="AU879" s="77"/>
      <c r="AV879" s="80" t="str">
        <f>HYPERLINK("https://pbs.twimg.com/media/F0r0uVjXwAIPE6l.jpg")</f>
        <v>https://pbs.twimg.com/media/F0r0uVjXwAIPE6l.jpg</v>
      </c>
      <c r="AW879" s="82" t="s">
        <v>4930</v>
      </c>
      <c r="AX879" s="82" t="s">
        <v>4930</v>
      </c>
      <c r="AY879" s="77"/>
      <c r="AZ879" s="82" t="s">
        <v>5075</v>
      </c>
      <c r="BA879" s="82" t="s">
        <v>5075</v>
      </c>
      <c r="BB879" s="82" t="s">
        <v>5075</v>
      </c>
      <c r="BC879" s="82" t="s">
        <v>4930</v>
      </c>
      <c r="BD879" s="82" t="s">
        <v>5272</v>
      </c>
      <c r="BE879" s="77"/>
      <c r="BF879" s="77"/>
      <c r="BG879" s="77"/>
      <c r="BH879" s="77"/>
      <c r="BI879" s="77"/>
    </row>
    <row r="880" spans="1:61" x14ac:dyDescent="0.25">
      <c r="A880" s="62" t="s">
        <v>502</v>
      </c>
      <c r="B880" s="62" t="s">
        <v>502</v>
      </c>
      <c r="C880" s="63"/>
      <c r="D880" s="64"/>
      <c r="E880" s="65"/>
      <c r="F880" s="66"/>
      <c r="G880" s="63"/>
      <c r="H880" s="67"/>
      <c r="I880" s="68"/>
      <c r="J880" s="68"/>
      <c r="K880" s="32"/>
      <c r="L880" s="75">
        <v>880</v>
      </c>
      <c r="M880" s="75"/>
      <c r="N880" s="70"/>
      <c r="O880" s="77" t="s">
        <v>179</v>
      </c>
      <c r="P880" s="79">
        <v>45113.625578703701</v>
      </c>
      <c r="Q880" s="77" t="s">
        <v>1407</v>
      </c>
      <c r="R880" s="77">
        <v>0</v>
      </c>
      <c r="S880" s="77">
        <v>0</v>
      </c>
      <c r="T880" s="77">
        <v>0</v>
      </c>
      <c r="U880" s="77">
        <v>0</v>
      </c>
      <c r="V880" s="77">
        <v>3</v>
      </c>
      <c r="W880" s="82" t="s">
        <v>1954</v>
      </c>
      <c r="X880" s="80" t="str">
        <f>HYPERLINK("https://lp4planejamento.com.br/planejamento-financeiro-para-estudantes-dicas-e-truques/")</f>
        <v>https://lp4planejamento.com.br/planejamento-financeiro-para-estudantes-dicas-e-truques/</v>
      </c>
      <c r="Y880" s="77" t="s">
        <v>1978</v>
      </c>
      <c r="Z880" s="77"/>
      <c r="AA880" s="77" t="s">
        <v>2616</v>
      </c>
      <c r="AB880" s="77" t="s">
        <v>2632</v>
      </c>
      <c r="AC880" s="82" t="s">
        <v>2642</v>
      </c>
      <c r="AD880" s="77" t="s">
        <v>2670</v>
      </c>
      <c r="AE880" s="80" t="str">
        <f>HYPERLINK("https://twitter.com/lp4planejamento/status/1676969459742035968")</f>
        <v>https://twitter.com/lp4planejamento/status/1676969459742035968</v>
      </c>
      <c r="AF880" s="79">
        <v>45113.625578703701</v>
      </c>
      <c r="AG880" s="85">
        <v>45113</v>
      </c>
      <c r="AH880" s="82" t="s">
        <v>3377</v>
      </c>
      <c r="AI880" s="77" t="b">
        <v>0</v>
      </c>
      <c r="AJ880" s="77"/>
      <c r="AK880" s="77"/>
      <c r="AL880" s="77"/>
      <c r="AM880" s="77"/>
      <c r="AN880" s="77"/>
      <c r="AO880" s="77"/>
      <c r="AP880" s="77"/>
      <c r="AQ880" s="77" t="s">
        <v>4045</v>
      </c>
      <c r="AR880" s="77"/>
      <c r="AS880" s="77"/>
      <c r="AT880" s="77"/>
      <c r="AU880" s="77"/>
      <c r="AV880" s="80" t="str">
        <f>HYPERLINK("https://pbs.twimg.com/media/F0XK1fBagAASN-D.jpg")</f>
        <v>https://pbs.twimg.com/media/F0XK1fBagAASN-D.jpg</v>
      </c>
      <c r="AW880" s="82" t="s">
        <v>4931</v>
      </c>
      <c r="AX880" s="82" t="s">
        <v>4931</v>
      </c>
      <c r="AY880" s="77"/>
      <c r="AZ880" s="82" t="s">
        <v>5075</v>
      </c>
      <c r="BA880" s="82" t="s">
        <v>5075</v>
      </c>
      <c r="BB880" s="82" t="s">
        <v>5075</v>
      </c>
      <c r="BC880" s="82" t="s">
        <v>4931</v>
      </c>
      <c r="BD880" s="82" t="s">
        <v>5272</v>
      </c>
      <c r="BE880" s="77"/>
      <c r="BF880" s="77"/>
      <c r="BG880" s="77"/>
      <c r="BH880" s="77"/>
      <c r="BI880" s="77"/>
    </row>
    <row r="881" spans="1:61" x14ac:dyDescent="0.25">
      <c r="A881" s="62" t="s">
        <v>502</v>
      </c>
      <c r="B881" s="62" t="s">
        <v>502</v>
      </c>
      <c r="C881" s="63"/>
      <c r="D881" s="64"/>
      <c r="E881" s="65"/>
      <c r="F881" s="66"/>
      <c r="G881" s="63"/>
      <c r="H881" s="67"/>
      <c r="I881" s="68"/>
      <c r="J881" s="68"/>
      <c r="K881" s="32"/>
      <c r="L881" s="75">
        <v>881</v>
      </c>
      <c r="M881" s="75"/>
      <c r="N881" s="70"/>
      <c r="O881" s="77" t="s">
        <v>179</v>
      </c>
      <c r="P881" s="79">
        <v>45106.500486111108</v>
      </c>
      <c r="Q881" s="77" t="s">
        <v>1408</v>
      </c>
      <c r="R881" s="77">
        <v>0</v>
      </c>
      <c r="S881" s="77">
        <v>0</v>
      </c>
      <c r="T881" s="77">
        <v>0</v>
      </c>
      <c r="U881" s="77">
        <v>0</v>
      </c>
      <c r="V881" s="77">
        <v>24</v>
      </c>
      <c r="W881" s="82" t="s">
        <v>1955</v>
      </c>
      <c r="X881" s="77"/>
      <c r="Y881" s="77"/>
      <c r="Z881" s="77"/>
      <c r="AA881" s="77" t="s">
        <v>2617</v>
      </c>
      <c r="AB881" s="77" t="s">
        <v>2632</v>
      </c>
      <c r="AC881" s="82" t="s">
        <v>2642</v>
      </c>
      <c r="AD881" s="77" t="s">
        <v>2670</v>
      </c>
      <c r="AE881" s="80" t="str">
        <f>HYPERLINK("https://twitter.com/lp4planejamento/status/1674387414104539136")</f>
        <v>https://twitter.com/lp4planejamento/status/1674387414104539136</v>
      </c>
      <c r="AF881" s="79">
        <v>45106.500486111108</v>
      </c>
      <c r="AG881" s="85">
        <v>45106</v>
      </c>
      <c r="AH881" s="82" t="s">
        <v>3378</v>
      </c>
      <c r="AI881" s="77" t="b">
        <v>0</v>
      </c>
      <c r="AJ881" s="77"/>
      <c r="AK881" s="77"/>
      <c r="AL881" s="77"/>
      <c r="AM881" s="77"/>
      <c r="AN881" s="77"/>
      <c r="AO881" s="77"/>
      <c r="AP881" s="77"/>
      <c r="AQ881" s="77" t="s">
        <v>4046</v>
      </c>
      <c r="AR881" s="77"/>
      <c r="AS881" s="77"/>
      <c r="AT881" s="77"/>
      <c r="AU881" s="77"/>
      <c r="AV881" s="80" t="str">
        <f>HYPERLINK("https://pbs.twimg.com/media/FzyeesDWcAcWXEd.jpg")</f>
        <v>https://pbs.twimg.com/media/FzyeesDWcAcWXEd.jpg</v>
      </c>
      <c r="AW881" s="82" t="s">
        <v>4932</v>
      </c>
      <c r="AX881" s="82" t="s">
        <v>4932</v>
      </c>
      <c r="AY881" s="77"/>
      <c r="AZ881" s="82" t="s">
        <v>5075</v>
      </c>
      <c r="BA881" s="82" t="s">
        <v>5075</v>
      </c>
      <c r="BB881" s="82" t="s">
        <v>5075</v>
      </c>
      <c r="BC881" s="82" t="s">
        <v>4932</v>
      </c>
      <c r="BD881" s="82" t="s">
        <v>5272</v>
      </c>
      <c r="BE881" s="77"/>
      <c r="BF881" s="77"/>
      <c r="BG881" s="77"/>
      <c r="BH881" s="77"/>
      <c r="BI881" s="77"/>
    </row>
    <row r="882" spans="1:61" x14ac:dyDescent="0.25">
      <c r="A882" s="62" t="s">
        <v>502</v>
      </c>
      <c r="B882" s="62" t="s">
        <v>502</v>
      </c>
      <c r="C882" s="63"/>
      <c r="D882" s="64"/>
      <c r="E882" s="65"/>
      <c r="F882" s="66"/>
      <c r="G882" s="63"/>
      <c r="H882" s="67"/>
      <c r="I882" s="68"/>
      <c r="J882" s="68"/>
      <c r="K882" s="32"/>
      <c r="L882" s="75">
        <v>882</v>
      </c>
      <c r="M882" s="75"/>
      <c r="N882" s="70"/>
      <c r="O882" s="77" t="s">
        <v>179</v>
      </c>
      <c r="P882" s="79">
        <v>45096.583055555559</v>
      </c>
      <c r="Q882" s="77" t="s">
        <v>1409</v>
      </c>
      <c r="R882" s="77">
        <v>0</v>
      </c>
      <c r="S882" s="77">
        <v>0</v>
      </c>
      <c r="T882" s="77">
        <v>0</v>
      </c>
      <c r="U882" s="77">
        <v>0</v>
      </c>
      <c r="V882" s="77">
        <v>1</v>
      </c>
      <c r="W882" s="82" t="s">
        <v>1956</v>
      </c>
      <c r="X882" s="77"/>
      <c r="Y882" s="77"/>
      <c r="Z882" s="77"/>
      <c r="AA882" s="77" t="s">
        <v>2618</v>
      </c>
      <c r="AB882" s="77" t="s">
        <v>2632</v>
      </c>
      <c r="AC882" s="82" t="s">
        <v>2642</v>
      </c>
      <c r="AD882" s="77" t="s">
        <v>2670</v>
      </c>
      <c r="AE882" s="80" t="str">
        <f>HYPERLINK("https://twitter.com/lp4planejamento/status/1670793457898496004")</f>
        <v>https://twitter.com/lp4planejamento/status/1670793457898496004</v>
      </c>
      <c r="AF882" s="79">
        <v>45096.583055555559</v>
      </c>
      <c r="AG882" s="85">
        <v>45096</v>
      </c>
      <c r="AH882" s="82" t="s">
        <v>3379</v>
      </c>
      <c r="AI882" s="77" t="b">
        <v>0</v>
      </c>
      <c r="AJ882" s="77"/>
      <c r="AK882" s="77"/>
      <c r="AL882" s="77"/>
      <c r="AM882" s="77"/>
      <c r="AN882" s="77"/>
      <c r="AO882" s="77"/>
      <c r="AP882" s="77"/>
      <c r="AQ882" s="77" t="s">
        <v>4047</v>
      </c>
      <c r="AR882" s="77"/>
      <c r="AS882" s="77"/>
      <c r="AT882" s="77"/>
      <c r="AU882" s="77"/>
      <c r="AV882" s="80" t="str">
        <f>HYPERLINK("https://pbs.twimg.com/media/Fy_Zy3KWIAQmHsR.jpg")</f>
        <v>https://pbs.twimg.com/media/Fy_Zy3KWIAQmHsR.jpg</v>
      </c>
      <c r="AW882" s="82" t="s">
        <v>4933</v>
      </c>
      <c r="AX882" s="82" t="s">
        <v>4933</v>
      </c>
      <c r="AY882" s="77"/>
      <c r="AZ882" s="82" t="s">
        <v>5075</v>
      </c>
      <c r="BA882" s="82" t="s">
        <v>5075</v>
      </c>
      <c r="BB882" s="82" t="s">
        <v>5075</v>
      </c>
      <c r="BC882" s="82" t="s">
        <v>4933</v>
      </c>
      <c r="BD882" s="82" t="s">
        <v>5272</v>
      </c>
      <c r="BE882" s="77"/>
      <c r="BF882" s="77"/>
      <c r="BG882" s="77"/>
      <c r="BH882" s="77"/>
      <c r="BI882" s="77"/>
    </row>
    <row r="883" spans="1:61" x14ac:dyDescent="0.25">
      <c r="A883" s="62" t="s">
        <v>502</v>
      </c>
      <c r="B883" s="62" t="s">
        <v>502</v>
      </c>
      <c r="C883" s="63"/>
      <c r="D883" s="64"/>
      <c r="E883" s="65"/>
      <c r="F883" s="66"/>
      <c r="G883" s="63"/>
      <c r="H883" s="67"/>
      <c r="I883" s="68"/>
      <c r="J883" s="68"/>
      <c r="K883" s="32"/>
      <c r="L883" s="75">
        <v>883</v>
      </c>
      <c r="M883" s="75"/>
      <c r="N883" s="70"/>
      <c r="O883" s="77" t="s">
        <v>179</v>
      </c>
      <c r="P883" s="79">
        <v>45139.70894675926</v>
      </c>
      <c r="Q883" s="77" t="s">
        <v>1410</v>
      </c>
      <c r="R883" s="77">
        <v>0</v>
      </c>
      <c r="S883" s="77">
        <v>0</v>
      </c>
      <c r="T883" s="77">
        <v>0</v>
      </c>
      <c r="U883" s="77">
        <v>0</v>
      </c>
      <c r="V883" s="77">
        <v>7</v>
      </c>
      <c r="W883" s="82" t="s">
        <v>1957</v>
      </c>
      <c r="X883" s="77"/>
      <c r="Y883" s="77"/>
      <c r="Z883" s="77"/>
      <c r="AA883" s="77" t="s">
        <v>2619</v>
      </c>
      <c r="AB883" s="77" t="s">
        <v>2632</v>
      </c>
      <c r="AC883" s="82" t="s">
        <v>2642</v>
      </c>
      <c r="AD883" s="77" t="s">
        <v>2670</v>
      </c>
      <c r="AE883" s="80" t="str">
        <f>HYPERLINK("https://twitter.com/lp4planejamento/status/1686421756154728457")</f>
        <v>https://twitter.com/lp4planejamento/status/1686421756154728457</v>
      </c>
      <c r="AF883" s="79">
        <v>45139.70894675926</v>
      </c>
      <c r="AG883" s="85">
        <v>45139</v>
      </c>
      <c r="AH883" s="82" t="s">
        <v>3380</v>
      </c>
      <c r="AI883" s="77" t="b">
        <v>0</v>
      </c>
      <c r="AJ883" s="77"/>
      <c r="AK883" s="77"/>
      <c r="AL883" s="77"/>
      <c r="AM883" s="77"/>
      <c r="AN883" s="77"/>
      <c r="AO883" s="77"/>
      <c r="AP883" s="77"/>
      <c r="AQ883" s="77" t="s">
        <v>4048</v>
      </c>
      <c r="AR883" s="77"/>
      <c r="AS883" s="77"/>
      <c r="AT883" s="77"/>
      <c r="AU883" s="77"/>
      <c r="AV883" s="80" t="str">
        <f>HYPERLINK("https://pbs.twimg.com/media/F2dfpmQX0AAfimq.jpg")</f>
        <v>https://pbs.twimg.com/media/F2dfpmQX0AAfimq.jpg</v>
      </c>
      <c r="AW883" s="82" t="s">
        <v>4934</v>
      </c>
      <c r="AX883" s="82" t="s">
        <v>4934</v>
      </c>
      <c r="AY883" s="77"/>
      <c r="AZ883" s="82" t="s">
        <v>5075</v>
      </c>
      <c r="BA883" s="82" t="s">
        <v>5075</v>
      </c>
      <c r="BB883" s="82" t="s">
        <v>5075</v>
      </c>
      <c r="BC883" s="82" t="s">
        <v>4934</v>
      </c>
      <c r="BD883" s="82" t="s">
        <v>5272</v>
      </c>
      <c r="BE883" s="77"/>
      <c r="BF883" s="77"/>
      <c r="BG883" s="77"/>
      <c r="BH883" s="77"/>
      <c r="BI883" s="77"/>
    </row>
    <row r="884" spans="1:61" x14ac:dyDescent="0.25">
      <c r="A884" s="62" t="s">
        <v>502</v>
      </c>
      <c r="B884" s="62" t="s">
        <v>502</v>
      </c>
      <c r="C884" s="63"/>
      <c r="D884" s="64"/>
      <c r="E884" s="65"/>
      <c r="F884" s="66"/>
      <c r="G884" s="63"/>
      <c r="H884" s="67"/>
      <c r="I884" s="68"/>
      <c r="J884" s="68"/>
      <c r="K884" s="32"/>
      <c r="L884" s="75">
        <v>884</v>
      </c>
      <c r="M884" s="75"/>
      <c r="N884" s="70"/>
      <c r="O884" s="77" t="s">
        <v>179</v>
      </c>
      <c r="P884" s="79">
        <v>45126.660486111112</v>
      </c>
      <c r="Q884" s="77" t="s">
        <v>1411</v>
      </c>
      <c r="R884" s="77">
        <v>0</v>
      </c>
      <c r="S884" s="77">
        <v>0</v>
      </c>
      <c r="T884" s="77">
        <v>0</v>
      </c>
      <c r="U884" s="77">
        <v>0</v>
      </c>
      <c r="V884" s="77">
        <v>3</v>
      </c>
      <c r="W884" s="82" t="s">
        <v>1958</v>
      </c>
      <c r="X884" s="80" t="str">
        <f>HYPERLINK("https://lp4planejamento.com.br/planejamento-financeiro-para-pais-solteiros/")</f>
        <v>https://lp4planejamento.com.br/planejamento-financeiro-para-pais-solteiros/</v>
      </c>
      <c r="Y884" s="77" t="s">
        <v>1978</v>
      </c>
      <c r="Z884" s="77"/>
      <c r="AA884" s="77" t="s">
        <v>2620</v>
      </c>
      <c r="AB884" s="77" t="s">
        <v>2632</v>
      </c>
      <c r="AC884" s="82" t="s">
        <v>2642</v>
      </c>
      <c r="AD884" s="77" t="s">
        <v>2670</v>
      </c>
      <c r="AE884" s="80" t="str">
        <f>HYPERLINK("https://twitter.com/lp4planejamento/status/1681693154322403329")</f>
        <v>https://twitter.com/lp4planejamento/status/1681693154322403329</v>
      </c>
      <c r="AF884" s="79">
        <v>45126.660486111112</v>
      </c>
      <c r="AG884" s="85">
        <v>45126</v>
      </c>
      <c r="AH884" s="82" t="s">
        <v>3381</v>
      </c>
      <c r="AI884" s="77" t="b">
        <v>0</v>
      </c>
      <c r="AJ884" s="77"/>
      <c r="AK884" s="77"/>
      <c r="AL884" s="77"/>
      <c r="AM884" s="77"/>
      <c r="AN884" s="77"/>
      <c r="AO884" s="77"/>
      <c r="AP884" s="77"/>
      <c r="AQ884" s="77" t="s">
        <v>4049</v>
      </c>
      <c r="AR884" s="77"/>
      <c r="AS884" s="77"/>
      <c r="AT884" s="77"/>
      <c r="AU884" s="77"/>
      <c r="AV884" s="80" t="str">
        <f>HYPERLINK("https://pbs.twimg.com/media/F1aTAuDWYAAFYOo.jpg")</f>
        <v>https://pbs.twimg.com/media/F1aTAuDWYAAFYOo.jpg</v>
      </c>
      <c r="AW884" s="82" t="s">
        <v>4935</v>
      </c>
      <c r="AX884" s="82" t="s">
        <v>4935</v>
      </c>
      <c r="AY884" s="77"/>
      <c r="AZ884" s="82" t="s">
        <v>5075</v>
      </c>
      <c r="BA884" s="82" t="s">
        <v>5075</v>
      </c>
      <c r="BB884" s="82" t="s">
        <v>5075</v>
      </c>
      <c r="BC884" s="82" t="s">
        <v>4935</v>
      </c>
      <c r="BD884" s="82" t="s">
        <v>5272</v>
      </c>
      <c r="BE884" s="77"/>
      <c r="BF884" s="77"/>
      <c r="BG884" s="77"/>
      <c r="BH884" s="77"/>
      <c r="BI884" s="77"/>
    </row>
    <row r="885" spans="1:61" x14ac:dyDescent="0.25">
      <c r="A885" s="62" t="s">
        <v>503</v>
      </c>
      <c r="B885" s="62" t="s">
        <v>503</v>
      </c>
      <c r="C885" s="63"/>
      <c r="D885" s="64"/>
      <c r="E885" s="65"/>
      <c r="F885" s="66"/>
      <c r="G885" s="63"/>
      <c r="H885" s="67"/>
      <c r="I885" s="68"/>
      <c r="J885" s="68"/>
      <c r="K885" s="32"/>
      <c r="L885" s="75">
        <v>885</v>
      </c>
      <c r="M885" s="75"/>
      <c r="N885" s="70"/>
      <c r="O885" s="77" t="s">
        <v>179</v>
      </c>
      <c r="P885" s="79">
        <v>44966.472500000003</v>
      </c>
      <c r="Q885" s="77" t="s">
        <v>1412</v>
      </c>
      <c r="R885" s="77">
        <v>0</v>
      </c>
      <c r="S885" s="77">
        <v>0</v>
      </c>
      <c r="T885" s="77">
        <v>0</v>
      </c>
      <c r="U885" s="77">
        <v>0</v>
      </c>
      <c r="V885" s="77">
        <v>23</v>
      </c>
      <c r="W885" s="82" t="s">
        <v>1959</v>
      </c>
      <c r="X885" s="77"/>
      <c r="Y885" s="77"/>
      <c r="Z885" s="77"/>
      <c r="AA885" s="77" t="s">
        <v>2621</v>
      </c>
      <c r="AB885" s="77" t="s">
        <v>2632</v>
      </c>
      <c r="AC885" s="82" t="s">
        <v>2640</v>
      </c>
      <c r="AD885" s="77" t="s">
        <v>2670</v>
      </c>
      <c r="AE885" s="80" t="str">
        <f>HYPERLINK("https://twitter.com/eduarda62753236/status/1623642969323569152")</f>
        <v>https://twitter.com/eduarda62753236/status/1623642969323569152</v>
      </c>
      <c r="AF885" s="79">
        <v>44966.472500000003</v>
      </c>
      <c r="AG885" s="85">
        <v>44966</v>
      </c>
      <c r="AH885" s="82" t="s">
        <v>3382</v>
      </c>
      <c r="AI885" s="77" t="b">
        <v>0</v>
      </c>
      <c r="AJ885" s="77"/>
      <c r="AK885" s="77"/>
      <c r="AL885" s="77"/>
      <c r="AM885" s="77"/>
      <c r="AN885" s="77"/>
      <c r="AO885" s="77"/>
      <c r="AP885" s="77"/>
      <c r="AQ885" s="77" t="s">
        <v>4050</v>
      </c>
      <c r="AR885" s="77"/>
      <c r="AS885" s="77"/>
      <c r="AT885" s="77"/>
      <c r="AU885" s="77"/>
      <c r="AV885" s="80" t="str">
        <f>HYPERLINK("https://pbs.twimg.com/media/FohWrEWXwAAxOVO.jpg")</f>
        <v>https://pbs.twimg.com/media/FohWrEWXwAAxOVO.jpg</v>
      </c>
      <c r="AW885" s="82" t="s">
        <v>4936</v>
      </c>
      <c r="AX885" s="82" t="s">
        <v>4936</v>
      </c>
      <c r="AY885" s="77"/>
      <c r="AZ885" s="82" t="s">
        <v>5075</v>
      </c>
      <c r="BA885" s="82" t="s">
        <v>5075</v>
      </c>
      <c r="BB885" s="82" t="s">
        <v>5075</v>
      </c>
      <c r="BC885" s="82" t="s">
        <v>4936</v>
      </c>
      <c r="BD885" s="82" t="s">
        <v>5273</v>
      </c>
      <c r="BE885" s="77"/>
      <c r="BF885" s="77"/>
      <c r="BG885" s="77"/>
      <c r="BH885" s="77"/>
      <c r="BI885" s="77"/>
    </row>
    <row r="886" spans="1:61" x14ac:dyDescent="0.25">
      <c r="A886" s="62" t="s">
        <v>504</v>
      </c>
      <c r="B886" s="62" t="s">
        <v>504</v>
      </c>
      <c r="C886" s="63"/>
      <c r="D886" s="64"/>
      <c r="E886" s="65"/>
      <c r="F886" s="66"/>
      <c r="G886" s="63"/>
      <c r="H886" s="67"/>
      <c r="I886" s="68"/>
      <c r="J886" s="68"/>
      <c r="K886" s="32"/>
      <c r="L886" s="75">
        <v>886</v>
      </c>
      <c r="M886" s="75"/>
      <c r="N886" s="70"/>
      <c r="O886" s="77" t="s">
        <v>539</v>
      </c>
      <c r="P886" s="79">
        <v>45030.824166666665</v>
      </c>
      <c r="Q886" s="77" t="s">
        <v>1413</v>
      </c>
      <c r="R886" s="77">
        <v>1</v>
      </c>
      <c r="S886" s="77">
        <v>2</v>
      </c>
      <c r="T886" s="77">
        <v>0</v>
      </c>
      <c r="U886" s="77">
        <v>1</v>
      </c>
      <c r="V886" s="77">
        <v>175</v>
      </c>
      <c r="W886" s="82" t="s">
        <v>1960</v>
      </c>
      <c r="X886" s="80" t="str">
        <f>HYPERLINK("https://www.varginhaonline.com.br/coluna/3111-planeje-sua-aposentadoria.html")</f>
        <v>https://www.varginhaonline.com.br/coluna/3111-planeje-sua-aposentadoria.html</v>
      </c>
      <c r="Y886" s="77" t="s">
        <v>1978</v>
      </c>
      <c r="Z886" s="77" t="s">
        <v>504</v>
      </c>
      <c r="AA886" s="77"/>
      <c r="AB886" s="77"/>
      <c r="AC886" s="82" t="s">
        <v>2639</v>
      </c>
      <c r="AD886" s="77" t="s">
        <v>2670</v>
      </c>
      <c r="AE886" s="80" t="str">
        <f>HYPERLINK("https://twitter.com/varginha_online/status/1646963233050222594")</f>
        <v>https://twitter.com/varginha_online/status/1646963233050222594</v>
      </c>
      <c r="AF886" s="79">
        <v>45030.824166666665</v>
      </c>
      <c r="AG886" s="85">
        <v>45030</v>
      </c>
      <c r="AH886" s="82" t="s">
        <v>3383</v>
      </c>
      <c r="AI886" s="77" t="b">
        <v>0</v>
      </c>
      <c r="AJ886" s="77"/>
      <c r="AK886" s="77"/>
      <c r="AL886" s="77"/>
      <c r="AM886" s="77"/>
      <c r="AN886" s="77"/>
      <c r="AO886" s="77"/>
      <c r="AP886" s="77"/>
      <c r="AQ886" s="77"/>
      <c r="AR886" s="77"/>
      <c r="AS886" s="77"/>
      <c r="AT886" s="77"/>
      <c r="AU886" s="77"/>
      <c r="AV886" s="80" t="str">
        <f>HYPERLINK("https://pbs.twimg.com/profile_images/1365833978050207745/naE6tUzw_normal.jpg")</f>
        <v>https://pbs.twimg.com/profile_images/1365833978050207745/naE6tUzw_normal.jpg</v>
      </c>
      <c r="AW886" s="82" t="s">
        <v>4937</v>
      </c>
      <c r="AX886" s="82" t="s">
        <v>4937</v>
      </c>
      <c r="AY886" s="77"/>
      <c r="AZ886" s="82" t="s">
        <v>5075</v>
      </c>
      <c r="BA886" s="82" t="s">
        <v>5075</v>
      </c>
      <c r="BB886" s="82" t="s">
        <v>5075</v>
      </c>
      <c r="BC886" s="82" t="s">
        <v>4937</v>
      </c>
      <c r="BD886" s="77">
        <v>135272073</v>
      </c>
      <c r="BE886" s="77"/>
      <c r="BF886" s="77"/>
      <c r="BG886" s="77"/>
      <c r="BH886" s="77"/>
      <c r="BI886" s="77"/>
    </row>
    <row r="887" spans="1:61" x14ac:dyDescent="0.25">
      <c r="A887" s="62" t="s">
        <v>505</v>
      </c>
      <c r="B887" s="62" t="s">
        <v>535</v>
      </c>
      <c r="C887" s="63"/>
      <c r="D887" s="64"/>
      <c r="E887" s="65"/>
      <c r="F887" s="66"/>
      <c r="G887" s="63"/>
      <c r="H887" s="67"/>
      <c r="I887" s="68"/>
      <c r="J887" s="68"/>
      <c r="K887" s="32"/>
      <c r="L887" s="75">
        <v>887</v>
      </c>
      <c r="M887" s="75"/>
      <c r="N887" s="70"/>
      <c r="O887" s="77" t="s">
        <v>539</v>
      </c>
      <c r="P887" s="79">
        <v>45196.972905092596</v>
      </c>
      <c r="Q887" s="77" t="s">
        <v>1414</v>
      </c>
      <c r="R887" s="77">
        <v>0</v>
      </c>
      <c r="S887" s="77">
        <v>0</v>
      </c>
      <c r="T887" s="77">
        <v>0</v>
      </c>
      <c r="U887" s="77">
        <v>0</v>
      </c>
      <c r="V887" s="77">
        <v>7</v>
      </c>
      <c r="W887" s="82" t="s">
        <v>1435</v>
      </c>
      <c r="X887" s="77"/>
      <c r="Y887" s="77"/>
      <c r="Z887" s="77" t="s">
        <v>535</v>
      </c>
      <c r="AA887" s="77" t="s">
        <v>2622</v>
      </c>
      <c r="AB887" s="77" t="s">
        <v>2632</v>
      </c>
      <c r="AC887" s="82" t="s">
        <v>2638</v>
      </c>
      <c r="AD887" s="77" t="s">
        <v>2670</v>
      </c>
      <c r="AE887" s="80" t="str">
        <f>HYPERLINK("https://twitter.com/ocesarkato/status/1707173521699332451")</f>
        <v>https://twitter.com/ocesarkato/status/1707173521699332451</v>
      </c>
      <c r="AF887" s="79">
        <v>45196.972905092596</v>
      </c>
      <c r="AG887" s="85">
        <v>45196</v>
      </c>
      <c r="AH887" s="82" t="s">
        <v>3384</v>
      </c>
      <c r="AI887" s="77" t="b">
        <v>0</v>
      </c>
      <c r="AJ887" s="77"/>
      <c r="AK887" s="77"/>
      <c r="AL887" s="77"/>
      <c r="AM887" s="77"/>
      <c r="AN887" s="77"/>
      <c r="AO887" s="77"/>
      <c r="AP887" s="77"/>
      <c r="AQ887" s="77" t="s">
        <v>4051</v>
      </c>
      <c r="AR887" s="77"/>
      <c r="AS887" s="77"/>
      <c r="AT887" s="77"/>
      <c r="AU887" s="77"/>
      <c r="AV887" s="80" t="str">
        <f>HYPERLINK("https://pbs.twimg.com/media/F7EZRUzWcAAzJqv.jpg")</f>
        <v>https://pbs.twimg.com/media/F7EZRUzWcAAzJqv.jpg</v>
      </c>
      <c r="AW887" s="82" t="s">
        <v>4938</v>
      </c>
      <c r="AX887" s="82" t="s">
        <v>4938</v>
      </c>
      <c r="AY887" s="77"/>
      <c r="AZ887" s="82" t="s">
        <v>5075</v>
      </c>
      <c r="BA887" s="82" t="s">
        <v>5075</v>
      </c>
      <c r="BB887" s="82" t="s">
        <v>5075</v>
      </c>
      <c r="BC887" s="82" t="s">
        <v>4938</v>
      </c>
      <c r="BD887" s="82" t="s">
        <v>5274</v>
      </c>
      <c r="BE887" s="77"/>
      <c r="BF887" s="77"/>
      <c r="BG887" s="77"/>
      <c r="BH887" s="77"/>
      <c r="BI887" s="77"/>
    </row>
    <row r="888" spans="1:61" x14ac:dyDescent="0.25">
      <c r="A888" s="62" t="s">
        <v>506</v>
      </c>
      <c r="B888" s="62" t="s">
        <v>506</v>
      </c>
      <c r="C888" s="63"/>
      <c r="D888" s="64"/>
      <c r="E888" s="65"/>
      <c r="F888" s="66"/>
      <c r="G888" s="63"/>
      <c r="H888" s="67"/>
      <c r="I888" s="68"/>
      <c r="J888" s="68"/>
      <c r="K888" s="32"/>
      <c r="L888" s="75">
        <v>888</v>
      </c>
      <c r="M888" s="75"/>
      <c r="N888" s="70"/>
      <c r="O888" s="77" t="s">
        <v>179</v>
      </c>
      <c r="P888" s="79">
        <v>45119.197048611109</v>
      </c>
      <c r="Q888" s="77" t="s">
        <v>1415</v>
      </c>
      <c r="R888" s="77">
        <v>1</v>
      </c>
      <c r="S888" s="77">
        <v>1</v>
      </c>
      <c r="T888" s="77">
        <v>0</v>
      </c>
      <c r="U888" s="77">
        <v>0</v>
      </c>
      <c r="V888" s="77">
        <v>78</v>
      </c>
      <c r="W888" s="82" t="s">
        <v>1961</v>
      </c>
      <c r="X888" s="77"/>
      <c r="Y888" s="77"/>
      <c r="Z888" s="77"/>
      <c r="AA888" s="77" t="s">
        <v>2623</v>
      </c>
      <c r="AB888" s="77" t="s">
        <v>2632</v>
      </c>
      <c r="AC888" s="82" t="s">
        <v>2639</v>
      </c>
      <c r="AD888" s="77" t="s">
        <v>2671</v>
      </c>
      <c r="AE888" s="80" t="str">
        <f>HYPERLINK("https://twitter.com/holistic_invest/status/1678988491764514817")</f>
        <v>https://twitter.com/holistic_invest/status/1678988491764514817</v>
      </c>
      <c r="AF888" s="79">
        <v>45119.197048611109</v>
      </c>
      <c r="AG888" s="85">
        <v>45119</v>
      </c>
      <c r="AH888" s="82" t="s">
        <v>3385</v>
      </c>
      <c r="AI888" s="77" t="b">
        <v>0</v>
      </c>
      <c r="AJ888" s="77"/>
      <c r="AK888" s="77"/>
      <c r="AL888" s="77"/>
      <c r="AM888" s="77"/>
      <c r="AN888" s="77"/>
      <c r="AO888" s="77"/>
      <c r="AP888" s="77"/>
      <c r="AQ888" s="77" t="s">
        <v>4052</v>
      </c>
      <c r="AR888" s="77"/>
      <c r="AS888" s="77"/>
      <c r="AT888" s="77"/>
      <c r="AU888" s="77"/>
      <c r="AV888" s="80" t="str">
        <f>HYPERLINK("https://pbs.twimg.com/media/F0z3GWlWwAEx-kT.png")</f>
        <v>https://pbs.twimg.com/media/F0z3GWlWwAEx-kT.png</v>
      </c>
      <c r="AW888" s="82" t="s">
        <v>4939</v>
      </c>
      <c r="AX888" s="82" t="s">
        <v>4939</v>
      </c>
      <c r="AY888" s="77"/>
      <c r="AZ888" s="82" t="s">
        <v>5075</v>
      </c>
      <c r="BA888" s="82" t="s">
        <v>5075</v>
      </c>
      <c r="BB888" s="82" t="s">
        <v>5075</v>
      </c>
      <c r="BC888" s="82" t="s">
        <v>4939</v>
      </c>
      <c r="BD888" s="82" t="s">
        <v>5275</v>
      </c>
      <c r="BE888" s="77"/>
      <c r="BF888" s="77"/>
      <c r="BG888" s="77"/>
      <c r="BH888" s="77"/>
      <c r="BI888" s="77"/>
    </row>
    <row r="889" spans="1:61" x14ac:dyDescent="0.25">
      <c r="A889" s="62" t="s">
        <v>507</v>
      </c>
      <c r="B889" s="62" t="s">
        <v>507</v>
      </c>
      <c r="C889" s="63"/>
      <c r="D889" s="64"/>
      <c r="E889" s="65"/>
      <c r="F889" s="66"/>
      <c r="G889" s="63"/>
      <c r="H889" s="67"/>
      <c r="I889" s="68"/>
      <c r="J889" s="68"/>
      <c r="K889" s="32"/>
      <c r="L889" s="75">
        <v>889</v>
      </c>
      <c r="M889" s="75"/>
      <c r="N889" s="70"/>
      <c r="O889" s="77" t="s">
        <v>179</v>
      </c>
      <c r="P889" s="79">
        <v>45046.916678240741</v>
      </c>
      <c r="Q889" s="77" t="s">
        <v>1416</v>
      </c>
      <c r="R889" s="77">
        <v>1</v>
      </c>
      <c r="S889" s="77">
        <v>1</v>
      </c>
      <c r="T889" s="77">
        <v>0</v>
      </c>
      <c r="U889" s="77">
        <v>0</v>
      </c>
      <c r="V889" s="77">
        <v>13</v>
      </c>
      <c r="W889" s="82" t="s">
        <v>1962</v>
      </c>
      <c r="X889" s="77"/>
      <c r="Y889" s="77"/>
      <c r="Z889" s="77"/>
      <c r="AA889" s="77" t="s">
        <v>2624</v>
      </c>
      <c r="AB889" s="77" t="s">
        <v>2632</v>
      </c>
      <c r="AC889" s="82" t="s">
        <v>2639</v>
      </c>
      <c r="AD889" s="77" t="s">
        <v>2670</v>
      </c>
      <c r="AE889" s="80" t="str">
        <f>HYPERLINK("https://twitter.com/gustavo25867079/status/1652794962088546311")</f>
        <v>https://twitter.com/gustavo25867079/status/1652794962088546311</v>
      </c>
      <c r="AF889" s="79">
        <v>45046.916678240741</v>
      </c>
      <c r="AG889" s="85">
        <v>45046</v>
      </c>
      <c r="AH889" s="82" t="s">
        <v>2760</v>
      </c>
      <c r="AI889" s="77" t="b">
        <v>0</v>
      </c>
      <c r="AJ889" s="77"/>
      <c r="AK889" s="77"/>
      <c r="AL889" s="77"/>
      <c r="AM889" s="77"/>
      <c r="AN889" s="77"/>
      <c r="AO889" s="77"/>
      <c r="AP889" s="77"/>
      <c r="AQ889" s="77" t="s">
        <v>4053</v>
      </c>
      <c r="AR889" s="77"/>
      <c r="AS889" s="77"/>
      <c r="AT889" s="77"/>
      <c r="AU889" s="77"/>
      <c r="AV889" s="80" t="str">
        <f>HYPERLINK("https://pbs.twimg.com/media/FuWhlqxWcAYEkGi.jpg")</f>
        <v>https://pbs.twimg.com/media/FuWhlqxWcAYEkGi.jpg</v>
      </c>
      <c r="AW889" s="82" t="s">
        <v>4940</v>
      </c>
      <c r="AX889" s="82" t="s">
        <v>4940</v>
      </c>
      <c r="AY889" s="77"/>
      <c r="AZ889" s="82" t="s">
        <v>5075</v>
      </c>
      <c r="BA889" s="82" t="s">
        <v>5075</v>
      </c>
      <c r="BB889" s="82" t="s">
        <v>5075</v>
      </c>
      <c r="BC889" s="82" t="s">
        <v>4940</v>
      </c>
      <c r="BD889" s="82" t="s">
        <v>5276</v>
      </c>
      <c r="BE889" s="77"/>
      <c r="BF889" s="77"/>
      <c r="BG889" s="77"/>
      <c r="BH889" s="77"/>
      <c r="BI889" s="77"/>
    </row>
    <row r="890" spans="1:61" x14ac:dyDescent="0.25">
      <c r="A890" s="62" t="s">
        <v>508</v>
      </c>
      <c r="B890" s="62" t="s">
        <v>508</v>
      </c>
      <c r="C890" s="63"/>
      <c r="D890" s="64"/>
      <c r="E890" s="65"/>
      <c r="F890" s="66"/>
      <c r="G890" s="63"/>
      <c r="H890" s="67"/>
      <c r="I890" s="68"/>
      <c r="J890" s="68"/>
      <c r="K890" s="32"/>
      <c r="L890" s="75">
        <v>890</v>
      </c>
      <c r="M890" s="75"/>
      <c r="N890" s="70"/>
      <c r="O890" s="77" t="s">
        <v>179</v>
      </c>
      <c r="P890" s="79">
        <v>45105.950543981482</v>
      </c>
      <c r="Q890" s="77" t="s">
        <v>1417</v>
      </c>
      <c r="R890" s="77">
        <v>0</v>
      </c>
      <c r="S890" s="77">
        <v>0</v>
      </c>
      <c r="T890" s="77">
        <v>0</v>
      </c>
      <c r="U890" s="77">
        <v>0</v>
      </c>
      <c r="V890" s="77">
        <v>5</v>
      </c>
      <c r="W890" s="82" t="s">
        <v>1435</v>
      </c>
      <c r="X890" s="77"/>
      <c r="Y890" s="77"/>
      <c r="Z890" s="77"/>
      <c r="AA890" s="77"/>
      <c r="AB890" s="77"/>
      <c r="AC890" s="82" t="s">
        <v>2638</v>
      </c>
      <c r="AD890" s="77" t="s">
        <v>2670</v>
      </c>
      <c r="AE890" s="80" t="str">
        <f>HYPERLINK("https://twitter.com/caah_sou2/status/1674188120324030464")</f>
        <v>https://twitter.com/caah_sou2/status/1674188120324030464</v>
      </c>
      <c r="AF890" s="79">
        <v>45105.950543981482</v>
      </c>
      <c r="AG890" s="85">
        <v>45105</v>
      </c>
      <c r="AH890" s="82" t="s">
        <v>3386</v>
      </c>
      <c r="AI890" s="77"/>
      <c r="AJ890" s="77"/>
      <c r="AK890" s="77"/>
      <c r="AL890" s="77"/>
      <c r="AM890" s="77"/>
      <c r="AN890" s="77"/>
      <c r="AO890" s="77"/>
      <c r="AP890" s="77"/>
      <c r="AQ890" s="77"/>
      <c r="AR890" s="77"/>
      <c r="AS890" s="77"/>
      <c r="AT890" s="77"/>
      <c r="AU890" s="77"/>
      <c r="AV890" s="80" t="str">
        <f>HYPERLINK("https://pbs.twimg.com/profile_images/1586513059538944002/VN-S0mCF_normal.jpg")</f>
        <v>https://pbs.twimg.com/profile_images/1586513059538944002/VN-S0mCF_normal.jpg</v>
      </c>
      <c r="AW890" s="82" t="s">
        <v>4941</v>
      </c>
      <c r="AX890" s="82" t="s">
        <v>4941</v>
      </c>
      <c r="AY890" s="77"/>
      <c r="AZ890" s="82" t="s">
        <v>5075</v>
      </c>
      <c r="BA890" s="82" t="s">
        <v>5075</v>
      </c>
      <c r="BB890" s="82" t="s">
        <v>5075</v>
      </c>
      <c r="BC890" s="82" t="s">
        <v>4941</v>
      </c>
      <c r="BD890" s="82" t="s">
        <v>5277</v>
      </c>
      <c r="BE890" s="77"/>
      <c r="BF890" s="77"/>
      <c r="BG890" s="77"/>
      <c r="BH890" s="77"/>
      <c r="BI890" s="77"/>
    </row>
    <row r="891" spans="1:61" x14ac:dyDescent="0.25">
      <c r="A891" s="62" t="s">
        <v>509</v>
      </c>
      <c r="B891" s="62" t="s">
        <v>509</v>
      </c>
      <c r="C891" s="63"/>
      <c r="D891" s="64"/>
      <c r="E891" s="65"/>
      <c r="F891" s="66"/>
      <c r="G891" s="63"/>
      <c r="H891" s="67"/>
      <c r="I891" s="68"/>
      <c r="J891" s="68"/>
      <c r="K891" s="32"/>
      <c r="L891" s="75">
        <v>891</v>
      </c>
      <c r="M891" s="75"/>
      <c r="N891" s="70"/>
      <c r="O891" s="77" t="s">
        <v>179</v>
      </c>
      <c r="P891" s="79">
        <v>44992.455925925926</v>
      </c>
      <c r="Q891" s="77" t="s">
        <v>1418</v>
      </c>
      <c r="R891" s="77">
        <v>0</v>
      </c>
      <c r="S891" s="77">
        <v>0</v>
      </c>
      <c r="T891" s="77">
        <v>0</v>
      </c>
      <c r="U891" s="77">
        <v>0</v>
      </c>
      <c r="V891" s="77">
        <v>14</v>
      </c>
      <c r="W891" s="82" t="s">
        <v>1963</v>
      </c>
      <c r="X891" s="77"/>
      <c r="Y891" s="77"/>
      <c r="Z891" s="77"/>
      <c r="AA891" s="77"/>
      <c r="AB891" s="77"/>
      <c r="AC891" s="82" t="s">
        <v>2638</v>
      </c>
      <c r="AD891" s="77" t="s">
        <v>2670</v>
      </c>
      <c r="AE891" s="80" t="str">
        <f>HYPERLINK("https://twitter.com/adorialmeida/status/1633059049326403584")</f>
        <v>https://twitter.com/adorialmeida/status/1633059049326403584</v>
      </c>
      <c r="AF891" s="79">
        <v>44992.455925925926</v>
      </c>
      <c r="AG891" s="85">
        <v>44992</v>
      </c>
      <c r="AH891" s="82" t="s">
        <v>3387</v>
      </c>
      <c r="AI891" s="77"/>
      <c r="AJ891" s="77"/>
      <c r="AK891" s="77"/>
      <c r="AL891" s="77"/>
      <c r="AM891" s="77"/>
      <c r="AN891" s="77"/>
      <c r="AO891" s="77"/>
      <c r="AP891" s="77"/>
      <c r="AQ891" s="77"/>
      <c r="AR891" s="77"/>
      <c r="AS891" s="77"/>
      <c r="AT891" s="77"/>
      <c r="AU891" s="77"/>
      <c r="AV891" s="80" t="str">
        <f>HYPERLINK("https://pbs.twimg.com/profile_images/1637084825243852800/vgQBsMiN_normal.jpg")</f>
        <v>https://pbs.twimg.com/profile_images/1637084825243852800/vgQBsMiN_normal.jpg</v>
      </c>
      <c r="AW891" s="82" t="s">
        <v>4942</v>
      </c>
      <c r="AX891" s="82" t="s">
        <v>4942</v>
      </c>
      <c r="AY891" s="77"/>
      <c r="AZ891" s="82" t="s">
        <v>5075</v>
      </c>
      <c r="BA891" s="82" t="s">
        <v>5075</v>
      </c>
      <c r="BB891" s="82" t="s">
        <v>5075</v>
      </c>
      <c r="BC891" s="82" t="s">
        <v>4942</v>
      </c>
      <c r="BD891" s="82" t="s">
        <v>5278</v>
      </c>
      <c r="BE891" s="77"/>
      <c r="BF891" s="77"/>
      <c r="BG891" s="77"/>
      <c r="BH891" s="77"/>
      <c r="BI891" s="77"/>
    </row>
    <row r="892" spans="1:61" x14ac:dyDescent="0.25">
      <c r="A892" s="62" t="s">
        <v>510</v>
      </c>
      <c r="B892" s="62" t="s">
        <v>510</v>
      </c>
      <c r="C892" s="63"/>
      <c r="D892" s="64"/>
      <c r="E892" s="65"/>
      <c r="F892" s="66"/>
      <c r="G892" s="63"/>
      <c r="H892" s="67"/>
      <c r="I892" s="68"/>
      <c r="J892" s="68"/>
      <c r="K892" s="32"/>
      <c r="L892" s="75">
        <v>892</v>
      </c>
      <c r="M892" s="75"/>
      <c r="N892" s="70"/>
      <c r="O892" s="77" t="s">
        <v>179</v>
      </c>
      <c r="P892" s="79">
        <v>45108.45884259259</v>
      </c>
      <c r="Q892" s="77" t="s">
        <v>1419</v>
      </c>
      <c r="R892" s="77">
        <v>2</v>
      </c>
      <c r="S892" s="77">
        <v>15</v>
      </c>
      <c r="T892" s="77">
        <v>0</v>
      </c>
      <c r="U892" s="77">
        <v>0</v>
      </c>
      <c r="V892" s="77">
        <v>3910</v>
      </c>
      <c r="W892" s="82" t="s">
        <v>1964</v>
      </c>
      <c r="X892" s="77"/>
      <c r="Y892" s="77"/>
      <c r="Z892" s="77"/>
      <c r="AA892" s="77" t="s">
        <v>2625</v>
      </c>
      <c r="AB892" s="77" t="s">
        <v>2632</v>
      </c>
      <c r="AC892" s="82" t="s">
        <v>2642</v>
      </c>
      <c r="AD892" s="77" t="s">
        <v>2673</v>
      </c>
      <c r="AE892" s="80" t="str">
        <f>HYPERLINK("https://twitter.com/mat_financeira/status/1675097098369355776")</f>
        <v>https://twitter.com/mat_financeira/status/1675097098369355776</v>
      </c>
      <c r="AF892" s="79">
        <v>45108.45884259259</v>
      </c>
      <c r="AG892" s="85">
        <v>45108</v>
      </c>
      <c r="AH892" s="82" t="s">
        <v>3388</v>
      </c>
      <c r="AI892" s="77" t="b">
        <v>0</v>
      </c>
      <c r="AJ892" s="77"/>
      <c r="AK892" s="77"/>
      <c r="AL892" s="77"/>
      <c r="AM892" s="77"/>
      <c r="AN892" s="77"/>
      <c r="AO892" s="77"/>
      <c r="AP892" s="77"/>
      <c r="AQ892" s="77" t="s">
        <v>4054</v>
      </c>
      <c r="AR892" s="77"/>
      <c r="AS892" s="77"/>
      <c r="AT892" s="77"/>
      <c r="AU892" s="77"/>
      <c r="AV892" s="80" t="str">
        <f>HYPERLINK("https://pbs.twimg.com/media/Fz8j7zaWwAAJqL8.jpg")</f>
        <v>https://pbs.twimg.com/media/Fz8j7zaWwAAJqL8.jpg</v>
      </c>
      <c r="AW892" s="82" t="s">
        <v>4943</v>
      </c>
      <c r="AX892" s="82" t="s">
        <v>4943</v>
      </c>
      <c r="AY892" s="77"/>
      <c r="AZ892" s="82" t="s">
        <v>5075</v>
      </c>
      <c r="BA892" s="82" t="s">
        <v>5075</v>
      </c>
      <c r="BB892" s="82" t="s">
        <v>5075</v>
      </c>
      <c r="BC892" s="82" t="s">
        <v>4943</v>
      </c>
      <c r="BD892" s="82" t="s">
        <v>5279</v>
      </c>
      <c r="BE892" s="77"/>
      <c r="BF892" s="77"/>
      <c r="BG892" s="77"/>
      <c r="BH892" s="77"/>
      <c r="BI892" s="77"/>
    </row>
    <row r="893" spans="1:61" x14ac:dyDescent="0.25">
      <c r="A893" s="62" t="s">
        <v>510</v>
      </c>
      <c r="B893" s="62" t="s">
        <v>510</v>
      </c>
      <c r="C893" s="63"/>
      <c r="D893" s="64"/>
      <c r="E893" s="65"/>
      <c r="F893" s="66"/>
      <c r="G893" s="63"/>
      <c r="H893" s="67"/>
      <c r="I893" s="68"/>
      <c r="J893" s="68"/>
      <c r="K893" s="32"/>
      <c r="L893" s="75">
        <v>893</v>
      </c>
      <c r="M893" s="75"/>
      <c r="N893" s="70"/>
      <c r="O893" s="77" t="s">
        <v>179</v>
      </c>
      <c r="P893" s="79">
        <v>45130.638090277775</v>
      </c>
      <c r="Q893" s="77" t="s">
        <v>1420</v>
      </c>
      <c r="R893" s="77">
        <v>2</v>
      </c>
      <c r="S893" s="77">
        <v>37</v>
      </c>
      <c r="T893" s="77">
        <v>0</v>
      </c>
      <c r="U893" s="77">
        <v>0</v>
      </c>
      <c r="V893" s="77">
        <v>4912</v>
      </c>
      <c r="W893" s="82" t="s">
        <v>1565</v>
      </c>
      <c r="X893" s="77"/>
      <c r="Y893" s="77"/>
      <c r="Z893" s="77"/>
      <c r="AA893" s="77"/>
      <c r="AB893" s="77"/>
      <c r="AC893" s="82" t="s">
        <v>2640</v>
      </c>
      <c r="AD893" s="77" t="s">
        <v>2670</v>
      </c>
      <c r="AE893" s="80" t="str">
        <f>HYPERLINK("https://twitter.com/mat_financeira/status/1683134587960979456")</f>
        <v>https://twitter.com/mat_financeira/status/1683134587960979456</v>
      </c>
      <c r="AF893" s="79">
        <v>45130.638090277775</v>
      </c>
      <c r="AG893" s="85">
        <v>45130</v>
      </c>
      <c r="AH893" s="82" t="s">
        <v>3389</v>
      </c>
      <c r="AI893" s="77"/>
      <c r="AJ893" s="77"/>
      <c r="AK893" s="77"/>
      <c r="AL893" s="77"/>
      <c r="AM893" s="77"/>
      <c r="AN893" s="77"/>
      <c r="AO893" s="77"/>
      <c r="AP893" s="77"/>
      <c r="AQ893" s="77"/>
      <c r="AR893" s="77"/>
      <c r="AS893" s="77"/>
      <c r="AT893" s="77"/>
      <c r="AU893" s="77"/>
      <c r="AV893" s="80" t="str">
        <f>HYPERLINK("https://pbs.twimg.com/profile_images/1665081532455821312/Yh2qs3r3_normal.jpg")</f>
        <v>https://pbs.twimg.com/profile_images/1665081532455821312/Yh2qs3r3_normal.jpg</v>
      </c>
      <c r="AW893" s="82" t="s">
        <v>4944</v>
      </c>
      <c r="AX893" s="82" t="s">
        <v>4944</v>
      </c>
      <c r="AY893" s="77"/>
      <c r="AZ893" s="82" t="s">
        <v>5075</v>
      </c>
      <c r="BA893" s="82" t="s">
        <v>5075</v>
      </c>
      <c r="BB893" s="82" t="s">
        <v>5075</v>
      </c>
      <c r="BC893" s="82" t="s">
        <v>4944</v>
      </c>
      <c r="BD893" s="82" t="s">
        <v>5279</v>
      </c>
      <c r="BE893" s="77"/>
      <c r="BF893" s="77"/>
      <c r="BG893" s="77"/>
      <c r="BH893" s="77"/>
      <c r="BI893" s="77"/>
    </row>
    <row r="894" spans="1:61" x14ac:dyDescent="0.25">
      <c r="A894" s="62" t="s">
        <v>510</v>
      </c>
      <c r="B894" s="62" t="s">
        <v>510</v>
      </c>
      <c r="C894" s="63"/>
      <c r="D894" s="64"/>
      <c r="E894" s="65"/>
      <c r="F894" s="66"/>
      <c r="G894" s="63"/>
      <c r="H894" s="67"/>
      <c r="I894" s="68"/>
      <c r="J894" s="68"/>
      <c r="K894" s="32"/>
      <c r="L894" s="75">
        <v>894</v>
      </c>
      <c r="M894" s="75"/>
      <c r="N894" s="70"/>
      <c r="O894" s="77" t="s">
        <v>179</v>
      </c>
      <c r="P894" s="79">
        <v>45117.938067129631</v>
      </c>
      <c r="Q894" s="77" t="s">
        <v>1421</v>
      </c>
      <c r="R894" s="77">
        <v>2</v>
      </c>
      <c r="S894" s="77">
        <v>19</v>
      </c>
      <c r="T894" s="77">
        <v>0</v>
      </c>
      <c r="U894" s="77">
        <v>0</v>
      </c>
      <c r="V894" s="77">
        <v>3705</v>
      </c>
      <c r="W894" s="82" t="s">
        <v>1965</v>
      </c>
      <c r="X894" s="77"/>
      <c r="Y894" s="77"/>
      <c r="Z894" s="77"/>
      <c r="AA894" s="77" t="s">
        <v>2626</v>
      </c>
      <c r="AB894" s="77" t="s">
        <v>2633</v>
      </c>
      <c r="AC894" s="82" t="s">
        <v>2642</v>
      </c>
      <c r="AD894" s="77" t="s">
        <v>2670</v>
      </c>
      <c r="AE894" s="80" t="str">
        <f>HYPERLINK("https://twitter.com/mat_financeira/status/1678532253549228032")</f>
        <v>https://twitter.com/mat_financeira/status/1678532253549228032</v>
      </c>
      <c r="AF894" s="79">
        <v>45117.938067129631</v>
      </c>
      <c r="AG894" s="85">
        <v>45117</v>
      </c>
      <c r="AH894" s="82" t="s">
        <v>3390</v>
      </c>
      <c r="AI894" s="77" t="b">
        <v>0</v>
      </c>
      <c r="AJ894" s="77"/>
      <c r="AK894" s="77"/>
      <c r="AL894" s="77"/>
      <c r="AM894" s="77"/>
      <c r="AN894" s="77"/>
      <c r="AO894" s="77"/>
      <c r="AP894" s="77"/>
      <c r="AQ894" s="77" t="s">
        <v>4055</v>
      </c>
      <c r="AR894" s="77">
        <v>40433</v>
      </c>
      <c r="AS894" s="77"/>
      <c r="AT894" s="77"/>
      <c r="AU894" s="77"/>
      <c r="AV894" s="80" t="str">
        <f>HYPERLINK("https://pbs.twimg.com/ext_tw_video_thumb/1678532203452432388/pu/img/k8Aq4WCDavi_A2uJ.jpg")</f>
        <v>https://pbs.twimg.com/ext_tw_video_thumb/1678532203452432388/pu/img/k8Aq4WCDavi_A2uJ.jpg</v>
      </c>
      <c r="AW894" s="82" t="s">
        <v>4945</v>
      </c>
      <c r="AX894" s="82" t="s">
        <v>4945</v>
      </c>
      <c r="AY894" s="77"/>
      <c r="AZ894" s="82" t="s">
        <v>5075</v>
      </c>
      <c r="BA894" s="82" t="s">
        <v>5075</v>
      </c>
      <c r="BB894" s="82" t="s">
        <v>5075</v>
      </c>
      <c r="BC894" s="82" t="s">
        <v>4945</v>
      </c>
      <c r="BD894" s="82" t="s">
        <v>5279</v>
      </c>
      <c r="BE894" s="77"/>
      <c r="BF894" s="77"/>
      <c r="BG894" s="77"/>
      <c r="BH894" s="77"/>
      <c r="BI894" s="77"/>
    </row>
    <row r="895" spans="1:61" x14ac:dyDescent="0.25">
      <c r="A895" s="62" t="s">
        <v>511</v>
      </c>
      <c r="B895" s="62" t="s">
        <v>511</v>
      </c>
      <c r="C895" s="63"/>
      <c r="D895" s="64"/>
      <c r="E895" s="65"/>
      <c r="F895" s="66"/>
      <c r="G895" s="63"/>
      <c r="H895" s="67"/>
      <c r="I895" s="68"/>
      <c r="J895" s="68"/>
      <c r="K895" s="32"/>
      <c r="L895" s="75">
        <v>895</v>
      </c>
      <c r="M895" s="75"/>
      <c r="N895" s="70"/>
      <c r="O895" s="77" t="s">
        <v>179</v>
      </c>
      <c r="P895" s="79">
        <v>45055.900625000002</v>
      </c>
      <c r="Q895" s="77" t="s">
        <v>1422</v>
      </c>
      <c r="R895" s="77">
        <v>0</v>
      </c>
      <c r="S895" s="77">
        <v>0</v>
      </c>
      <c r="T895" s="77">
        <v>0</v>
      </c>
      <c r="U895" s="77">
        <v>0</v>
      </c>
      <c r="V895" s="77">
        <v>4</v>
      </c>
      <c r="W895" s="82" t="s">
        <v>1435</v>
      </c>
      <c r="X895" s="80" t="str">
        <f>HYPERLINK("https://www.supreste.com.br/post/estabelecer-um-planejamento-financeiro-a-chave-para-uma-vida-financeira-saudavel")</f>
        <v>https://www.supreste.com.br/post/estabelecer-um-planejamento-financeiro-a-chave-para-uma-vida-financeira-saudavel</v>
      </c>
      <c r="Y895" s="77" t="s">
        <v>1978</v>
      </c>
      <c r="Z895" s="77"/>
      <c r="AA895" s="77"/>
      <c r="AB895" s="77"/>
      <c r="AC895" s="82" t="s">
        <v>2640</v>
      </c>
      <c r="AD895" s="77" t="s">
        <v>2676</v>
      </c>
      <c r="AE895" s="80" t="str">
        <f>HYPERLINK("https://twitter.com/limaclayson/status/1656050636566265856")</f>
        <v>https://twitter.com/limaclayson/status/1656050636566265856</v>
      </c>
      <c r="AF895" s="79">
        <v>45055.900625000002</v>
      </c>
      <c r="AG895" s="85">
        <v>45055</v>
      </c>
      <c r="AH895" s="82" t="s">
        <v>3391</v>
      </c>
      <c r="AI895" s="77" t="b">
        <v>0</v>
      </c>
      <c r="AJ895" s="77"/>
      <c r="AK895" s="77"/>
      <c r="AL895" s="77"/>
      <c r="AM895" s="77"/>
      <c r="AN895" s="77"/>
      <c r="AO895" s="77"/>
      <c r="AP895" s="77"/>
      <c r="AQ895" s="77"/>
      <c r="AR895" s="77"/>
      <c r="AS895" s="77"/>
      <c r="AT895" s="77"/>
      <c r="AU895" s="77"/>
      <c r="AV895" s="80" t="str">
        <f>HYPERLINK("https://pbs.twimg.com/profile_images/1375178916239904776/Jwh1A_yK_normal.jpg")</f>
        <v>https://pbs.twimg.com/profile_images/1375178916239904776/Jwh1A_yK_normal.jpg</v>
      </c>
      <c r="AW895" s="82" t="s">
        <v>4946</v>
      </c>
      <c r="AX895" s="82" t="s">
        <v>4946</v>
      </c>
      <c r="AY895" s="77"/>
      <c r="AZ895" s="82" t="s">
        <v>5075</v>
      </c>
      <c r="BA895" s="82" t="s">
        <v>5075</v>
      </c>
      <c r="BB895" s="82" t="s">
        <v>5075</v>
      </c>
      <c r="BC895" s="82" t="s">
        <v>4946</v>
      </c>
      <c r="BD895" s="77">
        <v>1152068936</v>
      </c>
      <c r="BE895" s="77"/>
      <c r="BF895" s="77"/>
      <c r="BG895" s="77"/>
      <c r="BH895" s="77"/>
      <c r="BI895" s="77"/>
    </row>
    <row r="896" spans="1:61" x14ac:dyDescent="0.25">
      <c r="A896" s="62" t="s">
        <v>512</v>
      </c>
      <c r="B896" s="62" t="s">
        <v>512</v>
      </c>
      <c r="C896" s="63"/>
      <c r="D896" s="64"/>
      <c r="E896" s="65"/>
      <c r="F896" s="66"/>
      <c r="G896" s="63"/>
      <c r="H896" s="67"/>
      <c r="I896" s="68"/>
      <c r="J896" s="68"/>
      <c r="K896" s="32"/>
      <c r="L896" s="75">
        <v>896</v>
      </c>
      <c r="M896" s="75"/>
      <c r="N896" s="70"/>
      <c r="O896" s="77" t="s">
        <v>179</v>
      </c>
      <c r="P896" s="79">
        <v>45159.656956018516</v>
      </c>
      <c r="Q896" s="77" t="s">
        <v>1423</v>
      </c>
      <c r="R896" s="77">
        <v>0</v>
      </c>
      <c r="S896" s="77">
        <v>0</v>
      </c>
      <c r="T896" s="77">
        <v>0</v>
      </c>
      <c r="U896" s="77">
        <v>0</v>
      </c>
      <c r="V896" s="77">
        <v>1</v>
      </c>
      <c r="W896" s="82" t="s">
        <v>1966</v>
      </c>
      <c r="X896" s="80" t="str">
        <f>HYPERLINK("https://gestaumdigital.com.br/gestaum-digital-economista-domestico/")</f>
        <v>https://gestaumdigital.com.br/gestaum-digital-economista-domestico/</v>
      </c>
      <c r="Y896" s="77" t="s">
        <v>1978</v>
      </c>
      <c r="Z896" s="77"/>
      <c r="AA896" s="77" t="s">
        <v>2627</v>
      </c>
      <c r="AB896" s="77" t="s">
        <v>2632</v>
      </c>
      <c r="AC896" s="82" t="s">
        <v>2662</v>
      </c>
      <c r="AD896" s="77" t="s">
        <v>2670</v>
      </c>
      <c r="AE896" s="80" t="str">
        <f>HYPERLINK("https://twitter.com/gestaumdigital/status/1693650673781367142")</f>
        <v>https://twitter.com/gestaumdigital/status/1693650673781367142</v>
      </c>
      <c r="AF896" s="79">
        <v>45159.656956018516</v>
      </c>
      <c r="AG896" s="85">
        <v>45159</v>
      </c>
      <c r="AH896" s="82" t="s">
        <v>3392</v>
      </c>
      <c r="AI896" s="77" t="b">
        <v>0</v>
      </c>
      <c r="AJ896" s="77"/>
      <c r="AK896" s="77"/>
      <c r="AL896" s="77"/>
      <c r="AM896" s="77"/>
      <c r="AN896" s="77"/>
      <c r="AO896" s="77"/>
      <c r="AP896" s="77"/>
      <c r="AQ896" s="77" t="s">
        <v>4056</v>
      </c>
      <c r="AR896" s="77"/>
      <c r="AS896" s="77"/>
      <c r="AT896" s="77"/>
      <c r="AU896" s="77"/>
      <c r="AV896" s="80" t="str">
        <f>HYPERLINK("https://pbs.twimg.com/media/F4EOT95XwAAEGoT.jpg")</f>
        <v>https://pbs.twimg.com/media/F4EOT95XwAAEGoT.jpg</v>
      </c>
      <c r="AW896" s="82" t="s">
        <v>4947</v>
      </c>
      <c r="AX896" s="82" t="s">
        <v>4947</v>
      </c>
      <c r="AY896" s="77"/>
      <c r="AZ896" s="82" t="s">
        <v>5075</v>
      </c>
      <c r="BA896" s="82" t="s">
        <v>5075</v>
      </c>
      <c r="BB896" s="82" t="s">
        <v>5075</v>
      </c>
      <c r="BC896" s="82" t="s">
        <v>4947</v>
      </c>
      <c r="BD896" s="82" t="s">
        <v>5280</v>
      </c>
      <c r="BE896" s="77"/>
      <c r="BF896" s="77"/>
      <c r="BG896" s="77"/>
      <c r="BH896" s="77"/>
      <c r="BI896" s="77"/>
    </row>
    <row r="897" spans="1:61" x14ac:dyDescent="0.25">
      <c r="A897" s="62" t="s">
        <v>513</v>
      </c>
      <c r="B897" s="62" t="s">
        <v>513</v>
      </c>
      <c r="C897" s="63"/>
      <c r="D897" s="64"/>
      <c r="E897" s="65"/>
      <c r="F897" s="66"/>
      <c r="G897" s="63"/>
      <c r="H897" s="67"/>
      <c r="I897" s="68"/>
      <c r="J897" s="68"/>
      <c r="K897" s="32"/>
      <c r="L897" s="75">
        <v>897</v>
      </c>
      <c r="M897" s="75"/>
      <c r="N897" s="70"/>
      <c r="O897" s="77" t="s">
        <v>179</v>
      </c>
      <c r="P897" s="79">
        <v>45070.156180555554</v>
      </c>
      <c r="Q897" s="77" t="s">
        <v>1424</v>
      </c>
      <c r="R897" s="77">
        <v>0</v>
      </c>
      <c r="S897" s="77">
        <v>0</v>
      </c>
      <c r="T897" s="77">
        <v>1</v>
      </c>
      <c r="U897" s="77">
        <v>0</v>
      </c>
      <c r="V897" s="77">
        <v>24</v>
      </c>
      <c r="W897" s="82" t="s">
        <v>1967</v>
      </c>
      <c r="X897" s="77"/>
      <c r="Y897" s="77"/>
      <c r="Z897" s="77"/>
      <c r="AA897" s="77" t="s">
        <v>2628</v>
      </c>
      <c r="AB897" s="77" t="s">
        <v>2632</v>
      </c>
      <c r="AC897" s="82" t="s">
        <v>2639</v>
      </c>
      <c r="AD897" s="77" t="s">
        <v>2673</v>
      </c>
      <c r="AE897" s="80" t="str">
        <f>HYPERLINK("https://twitter.com/seshat_e/status/1661216678359826436")</f>
        <v>https://twitter.com/seshat_e/status/1661216678359826436</v>
      </c>
      <c r="AF897" s="79">
        <v>45070.156180555554</v>
      </c>
      <c r="AG897" s="85">
        <v>45070</v>
      </c>
      <c r="AH897" s="82" t="s">
        <v>3393</v>
      </c>
      <c r="AI897" s="77" t="b">
        <v>0</v>
      </c>
      <c r="AJ897" s="77"/>
      <c r="AK897" s="77"/>
      <c r="AL897" s="77"/>
      <c r="AM897" s="77"/>
      <c r="AN897" s="77"/>
      <c r="AO897" s="77"/>
      <c r="AP897" s="77"/>
      <c r="AQ897" s="77" t="s">
        <v>4057</v>
      </c>
      <c r="AR897" s="77"/>
      <c r="AS897" s="77"/>
      <c r="AT897" s="77"/>
      <c r="AU897" s="77"/>
      <c r="AV897" s="80" t="str">
        <f>HYPERLINK("https://pbs.twimg.com/media/Fw3ThF7X0AUj4XO.jpg")</f>
        <v>https://pbs.twimg.com/media/Fw3ThF7X0AUj4XO.jpg</v>
      </c>
      <c r="AW897" s="82" t="s">
        <v>4948</v>
      </c>
      <c r="AX897" s="82" t="s">
        <v>4948</v>
      </c>
      <c r="AY897" s="77"/>
      <c r="AZ897" s="82" t="s">
        <v>5075</v>
      </c>
      <c r="BA897" s="82" t="s">
        <v>5075</v>
      </c>
      <c r="BB897" s="82" t="s">
        <v>5075</v>
      </c>
      <c r="BC897" s="82" t="s">
        <v>4948</v>
      </c>
      <c r="BD897" s="82" t="s">
        <v>5281</v>
      </c>
      <c r="BE897" s="77"/>
      <c r="BF897" s="77"/>
      <c r="BG897" s="77"/>
      <c r="BH897" s="77"/>
      <c r="BI897" s="77"/>
    </row>
    <row r="898" spans="1:61" x14ac:dyDescent="0.25">
      <c r="A898" s="62" t="s">
        <v>513</v>
      </c>
      <c r="B898" s="62" t="s">
        <v>513</v>
      </c>
      <c r="C898" s="63"/>
      <c r="D898" s="64"/>
      <c r="E898" s="65"/>
      <c r="F898" s="66"/>
      <c r="G898" s="63"/>
      <c r="H898" s="67"/>
      <c r="I898" s="68"/>
      <c r="J898" s="68"/>
      <c r="K898" s="32"/>
      <c r="L898" s="75">
        <v>898</v>
      </c>
      <c r="M898" s="75"/>
      <c r="N898" s="70"/>
      <c r="O898" s="77" t="s">
        <v>179</v>
      </c>
      <c r="P898" s="79">
        <v>45068.792013888888</v>
      </c>
      <c r="Q898" s="77" t="s">
        <v>1425</v>
      </c>
      <c r="R898" s="77">
        <v>0</v>
      </c>
      <c r="S898" s="77">
        <v>0</v>
      </c>
      <c r="T898" s="77">
        <v>0</v>
      </c>
      <c r="U898" s="77">
        <v>0</v>
      </c>
      <c r="V898" s="77">
        <v>36</v>
      </c>
      <c r="W898" s="82" t="s">
        <v>1968</v>
      </c>
      <c r="X898" s="77"/>
      <c r="Y898" s="77"/>
      <c r="Z898" s="77"/>
      <c r="AA898" s="77" t="s">
        <v>2629</v>
      </c>
      <c r="AB898" s="77" t="s">
        <v>2632</v>
      </c>
      <c r="AC898" s="82" t="s">
        <v>2639</v>
      </c>
      <c r="AD898" s="77" t="s">
        <v>2670</v>
      </c>
      <c r="AE898" s="80" t="str">
        <f>HYPERLINK("https://twitter.com/seshat_e/status/1660722320720142358")</f>
        <v>https://twitter.com/seshat_e/status/1660722320720142358</v>
      </c>
      <c r="AF898" s="79">
        <v>45068.792013888888</v>
      </c>
      <c r="AG898" s="85">
        <v>45068</v>
      </c>
      <c r="AH898" s="82" t="s">
        <v>3394</v>
      </c>
      <c r="AI898" s="77" t="b">
        <v>0</v>
      </c>
      <c r="AJ898" s="77"/>
      <c r="AK898" s="77"/>
      <c r="AL898" s="77"/>
      <c r="AM898" s="77"/>
      <c r="AN898" s="77"/>
      <c r="AO898" s="77"/>
      <c r="AP898" s="77"/>
      <c r="AQ898" s="77" t="s">
        <v>4058</v>
      </c>
      <c r="AR898" s="77"/>
      <c r="AS898" s="77"/>
      <c r="AT898" s="77"/>
      <c r="AU898" s="77"/>
      <c r="AV898" s="80" t="str">
        <f>HYPERLINK("https://pbs.twimg.com/media/FwwRd6DX0AAqjKG.jpg")</f>
        <v>https://pbs.twimg.com/media/FwwRd6DX0AAqjKG.jpg</v>
      </c>
      <c r="AW898" s="82" t="s">
        <v>4949</v>
      </c>
      <c r="AX898" s="82" t="s">
        <v>4949</v>
      </c>
      <c r="AY898" s="77"/>
      <c r="AZ898" s="82" t="s">
        <v>5075</v>
      </c>
      <c r="BA898" s="82" t="s">
        <v>5075</v>
      </c>
      <c r="BB898" s="82" t="s">
        <v>5075</v>
      </c>
      <c r="BC898" s="82" t="s">
        <v>4949</v>
      </c>
      <c r="BD898" s="82" t="s">
        <v>5281</v>
      </c>
      <c r="BE898" s="77"/>
      <c r="BF898" s="77"/>
      <c r="BG898" s="77"/>
      <c r="BH898" s="77"/>
      <c r="BI898" s="77"/>
    </row>
    <row r="899" spans="1:61" x14ac:dyDescent="0.25">
      <c r="A899" s="62" t="s">
        <v>514</v>
      </c>
      <c r="B899" s="62" t="s">
        <v>514</v>
      </c>
      <c r="C899" s="63"/>
      <c r="D899" s="64"/>
      <c r="E899" s="65"/>
      <c r="F899" s="66"/>
      <c r="G899" s="63"/>
      <c r="H899" s="67"/>
      <c r="I899" s="68"/>
      <c r="J899" s="68"/>
      <c r="K899" s="32"/>
      <c r="L899" s="75">
        <v>899</v>
      </c>
      <c r="M899" s="75"/>
      <c r="N899" s="70"/>
      <c r="O899" s="77" t="s">
        <v>179</v>
      </c>
      <c r="P899" s="79">
        <v>44970.605752314812</v>
      </c>
      <c r="Q899" s="77" t="s">
        <v>1426</v>
      </c>
      <c r="R899" s="77">
        <v>0</v>
      </c>
      <c r="S899" s="77">
        <v>0</v>
      </c>
      <c r="T899" s="77">
        <v>0</v>
      </c>
      <c r="U899" s="77">
        <v>0</v>
      </c>
      <c r="V899" s="77">
        <v>15</v>
      </c>
      <c r="W899" s="82" t="s">
        <v>1969</v>
      </c>
      <c r="X899" s="77"/>
      <c r="Y899" s="77"/>
      <c r="Z899" s="77"/>
      <c r="AA899" s="77"/>
      <c r="AB899" s="77"/>
      <c r="AC899" s="82" t="s">
        <v>2640</v>
      </c>
      <c r="AD899" s="77" t="s">
        <v>2670</v>
      </c>
      <c r="AE899" s="80" t="str">
        <f>HYPERLINK("https://twitter.com/malfinanciada/status/1625140809484861442")</f>
        <v>https://twitter.com/malfinanciada/status/1625140809484861442</v>
      </c>
      <c r="AF899" s="79">
        <v>44970.605752314812</v>
      </c>
      <c r="AG899" s="85">
        <v>44970</v>
      </c>
      <c r="AH899" s="82" t="s">
        <v>3395</v>
      </c>
      <c r="AI899" s="77"/>
      <c r="AJ899" s="77" t="s">
        <v>3409</v>
      </c>
      <c r="AK899" s="77" t="s">
        <v>3410</v>
      </c>
      <c r="AL899" s="77" t="s">
        <v>3411</v>
      </c>
      <c r="AM899" s="77" t="s">
        <v>3421</v>
      </c>
      <c r="AN899" s="77" t="s">
        <v>3431</v>
      </c>
      <c r="AO899" s="77" t="s">
        <v>3441</v>
      </c>
      <c r="AP899" s="77" t="s">
        <v>3442</v>
      </c>
      <c r="AQ899" s="77"/>
      <c r="AR899" s="77"/>
      <c r="AS899" s="77"/>
      <c r="AT899" s="77"/>
      <c r="AU899" s="77"/>
      <c r="AV899" s="80" t="str">
        <f>HYPERLINK("https://pbs.twimg.com/profile_images/1669683146231513089/meqwzjyL_normal.jpg")</f>
        <v>https://pbs.twimg.com/profile_images/1669683146231513089/meqwzjyL_normal.jpg</v>
      </c>
      <c r="AW899" s="82" t="s">
        <v>4950</v>
      </c>
      <c r="AX899" s="82" t="s">
        <v>4950</v>
      </c>
      <c r="AY899" s="77"/>
      <c r="AZ899" s="82" t="s">
        <v>5075</v>
      </c>
      <c r="BA899" s="82" t="s">
        <v>5075</v>
      </c>
      <c r="BB899" s="82" t="s">
        <v>5075</v>
      </c>
      <c r="BC899" s="82" t="s">
        <v>4950</v>
      </c>
      <c r="BD899" s="82" t="s">
        <v>5282</v>
      </c>
      <c r="BE899" s="77"/>
      <c r="BF899" s="77"/>
      <c r="BG899" s="77"/>
      <c r="BH899" s="77"/>
      <c r="BI899" s="77"/>
    </row>
    <row r="900" spans="1:61" x14ac:dyDescent="0.25">
      <c r="A900" s="62" t="s">
        <v>515</v>
      </c>
      <c r="B900" s="62" t="s">
        <v>515</v>
      </c>
      <c r="C900" s="63"/>
      <c r="D900" s="64"/>
      <c r="E900" s="65"/>
      <c r="F900" s="66"/>
      <c r="G900" s="63"/>
      <c r="H900" s="67"/>
      <c r="I900" s="68"/>
      <c r="J900" s="68"/>
      <c r="K900" s="32"/>
      <c r="L900" s="75">
        <v>900</v>
      </c>
      <c r="M900" s="75"/>
      <c r="N900" s="70"/>
      <c r="O900" s="77" t="s">
        <v>179</v>
      </c>
      <c r="P900" s="79">
        <v>45114.477256944447</v>
      </c>
      <c r="Q900" s="77" t="s">
        <v>1427</v>
      </c>
      <c r="R900" s="77">
        <v>0</v>
      </c>
      <c r="S900" s="77">
        <v>0</v>
      </c>
      <c r="T900" s="77">
        <v>0</v>
      </c>
      <c r="U900" s="77">
        <v>0</v>
      </c>
      <c r="V900" s="77">
        <v>10</v>
      </c>
      <c r="W900" s="82" t="s">
        <v>1970</v>
      </c>
      <c r="X900" s="77"/>
      <c r="Y900" s="77"/>
      <c r="Z900" s="77"/>
      <c r="AA900" s="77" t="s">
        <v>2630</v>
      </c>
      <c r="AB900" s="77" t="s">
        <v>2632</v>
      </c>
      <c r="AC900" s="82" t="s">
        <v>2645</v>
      </c>
      <c r="AD900" s="77" t="s">
        <v>2670</v>
      </c>
      <c r="AE900" s="80" t="str">
        <f>HYPERLINK("https://twitter.com/tclsolucoes/status/1677278096318160896")</f>
        <v>https://twitter.com/tclsolucoes/status/1677278096318160896</v>
      </c>
      <c r="AF900" s="79">
        <v>45114.477256944447</v>
      </c>
      <c r="AG900" s="85">
        <v>45114</v>
      </c>
      <c r="AH900" s="82" t="s">
        <v>3396</v>
      </c>
      <c r="AI900" s="77" t="b">
        <v>0</v>
      </c>
      <c r="AJ900" s="77"/>
      <c r="AK900" s="77"/>
      <c r="AL900" s="77"/>
      <c r="AM900" s="77"/>
      <c r="AN900" s="77"/>
      <c r="AO900" s="77"/>
      <c r="AP900" s="77"/>
      <c r="AQ900" s="77" t="s">
        <v>4059</v>
      </c>
      <c r="AR900" s="77"/>
      <c r="AS900" s="77"/>
      <c r="AT900" s="77"/>
      <c r="AU900" s="77"/>
      <c r="AV900" s="80" t="str">
        <f>HYPERLINK("https://pbs.twimg.com/media/F0bjiijWIAAfGS-.jpg")</f>
        <v>https://pbs.twimg.com/media/F0bjiijWIAAfGS-.jpg</v>
      </c>
      <c r="AW900" s="82" t="s">
        <v>4951</v>
      </c>
      <c r="AX900" s="82" t="s">
        <v>4951</v>
      </c>
      <c r="AY900" s="77"/>
      <c r="AZ900" s="82" t="s">
        <v>5075</v>
      </c>
      <c r="BA900" s="82" t="s">
        <v>5075</v>
      </c>
      <c r="BB900" s="82" t="s">
        <v>5075</v>
      </c>
      <c r="BC900" s="82" t="s">
        <v>4951</v>
      </c>
      <c r="BD900" s="82" t="s">
        <v>5283</v>
      </c>
      <c r="BE900" s="77"/>
      <c r="BF900" s="77"/>
      <c r="BG900" s="77"/>
      <c r="BH900" s="77"/>
      <c r="BI900" s="77"/>
    </row>
    <row r="901" spans="1:61" x14ac:dyDescent="0.25">
      <c r="A901" s="62" t="s">
        <v>516</v>
      </c>
      <c r="B901" s="62" t="s">
        <v>516</v>
      </c>
      <c r="C901" s="63"/>
      <c r="D901" s="64"/>
      <c r="E901" s="65"/>
      <c r="F901" s="66"/>
      <c r="G901" s="63"/>
      <c r="H901" s="67"/>
      <c r="I901" s="68"/>
      <c r="J901" s="68"/>
      <c r="K901" s="32"/>
      <c r="L901" s="75">
        <v>901</v>
      </c>
      <c r="M901" s="75"/>
      <c r="N901" s="70"/>
      <c r="O901" s="77" t="s">
        <v>536</v>
      </c>
      <c r="P901" s="79">
        <v>45124.855914351851</v>
      </c>
      <c r="Q901" s="77" t="s">
        <v>1428</v>
      </c>
      <c r="R901" s="77">
        <v>0</v>
      </c>
      <c r="S901" s="77">
        <v>0</v>
      </c>
      <c r="T901" s="77">
        <v>1</v>
      </c>
      <c r="U901" s="77">
        <v>0</v>
      </c>
      <c r="V901" s="77">
        <v>9</v>
      </c>
      <c r="W901" s="82" t="s">
        <v>1971</v>
      </c>
      <c r="X901" s="77"/>
      <c r="Y901" s="77"/>
      <c r="Z901" s="77"/>
      <c r="AA901" s="77"/>
      <c r="AB901" s="77"/>
      <c r="AC901" s="82" t="s">
        <v>2640</v>
      </c>
      <c r="AD901" s="77" t="s">
        <v>2670</v>
      </c>
      <c r="AE901" s="80" t="str">
        <f>HYPERLINK("https://twitter.com/pedrocarva3004/status/1681039195375108096")</f>
        <v>https://twitter.com/pedrocarva3004/status/1681039195375108096</v>
      </c>
      <c r="AF901" s="79">
        <v>45124.855914351851</v>
      </c>
      <c r="AG901" s="85">
        <v>45124</v>
      </c>
      <c r="AH901" s="82" t="s">
        <v>3397</v>
      </c>
      <c r="AI901" s="77"/>
      <c r="AJ901" s="77"/>
      <c r="AK901" s="77"/>
      <c r="AL901" s="77"/>
      <c r="AM901" s="77"/>
      <c r="AN901" s="77"/>
      <c r="AO901" s="77"/>
      <c r="AP901" s="77"/>
      <c r="AQ901" s="77"/>
      <c r="AR901" s="77"/>
      <c r="AS901" s="77"/>
      <c r="AT901" s="77"/>
      <c r="AU901" s="77"/>
      <c r="AV901" s="80" t="str">
        <f>HYPERLINK("https://pbs.twimg.com/profile_images/1676998988828901387/zp-XB2N8_normal.jpg")</f>
        <v>https://pbs.twimg.com/profile_images/1676998988828901387/zp-XB2N8_normal.jpg</v>
      </c>
      <c r="AW901" s="82" t="s">
        <v>4952</v>
      </c>
      <c r="AX901" s="82" t="s">
        <v>5025</v>
      </c>
      <c r="AY901" s="82" t="s">
        <v>5074</v>
      </c>
      <c r="AZ901" s="82" t="s">
        <v>4953</v>
      </c>
      <c r="BA901" s="82" t="s">
        <v>5075</v>
      </c>
      <c r="BB901" s="82" t="s">
        <v>5075</v>
      </c>
      <c r="BC901" s="82" t="s">
        <v>4953</v>
      </c>
      <c r="BD901" s="82" t="s">
        <v>5074</v>
      </c>
      <c r="BE901" s="77"/>
      <c r="BF901" s="77"/>
      <c r="BG901" s="77"/>
      <c r="BH901" s="77"/>
      <c r="BI901" s="77"/>
    </row>
    <row r="902" spans="1:61" x14ac:dyDescent="0.25">
      <c r="A902" s="62" t="s">
        <v>516</v>
      </c>
      <c r="B902" s="62" t="s">
        <v>516</v>
      </c>
      <c r="C902" s="63"/>
      <c r="D902" s="64"/>
      <c r="E902" s="65"/>
      <c r="F902" s="66"/>
      <c r="G902" s="63"/>
      <c r="H902" s="67"/>
      <c r="I902" s="68"/>
      <c r="J902" s="68"/>
      <c r="K902" s="32"/>
      <c r="L902" s="75">
        <v>902</v>
      </c>
      <c r="M902" s="75"/>
      <c r="N902" s="70"/>
      <c r="O902" s="77" t="s">
        <v>536</v>
      </c>
      <c r="P902" s="79">
        <v>45124.85496527778</v>
      </c>
      <c r="Q902" s="77" t="s">
        <v>1429</v>
      </c>
      <c r="R902" s="77">
        <v>0</v>
      </c>
      <c r="S902" s="77">
        <v>0</v>
      </c>
      <c r="T902" s="77">
        <v>1</v>
      </c>
      <c r="U902" s="77">
        <v>0</v>
      </c>
      <c r="V902" s="77">
        <v>14</v>
      </c>
      <c r="W902" s="82" t="s">
        <v>1972</v>
      </c>
      <c r="X902" s="77"/>
      <c r="Y902" s="77"/>
      <c r="Z902" s="77"/>
      <c r="AA902" s="77"/>
      <c r="AB902" s="77"/>
      <c r="AC902" s="82" t="s">
        <v>2640</v>
      </c>
      <c r="AD902" s="77" t="s">
        <v>2670</v>
      </c>
      <c r="AE902" s="80" t="str">
        <f>HYPERLINK("https://twitter.com/pedrocarva3004/status/1681038852780163075")</f>
        <v>https://twitter.com/pedrocarva3004/status/1681038852780163075</v>
      </c>
      <c r="AF902" s="79">
        <v>45124.85496527778</v>
      </c>
      <c r="AG902" s="85">
        <v>45124</v>
      </c>
      <c r="AH902" s="82" t="s">
        <v>3398</v>
      </c>
      <c r="AI902" s="77"/>
      <c r="AJ902" s="77"/>
      <c r="AK902" s="77"/>
      <c r="AL902" s="77"/>
      <c r="AM902" s="77"/>
      <c r="AN902" s="77"/>
      <c r="AO902" s="77"/>
      <c r="AP902" s="77"/>
      <c r="AQ902" s="77"/>
      <c r="AR902" s="77"/>
      <c r="AS902" s="77"/>
      <c r="AT902" s="77"/>
      <c r="AU902" s="77"/>
      <c r="AV902" s="80" t="str">
        <f>HYPERLINK("https://pbs.twimg.com/profile_images/1676998988828901387/zp-XB2N8_normal.jpg")</f>
        <v>https://pbs.twimg.com/profile_images/1676998988828901387/zp-XB2N8_normal.jpg</v>
      </c>
      <c r="AW902" s="82" t="s">
        <v>4953</v>
      </c>
      <c r="AX902" s="82" t="s">
        <v>5025</v>
      </c>
      <c r="AY902" s="82" t="s">
        <v>5074</v>
      </c>
      <c r="AZ902" s="82" t="s">
        <v>5120</v>
      </c>
      <c r="BA902" s="82" t="s">
        <v>5075</v>
      </c>
      <c r="BB902" s="82" t="s">
        <v>5075</v>
      </c>
      <c r="BC902" s="82" t="s">
        <v>5120</v>
      </c>
      <c r="BD902" s="82" t="s">
        <v>5074</v>
      </c>
      <c r="BE902" s="77"/>
      <c r="BF902" s="77"/>
      <c r="BG902" s="77"/>
      <c r="BH902" s="77"/>
      <c r="BI902" s="7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0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02" xr:uid="{00000000-0002-0000-0000-000001000000}"/>
    <dataValidation allowBlank="1" showErrorMessage="1" sqref="N2:N90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0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02" xr:uid="{00000000-0002-0000-0000-000004000000}"/>
    <dataValidation allowBlank="1" showInputMessage="1" promptTitle="Edge Color" prompt="To select an optional edge color, right-click and select Select Color on the right-click menu." sqref="C3:C902" xr:uid="{00000000-0002-0000-0000-000005000000}"/>
    <dataValidation allowBlank="1" showInputMessage="1" errorTitle="Invalid Edge Width" error="The optional edge width must be a whole number between 1 and 10." promptTitle="Edge Width" prompt="Enter an optional edge width between 1 and 10." sqref="D3:D90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90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02" xr:uid="{00000000-0002-0000-0000-000008000000}">
      <formula1>ValidEdgeVisibilities</formula1>
    </dataValidation>
    <dataValidation allowBlank="1" showInputMessage="1" showErrorMessage="1" promptTitle="Vertex 1 Name" prompt="Enter the name of the edge's first vertex." sqref="A3:A902" xr:uid="{00000000-0002-0000-0000-000009000000}"/>
    <dataValidation allowBlank="1" showInputMessage="1" showErrorMessage="1" promptTitle="Vertex 2 Name" prompt="Enter the name of the edge's second vertex." sqref="B3:B90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90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0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02"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P315"/>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hidden="1" customWidth="1"/>
    <col min="28" max="28" width="16" hidden="1" customWidth="1"/>
    <col min="29" max="29" width="16" style="5" bestFit="1" customWidth="1"/>
    <col min="30" max="30" width="8.5703125" style="2" bestFit="1" customWidth="1"/>
    <col min="31" max="31" width="9.5703125" bestFit="1" customWidth="1"/>
    <col min="32" max="32" width="12" bestFit="1" customWidth="1"/>
    <col min="33" max="33" width="11.5703125" bestFit="1" customWidth="1"/>
    <col min="34" max="34" width="9.7109375" bestFit="1" customWidth="1"/>
    <col min="35" max="35" width="9" bestFit="1" customWidth="1"/>
    <col min="36" max="36" width="13" bestFit="1" customWidth="1"/>
    <col min="37" max="37" width="14.5703125" bestFit="1" customWidth="1"/>
    <col min="38" max="38" width="10.5703125" bestFit="1" customWidth="1"/>
    <col min="39" max="39" width="16.5703125" bestFit="1" customWidth="1"/>
    <col min="40" max="40" width="10.7109375" bestFit="1" customWidth="1"/>
    <col min="41" max="41" width="13.42578125" bestFit="1" customWidth="1"/>
    <col min="42" max="42" width="10.85546875" bestFit="1" customWidth="1"/>
    <col min="43" max="43" width="17.140625" bestFit="1" customWidth="1"/>
    <col min="44" max="44" width="14.7109375" bestFit="1" customWidth="1"/>
    <col min="45" max="45" width="15.5703125" bestFit="1" customWidth="1"/>
    <col min="46" max="46" width="23.28515625" bestFit="1" customWidth="1"/>
    <col min="47" max="47" width="21" bestFit="1" customWidth="1"/>
    <col min="48" max="48" width="11.140625" bestFit="1" customWidth="1"/>
    <col min="49" max="49" width="6.5703125" bestFit="1" customWidth="1"/>
    <col min="50" max="50" width="10.5703125" bestFit="1" customWidth="1"/>
    <col min="51" max="51" width="14.140625" bestFit="1" customWidth="1"/>
    <col min="52" max="52" width="12" bestFit="1" customWidth="1"/>
    <col min="53" max="53" width="10" bestFit="1" customWidth="1"/>
    <col min="54" max="54" width="13" bestFit="1" customWidth="1"/>
    <col min="55" max="55" width="10.28515625" bestFit="1" customWidth="1"/>
    <col min="56" max="56" width="16.85546875" bestFit="1" customWidth="1"/>
    <col min="57" max="58" width="14" bestFit="1" customWidth="1"/>
    <col min="59" max="59" width="11.42578125" bestFit="1" customWidth="1"/>
    <col min="60" max="60" width="13.28515625" bestFit="1" customWidth="1"/>
    <col min="61" max="61" width="19.7109375" bestFit="1" customWidth="1"/>
    <col min="62" max="62" width="12.5703125" bestFit="1" customWidth="1"/>
    <col min="63" max="63" width="11.7109375" bestFit="1" customWidth="1"/>
    <col min="64" max="64" width="11.5703125" bestFit="1" customWidth="1"/>
    <col min="65" max="65" width="15.140625" bestFit="1" customWidth="1"/>
    <col min="66" max="67" width="16.140625" bestFit="1" customWidth="1"/>
  </cols>
  <sheetData>
    <row r="1" spans="1:68" x14ac:dyDescent="0.2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68" ht="30" customHeight="1" x14ac:dyDescent="0.2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s="7" t="s">
        <v>5291</v>
      </c>
      <c r="AE2" s="7" t="s">
        <v>5292</v>
      </c>
      <c r="AF2" s="7" t="s">
        <v>5293</v>
      </c>
      <c r="AG2" s="7" t="s">
        <v>5294</v>
      </c>
      <c r="AH2" s="7" t="s">
        <v>5295</v>
      </c>
      <c r="AI2" s="7" t="s">
        <v>5296</v>
      </c>
      <c r="AJ2" s="7" t="s">
        <v>5297</v>
      </c>
      <c r="AK2" s="7" t="s">
        <v>5298</v>
      </c>
      <c r="AL2" s="7" t="s">
        <v>5299</v>
      </c>
      <c r="AM2" s="7" t="s">
        <v>5300</v>
      </c>
      <c r="AN2" s="7" t="s">
        <v>5301</v>
      </c>
      <c r="AO2" s="7" t="s">
        <v>5302</v>
      </c>
      <c r="AP2" s="7" t="s">
        <v>5303</v>
      </c>
      <c r="AQ2" s="7" t="s">
        <v>5304</v>
      </c>
      <c r="AR2" s="7" t="s">
        <v>5305</v>
      </c>
      <c r="AS2" s="7" t="s">
        <v>5306</v>
      </c>
      <c r="AT2" s="7" t="s">
        <v>5307</v>
      </c>
      <c r="AU2" s="7" t="s">
        <v>5308</v>
      </c>
      <c r="AV2" s="7" t="s">
        <v>5309</v>
      </c>
      <c r="AW2" s="7" t="s">
        <v>5310</v>
      </c>
      <c r="AX2" s="7" t="s">
        <v>5311</v>
      </c>
      <c r="AY2" s="7" t="s">
        <v>5312</v>
      </c>
      <c r="AZ2" s="7" t="s">
        <v>5313</v>
      </c>
      <c r="BA2" s="7" t="s">
        <v>5314</v>
      </c>
      <c r="BB2" s="7" t="s">
        <v>5315</v>
      </c>
      <c r="BC2" s="7" t="s">
        <v>5316</v>
      </c>
      <c r="BD2" s="7" t="s">
        <v>5317</v>
      </c>
      <c r="BE2" s="7" t="s">
        <v>5318</v>
      </c>
      <c r="BF2" s="7" t="s">
        <v>5319</v>
      </c>
      <c r="BG2" s="7" t="s">
        <v>197</v>
      </c>
      <c r="BH2" s="7" t="s">
        <v>5320</v>
      </c>
      <c r="BI2" s="7" t="s">
        <v>5321</v>
      </c>
      <c r="BJ2" s="7" t="s">
        <v>5322</v>
      </c>
      <c r="BK2" s="7" t="s">
        <v>5323</v>
      </c>
      <c r="BL2" s="7" t="s">
        <v>5324</v>
      </c>
      <c r="BM2" s="7" t="s">
        <v>5325</v>
      </c>
      <c r="BN2" s="7" t="s">
        <v>5326</v>
      </c>
      <c r="BO2" s="7" t="s">
        <v>5327</v>
      </c>
    </row>
    <row r="3" spans="1:68" ht="15" customHeight="1" x14ac:dyDescent="0.25">
      <c r="A3" s="62" t="s">
        <v>517</v>
      </c>
      <c r="B3" s="63"/>
      <c r="C3" s="63"/>
      <c r="D3" s="64"/>
      <c r="E3" s="66"/>
      <c r="F3" s="102" t="str">
        <f>HYPERLINK("https://pbs.twimg.com/profile_images/1643311699078832128/FNArTTJI_normal.jpg")</f>
        <v>https://pbs.twimg.com/profile_images/1643311699078832128/FNArTTJI_normal.jpg</v>
      </c>
      <c r="G3" s="63"/>
      <c r="H3" s="67"/>
      <c r="I3" s="68"/>
      <c r="J3" s="68"/>
      <c r="K3" s="67" t="s">
        <v>6675</v>
      </c>
      <c r="L3" s="71"/>
      <c r="M3" s="72"/>
      <c r="N3" s="72"/>
      <c r="O3" s="73"/>
      <c r="P3" s="74"/>
      <c r="Q3" s="74"/>
      <c r="R3" s="46"/>
      <c r="S3" s="46"/>
      <c r="T3" s="46"/>
      <c r="U3" s="46"/>
      <c r="V3" s="47"/>
      <c r="W3" s="47"/>
      <c r="X3" s="48"/>
      <c r="Y3" s="47"/>
      <c r="Z3" s="47"/>
      <c r="AA3" s="69">
        <v>3</v>
      </c>
      <c r="AB3" s="69"/>
      <c r="AC3" s="70"/>
      <c r="AD3" s="76" t="s">
        <v>5635</v>
      </c>
      <c r="AE3" s="81" t="s">
        <v>5284</v>
      </c>
      <c r="AF3" s="76">
        <v>0</v>
      </c>
      <c r="AG3" s="76">
        <v>0</v>
      </c>
      <c r="AH3" s="76">
        <v>108</v>
      </c>
      <c r="AI3" s="76">
        <v>0</v>
      </c>
      <c r="AJ3" s="76">
        <v>0</v>
      </c>
      <c r="AK3" s="76">
        <v>108</v>
      </c>
      <c r="AL3" s="76" t="b">
        <v>0</v>
      </c>
      <c r="AM3" s="78">
        <v>45020.746423611112</v>
      </c>
      <c r="AN3" s="76" t="s">
        <v>5843</v>
      </c>
      <c r="AO3" s="76" t="s">
        <v>6137</v>
      </c>
      <c r="AP3" s="83" t="str">
        <f>HYPERLINK("https://t.co/14yIS67XpW")</f>
        <v>https://t.co/14yIS67XpW</v>
      </c>
      <c r="AQ3" s="83" t="str">
        <f>HYPERLINK("http://eusoupauloandrade.com")</f>
        <v>http://eusoupauloandrade.com</v>
      </c>
      <c r="AR3" s="76" t="s">
        <v>6335</v>
      </c>
      <c r="AS3" s="76"/>
      <c r="AT3" s="76"/>
      <c r="AU3" s="76"/>
      <c r="AV3" s="76"/>
      <c r="AW3" s="83" t="str">
        <f>HYPERLINK("https://t.co/14yIS67XpW")</f>
        <v>https://t.co/14yIS67XpW</v>
      </c>
      <c r="AX3" s="76" t="b">
        <v>0</v>
      </c>
      <c r="AY3" s="76"/>
      <c r="AZ3" s="76"/>
      <c r="BA3" s="76" t="b">
        <v>0</v>
      </c>
      <c r="BB3" s="76" t="b">
        <v>1</v>
      </c>
      <c r="BC3" s="76" t="b">
        <v>1</v>
      </c>
      <c r="BD3" s="76" t="b">
        <v>0</v>
      </c>
      <c r="BE3" s="76" t="b">
        <v>0</v>
      </c>
      <c r="BF3" s="76" t="b">
        <v>0</v>
      </c>
      <c r="BG3" s="76" t="b">
        <v>0</v>
      </c>
      <c r="BH3" s="76"/>
      <c r="BI3" s="76"/>
      <c r="BJ3" s="76" t="s">
        <v>6360</v>
      </c>
      <c r="BK3" s="76" t="b">
        <v>0</v>
      </c>
      <c r="BL3" s="76"/>
      <c r="BM3" s="76" t="s">
        <v>66</v>
      </c>
      <c r="BN3" s="76" t="s">
        <v>6362</v>
      </c>
      <c r="BO3" s="83" t="str">
        <f>HYPERLINK("https://twitter.com/pauloan7344654")</f>
        <v>https://twitter.com/pauloan7344654</v>
      </c>
    </row>
    <row r="4" spans="1:68" x14ac:dyDescent="0.25">
      <c r="A4" s="62" t="s">
        <v>224</v>
      </c>
      <c r="B4" s="63"/>
      <c r="C4" s="63"/>
      <c r="D4" s="64"/>
      <c r="E4" s="66"/>
      <c r="F4" s="102" t="str">
        <f>HYPERLINK("https://pbs.twimg.com/profile_images/1667326263093067777/r3PmTWr2_normal.jpg")</f>
        <v>https://pbs.twimg.com/profile_images/1667326263093067777/r3PmTWr2_normal.jpg</v>
      </c>
      <c r="G4" s="63"/>
      <c r="H4" s="67"/>
      <c r="I4" s="68"/>
      <c r="J4" s="68"/>
      <c r="K4" s="67" t="s">
        <v>6363</v>
      </c>
      <c r="L4" s="71"/>
      <c r="M4" s="72"/>
      <c r="N4" s="72"/>
      <c r="O4" s="73"/>
      <c r="P4" s="74"/>
      <c r="Q4" s="74"/>
      <c r="R4" s="86"/>
      <c r="S4" s="86"/>
      <c r="T4" s="86"/>
      <c r="U4" s="86"/>
      <c r="V4" s="48"/>
      <c r="W4" s="48"/>
      <c r="X4" s="48"/>
      <c r="Y4" s="48"/>
      <c r="Z4" s="47"/>
      <c r="AA4" s="69">
        <v>4</v>
      </c>
      <c r="AB4" s="69"/>
      <c r="AC4" s="70"/>
      <c r="AD4" s="76" t="s">
        <v>5328</v>
      </c>
      <c r="AE4" s="81" t="s">
        <v>5121</v>
      </c>
      <c r="AF4" s="76">
        <v>0</v>
      </c>
      <c r="AG4" s="76">
        <v>39</v>
      </c>
      <c r="AH4" s="76">
        <v>104</v>
      </c>
      <c r="AI4" s="76">
        <v>0</v>
      </c>
      <c r="AJ4" s="76">
        <v>0</v>
      </c>
      <c r="AK4" s="76">
        <v>53</v>
      </c>
      <c r="AL4" s="76" t="b">
        <v>0</v>
      </c>
      <c r="AM4" s="78">
        <v>44571.453287037039</v>
      </c>
      <c r="AN4" s="76" t="s">
        <v>5736</v>
      </c>
      <c r="AO4" s="76" t="s">
        <v>5854</v>
      </c>
      <c r="AP4" s="76"/>
      <c r="AQ4" s="76"/>
      <c r="AR4" s="76"/>
      <c r="AS4" s="76"/>
      <c r="AT4" s="76"/>
      <c r="AU4" s="76"/>
      <c r="AV4" s="76"/>
      <c r="AW4" s="76"/>
      <c r="AX4" s="76" t="b">
        <v>0</v>
      </c>
      <c r="AY4" s="76"/>
      <c r="AZ4" s="76"/>
      <c r="BA4" s="76" t="b">
        <v>0</v>
      </c>
      <c r="BB4" s="76" t="b">
        <v>1</v>
      </c>
      <c r="BC4" s="76" t="b">
        <v>1</v>
      </c>
      <c r="BD4" s="76" t="b">
        <v>0</v>
      </c>
      <c r="BE4" s="76" t="b">
        <v>0</v>
      </c>
      <c r="BF4" s="76" t="b">
        <v>0</v>
      </c>
      <c r="BG4" s="76" t="b">
        <v>0</v>
      </c>
      <c r="BH4" s="83" t="str">
        <f>HYPERLINK("https://pbs.twimg.com/profile_banners/1480492619541139457/1686356532")</f>
        <v>https://pbs.twimg.com/profile_banners/1480492619541139457/1686356532</v>
      </c>
      <c r="BI4" s="76"/>
      <c r="BJ4" s="76" t="s">
        <v>6360</v>
      </c>
      <c r="BK4" s="76" t="b">
        <v>0</v>
      </c>
      <c r="BL4" s="76"/>
      <c r="BM4" s="76" t="s">
        <v>66</v>
      </c>
      <c r="BN4" s="76" t="s">
        <v>6362</v>
      </c>
      <c r="BO4" s="83" t="str">
        <f>HYPERLINK("https://twitter.com/iberezanski")</f>
        <v>https://twitter.com/iberezanski</v>
      </c>
      <c r="BP4" s="2"/>
    </row>
    <row r="5" spans="1:68" x14ac:dyDescent="0.25">
      <c r="A5" s="62" t="s">
        <v>225</v>
      </c>
      <c r="B5" s="63"/>
      <c r="C5" s="63"/>
      <c r="D5" s="64"/>
      <c r="E5" s="66"/>
      <c r="F5" s="102" t="str">
        <f>HYPERLINK("https://pbs.twimg.com/profile_images/1335657066116096003/WWv9SrEq_normal.jpg")</f>
        <v>https://pbs.twimg.com/profile_images/1335657066116096003/WWv9SrEq_normal.jpg</v>
      </c>
      <c r="G5" s="63"/>
      <c r="H5" s="67"/>
      <c r="I5" s="68"/>
      <c r="J5" s="68"/>
      <c r="K5" s="67" t="s">
        <v>6364</v>
      </c>
      <c r="L5" s="71"/>
      <c r="M5" s="72"/>
      <c r="N5" s="72"/>
      <c r="O5" s="73"/>
      <c r="P5" s="74"/>
      <c r="Q5" s="74"/>
      <c r="R5" s="86"/>
      <c r="S5" s="86"/>
      <c r="T5" s="86"/>
      <c r="U5" s="86"/>
      <c r="V5" s="48"/>
      <c r="W5" s="48"/>
      <c r="X5" s="48"/>
      <c r="Y5" s="48"/>
      <c r="Z5" s="47"/>
      <c r="AA5" s="69">
        <v>5</v>
      </c>
      <c r="AB5" s="69"/>
      <c r="AC5" s="70"/>
      <c r="AD5" s="76" t="s">
        <v>5329</v>
      </c>
      <c r="AE5" s="81" t="s">
        <v>5026</v>
      </c>
      <c r="AF5" s="76">
        <v>1</v>
      </c>
      <c r="AG5" s="76">
        <v>0</v>
      </c>
      <c r="AH5" s="76">
        <v>79</v>
      </c>
      <c r="AI5" s="76">
        <v>0</v>
      </c>
      <c r="AJ5" s="76">
        <v>0</v>
      </c>
      <c r="AK5" s="76">
        <v>6</v>
      </c>
      <c r="AL5" s="76" t="b">
        <v>0</v>
      </c>
      <c r="AM5" s="78">
        <v>44171.781365740739</v>
      </c>
      <c r="AN5" s="76"/>
      <c r="AO5" s="76" t="s">
        <v>5855</v>
      </c>
      <c r="AP5" s="83" t="str">
        <f>HYPERLINK("https://t.co/rtUAHAi2NK")</f>
        <v>https://t.co/rtUAHAi2NK</v>
      </c>
      <c r="AQ5" s="83" t="str">
        <f>HYPERLINK("https://borafalardeguito.com/")</f>
        <v>https://borafalardeguito.com/</v>
      </c>
      <c r="AR5" s="76" t="s">
        <v>6138</v>
      </c>
      <c r="AS5" s="76"/>
      <c r="AT5" s="76"/>
      <c r="AU5" s="76"/>
      <c r="AV5" s="76"/>
      <c r="AW5" s="83" t="str">
        <f>HYPERLINK("https://t.co/rtUAHAi2NK")</f>
        <v>https://t.co/rtUAHAi2NK</v>
      </c>
      <c r="AX5" s="76" t="b">
        <v>0</v>
      </c>
      <c r="AY5" s="76"/>
      <c r="AZ5" s="76"/>
      <c r="BA5" s="76" t="b">
        <v>0</v>
      </c>
      <c r="BB5" s="76" t="b">
        <v>1</v>
      </c>
      <c r="BC5" s="76" t="b">
        <v>1</v>
      </c>
      <c r="BD5" s="76" t="b">
        <v>0</v>
      </c>
      <c r="BE5" s="76" t="b">
        <v>0</v>
      </c>
      <c r="BF5" s="76" t="b">
        <v>0</v>
      </c>
      <c r="BG5" s="76" t="b">
        <v>0</v>
      </c>
      <c r="BH5" s="83" t="str">
        <f>HYPERLINK("https://pbs.twimg.com/profile_banners/1335656385128894465/1648447786")</f>
        <v>https://pbs.twimg.com/profile_banners/1335656385128894465/1648447786</v>
      </c>
      <c r="BI5" s="76"/>
      <c r="BJ5" s="76" t="s">
        <v>6360</v>
      </c>
      <c r="BK5" s="76" t="b">
        <v>0</v>
      </c>
      <c r="BL5" s="76"/>
      <c r="BM5" s="76" t="s">
        <v>66</v>
      </c>
      <c r="BN5" s="76" t="s">
        <v>6362</v>
      </c>
      <c r="BO5" s="83" t="str">
        <f>HYPERLINK("https://twitter.com/borafalardguito")</f>
        <v>https://twitter.com/borafalardguito</v>
      </c>
      <c r="BP5" s="2"/>
    </row>
    <row r="6" spans="1:68" x14ac:dyDescent="0.25">
      <c r="A6" s="62" t="s">
        <v>226</v>
      </c>
      <c r="B6" s="63"/>
      <c r="C6" s="63"/>
      <c r="D6" s="64"/>
      <c r="E6" s="66"/>
      <c r="F6" s="102" t="str">
        <f>HYPERLINK("https://pbs.twimg.com/profile_images/1561266924667162624/pXvjyAYE_normal.jpg")</f>
        <v>https://pbs.twimg.com/profile_images/1561266924667162624/pXvjyAYE_normal.jpg</v>
      </c>
      <c r="G6" s="63"/>
      <c r="H6" s="67"/>
      <c r="I6" s="68"/>
      <c r="J6" s="68"/>
      <c r="K6" s="67" t="s">
        <v>6365</v>
      </c>
      <c r="L6" s="71"/>
      <c r="M6" s="72"/>
      <c r="N6" s="72"/>
      <c r="O6" s="73"/>
      <c r="P6" s="74"/>
      <c r="Q6" s="74"/>
      <c r="R6" s="86"/>
      <c r="S6" s="86"/>
      <c r="T6" s="86"/>
      <c r="U6" s="86"/>
      <c r="V6" s="48"/>
      <c r="W6" s="48"/>
      <c r="X6" s="48"/>
      <c r="Y6" s="48"/>
      <c r="Z6" s="47"/>
      <c r="AA6" s="69">
        <v>6</v>
      </c>
      <c r="AB6" s="69"/>
      <c r="AC6" s="70"/>
      <c r="AD6" s="76" t="s">
        <v>5330</v>
      </c>
      <c r="AE6" s="81" t="s">
        <v>5122</v>
      </c>
      <c r="AF6" s="76">
        <v>7</v>
      </c>
      <c r="AG6" s="76">
        <v>87</v>
      </c>
      <c r="AH6" s="76">
        <v>341</v>
      </c>
      <c r="AI6" s="76">
        <v>0</v>
      </c>
      <c r="AJ6" s="76">
        <v>256</v>
      </c>
      <c r="AK6" s="76">
        <v>44</v>
      </c>
      <c r="AL6" s="76" t="b">
        <v>0</v>
      </c>
      <c r="AM6" s="78">
        <v>44794.347407407404</v>
      </c>
      <c r="AN6" s="76"/>
      <c r="AO6" s="76" t="s">
        <v>5856</v>
      </c>
      <c r="AP6" s="76"/>
      <c r="AQ6" s="76"/>
      <c r="AR6" s="76"/>
      <c r="AS6" s="76"/>
      <c r="AT6" s="76"/>
      <c r="AU6" s="76"/>
      <c r="AV6" s="76">
        <v>1.69432112161586E+18</v>
      </c>
      <c r="AW6" s="76"/>
      <c r="AX6" s="76" t="b">
        <v>0</v>
      </c>
      <c r="AY6" s="76"/>
      <c r="AZ6" s="76"/>
      <c r="BA6" s="76" t="b">
        <v>0</v>
      </c>
      <c r="BB6" s="76" t="b">
        <v>1</v>
      </c>
      <c r="BC6" s="76" t="b">
        <v>1</v>
      </c>
      <c r="BD6" s="76" t="b">
        <v>0</v>
      </c>
      <c r="BE6" s="76" t="b">
        <v>1</v>
      </c>
      <c r="BF6" s="76" t="b">
        <v>0</v>
      </c>
      <c r="BG6" s="76" t="b">
        <v>0</v>
      </c>
      <c r="BH6" s="83" t="str">
        <f>HYPERLINK("https://pbs.twimg.com/profile_banners/1561266868119547904/1664028528")</f>
        <v>https://pbs.twimg.com/profile_banners/1561266868119547904/1664028528</v>
      </c>
      <c r="BI6" s="76"/>
      <c r="BJ6" s="76" t="s">
        <v>6360</v>
      </c>
      <c r="BK6" s="76" t="b">
        <v>0</v>
      </c>
      <c r="BL6" s="76"/>
      <c r="BM6" s="76" t="s">
        <v>66</v>
      </c>
      <c r="BN6" s="76" t="s">
        <v>6362</v>
      </c>
      <c r="BO6" s="83" t="str">
        <f>HYPERLINK("https://twitter.com/sageousthoughts")</f>
        <v>https://twitter.com/sageousthoughts</v>
      </c>
      <c r="BP6" s="2"/>
    </row>
    <row r="7" spans="1:68" x14ac:dyDescent="0.25">
      <c r="A7" s="62" t="s">
        <v>227</v>
      </c>
      <c r="B7" s="63"/>
      <c r="C7" s="63"/>
      <c r="D7" s="64"/>
      <c r="E7" s="66"/>
      <c r="F7" s="102" t="str">
        <f>HYPERLINK("https://pbs.twimg.com/profile_images/1703470112093749248/bgtvgRO3_normal.jpg")</f>
        <v>https://pbs.twimg.com/profile_images/1703470112093749248/bgtvgRO3_normal.jpg</v>
      </c>
      <c r="G7" s="63"/>
      <c r="H7" s="67"/>
      <c r="I7" s="68"/>
      <c r="J7" s="68"/>
      <c r="K7" s="67" t="s">
        <v>6366</v>
      </c>
      <c r="L7" s="71"/>
      <c r="M7" s="72"/>
      <c r="N7" s="72"/>
      <c r="O7" s="73"/>
      <c r="P7" s="74"/>
      <c r="Q7" s="74"/>
      <c r="R7" s="86"/>
      <c r="S7" s="86"/>
      <c r="T7" s="86"/>
      <c r="U7" s="86"/>
      <c r="V7" s="48"/>
      <c r="W7" s="48"/>
      <c r="X7" s="48"/>
      <c r="Y7" s="48"/>
      <c r="Z7" s="47"/>
      <c r="AA7" s="69">
        <v>7</v>
      </c>
      <c r="AB7" s="69"/>
      <c r="AC7" s="70"/>
      <c r="AD7" s="76" t="s">
        <v>5331</v>
      </c>
      <c r="AE7" s="81" t="s">
        <v>5636</v>
      </c>
      <c r="AF7" s="76">
        <v>1</v>
      </c>
      <c r="AG7" s="76">
        <v>68</v>
      </c>
      <c r="AH7" s="76">
        <v>89</v>
      </c>
      <c r="AI7" s="76">
        <v>0</v>
      </c>
      <c r="AJ7" s="76">
        <v>13</v>
      </c>
      <c r="AK7" s="76">
        <v>1</v>
      </c>
      <c r="AL7" s="76" t="b">
        <v>0</v>
      </c>
      <c r="AM7" s="78">
        <v>40843.314733796295</v>
      </c>
      <c r="AN7" s="76"/>
      <c r="AO7" s="76"/>
      <c r="AP7" s="76"/>
      <c r="AQ7" s="76"/>
      <c r="AR7" s="76"/>
      <c r="AS7" s="76"/>
      <c r="AT7" s="76"/>
      <c r="AU7" s="76"/>
      <c r="AV7" s="76"/>
      <c r="AW7" s="76"/>
      <c r="AX7" s="76" t="b">
        <v>0</v>
      </c>
      <c r="AY7" s="76"/>
      <c r="AZ7" s="76"/>
      <c r="BA7" s="76" t="b">
        <v>0</v>
      </c>
      <c r="BB7" s="76" t="b">
        <v>1</v>
      </c>
      <c r="BC7" s="76" t="b">
        <v>1</v>
      </c>
      <c r="BD7" s="76" t="b">
        <v>0</v>
      </c>
      <c r="BE7" s="76" t="b">
        <v>0</v>
      </c>
      <c r="BF7" s="76" t="b">
        <v>0</v>
      </c>
      <c r="BG7" s="76" t="b">
        <v>0</v>
      </c>
      <c r="BH7" s="83" t="str">
        <f>HYPERLINK("https://pbs.twimg.com/profile_banners/399265512/1694973906")</f>
        <v>https://pbs.twimg.com/profile_banners/399265512/1694973906</v>
      </c>
      <c r="BI7" s="76"/>
      <c r="BJ7" s="76" t="s">
        <v>6360</v>
      </c>
      <c r="BK7" s="76" t="b">
        <v>0</v>
      </c>
      <c r="BL7" s="76"/>
      <c r="BM7" s="76" t="s">
        <v>66</v>
      </c>
      <c r="BN7" s="76" t="s">
        <v>6362</v>
      </c>
      <c r="BO7" s="83" t="str">
        <f>HYPERLINK("https://twitter.com/turankurnaz")</f>
        <v>https://twitter.com/turankurnaz</v>
      </c>
      <c r="BP7" s="2"/>
    </row>
    <row r="8" spans="1:68" x14ac:dyDescent="0.25">
      <c r="A8" s="62" t="s">
        <v>507</v>
      </c>
      <c r="B8" s="63"/>
      <c r="C8" s="63"/>
      <c r="D8" s="64"/>
      <c r="E8" s="66"/>
      <c r="F8" s="102" t="str">
        <f>HYPERLINK("https://pbs.twimg.com/profile_images/1642201546933846020/08-q-ei9_normal.jpg")</f>
        <v>https://pbs.twimg.com/profile_images/1642201546933846020/08-q-ei9_normal.jpg</v>
      </c>
      <c r="G8" s="63"/>
      <c r="H8" s="67"/>
      <c r="I8" s="68"/>
      <c r="J8" s="68"/>
      <c r="K8" s="67" t="s">
        <v>6367</v>
      </c>
      <c r="L8" s="71"/>
      <c r="M8" s="72"/>
      <c r="N8" s="72"/>
      <c r="O8" s="73"/>
      <c r="P8" s="74"/>
      <c r="Q8" s="74"/>
      <c r="R8" s="86"/>
      <c r="S8" s="86"/>
      <c r="T8" s="86"/>
      <c r="U8" s="86"/>
      <c r="V8" s="48"/>
      <c r="W8" s="48"/>
      <c r="X8" s="48"/>
      <c r="Y8" s="48"/>
      <c r="Z8" s="47"/>
      <c r="AA8" s="69">
        <v>8</v>
      </c>
      <c r="AB8" s="69"/>
      <c r="AC8" s="70"/>
      <c r="AD8" s="76" t="s">
        <v>5332</v>
      </c>
      <c r="AE8" s="81" t="s">
        <v>5276</v>
      </c>
      <c r="AF8" s="76">
        <v>7</v>
      </c>
      <c r="AG8" s="76">
        <v>63</v>
      </c>
      <c r="AH8" s="76">
        <v>36</v>
      </c>
      <c r="AI8" s="76">
        <v>1</v>
      </c>
      <c r="AJ8" s="76">
        <v>2</v>
      </c>
      <c r="AK8" s="76">
        <v>25</v>
      </c>
      <c r="AL8" s="76" t="b">
        <v>0</v>
      </c>
      <c r="AM8" s="78">
        <v>43704.68990740741</v>
      </c>
      <c r="AN8" s="76"/>
      <c r="AO8" s="76" t="s">
        <v>5857</v>
      </c>
      <c r="AP8" s="76"/>
      <c r="AQ8" s="76"/>
      <c r="AR8" s="76"/>
      <c r="AS8" s="76"/>
      <c r="AT8" s="76"/>
      <c r="AU8" s="76"/>
      <c r="AV8" s="76">
        <v>1.62732857217503E+18</v>
      </c>
      <c r="AW8" s="76"/>
      <c r="AX8" s="76" t="b">
        <v>0</v>
      </c>
      <c r="AY8" s="76"/>
      <c r="AZ8" s="76"/>
      <c r="BA8" s="76" t="b">
        <v>0</v>
      </c>
      <c r="BB8" s="76" t="b">
        <v>1</v>
      </c>
      <c r="BC8" s="76" t="b">
        <v>1</v>
      </c>
      <c r="BD8" s="76" t="b">
        <v>0</v>
      </c>
      <c r="BE8" s="76" t="b">
        <v>0</v>
      </c>
      <c r="BF8" s="76" t="b">
        <v>0</v>
      </c>
      <c r="BG8" s="76" t="b">
        <v>0</v>
      </c>
      <c r="BH8" s="76"/>
      <c r="BI8" s="76"/>
      <c r="BJ8" s="76" t="s">
        <v>6360</v>
      </c>
      <c r="BK8" s="76" t="b">
        <v>0</v>
      </c>
      <c r="BL8" s="76"/>
      <c r="BM8" s="76" t="s">
        <v>66</v>
      </c>
      <c r="BN8" s="76" t="s">
        <v>6362</v>
      </c>
      <c r="BO8" s="83" t="str">
        <f>HYPERLINK("https://twitter.com/gustavo25867079")</f>
        <v>https://twitter.com/gustavo25867079</v>
      </c>
      <c r="BP8" s="2"/>
    </row>
    <row r="9" spans="1:68" x14ac:dyDescent="0.25">
      <c r="A9" s="62" t="s">
        <v>228</v>
      </c>
      <c r="B9" s="63"/>
      <c r="C9" s="63"/>
      <c r="D9" s="64"/>
      <c r="E9" s="66"/>
      <c r="F9" s="102" t="str">
        <f>HYPERLINK("https://pbs.twimg.com/profile_images/1678518151162503171/a6ShhjJ2_normal.jpg")</f>
        <v>https://pbs.twimg.com/profile_images/1678518151162503171/a6ShhjJ2_normal.jpg</v>
      </c>
      <c r="G9" s="63"/>
      <c r="H9" s="67"/>
      <c r="I9" s="68"/>
      <c r="J9" s="68"/>
      <c r="K9" s="67" t="s">
        <v>6368</v>
      </c>
      <c r="L9" s="71"/>
      <c r="M9" s="72"/>
      <c r="N9" s="72"/>
      <c r="O9" s="73"/>
      <c r="P9" s="74"/>
      <c r="Q9" s="74"/>
      <c r="R9" s="86"/>
      <c r="S9" s="86"/>
      <c r="T9" s="86"/>
      <c r="U9" s="86"/>
      <c r="V9" s="48"/>
      <c r="W9" s="48"/>
      <c r="X9" s="48"/>
      <c r="Y9" s="48"/>
      <c r="Z9" s="47"/>
      <c r="AA9" s="69">
        <v>9</v>
      </c>
      <c r="AB9" s="69"/>
      <c r="AC9" s="70"/>
      <c r="AD9" s="76" t="s">
        <v>5333</v>
      </c>
      <c r="AE9" s="81" t="s">
        <v>5123</v>
      </c>
      <c r="AF9" s="76">
        <v>0</v>
      </c>
      <c r="AG9" s="76">
        <v>30</v>
      </c>
      <c r="AH9" s="76">
        <v>15</v>
      </c>
      <c r="AI9" s="76">
        <v>0</v>
      </c>
      <c r="AJ9" s="76">
        <v>9</v>
      </c>
      <c r="AK9" s="76">
        <v>1</v>
      </c>
      <c r="AL9" s="76" t="b">
        <v>0</v>
      </c>
      <c r="AM9" s="78">
        <v>44847.764803240738</v>
      </c>
      <c r="AN9" s="76" t="s">
        <v>3410</v>
      </c>
      <c r="AO9" s="76" t="s">
        <v>5858</v>
      </c>
      <c r="AP9" s="76"/>
      <c r="AQ9" s="76"/>
      <c r="AR9" s="76"/>
      <c r="AS9" s="76"/>
      <c r="AT9" s="76"/>
      <c r="AU9" s="76"/>
      <c r="AV9" s="76"/>
      <c r="AW9" s="76"/>
      <c r="AX9" s="76" t="b">
        <v>0</v>
      </c>
      <c r="AY9" s="76"/>
      <c r="AZ9" s="76"/>
      <c r="BA9" s="76" t="b">
        <v>1</v>
      </c>
      <c r="BB9" s="76" t="b">
        <v>1</v>
      </c>
      <c r="BC9" s="76" t="b">
        <v>1</v>
      </c>
      <c r="BD9" s="76" t="b">
        <v>0</v>
      </c>
      <c r="BE9" s="76" t="b">
        <v>0</v>
      </c>
      <c r="BF9" s="76" t="b">
        <v>0</v>
      </c>
      <c r="BG9" s="76" t="b">
        <v>0</v>
      </c>
      <c r="BH9" s="76"/>
      <c r="BI9" s="76"/>
      <c r="BJ9" s="76" t="s">
        <v>6360</v>
      </c>
      <c r="BK9" s="76" t="b">
        <v>0</v>
      </c>
      <c r="BL9" s="76"/>
      <c r="BM9" s="76" t="s">
        <v>66</v>
      </c>
      <c r="BN9" s="76" t="s">
        <v>6362</v>
      </c>
      <c r="BO9" s="83" t="str">
        <f>HYPERLINK("https://twitter.com/ajumanganelli")</f>
        <v>https://twitter.com/ajumanganelli</v>
      </c>
      <c r="BP9" s="2"/>
    </row>
    <row r="10" spans="1:68" x14ac:dyDescent="0.25">
      <c r="A10" s="62" t="s">
        <v>229</v>
      </c>
      <c r="B10" s="63"/>
      <c r="C10" s="63"/>
      <c r="D10" s="64"/>
      <c r="E10" s="66"/>
      <c r="F10" s="102" t="str">
        <f>HYPERLINK("https://pbs.twimg.com/profile_images/1456336633003921409/NyCJliLS_normal.jpg")</f>
        <v>https://pbs.twimg.com/profile_images/1456336633003921409/NyCJliLS_normal.jpg</v>
      </c>
      <c r="G10" s="63"/>
      <c r="H10" s="67"/>
      <c r="I10" s="68"/>
      <c r="J10" s="68"/>
      <c r="K10" s="67" t="s">
        <v>6369</v>
      </c>
      <c r="L10" s="71"/>
      <c r="M10" s="72"/>
      <c r="N10" s="72"/>
      <c r="O10" s="73"/>
      <c r="P10" s="74"/>
      <c r="Q10" s="74"/>
      <c r="R10" s="86"/>
      <c r="S10" s="86"/>
      <c r="T10" s="86"/>
      <c r="U10" s="86"/>
      <c r="V10" s="48"/>
      <c r="W10" s="48"/>
      <c r="X10" s="48"/>
      <c r="Y10" s="48"/>
      <c r="Z10" s="47"/>
      <c r="AA10" s="69">
        <v>10</v>
      </c>
      <c r="AB10" s="69"/>
      <c r="AC10" s="70"/>
      <c r="AD10" s="76" t="s">
        <v>5334</v>
      </c>
      <c r="AE10" s="81" t="s">
        <v>5637</v>
      </c>
      <c r="AF10" s="76">
        <v>459</v>
      </c>
      <c r="AG10" s="76">
        <v>560</v>
      </c>
      <c r="AH10" s="76">
        <v>14095</v>
      </c>
      <c r="AI10" s="76">
        <v>12</v>
      </c>
      <c r="AJ10" s="76">
        <v>6814</v>
      </c>
      <c r="AK10" s="76">
        <v>2914</v>
      </c>
      <c r="AL10" s="76" t="b">
        <v>0</v>
      </c>
      <c r="AM10" s="78">
        <v>40305.037916666668</v>
      </c>
      <c r="AN10" s="76" t="s">
        <v>5737</v>
      </c>
      <c r="AO10" s="76" t="s">
        <v>5859</v>
      </c>
      <c r="AP10" s="83" t="str">
        <f>HYPERLINK("https://t.co/1VoHmKUiRX")</f>
        <v>https://t.co/1VoHmKUiRX</v>
      </c>
      <c r="AQ10" s="83" t="str">
        <f>HYPERLINK("http://www.instagram.com/stela_maris_")</f>
        <v>http://www.instagram.com/stela_maris_</v>
      </c>
      <c r="AR10" s="76" t="s">
        <v>6139</v>
      </c>
      <c r="AS10" s="76"/>
      <c r="AT10" s="76"/>
      <c r="AU10" s="76"/>
      <c r="AV10" s="76">
        <v>1.00992739616907E+18</v>
      </c>
      <c r="AW10" s="83" t="str">
        <f>HYPERLINK("https://t.co/1VoHmKUiRX")</f>
        <v>https://t.co/1VoHmKUiRX</v>
      </c>
      <c r="AX10" s="76" t="b">
        <v>0</v>
      </c>
      <c r="AY10" s="76"/>
      <c r="AZ10" s="76"/>
      <c r="BA10" s="76" t="b">
        <v>0</v>
      </c>
      <c r="BB10" s="76" t="b">
        <v>1</v>
      </c>
      <c r="BC10" s="76" t="b">
        <v>0</v>
      </c>
      <c r="BD10" s="76" t="b">
        <v>0</v>
      </c>
      <c r="BE10" s="76" t="b">
        <v>1</v>
      </c>
      <c r="BF10" s="76" t="b">
        <v>0</v>
      </c>
      <c r="BG10" s="76" t="b">
        <v>0</v>
      </c>
      <c r="BH10" s="83" t="str">
        <f>HYPERLINK("https://pbs.twimg.com/profile_banners/141030680/1599941674")</f>
        <v>https://pbs.twimg.com/profile_banners/141030680/1599941674</v>
      </c>
      <c r="BI10" s="76"/>
      <c r="BJ10" s="76" t="s">
        <v>6360</v>
      </c>
      <c r="BK10" s="76" t="b">
        <v>0</v>
      </c>
      <c r="BL10" s="76"/>
      <c r="BM10" s="76" t="s">
        <v>66</v>
      </c>
      <c r="BN10" s="76" t="s">
        <v>6362</v>
      </c>
      <c r="BO10" s="83" t="str">
        <f>HYPERLINK("https://twitter.com/streladomar")</f>
        <v>https://twitter.com/streladomar</v>
      </c>
      <c r="BP10" s="2"/>
    </row>
    <row r="11" spans="1:68" x14ac:dyDescent="0.25">
      <c r="A11" s="62" t="s">
        <v>230</v>
      </c>
      <c r="B11" s="63"/>
      <c r="C11" s="63"/>
      <c r="D11" s="64"/>
      <c r="E11" s="66"/>
      <c r="F11" s="102" t="str">
        <f>HYPERLINK("https://pbs.twimg.com/profile_images/1490806897657753602/HiQQ2xvl_normal.jpg")</f>
        <v>https://pbs.twimg.com/profile_images/1490806897657753602/HiQQ2xvl_normal.jpg</v>
      </c>
      <c r="G11" s="63"/>
      <c r="H11" s="67"/>
      <c r="I11" s="68"/>
      <c r="J11" s="68"/>
      <c r="K11" s="67" t="s">
        <v>6370</v>
      </c>
      <c r="L11" s="71"/>
      <c r="M11" s="72"/>
      <c r="N11" s="72"/>
      <c r="O11" s="73"/>
      <c r="P11" s="74"/>
      <c r="Q11" s="74"/>
      <c r="R11" s="86"/>
      <c r="S11" s="86"/>
      <c r="T11" s="86"/>
      <c r="U11" s="86"/>
      <c r="V11" s="48"/>
      <c r="W11" s="48"/>
      <c r="X11" s="48"/>
      <c r="Y11" s="48"/>
      <c r="Z11" s="47"/>
      <c r="AA11" s="69">
        <v>11</v>
      </c>
      <c r="AB11" s="69"/>
      <c r="AC11" s="70"/>
      <c r="AD11" s="76" t="s">
        <v>5335</v>
      </c>
      <c r="AE11" s="81" t="s">
        <v>5638</v>
      </c>
      <c r="AF11" s="76">
        <v>12</v>
      </c>
      <c r="AG11" s="76">
        <v>30</v>
      </c>
      <c r="AH11" s="76">
        <v>10</v>
      </c>
      <c r="AI11" s="76">
        <v>1</v>
      </c>
      <c r="AJ11" s="76">
        <v>149</v>
      </c>
      <c r="AK11" s="76">
        <v>1</v>
      </c>
      <c r="AL11" s="76" t="b">
        <v>0</v>
      </c>
      <c r="AM11" s="78">
        <v>40424.087187500001</v>
      </c>
      <c r="AN11" s="76" t="s">
        <v>5738</v>
      </c>
      <c r="AO11" s="76" t="s">
        <v>5860</v>
      </c>
      <c r="AP11" s="83" t="str">
        <f>HYPERLINK("https://t.co/Ol0sNotkqj")</f>
        <v>https://t.co/Ol0sNotkqj</v>
      </c>
      <c r="AQ11" s="83" t="str">
        <f>HYPERLINK("http://higinomatos.com")</f>
        <v>http://higinomatos.com</v>
      </c>
      <c r="AR11" s="76" t="s">
        <v>6140</v>
      </c>
      <c r="AS11" s="76"/>
      <c r="AT11" s="76"/>
      <c r="AU11" s="76"/>
      <c r="AV11" s="76"/>
      <c r="AW11" s="83" t="str">
        <f>HYPERLINK("https://t.co/Ol0sNotkqj")</f>
        <v>https://t.co/Ol0sNotkqj</v>
      </c>
      <c r="AX11" s="76" t="b">
        <v>0</v>
      </c>
      <c r="AY11" s="76"/>
      <c r="AZ11" s="76"/>
      <c r="BA11" s="76" t="b">
        <v>0</v>
      </c>
      <c r="BB11" s="76" t="b">
        <v>1</v>
      </c>
      <c r="BC11" s="76" t="b">
        <v>0</v>
      </c>
      <c r="BD11" s="76" t="b">
        <v>0</v>
      </c>
      <c r="BE11" s="76" t="b">
        <v>0</v>
      </c>
      <c r="BF11" s="76" t="b">
        <v>0</v>
      </c>
      <c r="BG11" s="76" t="b">
        <v>0</v>
      </c>
      <c r="BH11" s="76"/>
      <c r="BI11" s="76"/>
      <c r="BJ11" s="76" t="s">
        <v>6360</v>
      </c>
      <c r="BK11" s="76" t="b">
        <v>0</v>
      </c>
      <c r="BL11" s="76"/>
      <c r="BM11" s="76" t="s">
        <v>66</v>
      </c>
      <c r="BN11" s="76" t="s">
        <v>6362</v>
      </c>
      <c r="BO11" s="83" t="str">
        <f>HYPERLINK("https://twitter.com/higinomatos")</f>
        <v>https://twitter.com/higinomatos</v>
      </c>
      <c r="BP11" s="2"/>
    </row>
    <row r="12" spans="1:68" x14ac:dyDescent="0.25">
      <c r="A12" s="62" t="s">
        <v>231</v>
      </c>
      <c r="B12" s="63"/>
      <c r="C12" s="63"/>
      <c r="D12" s="64"/>
      <c r="E12" s="66"/>
      <c r="F12" s="102" t="str">
        <f>HYPERLINK("https://pbs.twimg.com/profile_images/1672707825921916931/P-ybRb7w_normal.jpg")</f>
        <v>https://pbs.twimg.com/profile_images/1672707825921916931/P-ybRb7w_normal.jpg</v>
      </c>
      <c r="G12" s="63"/>
      <c r="H12" s="67"/>
      <c r="I12" s="68"/>
      <c r="J12" s="68"/>
      <c r="K12" s="67" t="s">
        <v>6371</v>
      </c>
      <c r="L12" s="71"/>
      <c r="M12" s="72"/>
      <c r="N12" s="72"/>
      <c r="O12" s="73"/>
      <c r="P12" s="74"/>
      <c r="Q12" s="74"/>
      <c r="R12" s="86"/>
      <c r="S12" s="86"/>
      <c r="T12" s="86"/>
      <c r="U12" s="86"/>
      <c r="V12" s="48"/>
      <c r="W12" s="48"/>
      <c r="X12" s="48"/>
      <c r="Y12" s="48"/>
      <c r="Z12" s="47"/>
      <c r="AA12" s="69">
        <v>12</v>
      </c>
      <c r="AB12" s="69"/>
      <c r="AC12" s="70"/>
      <c r="AD12" s="76" t="s">
        <v>5336</v>
      </c>
      <c r="AE12" s="81" t="s">
        <v>5124</v>
      </c>
      <c r="AF12" s="76">
        <v>3</v>
      </c>
      <c r="AG12" s="76">
        <v>7</v>
      </c>
      <c r="AH12" s="76">
        <v>15</v>
      </c>
      <c r="AI12" s="76">
        <v>0</v>
      </c>
      <c r="AJ12" s="76">
        <v>0</v>
      </c>
      <c r="AK12" s="76">
        <v>11</v>
      </c>
      <c r="AL12" s="76" t="b">
        <v>0</v>
      </c>
      <c r="AM12" s="78">
        <v>45080.08761574074</v>
      </c>
      <c r="AN12" s="76" t="s">
        <v>5739</v>
      </c>
      <c r="AO12" s="76" t="s">
        <v>5861</v>
      </c>
      <c r="AP12" s="76"/>
      <c r="AQ12" s="76"/>
      <c r="AR12" s="76"/>
      <c r="AS12" s="76"/>
      <c r="AT12" s="76"/>
      <c r="AU12" s="76"/>
      <c r="AV12" s="76"/>
      <c r="AW12" s="76"/>
      <c r="AX12" s="76" t="b">
        <v>0</v>
      </c>
      <c r="AY12" s="76"/>
      <c r="AZ12" s="76"/>
      <c r="BA12" s="76" t="b">
        <v>0</v>
      </c>
      <c r="BB12" s="76" t="b">
        <v>1</v>
      </c>
      <c r="BC12" s="76" t="b">
        <v>1</v>
      </c>
      <c r="BD12" s="76" t="b">
        <v>0</v>
      </c>
      <c r="BE12" s="76" t="b">
        <v>0</v>
      </c>
      <c r="BF12" s="76" t="b">
        <v>0</v>
      </c>
      <c r="BG12" s="76" t="b">
        <v>0</v>
      </c>
      <c r="BH12" s="83" t="str">
        <f>HYPERLINK("https://pbs.twimg.com/profile_banners/1664815514529542145/1688336979")</f>
        <v>https://pbs.twimg.com/profile_banners/1664815514529542145/1688336979</v>
      </c>
      <c r="BI12" s="76"/>
      <c r="BJ12" s="76" t="s">
        <v>6360</v>
      </c>
      <c r="BK12" s="76" t="b">
        <v>0</v>
      </c>
      <c r="BL12" s="76"/>
      <c r="BM12" s="76" t="s">
        <v>66</v>
      </c>
      <c r="BN12" s="76" t="s">
        <v>6362</v>
      </c>
      <c r="BO12" s="83" t="str">
        <f>HYPERLINK("https://twitter.com/brunomelop3")</f>
        <v>https://twitter.com/brunomelop3</v>
      </c>
      <c r="BP12" s="2"/>
    </row>
    <row r="13" spans="1:68" x14ac:dyDescent="0.25">
      <c r="A13" s="62" t="s">
        <v>232</v>
      </c>
      <c r="B13" s="63"/>
      <c r="C13" s="63"/>
      <c r="D13" s="64"/>
      <c r="E13" s="66"/>
      <c r="F13" s="102" t="str">
        <f>HYPERLINK("https://pbs.twimg.com/profile_images/1629283315478851584/32WO5yq__normal.jpg")</f>
        <v>https://pbs.twimg.com/profile_images/1629283315478851584/32WO5yq__normal.jpg</v>
      </c>
      <c r="G13" s="63"/>
      <c r="H13" s="67"/>
      <c r="I13" s="68"/>
      <c r="J13" s="68"/>
      <c r="K13" s="67" t="s">
        <v>6372</v>
      </c>
      <c r="L13" s="71"/>
      <c r="M13" s="72"/>
      <c r="N13" s="72"/>
      <c r="O13" s="73"/>
      <c r="P13" s="74"/>
      <c r="Q13" s="74"/>
      <c r="R13" s="86"/>
      <c r="S13" s="86"/>
      <c r="T13" s="86"/>
      <c r="U13" s="86"/>
      <c r="V13" s="48"/>
      <c r="W13" s="48"/>
      <c r="X13" s="48"/>
      <c r="Y13" s="48"/>
      <c r="Z13" s="47"/>
      <c r="AA13" s="69">
        <v>13</v>
      </c>
      <c r="AB13" s="69"/>
      <c r="AC13" s="70"/>
      <c r="AD13" s="76" t="s">
        <v>5337</v>
      </c>
      <c r="AE13" s="81" t="s">
        <v>5027</v>
      </c>
      <c r="AF13" s="76">
        <v>0</v>
      </c>
      <c r="AG13" s="76">
        <v>15</v>
      </c>
      <c r="AH13" s="76">
        <v>3</v>
      </c>
      <c r="AI13" s="76">
        <v>0</v>
      </c>
      <c r="AJ13" s="76">
        <v>0</v>
      </c>
      <c r="AK13" s="76">
        <v>0</v>
      </c>
      <c r="AL13" s="76" t="b">
        <v>0</v>
      </c>
      <c r="AM13" s="78">
        <v>44982.031840277778</v>
      </c>
      <c r="AN13" s="76" t="s">
        <v>5740</v>
      </c>
      <c r="AO13" s="76" t="s">
        <v>5862</v>
      </c>
      <c r="AP13" s="76"/>
      <c r="AQ13" s="76"/>
      <c r="AR13" s="76"/>
      <c r="AS13" s="76"/>
      <c r="AT13" s="76"/>
      <c r="AU13" s="76"/>
      <c r="AV13" s="76"/>
      <c r="AW13" s="76"/>
      <c r="AX13" s="76" t="b">
        <v>0</v>
      </c>
      <c r="AY13" s="76"/>
      <c r="AZ13" s="76"/>
      <c r="BA13" s="76" t="b">
        <v>0</v>
      </c>
      <c r="BB13" s="76" t="b">
        <v>1</v>
      </c>
      <c r="BC13" s="76" t="b">
        <v>1</v>
      </c>
      <c r="BD13" s="76" t="b">
        <v>0</v>
      </c>
      <c r="BE13" s="76" t="b">
        <v>0</v>
      </c>
      <c r="BF13" s="76" t="b">
        <v>0</v>
      </c>
      <c r="BG13" s="76" t="b">
        <v>0</v>
      </c>
      <c r="BH13" s="83" t="str">
        <f>HYPERLINK("https://pbs.twimg.com/profile_banners/1629281421985558533/1677286691")</f>
        <v>https://pbs.twimg.com/profile_banners/1629281421985558533/1677286691</v>
      </c>
      <c r="BI13" s="76"/>
      <c r="BJ13" s="76" t="s">
        <v>6360</v>
      </c>
      <c r="BK13" s="76" t="b">
        <v>0</v>
      </c>
      <c r="BL13" s="76"/>
      <c r="BM13" s="76" t="s">
        <v>66</v>
      </c>
      <c r="BN13" s="76" t="s">
        <v>6362</v>
      </c>
      <c r="BO13" s="83" t="str">
        <f>HYPERLINK("https://twitter.com/consultoramadii")</f>
        <v>https://twitter.com/consultoramadii</v>
      </c>
      <c r="BP13" s="2"/>
    </row>
    <row r="14" spans="1:68" x14ac:dyDescent="0.25">
      <c r="A14" s="62" t="s">
        <v>233</v>
      </c>
      <c r="B14" s="63"/>
      <c r="C14" s="63"/>
      <c r="D14" s="64"/>
      <c r="E14" s="66"/>
      <c r="F14" s="102" t="str">
        <f>HYPERLINK("https://pbs.twimg.com/profile_images/1588887514357587968/F_hZwx8v_normal.jpg")</f>
        <v>https://pbs.twimg.com/profile_images/1588887514357587968/F_hZwx8v_normal.jpg</v>
      </c>
      <c r="G14" s="63"/>
      <c r="H14" s="67"/>
      <c r="I14" s="68"/>
      <c r="J14" s="68"/>
      <c r="K14" s="67" t="s">
        <v>6373</v>
      </c>
      <c r="L14" s="71"/>
      <c r="M14" s="72"/>
      <c r="N14" s="72"/>
      <c r="O14" s="73"/>
      <c r="P14" s="74"/>
      <c r="Q14" s="74"/>
      <c r="R14" s="86"/>
      <c r="S14" s="86"/>
      <c r="T14" s="86"/>
      <c r="U14" s="86"/>
      <c r="V14" s="48"/>
      <c r="W14" s="48"/>
      <c r="X14" s="48"/>
      <c r="Y14" s="48"/>
      <c r="Z14" s="47"/>
      <c r="AA14" s="69">
        <v>14</v>
      </c>
      <c r="AB14" s="69"/>
      <c r="AC14" s="70"/>
      <c r="AD14" s="76" t="s">
        <v>5338</v>
      </c>
      <c r="AE14" s="81" t="s">
        <v>5125</v>
      </c>
      <c r="AF14" s="76">
        <v>64</v>
      </c>
      <c r="AG14" s="76">
        <v>271</v>
      </c>
      <c r="AH14" s="76">
        <v>122</v>
      </c>
      <c r="AI14" s="76">
        <v>3</v>
      </c>
      <c r="AJ14" s="76">
        <v>10</v>
      </c>
      <c r="AK14" s="76">
        <v>45</v>
      </c>
      <c r="AL14" s="76" t="b">
        <v>0</v>
      </c>
      <c r="AM14" s="78">
        <v>44859.887094907404</v>
      </c>
      <c r="AN14" s="76" t="s">
        <v>5741</v>
      </c>
      <c r="AO14" s="76" t="s">
        <v>5863</v>
      </c>
      <c r="AP14" s="76"/>
      <c r="AQ14" s="76"/>
      <c r="AR14" s="76"/>
      <c r="AS14" s="76"/>
      <c r="AT14" s="76"/>
      <c r="AU14" s="76"/>
      <c r="AV14" s="76"/>
      <c r="AW14" s="76"/>
      <c r="AX14" s="76" t="b">
        <v>0</v>
      </c>
      <c r="AY14" s="76"/>
      <c r="AZ14" s="76"/>
      <c r="BA14" s="76" t="b">
        <v>0</v>
      </c>
      <c r="BB14" s="76" t="b">
        <v>1</v>
      </c>
      <c r="BC14" s="76" t="b">
        <v>1</v>
      </c>
      <c r="BD14" s="76" t="b">
        <v>0</v>
      </c>
      <c r="BE14" s="76" t="b">
        <v>0</v>
      </c>
      <c r="BF14" s="76" t="b">
        <v>0</v>
      </c>
      <c r="BG14" s="76" t="b">
        <v>0</v>
      </c>
      <c r="BH14" s="83" t="str">
        <f>HYPERLINK("https://pbs.twimg.com/profile_banners/1585017675901706263/1667655290")</f>
        <v>https://pbs.twimg.com/profile_banners/1585017675901706263/1667655290</v>
      </c>
      <c r="BI14" s="76"/>
      <c r="BJ14" s="76" t="s">
        <v>6360</v>
      </c>
      <c r="BK14" s="76" t="b">
        <v>0</v>
      </c>
      <c r="BL14" s="76"/>
      <c r="BM14" s="76" t="s">
        <v>66</v>
      </c>
      <c r="BN14" s="76" t="s">
        <v>6362</v>
      </c>
      <c r="BO14" s="83" t="str">
        <f>HYPERLINK("https://twitter.com/geckocripto")</f>
        <v>https://twitter.com/geckocripto</v>
      </c>
      <c r="BP14" s="2"/>
    </row>
    <row r="15" spans="1:68" x14ac:dyDescent="0.25">
      <c r="A15" s="62" t="s">
        <v>234</v>
      </c>
      <c r="B15" s="63"/>
      <c r="C15" s="63"/>
      <c r="D15" s="64"/>
      <c r="E15" s="66"/>
      <c r="F15" s="102" t="str">
        <f>HYPERLINK("https://pbs.twimg.com/profile_images/1526340963676917762/u8m_WpE2_normal.jpg")</f>
        <v>https://pbs.twimg.com/profile_images/1526340963676917762/u8m_WpE2_normal.jpg</v>
      </c>
      <c r="G15" s="63"/>
      <c r="H15" s="67"/>
      <c r="I15" s="68"/>
      <c r="J15" s="68"/>
      <c r="K15" s="67" t="s">
        <v>6374</v>
      </c>
      <c r="L15" s="71"/>
      <c r="M15" s="72"/>
      <c r="N15" s="72"/>
      <c r="O15" s="73"/>
      <c r="P15" s="74"/>
      <c r="Q15" s="74"/>
      <c r="R15" s="86"/>
      <c r="S15" s="86"/>
      <c r="T15" s="86"/>
      <c r="U15" s="86"/>
      <c r="V15" s="48"/>
      <c r="W15" s="48"/>
      <c r="X15" s="48"/>
      <c r="Y15" s="48"/>
      <c r="Z15" s="47"/>
      <c r="AA15" s="69">
        <v>15</v>
      </c>
      <c r="AB15" s="69"/>
      <c r="AC15" s="70"/>
      <c r="AD15" s="76" t="s">
        <v>5339</v>
      </c>
      <c r="AE15" s="81" t="s">
        <v>5126</v>
      </c>
      <c r="AF15" s="76">
        <v>379</v>
      </c>
      <c r="AG15" s="76">
        <v>55</v>
      </c>
      <c r="AH15" s="76">
        <v>459</v>
      </c>
      <c r="AI15" s="76">
        <v>0</v>
      </c>
      <c r="AJ15" s="76">
        <v>466</v>
      </c>
      <c r="AK15" s="76">
        <v>18</v>
      </c>
      <c r="AL15" s="76" t="b">
        <v>0</v>
      </c>
      <c r="AM15" s="78">
        <v>44500.573912037034</v>
      </c>
      <c r="AN15" s="76"/>
      <c r="AO15" s="76" t="s">
        <v>5864</v>
      </c>
      <c r="AP15" s="76"/>
      <c r="AQ15" s="76"/>
      <c r="AR15" s="76"/>
      <c r="AS15" s="76"/>
      <c r="AT15" s="76"/>
      <c r="AU15" s="76"/>
      <c r="AV15" s="76"/>
      <c r="AW15" s="76"/>
      <c r="AX15" s="76" t="b">
        <v>0</v>
      </c>
      <c r="AY15" s="76"/>
      <c r="AZ15" s="76"/>
      <c r="BA15" s="76" t="b">
        <v>0</v>
      </c>
      <c r="BB15" s="76" t="b">
        <v>1</v>
      </c>
      <c r="BC15" s="76" t="b">
        <v>1</v>
      </c>
      <c r="BD15" s="76" t="b">
        <v>0</v>
      </c>
      <c r="BE15" s="76" t="b">
        <v>0</v>
      </c>
      <c r="BF15" s="76" t="b">
        <v>0</v>
      </c>
      <c r="BG15" s="76" t="b">
        <v>0</v>
      </c>
      <c r="BH15" s="83" t="str">
        <f>HYPERLINK("https://pbs.twimg.com/profile_banners/1454806682626887682/1656767096")</f>
        <v>https://pbs.twimg.com/profile_banners/1454806682626887682/1656767096</v>
      </c>
      <c r="BI15" s="76"/>
      <c r="BJ15" s="76" t="s">
        <v>6360</v>
      </c>
      <c r="BK15" s="76" t="b">
        <v>0</v>
      </c>
      <c r="BL15" s="76"/>
      <c r="BM15" s="76" t="s">
        <v>66</v>
      </c>
      <c r="BN15" s="76" t="s">
        <v>6362</v>
      </c>
      <c r="BO15" s="83" t="str">
        <f>HYPERLINK("https://twitter.com/investidorhedge")</f>
        <v>https://twitter.com/investidorhedge</v>
      </c>
      <c r="BP15" s="2"/>
    </row>
    <row r="16" spans="1:68" x14ac:dyDescent="0.25">
      <c r="A16" s="62" t="s">
        <v>401</v>
      </c>
      <c r="B16" s="63"/>
      <c r="C16" s="63"/>
      <c r="D16" s="64"/>
      <c r="E16" s="66"/>
      <c r="F16" s="102" t="str">
        <f>HYPERLINK("https://pbs.twimg.com/profile_images/1327606670453854211/QxCVNmHW_normal.jpg")</f>
        <v>https://pbs.twimg.com/profile_images/1327606670453854211/QxCVNmHW_normal.jpg</v>
      </c>
      <c r="G16" s="63"/>
      <c r="H16" s="67"/>
      <c r="I16" s="68"/>
      <c r="J16" s="68"/>
      <c r="K16" s="67" t="s">
        <v>6375</v>
      </c>
      <c r="L16" s="71"/>
      <c r="M16" s="72"/>
      <c r="N16" s="72"/>
      <c r="O16" s="73"/>
      <c r="P16" s="74"/>
      <c r="Q16" s="74"/>
      <c r="R16" s="86"/>
      <c r="S16" s="86"/>
      <c r="T16" s="86"/>
      <c r="U16" s="86"/>
      <c r="V16" s="48"/>
      <c r="W16" s="48"/>
      <c r="X16" s="48"/>
      <c r="Y16" s="48"/>
      <c r="Z16" s="47"/>
      <c r="AA16" s="69">
        <v>16</v>
      </c>
      <c r="AB16" s="69"/>
      <c r="AC16" s="70"/>
      <c r="AD16" s="76" t="s">
        <v>5340</v>
      </c>
      <c r="AE16" s="81" t="s">
        <v>5639</v>
      </c>
      <c r="AF16" s="76">
        <v>1512262</v>
      </c>
      <c r="AG16" s="76">
        <v>3324</v>
      </c>
      <c r="AH16" s="76">
        <v>36728</v>
      </c>
      <c r="AI16" s="76">
        <v>2127</v>
      </c>
      <c r="AJ16" s="76">
        <v>13094</v>
      </c>
      <c r="AK16" s="76">
        <v>11568</v>
      </c>
      <c r="AL16" s="76" t="b">
        <v>0</v>
      </c>
      <c r="AM16" s="78">
        <v>40358.541250000002</v>
      </c>
      <c r="AN16" s="76" t="s">
        <v>3435</v>
      </c>
      <c r="AO16" s="76" t="s">
        <v>5865</v>
      </c>
      <c r="AP16" s="83" t="str">
        <f>HYPERLINK("https://t.co/vtmLbaLKTi")</f>
        <v>https://t.co/vtmLbaLKTi</v>
      </c>
      <c r="AQ16" s="83" t="str">
        <f>HYPERLINK("https://linkme.bio/ibest-ricardo-amorim")</f>
        <v>https://linkme.bio/ibest-ricardo-amorim</v>
      </c>
      <c r="AR16" s="76" t="s">
        <v>6141</v>
      </c>
      <c r="AS16" s="76"/>
      <c r="AT16" s="76"/>
      <c r="AU16" s="76"/>
      <c r="AV16" s="76">
        <v>1.6896123717135501E+18</v>
      </c>
      <c r="AW16" s="83" t="str">
        <f>HYPERLINK("https://t.co/vtmLbaLKTi")</f>
        <v>https://t.co/vtmLbaLKTi</v>
      </c>
      <c r="AX16" s="76" t="b">
        <v>1</v>
      </c>
      <c r="AY16" s="76"/>
      <c r="AZ16" s="76"/>
      <c r="BA16" s="76" t="b">
        <v>0</v>
      </c>
      <c r="BB16" s="76" t="b">
        <v>1</v>
      </c>
      <c r="BC16" s="76" t="b">
        <v>0</v>
      </c>
      <c r="BD16" s="76" t="b">
        <v>0</v>
      </c>
      <c r="BE16" s="76" t="b">
        <v>1</v>
      </c>
      <c r="BF16" s="76" t="b">
        <v>0</v>
      </c>
      <c r="BG16" s="76" t="b">
        <v>0</v>
      </c>
      <c r="BH16" s="83" t="str">
        <f>HYPERLINK("https://pbs.twimg.com/profile_banners/160910872/1671805771")</f>
        <v>https://pbs.twimg.com/profile_banners/160910872/1671805771</v>
      </c>
      <c r="BI16" s="76"/>
      <c r="BJ16" s="76" t="s">
        <v>6360</v>
      </c>
      <c r="BK16" s="76" t="b">
        <v>0</v>
      </c>
      <c r="BL16" s="76"/>
      <c r="BM16" s="76" t="s">
        <v>66</v>
      </c>
      <c r="BN16" s="76" t="s">
        <v>6362</v>
      </c>
      <c r="BO16" s="83" t="str">
        <f>HYPERLINK("https://twitter.com/ricamconsult")</f>
        <v>https://twitter.com/ricamconsult</v>
      </c>
      <c r="BP16" s="2"/>
    </row>
    <row r="17" spans="1:68" x14ac:dyDescent="0.25">
      <c r="A17" s="62" t="s">
        <v>235</v>
      </c>
      <c r="B17" s="63"/>
      <c r="C17" s="63"/>
      <c r="D17" s="64"/>
      <c r="E17" s="66"/>
      <c r="F17" s="102" t="str">
        <f>HYPERLINK("https://pbs.twimg.com/profile_images/1555210048552538113/lOy6Hnrm_normal.jpg")</f>
        <v>https://pbs.twimg.com/profile_images/1555210048552538113/lOy6Hnrm_normal.jpg</v>
      </c>
      <c r="G17" s="63"/>
      <c r="H17" s="67"/>
      <c r="I17" s="68"/>
      <c r="J17" s="68"/>
      <c r="K17" s="67" t="s">
        <v>6376</v>
      </c>
      <c r="L17" s="71"/>
      <c r="M17" s="72"/>
      <c r="N17" s="72"/>
      <c r="O17" s="73"/>
      <c r="P17" s="74"/>
      <c r="Q17" s="74"/>
      <c r="R17" s="86"/>
      <c r="S17" s="86"/>
      <c r="T17" s="86"/>
      <c r="U17" s="86"/>
      <c r="V17" s="48"/>
      <c r="W17" s="48"/>
      <c r="X17" s="48"/>
      <c r="Y17" s="48"/>
      <c r="Z17" s="47"/>
      <c r="AA17" s="69">
        <v>17</v>
      </c>
      <c r="AB17" s="69"/>
      <c r="AC17" s="70"/>
      <c r="AD17" s="76" t="s">
        <v>5341</v>
      </c>
      <c r="AE17" s="81" t="s">
        <v>5127</v>
      </c>
      <c r="AF17" s="76">
        <v>13</v>
      </c>
      <c r="AG17" s="76">
        <v>38</v>
      </c>
      <c r="AH17" s="76">
        <v>393</v>
      </c>
      <c r="AI17" s="76">
        <v>0</v>
      </c>
      <c r="AJ17" s="76">
        <v>8576</v>
      </c>
      <c r="AK17" s="76">
        <v>193</v>
      </c>
      <c r="AL17" s="76" t="b">
        <v>0</v>
      </c>
      <c r="AM17" s="78">
        <v>44777.610937500001</v>
      </c>
      <c r="AN17" s="76" t="s">
        <v>5742</v>
      </c>
      <c r="AO17" s="76" t="s">
        <v>5866</v>
      </c>
      <c r="AP17" s="83" t="str">
        <f>HYPERLINK("https://t.co/J3dsX67dtg")</f>
        <v>https://t.co/J3dsX67dtg</v>
      </c>
      <c r="AQ17" s="83" t="str">
        <f>HYPERLINK("https://boxtributario.com/")</f>
        <v>https://boxtributario.com/</v>
      </c>
      <c r="AR17" s="76" t="s">
        <v>6142</v>
      </c>
      <c r="AS17" s="76"/>
      <c r="AT17" s="76"/>
      <c r="AU17" s="76"/>
      <c r="AV17" s="76"/>
      <c r="AW17" s="83" t="str">
        <f>HYPERLINK("https://t.co/J3dsX67dtg")</f>
        <v>https://t.co/J3dsX67dtg</v>
      </c>
      <c r="AX17" s="76" t="b">
        <v>0</v>
      </c>
      <c r="AY17" s="76"/>
      <c r="AZ17" s="76"/>
      <c r="BA17" s="76" t="b">
        <v>0</v>
      </c>
      <c r="BB17" s="76" t="b">
        <v>1</v>
      </c>
      <c r="BC17" s="76" t="b">
        <v>1</v>
      </c>
      <c r="BD17" s="76" t="b">
        <v>0</v>
      </c>
      <c r="BE17" s="76" t="b">
        <v>1</v>
      </c>
      <c r="BF17" s="76" t="b">
        <v>0</v>
      </c>
      <c r="BG17" s="76" t="b">
        <v>0</v>
      </c>
      <c r="BH17" s="83" t="str">
        <f>HYPERLINK("https://pbs.twimg.com/profile_banners/1555201766219829249/1659625037")</f>
        <v>https://pbs.twimg.com/profile_banners/1555201766219829249/1659625037</v>
      </c>
      <c r="BI17" s="76"/>
      <c r="BJ17" s="76" t="s">
        <v>6360</v>
      </c>
      <c r="BK17" s="76" t="b">
        <v>0</v>
      </c>
      <c r="BL17" s="76"/>
      <c r="BM17" s="76" t="s">
        <v>66</v>
      </c>
      <c r="BN17" s="76" t="s">
        <v>6362</v>
      </c>
      <c r="BO17" s="83" t="str">
        <f>HYPERLINK("https://twitter.com/boxtributario")</f>
        <v>https://twitter.com/boxtributario</v>
      </c>
      <c r="BP17" s="2"/>
    </row>
    <row r="18" spans="1:68" x14ac:dyDescent="0.25">
      <c r="A18" s="62" t="s">
        <v>236</v>
      </c>
      <c r="B18" s="63"/>
      <c r="C18" s="63"/>
      <c r="D18" s="64"/>
      <c r="E18" s="66"/>
      <c r="F18" s="102" t="str">
        <f>HYPERLINK("https://pbs.twimg.com/profile_images/1583061804447682560/l2dkocOR_normal.jpg")</f>
        <v>https://pbs.twimg.com/profile_images/1583061804447682560/l2dkocOR_normal.jpg</v>
      </c>
      <c r="G18" s="63"/>
      <c r="H18" s="67"/>
      <c r="I18" s="68"/>
      <c r="J18" s="68"/>
      <c r="K18" s="67" t="s">
        <v>6377</v>
      </c>
      <c r="L18" s="71"/>
      <c r="M18" s="72"/>
      <c r="N18" s="72"/>
      <c r="O18" s="73"/>
      <c r="P18" s="74"/>
      <c r="Q18" s="74"/>
      <c r="R18" s="86"/>
      <c r="S18" s="86"/>
      <c r="T18" s="86"/>
      <c r="U18" s="86"/>
      <c r="V18" s="48"/>
      <c r="W18" s="48"/>
      <c r="X18" s="48"/>
      <c r="Y18" s="48"/>
      <c r="Z18" s="47"/>
      <c r="AA18" s="69">
        <v>18</v>
      </c>
      <c r="AB18" s="69"/>
      <c r="AC18" s="70"/>
      <c r="AD18" s="76" t="s">
        <v>5342</v>
      </c>
      <c r="AE18" s="81" t="s">
        <v>5128</v>
      </c>
      <c r="AF18" s="76">
        <v>0</v>
      </c>
      <c r="AG18" s="76">
        <v>122</v>
      </c>
      <c r="AH18" s="76">
        <v>108</v>
      </c>
      <c r="AI18" s="76">
        <v>0</v>
      </c>
      <c r="AJ18" s="76">
        <v>1</v>
      </c>
      <c r="AK18" s="76">
        <v>65</v>
      </c>
      <c r="AL18" s="76" t="b">
        <v>0</v>
      </c>
      <c r="AM18" s="78">
        <v>44849.607048611113</v>
      </c>
      <c r="AN18" s="76" t="s">
        <v>5743</v>
      </c>
      <c r="AO18" s="76" t="s">
        <v>5867</v>
      </c>
      <c r="AP18" s="76"/>
      <c r="AQ18" s="76"/>
      <c r="AR18" s="76"/>
      <c r="AS18" s="76"/>
      <c r="AT18" s="76"/>
      <c r="AU18" s="76"/>
      <c r="AV18" s="76"/>
      <c r="AW18" s="76"/>
      <c r="AX18" s="76" t="b">
        <v>0</v>
      </c>
      <c r="AY18" s="76"/>
      <c r="AZ18" s="76"/>
      <c r="BA18" s="76" t="b">
        <v>1</v>
      </c>
      <c r="BB18" s="76" t="b">
        <v>1</v>
      </c>
      <c r="BC18" s="76" t="b">
        <v>1</v>
      </c>
      <c r="BD18" s="76" t="b">
        <v>0</v>
      </c>
      <c r="BE18" s="76" t="b">
        <v>0</v>
      </c>
      <c r="BF18" s="76" t="b">
        <v>0</v>
      </c>
      <c r="BG18" s="76" t="b">
        <v>0</v>
      </c>
      <c r="BH18" s="83" t="str">
        <f>HYPERLINK("https://pbs.twimg.com/profile_banners/1581292278345355265/1666266332")</f>
        <v>https://pbs.twimg.com/profile_banners/1581292278345355265/1666266332</v>
      </c>
      <c r="BI18" s="76"/>
      <c r="BJ18" s="76" t="s">
        <v>6360</v>
      </c>
      <c r="BK18" s="76" t="b">
        <v>0</v>
      </c>
      <c r="BL18" s="76"/>
      <c r="BM18" s="76" t="s">
        <v>66</v>
      </c>
      <c r="BN18" s="76" t="s">
        <v>6362</v>
      </c>
      <c r="BO18" s="83" t="str">
        <f>HYPERLINK("https://twitter.com/noelfilho_")</f>
        <v>https://twitter.com/noelfilho_</v>
      </c>
      <c r="BP18" s="2"/>
    </row>
    <row r="19" spans="1:68" x14ac:dyDescent="0.25">
      <c r="A19" s="62" t="s">
        <v>237</v>
      </c>
      <c r="B19" s="63"/>
      <c r="C19" s="63"/>
      <c r="D19" s="64"/>
      <c r="E19" s="66"/>
      <c r="F19" s="102" t="str">
        <f>HYPERLINK("https://pbs.twimg.com/profile_images/1668408393650827269/Z2WPiBHj_normal.jpg")</f>
        <v>https://pbs.twimg.com/profile_images/1668408393650827269/Z2WPiBHj_normal.jpg</v>
      </c>
      <c r="G19" s="63"/>
      <c r="H19" s="67"/>
      <c r="I19" s="68"/>
      <c r="J19" s="68"/>
      <c r="K19" s="67" t="s">
        <v>6378</v>
      </c>
      <c r="L19" s="71"/>
      <c r="M19" s="72"/>
      <c r="N19" s="72"/>
      <c r="O19" s="73"/>
      <c r="P19" s="74"/>
      <c r="Q19" s="74"/>
      <c r="R19" s="86"/>
      <c r="S19" s="86"/>
      <c r="T19" s="86"/>
      <c r="U19" s="86"/>
      <c r="V19" s="48"/>
      <c r="W19" s="48"/>
      <c r="X19" s="48"/>
      <c r="Y19" s="48"/>
      <c r="Z19" s="47"/>
      <c r="AA19" s="69">
        <v>19</v>
      </c>
      <c r="AB19" s="69"/>
      <c r="AC19" s="70"/>
      <c r="AD19" s="76" t="s">
        <v>5343</v>
      </c>
      <c r="AE19" s="81" t="s">
        <v>5129</v>
      </c>
      <c r="AF19" s="76">
        <v>0</v>
      </c>
      <c r="AG19" s="76">
        <v>2</v>
      </c>
      <c r="AH19" s="76">
        <v>58</v>
      </c>
      <c r="AI19" s="76">
        <v>0</v>
      </c>
      <c r="AJ19" s="76">
        <v>0</v>
      </c>
      <c r="AK19" s="76">
        <v>49</v>
      </c>
      <c r="AL19" s="76" t="b">
        <v>0</v>
      </c>
      <c r="AM19" s="78">
        <v>44622.534537037034</v>
      </c>
      <c r="AN19" s="76"/>
      <c r="AO19" s="76" t="s">
        <v>5868</v>
      </c>
      <c r="AP19" s="76"/>
      <c r="AQ19" s="76"/>
      <c r="AR19" s="76"/>
      <c r="AS19" s="76"/>
      <c r="AT19" s="76"/>
      <c r="AU19" s="76"/>
      <c r="AV19" s="76"/>
      <c r="AW19" s="76"/>
      <c r="AX19" s="76" t="b">
        <v>0</v>
      </c>
      <c r="AY19" s="76"/>
      <c r="AZ19" s="76"/>
      <c r="BA19" s="76" t="b">
        <v>0</v>
      </c>
      <c r="BB19" s="76" t="b">
        <v>1</v>
      </c>
      <c r="BC19" s="76" t="b">
        <v>1</v>
      </c>
      <c r="BD19" s="76" t="b">
        <v>0</v>
      </c>
      <c r="BE19" s="76" t="b">
        <v>0</v>
      </c>
      <c r="BF19" s="76" t="b">
        <v>0</v>
      </c>
      <c r="BG19" s="76" t="b">
        <v>0</v>
      </c>
      <c r="BH19" s="76"/>
      <c r="BI19" s="76"/>
      <c r="BJ19" s="76" t="s">
        <v>6360</v>
      </c>
      <c r="BK19" s="76" t="b">
        <v>0</v>
      </c>
      <c r="BL19" s="76"/>
      <c r="BM19" s="76" t="s">
        <v>66</v>
      </c>
      <c r="BN19" s="76" t="s">
        <v>6362</v>
      </c>
      <c r="BO19" s="83" t="str">
        <f>HYPERLINK("https://twitter.com/ttorres_oficial")</f>
        <v>https://twitter.com/ttorres_oficial</v>
      </c>
      <c r="BP19" s="2"/>
    </row>
    <row r="20" spans="1:68" x14ac:dyDescent="0.25">
      <c r="A20" s="62" t="s">
        <v>238</v>
      </c>
      <c r="B20" s="63"/>
      <c r="C20" s="63"/>
      <c r="D20" s="64"/>
      <c r="E20" s="66"/>
      <c r="F20" s="102" t="str">
        <f>HYPERLINK("https://pbs.twimg.com/profile_images/1702087694174605312/wIBn99EO_normal.jpg")</f>
        <v>https://pbs.twimg.com/profile_images/1702087694174605312/wIBn99EO_normal.jpg</v>
      </c>
      <c r="G20" s="63"/>
      <c r="H20" s="67"/>
      <c r="I20" s="68"/>
      <c r="J20" s="68"/>
      <c r="K20" s="67" t="s">
        <v>6379</v>
      </c>
      <c r="L20" s="71"/>
      <c r="M20" s="72"/>
      <c r="N20" s="72"/>
      <c r="O20" s="73"/>
      <c r="P20" s="74"/>
      <c r="Q20" s="74"/>
      <c r="R20" s="86"/>
      <c r="S20" s="86"/>
      <c r="T20" s="86"/>
      <c r="U20" s="86"/>
      <c r="V20" s="48"/>
      <c r="W20" s="48"/>
      <c r="X20" s="48"/>
      <c r="Y20" s="48"/>
      <c r="Z20" s="47"/>
      <c r="AA20" s="69">
        <v>20</v>
      </c>
      <c r="AB20" s="69"/>
      <c r="AC20" s="70"/>
      <c r="AD20" s="76" t="s">
        <v>5344</v>
      </c>
      <c r="AE20" s="81" t="s">
        <v>5028</v>
      </c>
      <c r="AF20" s="76">
        <v>447887</v>
      </c>
      <c r="AG20" s="76">
        <v>896</v>
      </c>
      <c r="AH20" s="76">
        <v>54831</v>
      </c>
      <c r="AI20" s="76">
        <v>1783</v>
      </c>
      <c r="AJ20" s="76">
        <v>12301</v>
      </c>
      <c r="AK20" s="76">
        <v>25383</v>
      </c>
      <c r="AL20" s="76" t="b">
        <v>0</v>
      </c>
      <c r="AM20" s="78">
        <v>39567.577916666669</v>
      </c>
      <c r="AN20" s="76"/>
      <c r="AO20" s="76" t="s">
        <v>5869</v>
      </c>
      <c r="AP20" s="83" t="str">
        <f>HYPERLINK("https://t.co/Fw56aEqW9I")</f>
        <v>https://t.co/Fw56aEqW9I</v>
      </c>
      <c r="AQ20" s="83" t="str">
        <f>HYPERLINK("http://www.sebrae.com.br")</f>
        <v>http://www.sebrae.com.br</v>
      </c>
      <c r="AR20" s="76" t="s">
        <v>6143</v>
      </c>
      <c r="AS20" s="76"/>
      <c r="AT20" s="76"/>
      <c r="AU20" s="76"/>
      <c r="AV20" s="76">
        <v>1.7062623414810801E+18</v>
      </c>
      <c r="AW20" s="83" t="str">
        <f>HYPERLINK("https://t.co/Fw56aEqW9I")</f>
        <v>https://t.co/Fw56aEqW9I</v>
      </c>
      <c r="AX20" s="76" t="b">
        <v>0</v>
      </c>
      <c r="AY20" s="76"/>
      <c r="AZ20" s="76"/>
      <c r="BA20" s="76" t="b">
        <v>1</v>
      </c>
      <c r="BB20" s="76" t="b">
        <v>1</v>
      </c>
      <c r="BC20" s="76" t="b">
        <v>0</v>
      </c>
      <c r="BD20" s="76" t="b">
        <v>0</v>
      </c>
      <c r="BE20" s="76" t="b">
        <v>1</v>
      </c>
      <c r="BF20" s="76" t="b">
        <v>0</v>
      </c>
      <c r="BG20" s="76" t="b">
        <v>0</v>
      </c>
      <c r="BH20" s="83" t="str">
        <f>HYPERLINK("https://pbs.twimg.com/profile_banners/14584765/1694644322")</f>
        <v>https://pbs.twimg.com/profile_banners/14584765/1694644322</v>
      </c>
      <c r="BI20" s="76"/>
      <c r="BJ20" s="76" t="s">
        <v>6361</v>
      </c>
      <c r="BK20" s="76" t="b">
        <v>0</v>
      </c>
      <c r="BL20" s="76"/>
      <c r="BM20" s="76" t="s">
        <v>66</v>
      </c>
      <c r="BN20" s="76" t="s">
        <v>6362</v>
      </c>
      <c r="BO20" s="83" t="str">
        <f>HYPERLINK("https://twitter.com/sebrae")</f>
        <v>https://twitter.com/sebrae</v>
      </c>
      <c r="BP20" s="2"/>
    </row>
    <row r="21" spans="1:68" x14ac:dyDescent="0.25">
      <c r="A21" s="62" t="s">
        <v>239</v>
      </c>
      <c r="B21" s="63"/>
      <c r="C21" s="63"/>
      <c r="D21" s="64"/>
      <c r="E21" s="66"/>
      <c r="F21" s="102" t="str">
        <f>HYPERLINK("https://pbs.twimg.com/profile_images/1635030400572575746/pQHcxflX_normal.png")</f>
        <v>https://pbs.twimg.com/profile_images/1635030400572575746/pQHcxflX_normal.png</v>
      </c>
      <c r="G21" s="63"/>
      <c r="H21" s="67"/>
      <c r="I21" s="68"/>
      <c r="J21" s="68"/>
      <c r="K21" s="67" t="s">
        <v>6380</v>
      </c>
      <c r="L21" s="71"/>
      <c r="M21" s="72"/>
      <c r="N21" s="72"/>
      <c r="O21" s="73"/>
      <c r="P21" s="74"/>
      <c r="Q21" s="74"/>
      <c r="R21" s="86"/>
      <c r="S21" s="86"/>
      <c r="T21" s="86"/>
      <c r="U21" s="86"/>
      <c r="V21" s="48"/>
      <c r="W21" s="48"/>
      <c r="X21" s="48"/>
      <c r="Y21" s="48"/>
      <c r="Z21" s="47"/>
      <c r="AA21" s="69">
        <v>21</v>
      </c>
      <c r="AB21" s="69"/>
      <c r="AC21" s="70"/>
      <c r="AD21" s="76" t="s">
        <v>5345</v>
      </c>
      <c r="AE21" s="81" t="s">
        <v>5130</v>
      </c>
      <c r="AF21" s="76">
        <v>585</v>
      </c>
      <c r="AG21" s="76">
        <v>40</v>
      </c>
      <c r="AH21" s="76">
        <v>43</v>
      </c>
      <c r="AI21" s="76">
        <v>0</v>
      </c>
      <c r="AJ21" s="76">
        <v>7</v>
      </c>
      <c r="AK21" s="76">
        <v>25</v>
      </c>
      <c r="AL21" s="76" t="b">
        <v>0</v>
      </c>
      <c r="AM21" s="78">
        <v>42932.637777777774</v>
      </c>
      <c r="AN21" s="76" t="s">
        <v>5744</v>
      </c>
      <c r="AO21" s="76" t="s">
        <v>5870</v>
      </c>
      <c r="AP21" s="83" t="str">
        <f>HYPERLINK("https://t.co/HNmTE75mgI")</f>
        <v>https://t.co/HNmTE75mgI</v>
      </c>
      <c r="AQ21" s="83" t="str">
        <f>HYPERLINK("http://linktr.ee/meunomelimpo")</f>
        <v>http://linktr.ee/meunomelimpo</v>
      </c>
      <c r="AR21" s="76" t="s">
        <v>6144</v>
      </c>
      <c r="AS21" s="76"/>
      <c r="AT21" s="76"/>
      <c r="AU21" s="76"/>
      <c r="AV21" s="76"/>
      <c r="AW21" s="83" t="str">
        <f>HYPERLINK("https://t.co/HNmTE75mgI")</f>
        <v>https://t.co/HNmTE75mgI</v>
      </c>
      <c r="AX21" s="76" t="b">
        <v>0</v>
      </c>
      <c r="AY21" s="76"/>
      <c r="AZ21" s="76"/>
      <c r="BA21" s="76" t="b">
        <v>0</v>
      </c>
      <c r="BB21" s="76" t="b">
        <v>1</v>
      </c>
      <c r="BC21" s="76" t="b">
        <v>1</v>
      </c>
      <c r="BD21" s="76" t="b">
        <v>0</v>
      </c>
      <c r="BE21" s="76" t="b">
        <v>0</v>
      </c>
      <c r="BF21" s="76" t="b">
        <v>0</v>
      </c>
      <c r="BG21" s="76" t="b">
        <v>0</v>
      </c>
      <c r="BH21" s="83" t="str">
        <f>HYPERLINK("https://pbs.twimg.com/profile_banners/886605943370338305/1678657442")</f>
        <v>https://pbs.twimg.com/profile_banners/886605943370338305/1678657442</v>
      </c>
      <c r="BI21" s="76"/>
      <c r="BJ21" s="76" t="s">
        <v>6360</v>
      </c>
      <c r="BK21" s="76" t="b">
        <v>0</v>
      </c>
      <c r="BL21" s="76"/>
      <c r="BM21" s="76" t="s">
        <v>66</v>
      </c>
      <c r="BN21" s="76" t="s">
        <v>6362</v>
      </c>
      <c r="BO21" s="83" t="str">
        <f>HYPERLINK("https://twitter.com/_meunomelimpo")</f>
        <v>https://twitter.com/_meunomelimpo</v>
      </c>
      <c r="BP21" s="2"/>
    </row>
    <row r="22" spans="1:68" x14ac:dyDescent="0.25">
      <c r="A22" s="62" t="s">
        <v>240</v>
      </c>
      <c r="B22" s="63"/>
      <c r="C22" s="63"/>
      <c r="D22" s="64"/>
      <c r="E22" s="66"/>
      <c r="F22" s="102" t="str">
        <f>HYPERLINK("https://pbs.twimg.com/profile_images/1674062626328805381/ZU_tlXK2_normal.jpg")</f>
        <v>https://pbs.twimg.com/profile_images/1674062626328805381/ZU_tlXK2_normal.jpg</v>
      </c>
      <c r="G22" s="63"/>
      <c r="H22" s="67"/>
      <c r="I22" s="68"/>
      <c r="J22" s="68"/>
      <c r="K22" s="67" t="s">
        <v>6381</v>
      </c>
      <c r="L22" s="71"/>
      <c r="M22" s="72"/>
      <c r="N22" s="72"/>
      <c r="O22" s="73"/>
      <c r="P22" s="74"/>
      <c r="Q22" s="74"/>
      <c r="R22" s="86"/>
      <c r="S22" s="86"/>
      <c r="T22" s="86"/>
      <c r="U22" s="86"/>
      <c r="V22" s="48"/>
      <c r="W22" s="48"/>
      <c r="X22" s="48"/>
      <c r="Y22" s="48"/>
      <c r="Z22" s="47"/>
      <c r="AA22" s="69">
        <v>22</v>
      </c>
      <c r="AB22" s="69"/>
      <c r="AC22" s="70"/>
      <c r="AD22" s="76" t="s">
        <v>5346</v>
      </c>
      <c r="AE22" s="81" t="s">
        <v>5131</v>
      </c>
      <c r="AF22" s="76">
        <v>5</v>
      </c>
      <c r="AG22" s="76">
        <v>101</v>
      </c>
      <c r="AH22" s="76">
        <v>233</v>
      </c>
      <c r="AI22" s="76">
        <v>0</v>
      </c>
      <c r="AJ22" s="76">
        <v>4</v>
      </c>
      <c r="AK22" s="76">
        <v>233</v>
      </c>
      <c r="AL22" s="76" t="b">
        <v>0</v>
      </c>
      <c r="AM22" s="78">
        <v>44597.132650462961</v>
      </c>
      <c r="AN22" s="76"/>
      <c r="AO22" s="76" t="s">
        <v>5871</v>
      </c>
      <c r="AP22" s="83" t="str">
        <f>HYPERLINK("https://t.co/HQDGHsJYJF")</f>
        <v>https://t.co/HQDGHsJYJF</v>
      </c>
      <c r="AQ22" s="83" t="str">
        <f>HYPERLINK("https://mauriciomedeiros.bio.link")</f>
        <v>https://mauriciomedeiros.bio.link</v>
      </c>
      <c r="AR22" s="76" t="s">
        <v>6145</v>
      </c>
      <c r="AS22" s="76"/>
      <c r="AT22" s="76"/>
      <c r="AU22" s="76"/>
      <c r="AV22" s="76"/>
      <c r="AW22" s="83" t="str">
        <f>HYPERLINK("https://t.co/HQDGHsJYJF")</f>
        <v>https://t.co/HQDGHsJYJF</v>
      </c>
      <c r="AX22" s="76" t="b">
        <v>0</v>
      </c>
      <c r="AY22" s="76"/>
      <c r="AZ22" s="76"/>
      <c r="BA22" s="76" t="b">
        <v>0</v>
      </c>
      <c r="BB22" s="76" t="b">
        <v>1</v>
      </c>
      <c r="BC22" s="76" t="b">
        <v>1</v>
      </c>
      <c r="BD22" s="76" t="b">
        <v>0</v>
      </c>
      <c r="BE22" s="76" t="b">
        <v>0</v>
      </c>
      <c r="BF22" s="76" t="b">
        <v>0</v>
      </c>
      <c r="BG22" s="76" t="b">
        <v>0</v>
      </c>
      <c r="BH22" s="83" t="str">
        <f>HYPERLINK("https://pbs.twimg.com/profile_banners/1489798535130533891/1687962618")</f>
        <v>https://pbs.twimg.com/profile_banners/1489798535130533891/1687962618</v>
      </c>
      <c r="BI22" s="76"/>
      <c r="BJ22" s="76" t="s">
        <v>6360</v>
      </c>
      <c r="BK22" s="76" t="b">
        <v>0</v>
      </c>
      <c r="BL22" s="76"/>
      <c r="BM22" s="76" t="s">
        <v>66</v>
      </c>
      <c r="BN22" s="76" t="s">
        <v>6362</v>
      </c>
      <c r="BO22" s="83" t="str">
        <f>HYPERLINK("https://twitter.com/maumedofficial")</f>
        <v>https://twitter.com/maumedofficial</v>
      </c>
      <c r="BP22" s="2"/>
    </row>
    <row r="23" spans="1:68" x14ac:dyDescent="0.25">
      <c r="A23" s="62" t="s">
        <v>241</v>
      </c>
      <c r="B23" s="63"/>
      <c r="C23" s="63"/>
      <c r="D23" s="64"/>
      <c r="E23" s="66"/>
      <c r="F23" s="102" t="str">
        <f>HYPERLINK("https://pbs.twimg.com/profile_images/1401630739075153921/lHNg-Ats_normal.jpg")</f>
        <v>https://pbs.twimg.com/profile_images/1401630739075153921/lHNg-Ats_normal.jpg</v>
      </c>
      <c r="G23" s="63"/>
      <c r="H23" s="67"/>
      <c r="I23" s="68"/>
      <c r="J23" s="68"/>
      <c r="K23" s="67" t="s">
        <v>6382</v>
      </c>
      <c r="L23" s="71"/>
      <c r="M23" s="72"/>
      <c r="N23" s="72"/>
      <c r="O23" s="73"/>
      <c r="P23" s="74"/>
      <c r="Q23" s="74"/>
      <c r="R23" s="86"/>
      <c r="S23" s="86"/>
      <c r="T23" s="86"/>
      <c r="U23" s="86"/>
      <c r="V23" s="48"/>
      <c r="W23" s="48"/>
      <c r="X23" s="48"/>
      <c r="Y23" s="48"/>
      <c r="Z23" s="47"/>
      <c r="AA23" s="69">
        <v>23</v>
      </c>
      <c r="AB23" s="69"/>
      <c r="AC23" s="70"/>
      <c r="AD23" s="76" t="s">
        <v>5347</v>
      </c>
      <c r="AE23" s="81" t="s">
        <v>5640</v>
      </c>
      <c r="AF23" s="76">
        <v>122</v>
      </c>
      <c r="AG23" s="76">
        <v>524</v>
      </c>
      <c r="AH23" s="76">
        <v>424</v>
      </c>
      <c r="AI23" s="76">
        <v>2</v>
      </c>
      <c r="AJ23" s="76">
        <v>64</v>
      </c>
      <c r="AK23" s="76">
        <v>62</v>
      </c>
      <c r="AL23" s="76" t="b">
        <v>0</v>
      </c>
      <c r="AM23" s="78">
        <v>40816.973067129627</v>
      </c>
      <c r="AN23" s="76" t="s">
        <v>3435</v>
      </c>
      <c r="AO23" s="76" t="s">
        <v>5872</v>
      </c>
      <c r="AP23" s="83" t="str">
        <f>HYPERLINK("https://t.co/5Fqf2y4E78")</f>
        <v>https://t.co/5Fqf2y4E78</v>
      </c>
      <c r="AQ23" s="83" t="str">
        <f>HYPERLINK("http://www.montezziconsultoria.com.br")</f>
        <v>http://www.montezziconsultoria.com.br</v>
      </c>
      <c r="AR23" s="76" t="s">
        <v>6146</v>
      </c>
      <c r="AS23" s="76"/>
      <c r="AT23" s="76"/>
      <c r="AU23" s="76"/>
      <c r="AV23" s="76"/>
      <c r="AW23" s="83" t="str">
        <f>HYPERLINK("https://t.co/5Fqf2y4E78")</f>
        <v>https://t.co/5Fqf2y4E78</v>
      </c>
      <c r="AX23" s="76" t="b">
        <v>0</v>
      </c>
      <c r="AY23" s="76"/>
      <c r="AZ23" s="76"/>
      <c r="BA23" s="76" t="b">
        <v>0</v>
      </c>
      <c r="BB23" s="76" t="b">
        <v>1</v>
      </c>
      <c r="BC23" s="76" t="b">
        <v>1</v>
      </c>
      <c r="BD23" s="76" t="b">
        <v>0</v>
      </c>
      <c r="BE23" s="76" t="b">
        <v>1</v>
      </c>
      <c r="BF23" s="76" t="b">
        <v>0</v>
      </c>
      <c r="BG23" s="76" t="b">
        <v>0</v>
      </c>
      <c r="BH23" s="83" t="str">
        <f>HYPERLINK("https://pbs.twimg.com/profile_banners/382927727/1564431157")</f>
        <v>https://pbs.twimg.com/profile_banners/382927727/1564431157</v>
      </c>
      <c r="BI23" s="76"/>
      <c r="BJ23" s="76" t="s">
        <v>6360</v>
      </c>
      <c r="BK23" s="76" t="b">
        <v>0</v>
      </c>
      <c r="BL23" s="76"/>
      <c r="BM23" s="76" t="s">
        <v>66</v>
      </c>
      <c r="BN23" s="76" t="s">
        <v>6362</v>
      </c>
      <c r="BO23" s="83" t="str">
        <f>HYPERLINK("https://twitter.com/mmontezzi")</f>
        <v>https://twitter.com/mmontezzi</v>
      </c>
      <c r="BP23" s="2"/>
    </row>
    <row r="24" spans="1:68" x14ac:dyDescent="0.25">
      <c r="A24" s="62" t="s">
        <v>488</v>
      </c>
      <c r="B24" s="63"/>
      <c r="C24" s="63"/>
      <c r="D24" s="64"/>
      <c r="E24" s="66"/>
      <c r="F24" s="102" t="str">
        <f>HYPERLINK("https://pbs.twimg.com/profile_images/740159367027265536/60_exYC-_normal.jpg")</f>
        <v>https://pbs.twimg.com/profile_images/740159367027265536/60_exYC-_normal.jpg</v>
      </c>
      <c r="G24" s="63"/>
      <c r="H24" s="67"/>
      <c r="I24" s="68"/>
      <c r="J24" s="68"/>
      <c r="K24" s="67" t="s">
        <v>6383</v>
      </c>
      <c r="L24" s="71"/>
      <c r="M24" s="72"/>
      <c r="N24" s="72"/>
      <c r="O24" s="73"/>
      <c r="P24" s="74"/>
      <c r="Q24" s="74"/>
      <c r="R24" s="86"/>
      <c r="S24" s="86"/>
      <c r="T24" s="86"/>
      <c r="U24" s="86"/>
      <c r="V24" s="48"/>
      <c r="W24" s="48"/>
      <c r="X24" s="48"/>
      <c r="Y24" s="48"/>
      <c r="Z24" s="47"/>
      <c r="AA24" s="69">
        <v>24</v>
      </c>
      <c r="AB24" s="69"/>
      <c r="AC24" s="70"/>
      <c r="AD24" s="76" t="s">
        <v>5348</v>
      </c>
      <c r="AE24" s="81" t="s">
        <v>5265</v>
      </c>
      <c r="AF24" s="76">
        <v>46</v>
      </c>
      <c r="AG24" s="76">
        <v>204</v>
      </c>
      <c r="AH24" s="76">
        <v>355</v>
      </c>
      <c r="AI24" s="76">
        <v>2</v>
      </c>
      <c r="AJ24" s="76">
        <v>21</v>
      </c>
      <c r="AK24" s="76">
        <v>138</v>
      </c>
      <c r="AL24" s="76" t="b">
        <v>0</v>
      </c>
      <c r="AM24" s="78">
        <v>42465.565983796296</v>
      </c>
      <c r="AN24" s="76" t="s">
        <v>5745</v>
      </c>
      <c r="AO24" s="76"/>
      <c r="AP24" s="83" t="str">
        <f>HYPERLINK("https://t.co/5Fqf2y4E78")</f>
        <v>https://t.co/5Fqf2y4E78</v>
      </c>
      <c r="AQ24" s="83" t="str">
        <f>HYPERLINK("http://www.montezziconsultoria.com.br")</f>
        <v>http://www.montezziconsultoria.com.br</v>
      </c>
      <c r="AR24" s="76" t="s">
        <v>6146</v>
      </c>
      <c r="AS24" s="76"/>
      <c r="AT24" s="76"/>
      <c r="AU24" s="76"/>
      <c r="AV24" s="76"/>
      <c r="AW24" s="83" t="str">
        <f>HYPERLINK("https://t.co/5Fqf2y4E78")</f>
        <v>https://t.co/5Fqf2y4E78</v>
      </c>
      <c r="AX24" s="76" t="b">
        <v>0</v>
      </c>
      <c r="AY24" s="76"/>
      <c r="AZ24" s="76"/>
      <c r="BA24" s="76" t="b">
        <v>0</v>
      </c>
      <c r="BB24" s="76" t="b">
        <v>1</v>
      </c>
      <c r="BC24" s="76" t="b">
        <v>1</v>
      </c>
      <c r="BD24" s="76" t="b">
        <v>0</v>
      </c>
      <c r="BE24" s="76" t="b">
        <v>0</v>
      </c>
      <c r="BF24" s="76" t="b">
        <v>0</v>
      </c>
      <c r="BG24" s="76" t="b">
        <v>0</v>
      </c>
      <c r="BH24" s="83" t="str">
        <f>HYPERLINK("https://pbs.twimg.com/profile_banners/717344794612260864/1465302775")</f>
        <v>https://pbs.twimg.com/profile_banners/717344794612260864/1465302775</v>
      </c>
      <c r="BI24" s="76"/>
      <c r="BJ24" s="76" t="s">
        <v>6360</v>
      </c>
      <c r="BK24" s="76" t="b">
        <v>0</v>
      </c>
      <c r="BL24" s="76"/>
      <c r="BM24" s="76" t="s">
        <v>66</v>
      </c>
      <c r="BN24" s="76" t="s">
        <v>6362</v>
      </c>
      <c r="BO24" s="83" t="str">
        <f>HYPERLINK("https://twitter.com/montezziconsult")</f>
        <v>https://twitter.com/montezziconsult</v>
      </c>
      <c r="BP24" s="2"/>
    </row>
    <row r="25" spans="1:68" x14ac:dyDescent="0.25">
      <c r="A25" s="62" t="s">
        <v>242</v>
      </c>
      <c r="B25" s="63"/>
      <c r="C25" s="63"/>
      <c r="D25" s="64"/>
      <c r="E25" s="66"/>
      <c r="F25" s="102" t="str">
        <f>HYPERLINK("https://pbs.twimg.com/profile_images/1588617750284476417/b2APCrQ-_normal.jpg")</f>
        <v>https://pbs.twimg.com/profile_images/1588617750284476417/b2APCrQ-_normal.jpg</v>
      </c>
      <c r="G25" s="63"/>
      <c r="H25" s="67"/>
      <c r="I25" s="68"/>
      <c r="J25" s="68"/>
      <c r="K25" s="67" t="s">
        <v>6384</v>
      </c>
      <c r="L25" s="71"/>
      <c r="M25" s="72"/>
      <c r="N25" s="72"/>
      <c r="O25" s="73"/>
      <c r="P25" s="74"/>
      <c r="Q25" s="74"/>
      <c r="R25" s="86"/>
      <c r="S25" s="86"/>
      <c r="T25" s="86"/>
      <c r="U25" s="86"/>
      <c r="V25" s="48"/>
      <c r="W25" s="48"/>
      <c r="X25" s="48"/>
      <c r="Y25" s="48"/>
      <c r="Z25" s="47"/>
      <c r="AA25" s="69">
        <v>25</v>
      </c>
      <c r="AB25" s="69"/>
      <c r="AC25" s="70"/>
      <c r="AD25" s="76" t="s">
        <v>5349</v>
      </c>
      <c r="AE25" s="81" t="s">
        <v>5641</v>
      </c>
      <c r="AF25" s="76">
        <v>1413</v>
      </c>
      <c r="AG25" s="76">
        <v>130</v>
      </c>
      <c r="AH25" s="76">
        <v>2811</v>
      </c>
      <c r="AI25" s="76">
        <v>17</v>
      </c>
      <c r="AJ25" s="76">
        <v>138</v>
      </c>
      <c r="AK25" s="76">
        <v>1857</v>
      </c>
      <c r="AL25" s="76" t="b">
        <v>0</v>
      </c>
      <c r="AM25" s="78">
        <v>40716.91710648148</v>
      </c>
      <c r="AN25" s="76" t="s">
        <v>5746</v>
      </c>
      <c r="AO25" s="76" t="s">
        <v>5873</v>
      </c>
      <c r="AP25" s="83" t="str">
        <f>HYPERLINK("https://t.co/XXpMxylVbK")</f>
        <v>https://t.co/XXpMxylVbK</v>
      </c>
      <c r="AQ25" s="83" t="str">
        <f>HYPERLINK("http://www.sebrae.com.br/tocantins")</f>
        <v>http://www.sebrae.com.br/tocantins</v>
      </c>
      <c r="AR25" s="76" t="s">
        <v>6147</v>
      </c>
      <c r="AS25" s="76"/>
      <c r="AT25" s="76"/>
      <c r="AU25" s="76"/>
      <c r="AV25" s="76"/>
      <c r="AW25" s="83" t="str">
        <f>HYPERLINK("https://t.co/XXpMxylVbK")</f>
        <v>https://t.co/XXpMxylVbK</v>
      </c>
      <c r="AX25" s="76" t="b">
        <v>0</v>
      </c>
      <c r="AY25" s="76"/>
      <c r="AZ25" s="76"/>
      <c r="BA25" s="76" t="b">
        <v>0</v>
      </c>
      <c r="BB25" s="76" t="b">
        <v>1</v>
      </c>
      <c r="BC25" s="76" t="b">
        <v>0</v>
      </c>
      <c r="BD25" s="76" t="b">
        <v>0</v>
      </c>
      <c r="BE25" s="76" t="b">
        <v>0</v>
      </c>
      <c r="BF25" s="76" t="b">
        <v>0</v>
      </c>
      <c r="BG25" s="76" t="b">
        <v>0</v>
      </c>
      <c r="BH25" s="83" t="str">
        <f>HYPERLINK("https://pbs.twimg.com/profile_banners/322260032/1687728786")</f>
        <v>https://pbs.twimg.com/profile_banners/322260032/1687728786</v>
      </c>
      <c r="BI25" s="76"/>
      <c r="BJ25" s="76" t="s">
        <v>6360</v>
      </c>
      <c r="BK25" s="76" t="b">
        <v>0</v>
      </c>
      <c r="BL25" s="76"/>
      <c r="BM25" s="76" t="s">
        <v>66</v>
      </c>
      <c r="BN25" s="76" t="s">
        <v>6362</v>
      </c>
      <c r="BO25" s="83" t="str">
        <f>HYPERLINK("https://twitter.com/sebraeto")</f>
        <v>https://twitter.com/sebraeto</v>
      </c>
      <c r="BP25" s="2"/>
    </row>
    <row r="26" spans="1:68" x14ac:dyDescent="0.25">
      <c r="A26" s="62" t="s">
        <v>243</v>
      </c>
      <c r="B26" s="63"/>
      <c r="C26" s="63"/>
      <c r="D26" s="64"/>
      <c r="E26" s="66"/>
      <c r="F26" s="102" t="str">
        <f>HYPERLINK("https://pbs.twimg.com/profile_images/1694153656755445761/F7M1lyT9_normal.jpg")</f>
        <v>https://pbs.twimg.com/profile_images/1694153656755445761/F7M1lyT9_normal.jpg</v>
      </c>
      <c r="G26" s="63"/>
      <c r="H26" s="67"/>
      <c r="I26" s="68"/>
      <c r="J26" s="68"/>
      <c r="K26" s="67" t="s">
        <v>6385</v>
      </c>
      <c r="L26" s="71"/>
      <c r="M26" s="72"/>
      <c r="N26" s="72"/>
      <c r="O26" s="73"/>
      <c r="P26" s="74"/>
      <c r="Q26" s="74"/>
      <c r="R26" s="86"/>
      <c r="S26" s="86"/>
      <c r="T26" s="86"/>
      <c r="U26" s="86"/>
      <c r="V26" s="48"/>
      <c r="W26" s="48"/>
      <c r="X26" s="48"/>
      <c r="Y26" s="48"/>
      <c r="Z26" s="47"/>
      <c r="AA26" s="69">
        <v>26</v>
      </c>
      <c r="AB26" s="69"/>
      <c r="AC26" s="70"/>
      <c r="AD26" s="76" t="s">
        <v>5350</v>
      </c>
      <c r="AE26" s="81" t="s">
        <v>5642</v>
      </c>
      <c r="AF26" s="76">
        <v>191</v>
      </c>
      <c r="AG26" s="76">
        <v>314</v>
      </c>
      <c r="AH26" s="76">
        <v>12133</v>
      </c>
      <c r="AI26" s="76">
        <v>0</v>
      </c>
      <c r="AJ26" s="76">
        <v>75560</v>
      </c>
      <c r="AK26" s="76">
        <v>657</v>
      </c>
      <c r="AL26" s="76" t="b">
        <v>0</v>
      </c>
      <c r="AM26" s="78">
        <v>42034.826296296298</v>
      </c>
      <c r="AN26" s="76" t="s">
        <v>3419</v>
      </c>
      <c r="AO26" s="76" t="s">
        <v>5874</v>
      </c>
      <c r="AP26" s="76"/>
      <c r="AQ26" s="76"/>
      <c r="AR26" s="76"/>
      <c r="AS26" s="76"/>
      <c r="AT26" s="76"/>
      <c r="AU26" s="76"/>
      <c r="AV26" s="76">
        <v>1.36006176463378E+18</v>
      </c>
      <c r="AW26" s="76"/>
      <c r="AX26" s="76" t="b">
        <v>0</v>
      </c>
      <c r="AY26" s="76"/>
      <c r="AZ26" s="76"/>
      <c r="BA26" s="76" t="b">
        <v>1</v>
      </c>
      <c r="BB26" s="76" t="b">
        <v>0</v>
      </c>
      <c r="BC26" s="76" t="b">
        <v>1</v>
      </c>
      <c r="BD26" s="76" t="b">
        <v>0</v>
      </c>
      <c r="BE26" s="76" t="b">
        <v>1</v>
      </c>
      <c r="BF26" s="76" t="b">
        <v>0</v>
      </c>
      <c r="BG26" s="76" t="b">
        <v>0</v>
      </c>
      <c r="BH26" s="83" t="str">
        <f>HYPERLINK("https://pbs.twimg.com/profile_banners/3006284777/1692751220")</f>
        <v>https://pbs.twimg.com/profile_banners/3006284777/1692751220</v>
      </c>
      <c r="BI26" s="76"/>
      <c r="BJ26" s="76" t="s">
        <v>6360</v>
      </c>
      <c r="BK26" s="76" t="b">
        <v>0</v>
      </c>
      <c r="BL26" s="76"/>
      <c r="BM26" s="76" t="s">
        <v>66</v>
      </c>
      <c r="BN26" s="76" t="s">
        <v>6362</v>
      </c>
      <c r="BO26" s="83" t="str">
        <f>HYPERLINK("https://twitter.com/thiagonakazone")</f>
        <v>https://twitter.com/thiagonakazone</v>
      </c>
      <c r="BP26" s="2"/>
    </row>
    <row r="27" spans="1:68" x14ac:dyDescent="0.25">
      <c r="A27" s="62" t="s">
        <v>244</v>
      </c>
      <c r="B27" s="63"/>
      <c r="C27" s="63"/>
      <c r="D27" s="64"/>
      <c r="E27" s="66"/>
      <c r="F27" s="102" t="str">
        <f>HYPERLINK("https://pbs.twimg.com/profile_images/1624869252871163908/ohrgZfQS_normal.jpg")</f>
        <v>https://pbs.twimg.com/profile_images/1624869252871163908/ohrgZfQS_normal.jpg</v>
      </c>
      <c r="G27" s="63"/>
      <c r="H27" s="67"/>
      <c r="I27" s="68"/>
      <c r="J27" s="68"/>
      <c r="K27" s="67" t="s">
        <v>6386</v>
      </c>
      <c r="L27" s="71"/>
      <c r="M27" s="72"/>
      <c r="N27" s="72"/>
      <c r="O27" s="73"/>
      <c r="P27" s="74"/>
      <c r="Q27" s="74"/>
      <c r="R27" s="86"/>
      <c r="S27" s="86"/>
      <c r="T27" s="86"/>
      <c r="U27" s="86"/>
      <c r="V27" s="48"/>
      <c r="W27" s="48"/>
      <c r="X27" s="48"/>
      <c r="Y27" s="48"/>
      <c r="Z27" s="47"/>
      <c r="AA27" s="69">
        <v>27</v>
      </c>
      <c r="AB27" s="69"/>
      <c r="AC27" s="70"/>
      <c r="AD27" s="76" t="s">
        <v>5351</v>
      </c>
      <c r="AE27" s="81" t="s">
        <v>5132</v>
      </c>
      <c r="AF27" s="76">
        <v>7</v>
      </c>
      <c r="AG27" s="76">
        <v>10</v>
      </c>
      <c r="AH27" s="76">
        <v>81</v>
      </c>
      <c r="AI27" s="76">
        <v>0</v>
      </c>
      <c r="AJ27" s="76">
        <v>1</v>
      </c>
      <c r="AK27" s="76">
        <v>7</v>
      </c>
      <c r="AL27" s="76" t="b">
        <v>0</v>
      </c>
      <c r="AM27" s="78">
        <v>44868.894317129627</v>
      </c>
      <c r="AN27" s="76"/>
      <c r="AO27" s="76" t="s">
        <v>5875</v>
      </c>
      <c r="AP27" s="83" t="str">
        <f>HYPERLINK("https://t.co/qCJgn528SG")</f>
        <v>https://t.co/qCJgn528SG</v>
      </c>
      <c r="AQ27" s="83" t="str">
        <f>HYPERLINK("https://linktr.ee/segredodasempresas")</f>
        <v>https://linktr.ee/segredodasempresas</v>
      </c>
      <c r="AR27" s="76" t="s">
        <v>6148</v>
      </c>
      <c r="AS27" s="76"/>
      <c r="AT27" s="76"/>
      <c r="AU27" s="76"/>
      <c r="AV27" s="76">
        <v>1.6169284687043999E+18</v>
      </c>
      <c r="AW27" s="83" t="str">
        <f>HYPERLINK("https://t.co/qCJgn528SG")</f>
        <v>https://t.co/qCJgn528SG</v>
      </c>
      <c r="AX27" s="76" t="b">
        <v>0</v>
      </c>
      <c r="AY27" s="76"/>
      <c r="AZ27" s="76"/>
      <c r="BA27" s="76" t="b">
        <v>0</v>
      </c>
      <c r="BB27" s="76" t="b">
        <v>1</v>
      </c>
      <c r="BC27" s="76" t="b">
        <v>1</v>
      </c>
      <c r="BD27" s="76" t="b">
        <v>0</v>
      </c>
      <c r="BE27" s="76" t="b">
        <v>0</v>
      </c>
      <c r="BF27" s="76" t="b">
        <v>0</v>
      </c>
      <c r="BG27" s="76" t="b">
        <v>0</v>
      </c>
      <c r="BH27" s="83" t="str">
        <f>HYPERLINK("https://pbs.twimg.com/profile_banners/1588281782096592899/1676234004")</f>
        <v>https://pbs.twimg.com/profile_banners/1588281782096592899/1676234004</v>
      </c>
      <c r="BI27" s="76"/>
      <c r="BJ27" s="76" t="s">
        <v>6360</v>
      </c>
      <c r="BK27" s="76" t="b">
        <v>0</v>
      </c>
      <c r="BL27" s="76"/>
      <c r="BM27" s="76" t="s">
        <v>66</v>
      </c>
      <c r="BN27" s="76" t="s">
        <v>6362</v>
      </c>
      <c r="BO27" s="83" t="str">
        <f>HYPERLINK("https://twitter.com/segdasempresas")</f>
        <v>https://twitter.com/segdasempresas</v>
      </c>
      <c r="BP27" s="2"/>
    </row>
    <row r="28" spans="1:68" x14ac:dyDescent="0.25">
      <c r="A28" s="62" t="s">
        <v>245</v>
      </c>
      <c r="B28" s="63"/>
      <c r="C28" s="63"/>
      <c r="D28" s="64"/>
      <c r="E28" s="66"/>
      <c r="F28" s="102" t="str">
        <f>HYPERLINK("https://pbs.twimg.com/profile_images/1630192989946499073/6IqvnUb5_normal.jpg")</f>
        <v>https://pbs.twimg.com/profile_images/1630192989946499073/6IqvnUb5_normal.jpg</v>
      </c>
      <c r="G28" s="63"/>
      <c r="H28" s="67"/>
      <c r="I28" s="68"/>
      <c r="J28" s="68"/>
      <c r="K28" s="67" t="s">
        <v>6387</v>
      </c>
      <c r="L28" s="71"/>
      <c r="M28" s="72"/>
      <c r="N28" s="72"/>
      <c r="O28" s="73"/>
      <c r="P28" s="74"/>
      <c r="Q28" s="74"/>
      <c r="R28" s="86"/>
      <c r="S28" s="86"/>
      <c r="T28" s="86"/>
      <c r="U28" s="86"/>
      <c r="V28" s="48"/>
      <c r="W28" s="48"/>
      <c r="X28" s="48"/>
      <c r="Y28" s="48"/>
      <c r="Z28" s="47"/>
      <c r="AA28" s="69">
        <v>28</v>
      </c>
      <c r="AB28" s="69"/>
      <c r="AC28" s="70"/>
      <c r="AD28" s="76" t="s">
        <v>5352</v>
      </c>
      <c r="AE28" s="81" t="s">
        <v>5029</v>
      </c>
      <c r="AF28" s="76">
        <v>71</v>
      </c>
      <c r="AG28" s="76">
        <v>57</v>
      </c>
      <c r="AH28" s="76">
        <v>98</v>
      </c>
      <c r="AI28" s="76">
        <v>1</v>
      </c>
      <c r="AJ28" s="76">
        <v>42</v>
      </c>
      <c r="AK28" s="76">
        <v>10</v>
      </c>
      <c r="AL28" s="76" t="b">
        <v>0</v>
      </c>
      <c r="AM28" s="78">
        <v>44984.542847222219</v>
      </c>
      <c r="AN28" s="76" t="s">
        <v>3410</v>
      </c>
      <c r="AO28" s="76" t="s">
        <v>5876</v>
      </c>
      <c r="AP28" s="76"/>
      <c r="AQ28" s="76"/>
      <c r="AR28" s="76"/>
      <c r="AS28" s="76"/>
      <c r="AT28" s="76"/>
      <c r="AU28" s="76"/>
      <c r="AV28" s="76"/>
      <c r="AW28" s="76"/>
      <c r="AX28" s="76" t="b">
        <v>0</v>
      </c>
      <c r="AY28" s="76"/>
      <c r="AZ28" s="76"/>
      <c r="BA28" s="76" t="b">
        <v>0</v>
      </c>
      <c r="BB28" s="76" t="b">
        <v>1</v>
      </c>
      <c r="BC28" s="76" t="b">
        <v>1</v>
      </c>
      <c r="BD28" s="76" t="b">
        <v>0</v>
      </c>
      <c r="BE28" s="76" t="b">
        <v>0</v>
      </c>
      <c r="BF28" s="76" t="b">
        <v>0</v>
      </c>
      <c r="BG28" s="76" t="b">
        <v>0</v>
      </c>
      <c r="BH28" s="83" t="str">
        <f>HYPERLINK("https://pbs.twimg.com/profile_banners/1630191287126073344/1677517611")</f>
        <v>https://pbs.twimg.com/profile_banners/1630191287126073344/1677517611</v>
      </c>
      <c r="BI28" s="76"/>
      <c r="BJ28" s="76" t="s">
        <v>6360</v>
      </c>
      <c r="BK28" s="76" t="b">
        <v>0</v>
      </c>
      <c r="BL28" s="76"/>
      <c r="BM28" s="76" t="s">
        <v>66</v>
      </c>
      <c r="BN28" s="76" t="s">
        <v>6362</v>
      </c>
      <c r="BO28" s="83" t="str">
        <f>HYPERLINK("https://twitter.com/comoreinventar")</f>
        <v>https://twitter.com/comoreinventar</v>
      </c>
      <c r="BP28" s="2"/>
    </row>
    <row r="29" spans="1:68" x14ac:dyDescent="0.25">
      <c r="A29" s="62" t="s">
        <v>246</v>
      </c>
      <c r="B29" s="63"/>
      <c r="C29" s="63"/>
      <c r="D29" s="64"/>
      <c r="E29" s="66"/>
      <c r="F29" s="102" t="str">
        <f>HYPERLINK("https://pbs.twimg.com/profile_images/1683471121696411648/jQlllwPI_normal.jpg")</f>
        <v>https://pbs.twimg.com/profile_images/1683471121696411648/jQlllwPI_normal.jpg</v>
      </c>
      <c r="G29" s="63"/>
      <c r="H29" s="67"/>
      <c r="I29" s="68"/>
      <c r="J29" s="68"/>
      <c r="K29" s="67" t="s">
        <v>6388</v>
      </c>
      <c r="L29" s="71"/>
      <c r="M29" s="72"/>
      <c r="N29" s="72"/>
      <c r="O29" s="73"/>
      <c r="P29" s="74"/>
      <c r="Q29" s="74"/>
      <c r="R29" s="86"/>
      <c r="S29" s="86"/>
      <c r="T29" s="86"/>
      <c r="U29" s="86"/>
      <c r="V29" s="48"/>
      <c r="W29" s="48"/>
      <c r="X29" s="48"/>
      <c r="Y29" s="48"/>
      <c r="Z29" s="47"/>
      <c r="AA29" s="69">
        <v>29</v>
      </c>
      <c r="AB29" s="69"/>
      <c r="AC29" s="70"/>
      <c r="AD29" s="76" t="s">
        <v>5353</v>
      </c>
      <c r="AE29" s="81" t="s">
        <v>5133</v>
      </c>
      <c r="AF29" s="76">
        <v>0</v>
      </c>
      <c r="AG29" s="76">
        <v>1</v>
      </c>
      <c r="AH29" s="76">
        <v>1</v>
      </c>
      <c r="AI29" s="76">
        <v>0</v>
      </c>
      <c r="AJ29" s="76">
        <v>0</v>
      </c>
      <c r="AK29" s="76">
        <v>1</v>
      </c>
      <c r="AL29" s="76" t="b">
        <v>0</v>
      </c>
      <c r="AM29" s="78">
        <v>45114.640416666669</v>
      </c>
      <c r="AN29" s="76" t="s">
        <v>5747</v>
      </c>
      <c r="AO29" s="76" t="s">
        <v>5877</v>
      </c>
      <c r="AP29" s="83" t="str">
        <f>HYPERLINK("https://t.co/jSXoohkggQ")</f>
        <v>https://t.co/jSXoohkggQ</v>
      </c>
      <c r="AQ29" s="83" t="str">
        <f>HYPERLINK("https://gamma.app/docs/Descubra-Como-Reduzir-Seus-Gastos-Aprendendo-Com-Um-eBook-Incrive-6lu16zu0mnk")</f>
        <v>https://gamma.app/docs/Descubra-Como-Reduzir-Seus-Gastos-Aprendendo-Com-Um-eBook-Incrive-6lu16zu0mnk</v>
      </c>
      <c r="AR29" s="76" t="s">
        <v>6149</v>
      </c>
      <c r="AS29" s="76"/>
      <c r="AT29" s="76"/>
      <c r="AU29" s="76"/>
      <c r="AV29" s="76"/>
      <c r="AW29" s="83" t="str">
        <f>HYPERLINK("https://t.co/jSXoohkggQ")</f>
        <v>https://t.co/jSXoohkggQ</v>
      </c>
      <c r="AX29" s="76" t="b">
        <v>0</v>
      </c>
      <c r="AY29" s="76"/>
      <c r="AZ29" s="76"/>
      <c r="BA29" s="76" t="b">
        <v>0</v>
      </c>
      <c r="BB29" s="76" t="b">
        <v>1</v>
      </c>
      <c r="BC29" s="76" t="b">
        <v>1</v>
      </c>
      <c r="BD29" s="76" t="b">
        <v>0</v>
      </c>
      <c r="BE29" s="76" t="b">
        <v>0</v>
      </c>
      <c r="BF29" s="76" t="b">
        <v>0</v>
      </c>
      <c r="BG29" s="76" t="b">
        <v>0</v>
      </c>
      <c r="BH29" s="83" t="str">
        <f>HYPERLINK("https://pbs.twimg.com/profile_banners/1677337171848577025/1688744762")</f>
        <v>https://pbs.twimg.com/profile_banners/1677337171848577025/1688744762</v>
      </c>
      <c r="BI29" s="76"/>
      <c r="BJ29" s="76" t="s">
        <v>6360</v>
      </c>
      <c r="BK29" s="76" t="b">
        <v>0</v>
      </c>
      <c r="BL29" s="76"/>
      <c r="BM29" s="76" t="s">
        <v>66</v>
      </c>
      <c r="BN29" s="76" t="s">
        <v>6362</v>
      </c>
      <c r="BO29" s="83" t="str">
        <f>HYPERLINK("https://twitter.com/jhonblackmist")</f>
        <v>https://twitter.com/jhonblackmist</v>
      </c>
      <c r="BP29" s="2"/>
    </row>
    <row r="30" spans="1:68" x14ac:dyDescent="0.25">
      <c r="A30" s="62" t="s">
        <v>247</v>
      </c>
      <c r="B30" s="63"/>
      <c r="C30" s="63"/>
      <c r="D30" s="64"/>
      <c r="E30" s="66"/>
      <c r="F30" s="102" t="str">
        <f>HYPERLINK("https://pbs.twimg.com/profile_images/1566751319876145152/JOrRnGUK_normal.jpg")</f>
        <v>https://pbs.twimg.com/profile_images/1566751319876145152/JOrRnGUK_normal.jpg</v>
      </c>
      <c r="G30" s="63"/>
      <c r="H30" s="67"/>
      <c r="I30" s="68"/>
      <c r="J30" s="68"/>
      <c r="K30" s="67" t="s">
        <v>6389</v>
      </c>
      <c r="L30" s="71"/>
      <c r="M30" s="72"/>
      <c r="N30" s="72"/>
      <c r="O30" s="73"/>
      <c r="P30" s="74"/>
      <c r="Q30" s="74"/>
      <c r="R30" s="86"/>
      <c r="S30" s="86"/>
      <c r="T30" s="86"/>
      <c r="U30" s="86"/>
      <c r="V30" s="48"/>
      <c r="W30" s="48"/>
      <c r="X30" s="48"/>
      <c r="Y30" s="48"/>
      <c r="Z30" s="47"/>
      <c r="AA30" s="69">
        <v>30</v>
      </c>
      <c r="AB30" s="69"/>
      <c r="AC30" s="70"/>
      <c r="AD30" s="76" t="s">
        <v>5354</v>
      </c>
      <c r="AE30" s="81" t="s">
        <v>5643</v>
      </c>
      <c r="AF30" s="76">
        <v>2367</v>
      </c>
      <c r="AG30" s="76">
        <v>15</v>
      </c>
      <c r="AH30" s="76">
        <v>3839</v>
      </c>
      <c r="AI30" s="76">
        <v>7</v>
      </c>
      <c r="AJ30" s="76">
        <v>32</v>
      </c>
      <c r="AK30" s="76">
        <v>3671</v>
      </c>
      <c r="AL30" s="76" t="b">
        <v>0</v>
      </c>
      <c r="AM30" s="78">
        <v>42124.874571759261</v>
      </c>
      <c r="AN30" s="76" t="s">
        <v>5748</v>
      </c>
      <c r="AO30" s="76" t="s">
        <v>5878</v>
      </c>
      <c r="AP30" s="83" t="str">
        <f>HYPERLINK("https://t.co/XEB6ceectH")</f>
        <v>https://t.co/XEB6ceectH</v>
      </c>
      <c r="AQ30" s="83" t="str">
        <f>HYPERLINK("http://www.itaguai.rj.gov.br/")</f>
        <v>http://www.itaguai.rj.gov.br/</v>
      </c>
      <c r="AR30" s="76" t="s">
        <v>6150</v>
      </c>
      <c r="AS30" s="76"/>
      <c r="AT30" s="76"/>
      <c r="AU30" s="76"/>
      <c r="AV30" s="76"/>
      <c r="AW30" s="83" t="str">
        <f>HYPERLINK("https://t.co/XEB6ceectH")</f>
        <v>https://t.co/XEB6ceectH</v>
      </c>
      <c r="AX30" s="76" t="b">
        <v>0</v>
      </c>
      <c r="AY30" s="76"/>
      <c r="AZ30" s="76"/>
      <c r="BA30" s="76" t="b">
        <v>1</v>
      </c>
      <c r="BB30" s="76" t="b">
        <v>1</v>
      </c>
      <c r="BC30" s="76" t="b">
        <v>1</v>
      </c>
      <c r="BD30" s="76" t="b">
        <v>0</v>
      </c>
      <c r="BE30" s="76" t="b">
        <v>0</v>
      </c>
      <c r="BF30" s="76" t="b">
        <v>0</v>
      </c>
      <c r="BG30" s="76" t="b">
        <v>0</v>
      </c>
      <c r="BH30" s="83" t="str">
        <f>HYPERLINK("https://pbs.twimg.com/profile_banners/3225278345/1662377599")</f>
        <v>https://pbs.twimg.com/profile_banners/3225278345/1662377599</v>
      </c>
      <c r="BI30" s="76"/>
      <c r="BJ30" s="76" t="s">
        <v>6360</v>
      </c>
      <c r="BK30" s="76" t="b">
        <v>0</v>
      </c>
      <c r="BL30" s="76"/>
      <c r="BM30" s="76" t="s">
        <v>66</v>
      </c>
      <c r="BN30" s="76" t="s">
        <v>6362</v>
      </c>
      <c r="BO30" s="83" t="str">
        <f>HYPERLINK("https://twitter.com/prefitaguai")</f>
        <v>https://twitter.com/prefitaguai</v>
      </c>
      <c r="BP30" s="2"/>
    </row>
    <row r="31" spans="1:68" x14ac:dyDescent="0.25">
      <c r="A31" s="62" t="s">
        <v>248</v>
      </c>
      <c r="B31" s="63"/>
      <c r="C31" s="63"/>
      <c r="D31" s="64"/>
      <c r="E31" s="66"/>
      <c r="F31" s="102" t="str">
        <f>HYPERLINK("https://pbs.twimg.com/profile_images/1519794326972338176/yGlQhQPn_normal.jpg")</f>
        <v>https://pbs.twimg.com/profile_images/1519794326972338176/yGlQhQPn_normal.jpg</v>
      </c>
      <c r="G31" s="63"/>
      <c r="H31" s="67"/>
      <c r="I31" s="68"/>
      <c r="J31" s="68"/>
      <c r="K31" s="67" t="s">
        <v>6390</v>
      </c>
      <c r="L31" s="71"/>
      <c r="M31" s="72"/>
      <c r="N31" s="72"/>
      <c r="O31" s="73"/>
      <c r="P31" s="74"/>
      <c r="Q31" s="74"/>
      <c r="R31" s="86"/>
      <c r="S31" s="86"/>
      <c r="T31" s="86"/>
      <c r="U31" s="86"/>
      <c r="V31" s="48"/>
      <c r="W31" s="48"/>
      <c r="X31" s="48"/>
      <c r="Y31" s="48"/>
      <c r="Z31" s="47"/>
      <c r="AA31" s="69">
        <v>31</v>
      </c>
      <c r="AB31" s="69"/>
      <c r="AC31" s="70"/>
      <c r="AD31" s="76" t="s">
        <v>5355</v>
      </c>
      <c r="AE31" s="81" t="s">
        <v>5644</v>
      </c>
      <c r="AF31" s="76">
        <v>34099</v>
      </c>
      <c r="AG31" s="76">
        <v>10</v>
      </c>
      <c r="AH31" s="76">
        <v>33088</v>
      </c>
      <c r="AI31" s="76">
        <v>237</v>
      </c>
      <c r="AJ31" s="76">
        <v>541</v>
      </c>
      <c r="AK31" s="76">
        <v>1707</v>
      </c>
      <c r="AL31" s="76" t="b">
        <v>0</v>
      </c>
      <c r="AM31" s="78">
        <v>39769.662673611114</v>
      </c>
      <c r="AN31" s="76" t="s">
        <v>3410</v>
      </c>
      <c r="AO31" s="76" t="s">
        <v>5879</v>
      </c>
      <c r="AP31" s="83" t="str">
        <f>HYPERLINK("https://t.co/gfURcgJxGn")</f>
        <v>https://t.co/gfURcgJxGn</v>
      </c>
      <c r="AQ31" s="83" t="str">
        <f>HYPERLINK("http://www.portoseguro.com.br")</f>
        <v>http://www.portoseguro.com.br</v>
      </c>
      <c r="AR31" s="76" t="s">
        <v>6151</v>
      </c>
      <c r="AS31" s="76"/>
      <c r="AT31" s="76"/>
      <c r="AU31" s="76"/>
      <c r="AV31" s="76"/>
      <c r="AW31" s="83" t="str">
        <f>HYPERLINK("https://t.co/gfURcgJxGn")</f>
        <v>https://t.co/gfURcgJxGn</v>
      </c>
      <c r="AX31" s="76" t="b">
        <v>0</v>
      </c>
      <c r="AY31" s="76"/>
      <c r="AZ31" s="76"/>
      <c r="BA31" s="76" t="b">
        <v>1</v>
      </c>
      <c r="BB31" s="76" t="b">
        <v>1</v>
      </c>
      <c r="BC31" s="76" t="b">
        <v>0</v>
      </c>
      <c r="BD31" s="76" t="b">
        <v>0</v>
      </c>
      <c r="BE31" s="76" t="b">
        <v>0</v>
      </c>
      <c r="BF31" s="76" t="b">
        <v>0</v>
      </c>
      <c r="BG31" s="76" t="b">
        <v>0</v>
      </c>
      <c r="BH31" s="83" t="str">
        <f>HYPERLINK("https://pbs.twimg.com/profile_banners/17443707/1687816754")</f>
        <v>https://pbs.twimg.com/profile_banners/17443707/1687816754</v>
      </c>
      <c r="BI31" s="76"/>
      <c r="BJ31" s="76" t="s">
        <v>6360</v>
      </c>
      <c r="BK31" s="76" t="b">
        <v>0</v>
      </c>
      <c r="BL31" s="76"/>
      <c r="BM31" s="76" t="s">
        <v>66</v>
      </c>
      <c r="BN31" s="76" t="s">
        <v>6362</v>
      </c>
      <c r="BO31" s="83" t="str">
        <f>HYPERLINK("https://twitter.com/portoseguro")</f>
        <v>https://twitter.com/portoseguro</v>
      </c>
      <c r="BP31" s="2"/>
    </row>
    <row r="32" spans="1:68" x14ac:dyDescent="0.25">
      <c r="A32" s="62" t="s">
        <v>249</v>
      </c>
      <c r="B32" s="63"/>
      <c r="C32" s="63"/>
      <c r="D32" s="64"/>
      <c r="E32" s="66"/>
      <c r="F32" s="102" t="str">
        <f>HYPERLINK("https://pbs.twimg.com/profile_images/1395066163533598722/8B5gxvzi_normal.jpg")</f>
        <v>https://pbs.twimg.com/profile_images/1395066163533598722/8B5gxvzi_normal.jpg</v>
      </c>
      <c r="G32" s="63"/>
      <c r="H32" s="67"/>
      <c r="I32" s="68"/>
      <c r="J32" s="68"/>
      <c r="K32" s="67" t="s">
        <v>6391</v>
      </c>
      <c r="L32" s="71"/>
      <c r="M32" s="72"/>
      <c r="N32" s="72"/>
      <c r="O32" s="73"/>
      <c r="P32" s="74"/>
      <c r="Q32" s="74"/>
      <c r="R32" s="86"/>
      <c r="S32" s="86"/>
      <c r="T32" s="86"/>
      <c r="U32" s="86"/>
      <c r="V32" s="48"/>
      <c r="W32" s="48"/>
      <c r="X32" s="48"/>
      <c r="Y32" s="48"/>
      <c r="Z32" s="47"/>
      <c r="AA32" s="69">
        <v>32</v>
      </c>
      <c r="AB32" s="69"/>
      <c r="AC32" s="70"/>
      <c r="AD32" s="76" t="s">
        <v>5356</v>
      </c>
      <c r="AE32" s="81" t="s">
        <v>5134</v>
      </c>
      <c r="AF32" s="76">
        <v>9</v>
      </c>
      <c r="AG32" s="76">
        <v>53</v>
      </c>
      <c r="AH32" s="76">
        <v>172</v>
      </c>
      <c r="AI32" s="76">
        <v>0</v>
      </c>
      <c r="AJ32" s="76">
        <v>6</v>
      </c>
      <c r="AK32" s="76">
        <v>162</v>
      </c>
      <c r="AL32" s="76" t="b">
        <v>0</v>
      </c>
      <c r="AM32" s="78">
        <v>44330.620347222219</v>
      </c>
      <c r="AN32" s="76" t="s">
        <v>5749</v>
      </c>
      <c r="AO32" s="76" t="s">
        <v>5880</v>
      </c>
      <c r="AP32" s="83" t="str">
        <f>HYPERLINK("https://t.co/6bFKJ2siwa")</f>
        <v>https://t.co/6bFKJ2siwa</v>
      </c>
      <c r="AQ32" s="83" t="str">
        <f>HYPERLINK("https://parquememorialdegoiania.com.br/")</f>
        <v>https://parquememorialdegoiania.com.br/</v>
      </c>
      <c r="AR32" s="76" t="s">
        <v>6152</v>
      </c>
      <c r="AS32" s="76"/>
      <c r="AT32" s="76"/>
      <c r="AU32" s="76"/>
      <c r="AV32" s="76">
        <v>1.6606297737882701E+18</v>
      </c>
      <c r="AW32" s="83" t="str">
        <f>HYPERLINK("https://t.co/6bFKJ2siwa")</f>
        <v>https://t.co/6bFKJ2siwa</v>
      </c>
      <c r="AX32" s="76" t="b">
        <v>0</v>
      </c>
      <c r="AY32" s="76"/>
      <c r="AZ32" s="76"/>
      <c r="BA32" s="76" t="b">
        <v>0</v>
      </c>
      <c r="BB32" s="76" t="b">
        <v>1</v>
      </c>
      <c r="BC32" s="76" t="b">
        <v>1</v>
      </c>
      <c r="BD32" s="76" t="b">
        <v>0</v>
      </c>
      <c r="BE32" s="76" t="b">
        <v>0</v>
      </c>
      <c r="BF32" s="76" t="b">
        <v>0</v>
      </c>
      <c r="BG32" s="76" t="b">
        <v>0</v>
      </c>
      <c r="BH32" s="83" t="str">
        <f>HYPERLINK("https://pbs.twimg.com/profile_banners/1393217473953026052/1621444648")</f>
        <v>https://pbs.twimg.com/profile_banners/1393217473953026052/1621444648</v>
      </c>
      <c r="BI32" s="76"/>
      <c r="BJ32" s="76" t="s">
        <v>6360</v>
      </c>
      <c r="BK32" s="76" t="b">
        <v>0</v>
      </c>
      <c r="BL32" s="76"/>
      <c r="BM32" s="76" t="s">
        <v>66</v>
      </c>
      <c r="BN32" s="76" t="s">
        <v>6362</v>
      </c>
      <c r="BO32" s="83" t="str">
        <f>HYPERLINK("https://twitter.com/memorialgoiania")</f>
        <v>https://twitter.com/memorialgoiania</v>
      </c>
      <c r="BP32" s="2"/>
    </row>
    <row r="33" spans="1:68" x14ac:dyDescent="0.25">
      <c r="A33" s="62" t="s">
        <v>250</v>
      </c>
      <c r="B33" s="63"/>
      <c r="C33" s="63"/>
      <c r="D33" s="64"/>
      <c r="E33" s="66"/>
      <c r="F33" s="102" t="str">
        <f>HYPERLINK("https://pbs.twimg.com/profile_images/1207742176098234368/FXlB5owL_normal.jpg")</f>
        <v>https://pbs.twimg.com/profile_images/1207742176098234368/FXlB5owL_normal.jpg</v>
      </c>
      <c r="G33" s="63"/>
      <c r="H33" s="67"/>
      <c r="I33" s="68"/>
      <c r="J33" s="68"/>
      <c r="K33" s="67" t="s">
        <v>6392</v>
      </c>
      <c r="L33" s="71"/>
      <c r="M33" s="72"/>
      <c r="N33" s="72"/>
      <c r="O33" s="73"/>
      <c r="P33" s="74"/>
      <c r="Q33" s="74"/>
      <c r="R33" s="86"/>
      <c r="S33" s="86"/>
      <c r="T33" s="86"/>
      <c r="U33" s="86"/>
      <c r="V33" s="48"/>
      <c r="W33" s="48"/>
      <c r="X33" s="48"/>
      <c r="Y33" s="48"/>
      <c r="Z33" s="47"/>
      <c r="AA33" s="69">
        <v>33</v>
      </c>
      <c r="AB33" s="69"/>
      <c r="AC33" s="70"/>
      <c r="AD33" s="76" t="s">
        <v>5357</v>
      </c>
      <c r="AE33" s="81" t="s">
        <v>5645</v>
      </c>
      <c r="AF33" s="76">
        <v>6473</v>
      </c>
      <c r="AG33" s="76">
        <v>383</v>
      </c>
      <c r="AH33" s="76">
        <v>8306</v>
      </c>
      <c r="AI33" s="76">
        <v>98</v>
      </c>
      <c r="AJ33" s="76">
        <v>1075</v>
      </c>
      <c r="AK33" s="76">
        <v>911</v>
      </c>
      <c r="AL33" s="76" t="b">
        <v>0</v>
      </c>
      <c r="AM33" s="78">
        <v>40074.081817129627</v>
      </c>
      <c r="AN33" s="76" t="s">
        <v>5750</v>
      </c>
      <c r="AO33" s="76" t="s">
        <v>5881</v>
      </c>
      <c r="AP33" s="83" t="str">
        <f>HYPERLINK("https://t.co/sgm8n2uOTt")</f>
        <v>https://t.co/sgm8n2uOTt</v>
      </c>
      <c r="AQ33" s="83" t="str">
        <f>HYPERLINK("http://www.academiadodinheiro.com.br")</f>
        <v>http://www.academiadodinheiro.com.br</v>
      </c>
      <c r="AR33" s="76" t="s">
        <v>6153</v>
      </c>
      <c r="AS33" s="76"/>
      <c r="AT33" s="76"/>
      <c r="AU33" s="76"/>
      <c r="AV33" s="76"/>
      <c r="AW33" s="83" t="str">
        <f>HYPERLINK("https://t.co/sgm8n2uOTt")</f>
        <v>https://t.co/sgm8n2uOTt</v>
      </c>
      <c r="AX33" s="76" t="b">
        <v>0</v>
      </c>
      <c r="AY33" s="76"/>
      <c r="AZ33" s="76"/>
      <c r="BA33" s="76" t="b">
        <v>0</v>
      </c>
      <c r="BB33" s="76" t="b">
        <v>1</v>
      </c>
      <c r="BC33" s="76" t="b">
        <v>0</v>
      </c>
      <c r="BD33" s="76" t="b">
        <v>0</v>
      </c>
      <c r="BE33" s="76" t="b">
        <v>1</v>
      </c>
      <c r="BF33" s="76" t="b">
        <v>0</v>
      </c>
      <c r="BG33" s="76" t="b">
        <v>0</v>
      </c>
      <c r="BH33" s="83" t="str">
        <f>HYPERLINK("https://pbs.twimg.com/profile_banners/75173434/1576783149")</f>
        <v>https://pbs.twimg.com/profile_banners/75173434/1576783149</v>
      </c>
      <c r="BI33" s="76"/>
      <c r="BJ33" s="76" t="s">
        <v>6360</v>
      </c>
      <c r="BK33" s="76" t="b">
        <v>0</v>
      </c>
      <c r="BL33" s="76"/>
      <c r="BM33" s="76" t="s">
        <v>66</v>
      </c>
      <c r="BN33" s="76" t="s">
        <v>6362</v>
      </c>
      <c r="BO33" s="83" t="str">
        <f>HYPERLINK("https://twitter.com/calilecalil")</f>
        <v>https://twitter.com/calilecalil</v>
      </c>
      <c r="BP33" s="2"/>
    </row>
    <row r="34" spans="1:68" x14ac:dyDescent="0.25">
      <c r="A34" s="62" t="s">
        <v>251</v>
      </c>
      <c r="B34" s="63"/>
      <c r="C34" s="63"/>
      <c r="D34" s="64"/>
      <c r="E34" s="66"/>
      <c r="F34" s="102" t="str">
        <f>HYPERLINK("https://pbs.twimg.com/profile_images/1658092607950446592/Eflm470Y_normal.jpg")</f>
        <v>https://pbs.twimg.com/profile_images/1658092607950446592/Eflm470Y_normal.jpg</v>
      </c>
      <c r="G34" s="63"/>
      <c r="H34" s="67"/>
      <c r="I34" s="68"/>
      <c r="J34" s="68"/>
      <c r="K34" s="67" t="s">
        <v>6393</v>
      </c>
      <c r="L34" s="71"/>
      <c r="M34" s="72"/>
      <c r="N34" s="72"/>
      <c r="O34" s="73"/>
      <c r="P34" s="74"/>
      <c r="Q34" s="74"/>
      <c r="R34" s="86"/>
      <c r="S34" s="86"/>
      <c r="T34" s="86"/>
      <c r="U34" s="86"/>
      <c r="V34" s="48"/>
      <c r="W34" s="48"/>
      <c r="X34" s="48"/>
      <c r="Y34" s="48"/>
      <c r="Z34" s="47"/>
      <c r="AA34" s="69">
        <v>34</v>
      </c>
      <c r="AB34" s="69"/>
      <c r="AC34" s="70"/>
      <c r="AD34" s="76" t="s">
        <v>5358</v>
      </c>
      <c r="AE34" s="81" t="s">
        <v>5135</v>
      </c>
      <c r="AF34" s="76">
        <v>3</v>
      </c>
      <c r="AG34" s="76">
        <v>1</v>
      </c>
      <c r="AH34" s="76">
        <v>18</v>
      </c>
      <c r="AI34" s="76">
        <v>0</v>
      </c>
      <c r="AJ34" s="76">
        <v>0</v>
      </c>
      <c r="AK34" s="76">
        <v>10</v>
      </c>
      <c r="AL34" s="76" t="b">
        <v>0</v>
      </c>
      <c r="AM34" s="78">
        <v>45061.534236111111</v>
      </c>
      <c r="AN34" s="76" t="s">
        <v>5751</v>
      </c>
      <c r="AO34" s="76" t="s">
        <v>5882</v>
      </c>
      <c r="AP34" s="83" t="str">
        <f>HYPERLINK("https://t.co/nqvjq73HWA")</f>
        <v>https://t.co/nqvjq73HWA</v>
      </c>
      <c r="AQ34" s="83" t="str">
        <f>HYPERLINK("http://www.saguicontrol.com.br")</f>
        <v>http://www.saguicontrol.com.br</v>
      </c>
      <c r="AR34" s="76" t="s">
        <v>6154</v>
      </c>
      <c r="AS34" s="76"/>
      <c r="AT34" s="76"/>
      <c r="AU34" s="76"/>
      <c r="AV34" s="76">
        <v>1.65850101876879E+18</v>
      </c>
      <c r="AW34" s="83" t="str">
        <f>HYPERLINK("https://t.co/nqvjq73HWA")</f>
        <v>https://t.co/nqvjq73HWA</v>
      </c>
      <c r="AX34" s="76" t="b">
        <v>0</v>
      </c>
      <c r="AY34" s="76"/>
      <c r="AZ34" s="76"/>
      <c r="BA34" s="76" t="b">
        <v>0</v>
      </c>
      <c r="BB34" s="76" t="b">
        <v>1</v>
      </c>
      <c r="BC34" s="76" t="b">
        <v>1</v>
      </c>
      <c r="BD34" s="76" t="b">
        <v>0</v>
      </c>
      <c r="BE34" s="76" t="b">
        <v>0</v>
      </c>
      <c r="BF34" s="76" t="b">
        <v>0</v>
      </c>
      <c r="BG34" s="76" t="b">
        <v>0</v>
      </c>
      <c r="BH34" s="83" t="str">
        <f>HYPERLINK("https://pbs.twimg.com/profile_banners/1658092128742809603/1684247795")</f>
        <v>https://pbs.twimg.com/profile_banners/1658092128742809603/1684247795</v>
      </c>
      <c r="BI34" s="76"/>
      <c r="BJ34" s="76" t="s">
        <v>6360</v>
      </c>
      <c r="BK34" s="76" t="b">
        <v>0</v>
      </c>
      <c r="BL34" s="76"/>
      <c r="BM34" s="76" t="s">
        <v>66</v>
      </c>
      <c r="BN34" s="76" t="s">
        <v>6362</v>
      </c>
      <c r="BO34" s="83" t="str">
        <f>HYPERLINK("https://twitter.com/saguicontrol")</f>
        <v>https://twitter.com/saguicontrol</v>
      </c>
      <c r="BP34" s="2"/>
    </row>
    <row r="35" spans="1:68" x14ac:dyDescent="0.25">
      <c r="A35" s="62" t="s">
        <v>252</v>
      </c>
      <c r="B35" s="63"/>
      <c r="C35" s="63"/>
      <c r="D35" s="64"/>
      <c r="E35" s="66"/>
      <c r="F35" s="102" t="str">
        <f>HYPERLINK("https://pbs.twimg.com/profile_images/1262733406837891072/eGXxKvQd_normal.jpg")</f>
        <v>https://pbs.twimg.com/profile_images/1262733406837891072/eGXxKvQd_normal.jpg</v>
      </c>
      <c r="G35" s="63"/>
      <c r="H35" s="67"/>
      <c r="I35" s="68"/>
      <c r="J35" s="68"/>
      <c r="K35" s="67" t="s">
        <v>6394</v>
      </c>
      <c r="L35" s="71"/>
      <c r="M35" s="72"/>
      <c r="N35" s="72"/>
      <c r="O35" s="73"/>
      <c r="P35" s="74"/>
      <c r="Q35" s="74"/>
      <c r="R35" s="86"/>
      <c r="S35" s="86"/>
      <c r="T35" s="86"/>
      <c r="U35" s="86"/>
      <c r="V35" s="48"/>
      <c r="W35" s="48"/>
      <c r="X35" s="48"/>
      <c r="Y35" s="48"/>
      <c r="Z35" s="47"/>
      <c r="AA35" s="69">
        <v>35</v>
      </c>
      <c r="AB35" s="69"/>
      <c r="AC35" s="70"/>
      <c r="AD35" s="76" t="s">
        <v>5359</v>
      </c>
      <c r="AE35" s="81" t="s">
        <v>5136</v>
      </c>
      <c r="AF35" s="76">
        <v>23</v>
      </c>
      <c r="AG35" s="76">
        <v>247</v>
      </c>
      <c r="AH35" s="76">
        <v>331</v>
      </c>
      <c r="AI35" s="76">
        <v>0</v>
      </c>
      <c r="AJ35" s="76">
        <v>120</v>
      </c>
      <c r="AK35" s="76">
        <v>2</v>
      </c>
      <c r="AL35" s="76" t="b">
        <v>0</v>
      </c>
      <c r="AM35" s="78">
        <v>43582.492314814815</v>
      </c>
      <c r="AN35" s="76" t="s">
        <v>5752</v>
      </c>
      <c r="AO35" s="76" t="s">
        <v>5883</v>
      </c>
      <c r="AP35" s="76"/>
      <c r="AQ35" s="76"/>
      <c r="AR35" s="76"/>
      <c r="AS35" s="76"/>
      <c r="AT35" s="76"/>
      <c r="AU35" s="76"/>
      <c r="AV35" s="76"/>
      <c r="AW35" s="76"/>
      <c r="AX35" s="76" t="b">
        <v>0</v>
      </c>
      <c r="AY35" s="76"/>
      <c r="AZ35" s="76"/>
      <c r="BA35" s="76" t="b">
        <v>0</v>
      </c>
      <c r="BB35" s="76" t="b">
        <v>1</v>
      </c>
      <c r="BC35" s="76" t="b">
        <v>1</v>
      </c>
      <c r="BD35" s="76" t="b">
        <v>0</v>
      </c>
      <c r="BE35" s="76" t="b">
        <v>0</v>
      </c>
      <c r="BF35" s="76" t="b">
        <v>0</v>
      </c>
      <c r="BG35" s="76" t="b">
        <v>0</v>
      </c>
      <c r="BH35" s="83" t="str">
        <f>HYPERLINK("https://pbs.twimg.com/profile_banners/1122105345592184832/1556366830")</f>
        <v>https://pbs.twimg.com/profile_banners/1122105345592184832/1556366830</v>
      </c>
      <c r="BI35" s="76"/>
      <c r="BJ35" s="76" t="s">
        <v>6360</v>
      </c>
      <c r="BK35" s="76" t="b">
        <v>0</v>
      </c>
      <c r="BL35" s="76"/>
      <c r="BM35" s="76" t="s">
        <v>66</v>
      </c>
      <c r="BN35" s="76" t="s">
        <v>6362</v>
      </c>
      <c r="BO35" s="83" t="str">
        <f>HYPERLINK("https://twitter.com/maxjr32113486")</f>
        <v>https://twitter.com/maxjr32113486</v>
      </c>
      <c r="BP35" s="2"/>
    </row>
    <row r="36" spans="1:68" x14ac:dyDescent="0.25">
      <c r="A36" s="62" t="s">
        <v>253</v>
      </c>
      <c r="B36" s="63"/>
      <c r="C36" s="63"/>
      <c r="D36" s="64"/>
      <c r="E36" s="66"/>
      <c r="F36" s="102" t="str">
        <f>HYPERLINK("https://pbs.twimg.com/profile_images/1465275011925782528/EiTs7yfZ_normal.jpg")</f>
        <v>https://pbs.twimg.com/profile_images/1465275011925782528/EiTs7yfZ_normal.jpg</v>
      </c>
      <c r="G36" s="63"/>
      <c r="H36" s="67"/>
      <c r="I36" s="68"/>
      <c r="J36" s="68"/>
      <c r="K36" s="67" t="s">
        <v>6395</v>
      </c>
      <c r="L36" s="71"/>
      <c r="M36" s="72"/>
      <c r="N36" s="72"/>
      <c r="O36" s="73"/>
      <c r="P36" s="74"/>
      <c r="Q36" s="74"/>
      <c r="R36" s="86"/>
      <c r="S36" s="86"/>
      <c r="T36" s="86"/>
      <c r="U36" s="86"/>
      <c r="V36" s="48"/>
      <c r="W36" s="48"/>
      <c r="X36" s="48"/>
      <c r="Y36" s="48"/>
      <c r="Z36" s="47"/>
      <c r="AA36" s="69">
        <v>36</v>
      </c>
      <c r="AB36" s="69"/>
      <c r="AC36" s="70"/>
      <c r="AD36" s="76" t="s">
        <v>5360</v>
      </c>
      <c r="AE36" s="81" t="s">
        <v>5137</v>
      </c>
      <c r="AF36" s="76">
        <v>78</v>
      </c>
      <c r="AG36" s="76">
        <v>30</v>
      </c>
      <c r="AH36" s="76">
        <v>2206</v>
      </c>
      <c r="AI36" s="76">
        <v>0</v>
      </c>
      <c r="AJ36" s="76">
        <v>1682</v>
      </c>
      <c r="AK36" s="76">
        <v>960</v>
      </c>
      <c r="AL36" s="76" t="b">
        <v>0</v>
      </c>
      <c r="AM36" s="78">
        <v>43492.434039351851</v>
      </c>
      <c r="AN36" s="76" t="s">
        <v>5753</v>
      </c>
      <c r="AO36" s="76" t="s">
        <v>5884</v>
      </c>
      <c r="AP36" s="83" t="str">
        <f>HYPERLINK("https://t.co/Ldbk1SbI7G")</f>
        <v>https://t.co/Ldbk1SbI7G</v>
      </c>
      <c r="AQ36" s="83" t="str">
        <f>HYPERLINK("https://linktr.ee/AlanCoelho")</f>
        <v>https://linktr.ee/AlanCoelho</v>
      </c>
      <c r="AR36" s="76" t="s">
        <v>6155</v>
      </c>
      <c r="AS36" s="76"/>
      <c r="AT36" s="76"/>
      <c r="AU36" s="76"/>
      <c r="AV36" s="76"/>
      <c r="AW36" s="83" t="str">
        <f>HYPERLINK("https://t.co/Ldbk1SbI7G")</f>
        <v>https://t.co/Ldbk1SbI7G</v>
      </c>
      <c r="AX36" s="76" t="b">
        <v>0</v>
      </c>
      <c r="AY36" s="76"/>
      <c r="AZ36" s="76"/>
      <c r="BA36" s="76" t="b">
        <v>0</v>
      </c>
      <c r="BB36" s="76" t="b">
        <v>1</v>
      </c>
      <c r="BC36" s="76" t="b">
        <v>1</v>
      </c>
      <c r="BD36" s="76" t="b">
        <v>0</v>
      </c>
      <c r="BE36" s="76" t="b">
        <v>0</v>
      </c>
      <c r="BF36" s="76" t="b">
        <v>0</v>
      </c>
      <c r="BG36" s="76" t="b">
        <v>0</v>
      </c>
      <c r="BH36" s="83" t="str">
        <f>HYPERLINK("https://pbs.twimg.com/profile_banners/1089469318717427712/1639066954")</f>
        <v>https://pbs.twimg.com/profile_banners/1089469318717427712/1639066954</v>
      </c>
      <c r="BI36" s="76"/>
      <c r="BJ36" s="76" t="s">
        <v>6360</v>
      </c>
      <c r="BK36" s="76" t="b">
        <v>0</v>
      </c>
      <c r="BL36" s="76"/>
      <c r="BM36" s="76" t="s">
        <v>66</v>
      </c>
      <c r="BN36" s="76" t="s">
        <v>6362</v>
      </c>
      <c r="BO36" s="83" t="str">
        <f>HYPERLINK("https://twitter.com/asc_alancoelho")</f>
        <v>https://twitter.com/asc_alancoelho</v>
      </c>
      <c r="BP36" s="2"/>
    </row>
    <row r="37" spans="1:68" x14ac:dyDescent="0.25">
      <c r="A37" s="62" t="s">
        <v>254</v>
      </c>
      <c r="B37" s="63"/>
      <c r="C37" s="63"/>
      <c r="D37" s="64"/>
      <c r="E37" s="66"/>
      <c r="F37" s="102" t="str">
        <f>HYPERLINK("https://pbs.twimg.com/profile_images/1640146445515862017/eFpkzuHo_normal.jpg")</f>
        <v>https://pbs.twimg.com/profile_images/1640146445515862017/eFpkzuHo_normal.jpg</v>
      </c>
      <c r="G37" s="63"/>
      <c r="H37" s="67"/>
      <c r="I37" s="68"/>
      <c r="J37" s="68"/>
      <c r="K37" s="67" t="s">
        <v>6396</v>
      </c>
      <c r="L37" s="71"/>
      <c r="M37" s="72"/>
      <c r="N37" s="72"/>
      <c r="O37" s="73"/>
      <c r="P37" s="74"/>
      <c r="Q37" s="74"/>
      <c r="R37" s="86"/>
      <c r="S37" s="86"/>
      <c r="T37" s="86"/>
      <c r="U37" s="86"/>
      <c r="V37" s="48"/>
      <c r="W37" s="48"/>
      <c r="X37" s="48"/>
      <c r="Y37" s="48"/>
      <c r="Z37" s="47"/>
      <c r="AA37" s="69">
        <v>37</v>
      </c>
      <c r="AB37" s="69"/>
      <c r="AC37" s="70"/>
      <c r="AD37" s="76" t="s">
        <v>5361</v>
      </c>
      <c r="AE37" s="81" t="s">
        <v>5138</v>
      </c>
      <c r="AF37" s="76">
        <v>0</v>
      </c>
      <c r="AG37" s="76">
        <v>3</v>
      </c>
      <c r="AH37" s="76">
        <v>21</v>
      </c>
      <c r="AI37" s="76">
        <v>0</v>
      </c>
      <c r="AJ37" s="76">
        <v>9</v>
      </c>
      <c r="AK37" s="76">
        <v>8</v>
      </c>
      <c r="AL37" s="76" t="b">
        <v>0</v>
      </c>
      <c r="AM37" s="78">
        <v>45010.89984953704</v>
      </c>
      <c r="AN37" s="76"/>
      <c r="AO37" s="76" t="s">
        <v>5885</v>
      </c>
      <c r="AP37" s="83" t="str">
        <f>HYPERLINK("https://t.co/Cua3iPtaHQ")</f>
        <v>https://t.co/Cua3iPtaHQ</v>
      </c>
      <c r="AQ37" s="83" t="str">
        <f>HYPERLINK("https://chat.whatsapp.com/Kktc8oSvrmW1kTwlU1QJi3")</f>
        <v>https://chat.whatsapp.com/Kktc8oSvrmW1kTwlU1QJi3</v>
      </c>
      <c r="AR37" s="76" t="s">
        <v>6156</v>
      </c>
      <c r="AS37" s="76"/>
      <c r="AT37" s="76"/>
      <c r="AU37" s="76"/>
      <c r="AV37" s="76"/>
      <c r="AW37" s="83" t="str">
        <f>HYPERLINK("https://t.co/Cua3iPtaHQ")</f>
        <v>https://t.co/Cua3iPtaHQ</v>
      </c>
      <c r="AX37" s="76" t="b">
        <v>0</v>
      </c>
      <c r="AY37" s="76"/>
      <c r="AZ37" s="76"/>
      <c r="BA37" s="76" t="b">
        <v>0</v>
      </c>
      <c r="BB37" s="76" t="b">
        <v>1</v>
      </c>
      <c r="BC37" s="76" t="b">
        <v>1</v>
      </c>
      <c r="BD37" s="76" t="b">
        <v>0</v>
      </c>
      <c r="BE37" s="76" t="b">
        <v>0</v>
      </c>
      <c r="BF37" s="76" t="b">
        <v>0</v>
      </c>
      <c r="BG37" s="76" t="b">
        <v>0</v>
      </c>
      <c r="BH37" s="83" t="str">
        <f>HYPERLINK("https://pbs.twimg.com/profile_banners/1639742798063710209/1679876396")</f>
        <v>https://pbs.twimg.com/profile_banners/1639742798063710209/1679876396</v>
      </c>
      <c r="BI37" s="76"/>
      <c r="BJ37" s="76" t="s">
        <v>6360</v>
      </c>
      <c r="BK37" s="76" t="b">
        <v>0</v>
      </c>
      <c r="BL37" s="76"/>
      <c r="BM37" s="76" t="s">
        <v>66</v>
      </c>
      <c r="BN37" s="76" t="s">
        <v>6362</v>
      </c>
      <c r="BO37" s="83" t="str">
        <f>HYPERLINK("https://twitter.com/euvanessagouvea")</f>
        <v>https://twitter.com/euvanessagouvea</v>
      </c>
      <c r="BP37" s="2"/>
    </row>
    <row r="38" spans="1:68" x14ac:dyDescent="0.25">
      <c r="A38" s="62" t="s">
        <v>255</v>
      </c>
      <c r="B38" s="63"/>
      <c r="C38" s="63"/>
      <c r="D38" s="64"/>
      <c r="E38" s="66"/>
      <c r="F38" s="102" t="str">
        <f>HYPERLINK("https://pbs.twimg.com/profile_images/1622374906842193922/SloqTzB-_normal.jpg")</f>
        <v>https://pbs.twimg.com/profile_images/1622374906842193922/SloqTzB-_normal.jpg</v>
      </c>
      <c r="G38" s="63"/>
      <c r="H38" s="67"/>
      <c r="I38" s="68"/>
      <c r="J38" s="68"/>
      <c r="K38" s="67" t="s">
        <v>6397</v>
      </c>
      <c r="L38" s="71"/>
      <c r="M38" s="72"/>
      <c r="N38" s="72"/>
      <c r="O38" s="73"/>
      <c r="P38" s="74"/>
      <c r="Q38" s="74"/>
      <c r="R38" s="86"/>
      <c r="S38" s="86"/>
      <c r="T38" s="86"/>
      <c r="U38" s="86"/>
      <c r="V38" s="48"/>
      <c r="W38" s="48"/>
      <c r="X38" s="48"/>
      <c r="Y38" s="48"/>
      <c r="Z38" s="47"/>
      <c r="AA38" s="69">
        <v>38</v>
      </c>
      <c r="AB38" s="69"/>
      <c r="AC38" s="70"/>
      <c r="AD38" s="76" t="s">
        <v>5362</v>
      </c>
      <c r="AE38" s="81" t="s">
        <v>5646</v>
      </c>
      <c r="AF38" s="76">
        <v>25</v>
      </c>
      <c r="AG38" s="76">
        <v>8</v>
      </c>
      <c r="AH38" s="76">
        <v>39</v>
      </c>
      <c r="AI38" s="76">
        <v>0</v>
      </c>
      <c r="AJ38" s="76">
        <v>40</v>
      </c>
      <c r="AK38" s="76">
        <v>7</v>
      </c>
      <c r="AL38" s="76" t="b">
        <v>0</v>
      </c>
      <c r="AM38" s="78">
        <v>40393.692349537036</v>
      </c>
      <c r="AN38" s="76" t="s">
        <v>5754</v>
      </c>
      <c r="AO38" s="76" t="s">
        <v>5886</v>
      </c>
      <c r="AP38" s="83" t="str">
        <f>HYPERLINK("https://t.co/lG4lRYgepA")</f>
        <v>https://t.co/lG4lRYgepA</v>
      </c>
      <c r="AQ38" s="83" t="str">
        <f>HYPERLINK("https://linktr.ee/carlapaixao.i")</f>
        <v>https://linktr.ee/carlapaixao.i</v>
      </c>
      <c r="AR38" s="76" t="s">
        <v>6157</v>
      </c>
      <c r="AS38" s="76"/>
      <c r="AT38" s="76"/>
      <c r="AU38" s="76"/>
      <c r="AV38" s="76"/>
      <c r="AW38" s="83" t="str">
        <f>HYPERLINK("https://t.co/lG4lRYgepA")</f>
        <v>https://t.co/lG4lRYgepA</v>
      </c>
      <c r="AX38" s="76" t="b">
        <v>0</v>
      </c>
      <c r="AY38" s="76"/>
      <c r="AZ38" s="76"/>
      <c r="BA38" s="76" t="b">
        <v>0</v>
      </c>
      <c r="BB38" s="76" t="b">
        <v>0</v>
      </c>
      <c r="BC38" s="76" t="b">
        <v>0</v>
      </c>
      <c r="BD38" s="76" t="b">
        <v>0</v>
      </c>
      <c r="BE38" s="76" t="b">
        <v>1</v>
      </c>
      <c r="BF38" s="76" t="b">
        <v>0</v>
      </c>
      <c r="BG38" s="76" t="b">
        <v>0</v>
      </c>
      <c r="BH38" s="83" t="str">
        <f>HYPERLINK("https://pbs.twimg.com/profile_banners/174310768/1687200340")</f>
        <v>https://pbs.twimg.com/profile_banners/174310768/1687200340</v>
      </c>
      <c r="BI38" s="76"/>
      <c r="BJ38" s="76" t="s">
        <v>6360</v>
      </c>
      <c r="BK38" s="76" t="b">
        <v>0</v>
      </c>
      <c r="BL38" s="76"/>
      <c r="BM38" s="76" t="s">
        <v>66</v>
      </c>
      <c r="BN38" s="76" t="s">
        <v>6362</v>
      </c>
      <c r="BO38" s="83" t="str">
        <f>HYPERLINK("https://twitter.com/carlapaixaoi")</f>
        <v>https://twitter.com/carlapaixaoi</v>
      </c>
      <c r="BP38" s="2"/>
    </row>
    <row r="39" spans="1:68" x14ac:dyDescent="0.25">
      <c r="A39" s="62" t="s">
        <v>256</v>
      </c>
      <c r="B39" s="63"/>
      <c r="C39" s="63"/>
      <c r="D39" s="64"/>
      <c r="E39" s="66"/>
      <c r="F39" s="102" t="str">
        <f>HYPERLINK("https://pbs.twimg.com/profile_images/1516387300686671872/l3lnM1mQ_normal.jpg")</f>
        <v>https://pbs.twimg.com/profile_images/1516387300686671872/l3lnM1mQ_normal.jpg</v>
      </c>
      <c r="G39" s="63"/>
      <c r="H39" s="67"/>
      <c r="I39" s="68"/>
      <c r="J39" s="68"/>
      <c r="K39" s="67" t="s">
        <v>6398</v>
      </c>
      <c r="L39" s="71"/>
      <c r="M39" s="72"/>
      <c r="N39" s="72"/>
      <c r="O39" s="73"/>
      <c r="P39" s="74"/>
      <c r="Q39" s="74"/>
      <c r="R39" s="86"/>
      <c r="S39" s="86"/>
      <c r="T39" s="86"/>
      <c r="U39" s="86"/>
      <c r="V39" s="48"/>
      <c r="W39" s="48"/>
      <c r="X39" s="48"/>
      <c r="Y39" s="48"/>
      <c r="Z39" s="47"/>
      <c r="AA39" s="69">
        <v>39</v>
      </c>
      <c r="AB39" s="69"/>
      <c r="AC39" s="70"/>
      <c r="AD39" s="76" t="s">
        <v>5363</v>
      </c>
      <c r="AE39" s="81" t="s">
        <v>5139</v>
      </c>
      <c r="AF39" s="76">
        <v>63</v>
      </c>
      <c r="AG39" s="76">
        <v>137</v>
      </c>
      <c r="AH39" s="76">
        <v>1488</v>
      </c>
      <c r="AI39" s="76">
        <v>0</v>
      </c>
      <c r="AJ39" s="76">
        <v>2124</v>
      </c>
      <c r="AK39" s="76">
        <v>103</v>
      </c>
      <c r="AL39" s="76" t="b">
        <v>0</v>
      </c>
      <c r="AM39" s="78">
        <v>42832.84783564815</v>
      </c>
      <c r="AN39" s="76" t="s">
        <v>3415</v>
      </c>
      <c r="AO39" s="76" t="s">
        <v>5887</v>
      </c>
      <c r="AP39" s="76"/>
      <c r="AQ39" s="76"/>
      <c r="AR39" s="76"/>
      <c r="AS39" s="76"/>
      <c r="AT39" s="76"/>
      <c r="AU39" s="76"/>
      <c r="AV39" s="76"/>
      <c r="AW39" s="76"/>
      <c r="AX39" s="76" t="b">
        <v>0</v>
      </c>
      <c r="AY39" s="76"/>
      <c r="AZ39" s="76"/>
      <c r="BA39" s="76" t="b">
        <v>1</v>
      </c>
      <c r="BB39" s="76" t="b">
        <v>0</v>
      </c>
      <c r="BC39" s="76" t="b">
        <v>1</v>
      </c>
      <c r="BD39" s="76" t="b">
        <v>0</v>
      </c>
      <c r="BE39" s="76" t="b">
        <v>0</v>
      </c>
      <c r="BF39" s="76" t="b">
        <v>0</v>
      </c>
      <c r="BG39" s="76" t="b">
        <v>0</v>
      </c>
      <c r="BH39" s="83" t="str">
        <f>HYPERLINK("https://pbs.twimg.com/profile_banners/850443282236788736/1650369891")</f>
        <v>https://pbs.twimg.com/profile_banners/850443282236788736/1650369891</v>
      </c>
      <c r="BI39" s="76"/>
      <c r="BJ39" s="76" t="s">
        <v>6360</v>
      </c>
      <c r="BK39" s="76" t="b">
        <v>0</v>
      </c>
      <c r="BL39" s="76"/>
      <c r="BM39" s="76" t="s">
        <v>66</v>
      </c>
      <c r="BN39" s="76" t="s">
        <v>6362</v>
      </c>
      <c r="BO39" s="83" t="str">
        <f>HYPERLINK("https://twitter.com/douglazzc")</f>
        <v>https://twitter.com/douglazzc</v>
      </c>
      <c r="BP39" s="2"/>
    </row>
    <row r="40" spans="1:68" x14ac:dyDescent="0.25">
      <c r="A40" s="62" t="s">
        <v>257</v>
      </c>
      <c r="B40" s="63"/>
      <c r="C40" s="63"/>
      <c r="D40" s="64"/>
      <c r="E40" s="66"/>
      <c r="F40" s="102" t="str">
        <f>HYPERLINK("https://pbs.twimg.com/profile_images/1678460129300160512/AECoUF6N_normal.jpg")</f>
        <v>https://pbs.twimg.com/profile_images/1678460129300160512/AECoUF6N_normal.jpg</v>
      </c>
      <c r="G40" s="63"/>
      <c r="H40" s="67"/>
      <c r="I40" s="68"/>
      <c r="J40" s="68"/>
      <c r="K40" s="67" t="s">
        <v>6399</v>
      </c>
      <c r="L40" s="71"/>
      <c r="M40" s="72"/>
      <c r="N40" s="72"/>
      <c r="O40" s="73"/>
      <c r="P40" s="74"/>
      <c r="Q40" s="74"/>
      <c r="R40" s="86"/>
      <c r="S40" s="86"/>
      <c r="T40" s="86"/>
      <c r="U40" s="86"/>
      <c r="V40" s="48"/>
      <c r="W40" s="48"/>
      <c r="X40" s="48"/>
      <c r="Y40" s="48"/>
      <c r="Z40" s="47"/>
      <c r="AA40" s="69">
        <v>40</v>
      </c>
      <c r="AB40" s="69"/>
      <c r="AC40" s="70"/>
      <c r="AD40" s="76" t="s">
        <v>5364</v>
      </c>
      <c r="AE40" s="81" t="s">
        <v>5647</v>
      </c>
      <c r="AF40" s="76">
        <v>181</v>
      </c>
      <c r="AG40" s="76">
        <v>151</v>
      </c>
      <c r="AH40" s="76">
        <v>1703</v>
      </c>
      <c r="AI40" s="76">
        <v>0</v>
      </c>
      <c r="AJ40" s="76">
        <v>583</v>
      </c>
      <c r="AK40" s="76">
        <v>188</v>
      </c>
      <c r="AL40" s="76" t="b">
        <v>0</v>
      </c>
      <c r="AM40" s="78">
        <v>40667.467569444445</v>
      </c>
      <c r="AN40" s="76" t="s">
        <v>3434</v>
      </c>
      <c r="AO40" s="76" t="s">
        <v>5888</v>
      </c>
      <c r="AP40" s="83" t="str">
        <f>HYPERLINK("https://t.co/lw43xnzemh")</f>
        <v>https://t.co/lw43xnzemh</v>
      </c>
      <c r="AQ40" s="83" t="str">
        <f>HYPERLINK("https://www.igorvieiraconsultor.com.br")</f>
        <v>https://www.igorvieiraconsultor.com.br</v>
      </c>
      <c r="AR40" s="76" t="s">
        <v>6158</v>
      </c>
      <c r="AS40" s="76"/>
      <c r="AT40" s="76"/>
      <c r="AU40" s="76"/>
      <c r="AV40" s="76"/>
      <c r="AW40" s="83" t="str">
        <f>HYPERLINK("https://t.co/lw43xnzemh")</f>
        <v>https://t.co/lw43xnzemh</v>
      </c>
      <c r="AX40" s="76" t="b">
        <v>0</v>
      </c>
      <c r="AY40" s="76"/>
      <c r="AZ40" s="76"/>
      <c r="BA40" s="76" t="b">
        <v>0</v>
      </c>
      <c r="BB40" s="76" t="b">
        <v>1</v>
      </c>
      <c r="BC40" s="76" t="b">
        <v>0</v>
      </c>
      <c r="BD40" s="76" t="b">
        <v>0</v>
      </c>
      <c r="BE40" s="76" t="b">
        <v>1</v>
      </c>
      <c r="BF40" s="76" t="b">
        <v>0</v>
      </c>
      <c r="BG40" s="76" t="b">
        <v>0</v>
      </c>
      <c r="BH40" s="83" t="str">
        <f>HYPERLINK("https://pbs.twimg.com/profile_banners/292867857/1689011065")</f>
        <v>https://pbs.twimg.com/profile_banners/292867857/1689011065</v>
      </c>
      <c r="BI40" s="76"/>
      <c r="BJ40" s="76" t="s">
        <v>6360</v>
      </c>
      <c r="BK40" s="76" t="b">
        <v>0</v>
      </c>
      <c r="BL40" s="76"/>
      <c r="BM40" s="76" t="s">
        <v>66</v>
      </c>
      <c r="BN40" s="76" t="s">
        <v>6362</v>
      </c>
      <c r="BO40" s="83" t="str">
        <f>HYPERLINK("https://twitter.com/igor_vieiraa")</f>
        <v>https://twitter.com/igor_vieiraa</v>
      </c>
      <c r="BP40" s="2"/>
    </row>
    <row r="41" spans="1:68" x14ac:dyDescent="0.25">
      <c r="A41" s="62" t="s">
        <v>518</v>
      </c>
      <c r="B41" s="63"/>
      <c r="C41" s="63"/>
      <c r="D41" s="64"/>
      <c r="E41" s="66"/>
      <c r="F41" s="102" t="str">
        <f>HYPERLINK("https://pbs.twimg.com/profile_images/1427292844612595720/RC1YSvuT_normal.jpg")</f>
        <v>https://pbs.twimg.com/profile_images/1427292844612595720/RC1YSvuT_normal.jpg</v>
      </c>
      <c r="G41" s="63"/>
      <c r="H41" s="67"/>
      <c r="I41" s="68"/>
      <c r="J41" s="68"/>
      <c r="K41" s="67" t="s">
        <v>6400</v>
      </c>
      <c r="L41" s="71"/>
      <c r="M41" s="72"/>
      <c r="N41" s="72"/>
      <c r="O41" s="73"/>
      <c r="P41" s="74"/>
      <c r="Q41" s="74"/>
      <c r="R41" s="86"/>
      <c r="S41" s="86"/>
      <c r="T41" s="86"/>
      <c r="U41" s="86"/>
      <c r="V41" s="48"/>
      <c r="W41" s="48"/>
      <c r="X41" s="48"/>
      <c r="Y41" s="48"/>
      <c r="Z41" s="47"/>
      <c r="AA41" s="69">
        <v>41</v>
      </c>
      <c r="AB41" s="69"/>
      <c r="AC41" s="70"/>
      <c r="AD41" s="76" t="s">
        <v>5365</v>
      </c>
      <c r="AE41" s="81" t="s">
        <v>5648</v>
      </c>
      <c r="AF41" s="76">
        <v>79309353</v>
      </c>
      <c r="AG41" s="76">
        <v>1179</v>
      </c>
      <c r="AH41" s="76">
        <v>56599</v>
      </c>
      <c r="AI41" s="76">
        <v>79878</v>
      </c>
      <c r="AJ41" s="76">
        <v>6177</v>
      </c>
      <c r="AK41" s="76">
        <v>15682</v>
      </c>
      <c r="AL41" s="76" t="b">
        <v>0</v>
      </c>
      <c r="AM41" s="78">
        <v>39399.905393518522</v>
      </c>
      <c r="AN41" s="76" t="s">
        <v>5755</v>
      </c>
      <c r="AO41" s="76" t="s">
        <v>5889</v>
      </c>
      <c r="AP41" s="83" t="str">
        <f>HYPERLINK("https://t.co/bUisN3Y1A6")</f>
        <v>https://t.co/bUisN3Y1A6</v>
      </c>
      <c r="AQ41" s="83" t="str">
        <f>HYPERLINK("http://youtube.com")</f>
        <v>http://youtube.com</v>
      </c>
      <c r="AR41" s="76" t="s">
        <v>1982</v>
      </c>
      <c r="AS41" s="76"/>
      <c r="AT41" s="76"/>
      <c r="AU41" s="76"/>
      <c r="AV41" s="76"/>
      <c r="AW41" s="83" t="str">
        <f>HYPERLINK("https://t.co/bUisN3Y1A6")</f>
        <v>https://t.co/bUisN3Y1A6</v>
      </c>
      <c r="AX41" s="76" t="b">
        <v>1</v>
      </c>
      <c r="AY41" s="76"/>
      <c r="AZ41" s="76"/>
      <c r="BA41" s="76" t="b">
        <v>0</v>
      </c>
      <c r="BB41" s="76" t="b">
        <v>1</v>
      </c>
      <c r="BC41" s="76" t="b">
        <v>0</v>
      </c>
      <c r="BD41" s="76" t="b">
        <v>0</v>
      </c>
      <c r="BE41" s="76" t="b">
        <v>1</v>
      </c>
      <c r="BF41" s="76" t="b">
        <v>0</v>
      </c>
      <c r="BG41" s="76" t="b">
        <v>0</v>
      </c>
      <c r="BH41" s="83" t="str">
        <f>HYPERLINK("https://pbs.twimg.com/profile_banners/10228272/1694793799")</f>
        <v>https://pbs.twimg.com/profile_banners/10228272/1694793799</v>
      </c>
      <c r="BI41" s="76"/>
      <c r="BJ41" s="76" t="s">
        <v>6361</v>
      </c>
      <c r="BK41" s="76" t="b">
        <v>0</v>
      </c>
      <c r="BL41" s="76"/>
      <c r="BM41" s="76" t="s">
        <v>65</v>
      </c>
      <c r="BN41" s="76" t="s">
        <v>6362</v>
      </c>
      <c r="BO41" s="83" t="str">
        <f>HYPERLINK("https://twitter.com/youtube")</f>
        <v>https://twitter.com/youtube</v>
      </c>
      <c r="BP41" s="2"/>
    </row>
    <row r="42" spans="1:68" x14ac:dyDescent="0.25">
      <c r="A42" s="62" t="s">
        <v>258</v>
      </c>
      <c r="B42" s="63"/>
      <c r="C42" s="63"/>
      <c r="D42" s="64"/>
      <c r="E42" s="66"/>
      <c r="F42" s="102" t="str">
        <f>HYPERLINK("https://pbs.twimg.com/profile_images/1476610267412840449/vJtWi_h1_normal.jpg")</f>
        <v>https://pbs.twimg.com/profile_images/1476610267412840449/vJtWi_h1_normal.jpg</v>
      </c>
      <c r="G42" s="63"/>
      <c r="H42" s="67"/>
      <c r="I42" s="68"/>
      <c r="J42" s="68"/>
      <c r="K42" s="67" t="s">
        <v>6401</v>
      </c>
      <c r="L42" s="71"/>
      <c r="M42" s="72"/>
      <c r="N42" s="72"/>
      <c r="O42" s="73"/>
      <c r="P42" s="74"/>
      <c r="Q42" s="74"/>
      <c r="R42" s="86"/>
      <c r="S42" s="86"/>
      <c r="T42" s="86"/>
      <c r="U42" s="86"/>
      <c r="V42" s="48"/>
      <c r="W42" s="48"/>
      <c r="X42" s="48"/>
      <c r="Y42" s="48"/>
      <c r="Z42" s="47"/>
      <c r="AA42" s="69">
        <v>42</v>
      </c>
      <c r="AB42" s="69"/>
      <c r="AC42" s="70"/>
      <c r="AD42" s="76" t="s">
        <v>5366</v>
      </c>
      <c r="AE42" s="81" t="s">
        <v>5649</v>
      </c>
      <c r="AF42" s="76">
        <v>199</v>
      </c>
      <c r="AG42" s="76">
        <v>75</v>
      </c>
      <c r="AH42" s="76">
        <v>1193</v>
      </c>
      <c r="AI42" s="76">
        <v>3</v>
      </c>
      <c r="AJ42" s="76">
        <v>9</v>
      </c>
      <c r="AK42" s="76">
        <v>393</v>
      </c>
      <c r="AL42" s="76" t="b">
        <v>0</v>
      </c>
      <c r="AM42" s="78">
        <v>41057.831365740742</v>
      </c>
      <c r="AN42" s="76"/>
      <c r="AO42" s="76" t="s">
        <v>5890</v>
      </c>
      <c r="AP42" s="76"/>
      <c r="AQ42" s="76"/>
      <c r="AR42" s="76"/>
      <c r="AS42" s="76"/>
      <c r="AT42" s="76"/>
      <c r="AU42" s="76"/>
      <c r="AV42" s="76"/>
      <c r="AW42" s="76"/>
      <c r="AX42" s="76" t="b">
        <v>0</v>
      </c>
      <c r="AY42" s="76"/>
      <c r="AZ42" s="76"/>
      <c r="BA42" s="76" t="b">
        <v>0</v>
      </c>
      <c r="BB42" s="76" t="b">
        <v>1</v>
      </c>
      <c r="BC42" s="76" t="b">
        <v>0</v>
      </c>
      <c r="BD42" s="76" t="b">
        <v>0</v>
      </c>
      <c r="BE42" s="76" t="b">
        <v>0</v>
      </c>
      <c r="BF42" s="76" t="b">
        <v>0</v>
      </c>
      <c r="BG42" s="76" t="b">
        <v>0</v>
      </c>
      <c r="BH42" s="83" t="str">
        <f>HYPERLINK("https://pbs.twimg.com/profile_banners/593015078/1661354289")</f>
        <v>https://pbs.twimg.com/profile_banners/593015078/1661354289</v>
      </c>
      <c r="BI42" s="76"/>
      <c r="BJ42" s="76" t="s">
        <v>6360</v>
      </c>
      <c r="BK42" s="76" t="b">
        <v>0</v>
      </c>
      <c r="BL42" s="76"/>
      <c r="BM42" s="76" t="s">
        <v>66</v>
      </c>
      <c r="BN42" s="76" t="s">
        <v>6362</v>
      </c>
      <c r="BO42" s="83" t="str">
        <f>HYPERLINK("https://twitter.com/spprevcom")</f>
        <v>https://twitter.com/spprevcom</v>
      </c>
      <c r="BP42" s="2"/>
    </row>
    <row r="43" spans="1:68" x14ac:dyDescent="0.25">
      <c r="A43" s="62" t="s">
        <v>259</v>
      </c>
      <c r="B43" s="63"/>
      <c r="C43" s="63"/>
      <c r="D43" s="64"/>
      <c r="E43" s="66"/>
      <c r="F43" s="102" t="str">
        <f>HYPERLINK("https://pbs.twimg.com/profile_images/1256996109337190400/krLYrVpV_normal.jpg")</f>
        <v>https://pbs.twimg.com/profile_images/1256996109337190400/krLYrVpV_normal.jpg</v>
      </c>
      <c r="G43" s="63"/>
      <c r="H43" s="67"/>
      <c r="I43" s="68"/>
      <c r="J43" s="68"/>
      <c r="K43" s="67" t="s">
        <v>6402</v>
      </c>
      <c r="L43" s="71"/>
      <c r="M43" s="72"/>
      <c r="N43" s="72"/>
      <c r="O43" s="73"/>
      <c r="P43" s="74"/>
      <c r="Q43" s="74"/>
      <c r="R43" s="86"/>
      <c r="S43" s="86"/>
      <c r="T43" s="86"/>
      <c r="U43" s="86"/>
      <c r="V43" s="48"/>
      <c r="W43" s="48"/>
      <c r="X43" s="48"/>
      <c r="Y43" s="48"/>
      <c r="Z43" s="47"/>
      <c r="AA43" s="69">
        <v>43</v>
      </c>
      <c r="AB43" s="69"/>
      <c r="AC43" s="70"/>
      <c r="AD43" s="76" t="s">
        <v>5367</v>
      </c>
      <c r="AE43" s="81" t="s">
        <v>5140</v>
      </c>
      <c r="AF43" s="76">
        <v>31</v>
      </c>
      <c r="AG43" s="76">
        <v>12</v>
      </c>
      <c r="AH43" s="76">
        <v>701</v>
      </c>
      <c r="AI43" s="76">
        <v>0</v>
      </c>
      <c r="AJ43" s="76">
        <v>49</v>
      </c>
      <c r="AK43" s="76">
        <v>209</v>
      </c>
      <c r="AL43" s="76" t="b">
        <v>0</v>
      </c>
      <c r="AM43" s="78">
        <v>43954.719675925924</v>
      </c>
      <c r="AN43" s="76" t="s">
        <v>5756</v>
      </c>
      <c r="AO43" s="76" t="s">
        <v>5891</v>
      </c>
      <c r="AP43" s="83" t="str">
        <f>HYPERLINK("https://t.co/8K8lbgWrP7")</f>
        <v>https://t.co/8K8lbgWrP7</v>
      </c>
      <c r="AQ43" s="83" t="str">
        <f>HYPERLINK("http://www.evertonlopes.com.br")</f>
        <v>http://www.evertonlopes.com.br</v>
      </c>
      <c r="AR43" s="76" t="s">
        <v>6159</v>
      </c>
      <c r="AS43" s="76"/>
      <c r="AT43" s="76"/>
      <c r="AU43" s="76"/>
      <c r="AV43" s="76"/>
      <c r="AW43" s="83" t="str">
        <f>HYPERLINK("https://t.co/8K8lbgWrP7")</f>
        <v>https://t.co/8K8lbgWrP7</v>
      </c>
      <c r="AX43" s="76" t="b">
        <v>0</v>
      </c>
      <c r="AY43" s="76"/>
      <c r="AZ43" s="76"/>
      <c r="BA43" s="76" t="b">
        <v>0</v>
      </c>
      <c r="BB43" s="76" t="b">
        <v>1</v>
      </c>
      <c r="BC43" s="76" t="b">
        <v>1</v>
      </c>
      <c r="BD43" s="76" t="b">
        <v>0</v>
      </c>
      <c r="BE43" s="76" t="b">
        <v>0</v>
      </c>
      <c r="BF43" s="76" t="b">
        <v>0</v>
      </c>
      <c r="BG43" s="76" t="b">
        <v>0</v>
      </c>
      <c r="BH43" s="76"/>
      <c r="BI43" s="76"/>
      <c r="BJ43" s="76" t="s">
        <v>6360</v>
      </c>
      <c r="BK43" s="76" t="b">
        <v>0</v>
      </c>
      <c r="BL43" s="76"/>
      <c r="BM43" s="76" t="s">
        <v>66</v>
      </c>
      <c r="BN43" s="76" t="s">
        <v>6362</v>
      </c>
      <c r="BO43" s="83" t="str">
        <f>HYPERLINK("https://twitter.com/lopeseconomista")</f>
        <v>https://twitter.com/lopeseconomista</v>
      </c>
      <c r="BP43" s="2"/>
    </row>
    <row r="44" spans="1:68" x14ac:dyDescent="0.25">
      <c r="A44" s="62" t="s">
        <v>260</v>
      </c>
      <c r="B44" s="63"/>
      <c r="C44" s="63"/>
      <c r="D44" s="64"/>
      <c r="E44" s="66"/>
      <c r="F44" s="102" t="str">
        <f>HYPERLINK("https://pbs.twimg.com/profile_images/1664650435515351042/bZqhBtCq_normal.jpg")</f>
        <v>https://pbs.twimg.com/profile_images/1664650435515351042/bZqhBtCq_normal.jpg</v>
      </c>
      <c r="G44" s="63"/>
      <c r="H44" s="67"/>
      <c r="I44" s="68"/>
      <c r="J44" s="68"/>
      <c r="K44" s="67" t="s">
        <v>6403</v>
      </c>
      <c r="L44" s="71"/>
      <c r="M44" s="72"/>
      <c r="N44" s="72"/>
      <c r="O44" s="73"/>
      <c r="P44" s="74"/>
      <c r="Q44" s="74"/>
      <c r="R44" s="86"/>
      <c r="S44" s="86"/>
      <c r="T44" s="86"/>
      <c r="U44" s="86"/>
      <c r="V44" s="48"/>
      <c r="W44" s="48"/>
      <c r="X44" s="48"/>
      <c r="Y44" s="48"/>
      <c r="Z44" s="47"/>
      <c r="AA44" s="69">
        <v>44</v>
      </c>
      <c r="AB44" s="69"/>
      <c r="AC44" s="70"/>
      <c r="AD44" s="76" t="s">
        <v>5368</v>
      </c>
      <c r="AE44" s="81" t="s">
        <v>5141</v>
      </c>
      <c r="AF44" s="76">
        <v>3</v>
      </c>
      <c r="AG44" s="76">
        <v>54</v>
      </c>
      <c r="AH44" s="76">
        <v>359</v>
      </c>
      <c r="AI44" s="76">
        <v>0</v>
      </c>
      <c r="AJ44" s="76">
        <v>11</v>
      </c>
      <c r="AK44" s="76">
        <v>297</v>
      </c>
      <c r="AL44" s="76" t="b">
        <v>0</v>
      </c>
      <c r="AM44" s="78">
        <v>44353.781354166669</v>
      </c>
      <c r="AN44" s="76" t="s">
        <v>3415</v>
      </c>
      <c r="AO44" s="76" t="s">
        <v>5892</v>
      </c>
      <c r="AP44" s="83" t="str">
        <f>HYPERLINK("https://t.co/GNfEJaAznV")</f>
        <v>https://t.co/GNfEJaAznV</v>
      </c>
      <c r="AQ44" s="83" t="str">
        <f>HYPERLINK("https://instagram.com/alineamaral.tarologa")</f>
        <v>https://instagram.com/alineamaral.tarologa</v>
      </c>
      <c r="AR44" s="76" t="s">
        <v>6160</v>
      </c>
      <c r="AS44" s="76"/>
      <c r="AT44" s="76"/>
      <c r="AU44" s="76"/>
      <c r="AV44" s="76">
        <v>1.4048146768322701E+18</v>
      </c>
      <c r="AW44" s="83" t="str">
        <f>HYPERLINK("https://t.co/GNfEJaAznV")</f>
        <v>https://t.co/GNfEJaAznV</v>
      </c>
      <c r="AX44" s="76" t="b">
        <v>0</v>
      </c>
      <c r="AY44" s="76"/>
      <c r="AZ44" s="76"/>
      <c r="BA44" s="76" t="b">
        <v>0</v>
      </c>
      <c r="BB44" s="76" t="b">
        <v>1</v>
      </c>
      <c r="BC44" s="76" t="b">
        <v>1</v>
      </c>
      <c r="BD44" s="76" t="b">
        <v>0</v>
      </c>
      <c r="BE44" s="76" t="b">
        <v>0</v>
      </c>
      <c r="BF44" s="76" t="b">
        <v>0</v>
      </c>
      <c r="BG44" s="76" t="b">
        <v>0</v>
      </c>
      <c r="BH44" s="83" t="str">
        <f>HYPERLINK("https://pbs.twimg.com/profile_banners/1401611054069784581/1691023629")</f>
        <v>https://pbs.twimg.com/profile_banners/1401611054069784581/1691023629</v>
      </c>
      <c r="BI44" s="76"/>
      <c r="BJ44" s="76" t="s">
        <v>6360</v>
      </c>
      <c r="BK44" s="76" t="b">
        <v>0</v>
      </c>
      <c r="BL44" s="76"/>
      <c r="BM44" s="76" t="s">
        <v>66</v>
      </c>
      <c r="BN44" s="76" t="s">
        <v>6362</v>
      </c>
      <c r="BO44" s="83" t="str">
        <f>HYPERLINK("https://twitter.com/aline_tarot")</f>
        <v>https://twitter.com/aline_tarot</v>
      </c>
      <c r="BP44" s="2"/>
    </row>
    <row r="45" spans="1:68" x14ac:dyDescent="0.25">
      <c r="A45" s="62" t="s">
        <v>261</v>
      </c>
      <c r="B45" s="63"/>
      <c r="C45" s="63"/>
      <c r="D45" s="64"/>
      <c r="E45" s="66"/>
      <c r="F45" s="102" t="str">
        <f>HYPERLINK("https://pbs.twimg.com/profile_images/1419995425491333120/wGuKJNby_normal.jpg")</f>
        <v>https://pbs.twimg.com/profile_images/1419995425491333120/wGuKJNby_normal.jpg</v>
      </c>
      <c r="G45" s="63"/>
      <c r="H45" s="67"/>
      <c r="I45" s="68"/>
      <c r="J45" s="68"/>
      <c r="K45" s="67" t="s">
        <v>6404</v>
      </c>
      <c r="L45" s="71"/>
      <c r="M45" s="72"/>
      <c r="N45" s="72"/>
      <c r="O45" s="73"/>
      <c r="P45" s="74"/>
      <c r="Q45" s="74"/>
      <c r="R45" s="86"/>
      <c r="S45" s="86"/>
      <c r="T45" s="86"/>
      <c r="U45" s="86"/>
      <c r="V45" s="48"/>
      <c r="W45" s="48"/>
      <c r="X45" s="48"/>
      <c r="Y45" s="48"/>
      <c r="Z45" s="47"/>
      <c r="AA45" s="69">
        <v>45</v>
      </c>
      <c r="AB45" s="69"/>
      <c r="AC45" s="70"/>
      <c r="AD45" s="76" t="s">
        <v>5369</v>
      </c>
      <c r="AE45" s="81" t="s">
        <v>5142</v>
      </c>
      <c r="AF45" s="76">
        <v>6</v>
      </c>
      <c r="AG45" s="76">
        <v>66</v>
      </c>
      <c r="AH45" s="76">
        <v>76</v>
      </c>
      <c r="AI45" s="76">
        <v>1</v>
      </c>
      <c r="AJ45" s="76">
        <v>117</v>
      </c>
      <c r="AK45" s="76">
        <v>21</v>
      </c>
      <c r="AL45" s="76" t="b">
        <v>0</v>
      </c>
      <c r="AM45" s="78">
        <v>42786.798483796294</v>
      </c>
      <c r="AN45" s="76"/>
      <c r="AO45" s="76" t="s">
        <v>5893</v>
      </c>
      <c r="AP45" s="83" t="str">
        <f>HYPERLINK("https://t.co/icND2e3gEh")</f>
        <v>https://t.co/icND2e3gEh</v>
      </c>
      <c r="AQ45" s="83" t="str">
        <f>HYPERLINK("http://beacons.ai/misaelnascimentofinancas")</f>
        <v>http://beacons.ai/misaelnascimentofinancas</v>
      </c>
      <c r="AR45" s="76" t="s">
        <v>6161</v>
      </c>
      <c r="AS45" s="76"/>
      <c r="AT45" s="76"/>
      <c r="AU45" s="76"/>
      <c r="AV45" s="76"/>
      <c r="AW45" s="83" t="str">
        <f>HYPERLINK("https://t.co/icND2e3gEh")</f>
        <v>https://t.co/icND2e3gEh</v>
      </c>
      <c r="AX45" s="76" t="b">
        <v>0</v>
      </c>
      <c r="AY45" s="76"/>
      <c r="AZ45" s="76"/>
      <c r="BA45" s="76" t="b">
        <v>0</v>
      </c>
      <c r="BB45" s="76" t="b">
        <v>1</v>
      </c>
      <c r="BC45" s="76" t="b">
        <v>1</v>
      </c>
      <c r="BD45" s="76" t="b">
        <v>0</v>
      </c>
      <c r="BE45" s="76" t="b">
        <v>0</v>
      </c>
      <c r="BF45" s="76" t="b">
        <v>0</v>
      </c>
      <c r="BG45" s="76" t="b">
        <v>0</v>
      </c>
      <c r="BH45" s="83" t="str">
        <f>HYPERLINK("https://pbs.twimg.com/profile_banners/833755553620959234/1627388337")</f>
        <v>https://pbs.twimg.com/profile_banners/833755553620959234/1627388337</v>
      </c>
      <c r="BI45" s="76"/>
      <c r="BJ45" s="76" t="s">
        <v>6360</v>
      </c>
      <c r="BK45" s="76" t="b">
        <v>0</v>
      </c>
      <c r="BL45" s="76"/>
      <c r="BM45" s="76" t="s">
        <v>66</v>
      </c>
      <c r="BN45" s="76" t="s">
        <v>6362</v>
      </c>
      <c r="BO45" s="83" t="str">
        <f>HYPERLINK("https://twitter.com/nascimentomma")</f>
        <v>https://twitter.com/nascimentomma</v>
      </c>
      <c r="BP45" s="2"/>
    </row>
    <row r="46" spans="1:68" x14ac:dyDescent="0.25">
      <c r="A46" s="62" t="s">
        <v>262</v>
      </c>
      <c r="B46" s="63"/>
      <c r="C46" s="63"/>
      <c r="D46" s="64"/>
      <c r="E46" s="66"/>
      <c r="F46" s="102" t="str">
        <f>HYPERLINK("https://pbs.twimg.com/profile_images/1663484313545867265/O1i582Yp_normal.jpg")</f>
        <v>https://pbs.twimg.com/profile_images/1663484313545867265/O1i582Yp_normal.jpg</v>
      </c>
      <c r="G46" s="63"/>
      <c r="H46" s="67"/>
      <c r="I46" s="68"/>
      <c r="J46" s="68"/>
      <c r="K46" s="67" t="s">
        <v>6405</v>
      </c>
      <c r="L46" s="71"/>
      <c r="M46" s="72"/>
      <c r="N46" s="72"/>
      <c r="O46" s="73"/>
      <c r="P46" s="74"/>
      <c r="Q46" s="74"/>
      <c r="R46" s="86"/>
      <c r="S46" s="86"/>
      <c r="T46" s="86"/>
      <c r="U46" s="86"/>
      <c r="V46" s="48"/>
      <c r="W46" s="48"/>
      <c r="X46" s="48"/>
      <c r="Y46" s="48"/>
      <c r="Z46" s="47"/>
      <c r="AA46" s="69">
        <v>46</v>
      </c>
      <c r="AB46" s="69"/>
      <c r="AC46" s="70"/>
      <c r="AD46" s="76" t="s">
        <v>5370</v>
      </c>
      <c r="AE46" s="81" t="s">
        <v>5650</v>
      </c>
      <c r="AF46" s="76">
        <v>26</v>
      </c>
      <c r="AG46" s="76">
        <v>30</v>
      </c>
      <c r="AH46" s="76">
        <v>91</v>
      </c>
      <c r="AI46" s="76">
        <v>0</v>
      </c>
      <c r="AJ46" s="76">
        <v>36</v>
      </c>
      <c r="AK46" s="76">
        <v>1</v>
      </c>
      <c r="AL46" s="76" t="b">
        <v>0</v>
      </c>
      <c r="AM46" s="78">
        <v>40213.827847222223</v>
      </c>
      <c r="AN46" s="76" t="s">
        <v>3435</v>
      </c>
      <c r="AO46" s="76" t="s">
        <v>5894</v>
      </c>
      <c r="AP46" s="76"/>
      <c r="AQ46" s="76"/>
      <c r="AR46" s="76"/>
      <c r="AS46" s="76"/>
      <c r="AT46" s="76"/>
      <c r="AU46" s="76"/>
      <c r="AV46" s="76"/>
      <c r="AW46" s="76"/>
      <c r="AX46" s="76" t="b">
        <v>0</v>
      </c>
      <c r="AY46" s="76"/>
      <c r="AZ46" s="76"/>
      <c r="BA46" s="76" t="b">
        <v>0</v>
      </c>
      <c r="BB46" s="76" t="b">
        <v>0</v>
      </c>
      <c r="BC46" s="76" t="b">
        <v>0</v>
      </c>
      <c r="BD46" s="76" t="b">
        <v>0</v>
      </c>
      <c r="BE46" s="76" t="b">
        <v>0</v>
      </c>
      <c r="BF46" s="76" t="b">
        <v>0</v>
      </c>
      <c r="BG46" s="76" t="b">
        <v>0</v>
      </c>
      <c r="BH46" s="83" t="str">
        <f>HYPERLINK("https://pbs.twimg.com/profile_banners/111397831/1685440680")</f>
        <v>https://pbs.twimg.com/profile_banners/111397831/1685440680</v>
      </c>
      <c r="BI46" s="76"/>
      <c r="BJ46" s="76" t="s">
        <v>6360</v>
      </c>
      <c r="BK46" s="76" t="b">
        <v>0</v>
      </c>
      <c r="BL46" s="76"/>
      <c r="BM46" s="76" t="s">
        <v>66</v>
      </c>
      <c r="BN46" s="76" t="s">
        <v>6362</v>
      </c>
      <c r="BO46" s="83" t="str">
        <f>HYPERLINK("https://twitter.com/brunossm")</f>
        <v>https://twitter.com/brunossm</v>
      </c>
      <c r="BP46" s="2"/>
    </row>
    <row r="47" spans="1:68" x14ac:dyDescent="0.25">
      <c r="A47" s="62" t="s">
        <v>263</v>
      </c>
      <c r="B47" s="63"/>
      <c r="C47" s="63"/>
      <c r="D47" s="64"/>
      <c r="E47" s="66"/>
      <c r="F47" s="102" t="str">
        <f>HYPERLINK("https://pbs.twimg.com/profile_images/1618704448913645585/SRa-pW4s_normal.jpg")</f>
        <v>https://pbs.twimg.com/profile_images/1618704448913645585/SRa-pW4s_normal.jpg</v>
      </c>
      <c r="G47" s="63"/>
      <c r="H47" s="67"/>
      <c r="I47" s="68"/>
      <c r="J47" s="68"/>
      <c r="K47" s="67" t="s">
        <v>6406</v>
      </c>
      <c r="L47" s="71"/>
      <c r="M47" s="72"/>
      <c r="N47" s="72"/>
      <c r="O47" s="73"/>
      <c r="P47" s="74"/>
      <c r="Q47" s="74"/>
      <c r="R47" s="86"/>
      <c r="S47" s="86"/>
      <c r="T47" s="86"/>
      <c r="U47" s="86"/>
      <c r="V47" s="48"/>
      <c r="W47" s="48"/>
      <c r="X47" s="48"/>
      <c r="Y47" s="48"/>
      <c r="Z47" s="47"/>
      <c r="AA47" s="69">
        <v>47</v>
      </c>
      <c r="AB47" s="69"/>
      <c r="AC47" s="70"/>
      <c r="AD47" s="76" t="s">
        <v>5371</v>
      </c>
      <c r="AE47" s="81" t="s">
        <v>5651</v>
      </c>
      <c r="AF47" s="76">
        <v>14784</v>
      </c>
      <c r="AG47" s="76">
        <v>270</v>
      </c>
      <c r="AH47" s="76">
        <v>47166</v>
      </c>
      <c r="AI47" s="76">
        <v>44</v>
      </c>
      <c r="AJ47" s="76">
        <v>143</v>
      </c>
      <c r="AK47" s="76">
        <v>14411</v>
      </c>
      <c r="AL47" s="76" t="b">
        <v>0</v>
      </c>
      <c r="AM47" s="78">
        <v>40489.528587962966</v>
      </c>
      <c r="AN47" s="76" t="s">
        <v>3410</v>
      </c>
      <c r="AO47" s="83" t="str">
        <f>HYPERLINK("https://t.co/qlnZ5UsZ7Y")</f>
        <v>https://t.co/qlnZ5UsZ7Y</v>
      </c>
      <c r="AP47" s="83" t="str">
        <f>HYPERLINK("https://t.co/3JGflcEKcN")</f>
        <v>https://t.co/3JGflcEKcN</v>
      </c>
      <c r="AQ47" s="83" t="str">
        <f>HYPERLINK("http://www.jornalcontabil.com.br")</f>
        <v>http://www.jornalcontabil.com.br</v>
      </c>
      <c r="AR47" s="76" t="s">
        <v>6162</v>
      </c>
      <c r="AS47" s="83" t="str">
        <f>HYPERLINK("https://t.co/qlnZ5UsZ7Y")</f>
        <v>https://t.co/qlnZ5UsZ7Y</v>
      </c>
      <c r="AT47" s="83" t="str">
        <f>HYPERLINK("http://jornalcontabil.com.br")</f>
        <v>http://jornalcontabil.com.br</v>
      </c>
      <c r="AU47" s="76" t="s">
        <v>6162</v>
      </c>
      <c r="AV47" s="76"/>
      <c r="AW47" s="83" t="str">
        <f>HYPERLINK("https://t.co/3JGflcEKcN")</f>
        <v>https://t.co/3JGflcEKcN</v>
      </c>
      <c r="AX47" s="76" t="b">
        <v>0</v>
      </c>
      <c r="AY47" s="76"/>
      <c r="AZ47" s="76"/>
      <c r="BA47" s="76" t="b">
        <v>0</v>
      </c>
      <c r="BB47" s="76" t="b">
        <v>1</v>
      </c>
      <c r="BC47" s="76" t="b">
        <v>0</v>
      </c>
      <c r="BD47" s="76" t="b">
        <v>0</v>
      </c>
      <c r="BE47" s="76" t="b">
        <v>1</v>
      </c>
      <c r="BF47" s="76" t="b">
        <v>0</v>
      </c>
      <c r="BG47" s="76" t="b">
        <v>0</v>
      </c>
      <c r="BH47" s="83" t="str">
        <f>HYPERLINK("https://pbs.twimg.com/profile_banners/212916157/1666613705")</f>
        <v>https://pbs.twimg.com/profile_banners/212916157/1666613705</v>
      </c>
      <c r="BI47" s="76"/>
      <c r="BJ47" s="76" t="s">
        <v>6360</v>
      </c>
      <c r="BK47" s="76" t="b">
        <v>0</v>
      </c>
      <c r="BL47" s="76"/>
      <c r="BM47" s="76" t="s">
        <v>66</v>
      </c>
      <c r="BN47" s="76" t="s">
        <v>6362</v>
      </c>
      <c r="BO47" s="83" t="str">
        <f>HYPERLINK("https://twitter.com/jornalcontabil_")</f>
        <v>https://twitter.com/jornalcontabil_</v>
      </c>
      <c r="BP47" s="2"/>
    </row>
    <row r="48" spans="1:68" x14ac:dyDescent="0.25">
      <c r="A48" s="62" t="s">
        <v>264</v>
      </c>
      <c r="B48" s="63"/>
      <c r="C48" s="63"/>
      <c r="D48" s="64"/>
      <c r="E48" s="66"/>
      <c r="F48" s="102" t="str">
        <f>HYPERLINK("https://pbs.twimg.com/profile_images/1657049643560124416/N9AK4rg0_normal.jpg")</f>
        <v>https://pbs.twimg.com/profile_images/1657049643560124416/N9AK4rg0_normal.jpg</v>
      </c>
      <c r="G48" s="63"/>
      <c r="H48" s="67"/>
      <c r="I48" s="68"/>
      <c r="J48" s="68"/>
      <c r="K48" s="67" t="s">
        <v>6407</v>
      </c>
      <c r="L48" s="71"/>
      <c r="M48" s="72"/>
      <c r="N48" s="72"/>
      <c r="O48" s="73"/>
      <c r="P48" s="74"/>
      <c r="Q48" s="74"/>
      <c r="R48" s="86"/>
      <c r="S48" s="86"/>
      <c r="T48" s="86"/>
      <c r="U48" s="86"/>
      <c r="V48" s="48"/>
      <c r="W48" s="48"/>
      <c r="X48" s="48"/>
      <c r="Y48" s="48"/>
      <c r="Z48" s="47"/>
      <c r="AA48" s="69">
        <v>48</v>
      </c>
      <c r="AB48" s="69"/>
      <c r="AC48" s="70"/>
      <c r="AD48" s="76" t="s">
        <v>5372</v>
      </c>
      <c r="AE48" s="81" t="s">
        <v>5143</v>
      </c>
      <c r="AF48" s="76">
        <v>4</v>
      </c>
      <c r="AG48" s="76">
        <v>6</v>
      </c>
      <c r="AH48" s="76">
        <v>46</v>
      </c>
      <c r="AI48" s="76">
        <v>0</v>
      </c>
      <c r="AJ48" s="76">
        <v>1</v>
      </c>
      <c r="AK48" s="76">
        <v>28</v>
      </c>
      <c r="AL48" s="76" t="b">
        <v>0</v>
      </c>
      <c r="AM48" s="78">
        <v>44957.61959490741</v>
      </c>
      <c r="AN48" s="76" t="s">
        <v>5757</v>
      </c>
      <c r="AO48" s="76" t="s">
        <v>5895</v>
      </c>
      <c r="AP48" s="83" t="str">
        <f>HYPERLINK("https://t.co/ft9Ik1KXJ3")</f>
        <v>https://t.co/ft9Ik1KXJ3</v>
      </c>
      <c r="AQ48" s="83" t="str">
        <f>HYPERLINK("https://www.colegiopectrus.com.br/")</f>
        <v>https://www.colegiopectrus.com.br/</v>
      </c>
      <c r="AR48" s="76" t="s">
        <v>6163</v>
      </c>
      <c r="AS48" s="76"/>
      <c r="AT48" s="76"/>
      <c r="AU48" s="76"/>
      <c r="AV48" s="76">
        <v>1.65850028860338E+18</v>
      </c>
      <c r="AW48" s="83" t="str">
        <f>HYPERLINK("https://t.co/ft9Ik1KXJ3")</f>
        <v>https://t.co/ft9Ik1KXJ3</v>
      </c>
      <c r="AX48" s="76" t="b">
        <v>0</v>
      </c>
      <c r="AY48" s="76"/>
      <c r="AZ48" s="76"/>
      <c r="BA48" s="76" t="b">
        <v>0</v>
      </c>
      <c r="BB48" s="76" t="b">
        <v>1</v>
      </c>
      <c r="BC48" s="76" t="b">
        <v>1</v>
      </c>
      <c r="BD48" s="76" t="b">
        <v>0</v>
      </c>
      <c r="BE48" s="76" t="b">
        <v>0</v>
      </c>
      <c r="BF48" s="76" t="b">
        <v>0</v>
      </c>
      <c r="BG48" s="76" t="b">
        <v>0</v>
      </c>
      <c r="BH48" s="83" t="str">
        <f>HYPERLINK("https://pbs.twimg.com/profile_banners/1620434756906221569/1683915004")</f>
        <v>https://pbs.twimg.com/profile_banners/1620434756906221569/1683915004</v>
      </c>
      <c r="BI48" s="76"/>
      <c r="BJ48" s="76" t="s">
        <v>6360</v>
      </c>
      <c r="BK48" s="76" t="b">
        <v>0</v>
      </c>
      <c r="BL48" s="76"/>
      <c r="BM48" s="76" t="s">
        <v>66</v>
      </c>
      <c r="BN48" s="76" t="s">
        <v>6362</v>
      </c>
      <c r="BO48" s="83" t="str">
        <f>HYPERLINK("https://twitter.com/colegiopectrus")</f>
        <v>https://twitter.com/colegiopectrus</v>
      </c>
      <c r="BP48" s="2"/>
    </row>
    <row r="49" spans="1:68" x14ac:dyDescent="0.25">
      <c r="A49" s="62" t="s">
        <v>265</v>
      </c>
      <c r="B49" s="63"/>
      <c r="C49" s="63"/>
      <c r="D49" s="64"/>
      <c r="E49" s="66"/>
      <c r="F49" s="102" t="str">
        <f>HYPERLINK("https://pbs.twimg.com/profile_images/1277245067221237760/Zapce2Ts_normal.jpg")</f>
        <v>https://pbs.twimg.com/profile_images/1277245067221237760/Zapce2Ts_normal.jpg</v>
      </c>
      <c r="G49" s="63"/>
      <c r="H49" s="67"/>
      <c r="I49" s="68"/>
      <c r="J49" s="68"/>
      <c r="K49" s="67" t="s">
        <v>6408</v>
      </c>
      <c r="L49" s="71"/>
      <c r="M49" s="72"/>
      <c r="N49" s="72"/>
      <c r="O49" s="73"/>
      <c r="P49" s="74"/>
      <c r="Q49" s="74"/>
      <c r="R49" s="86"/>
      <c r="S49" s="86"/>
      <c r="T49" s="86"/>
      <c r="U49" s="86"/>
      <c r="V49" s="48"/>
      <c r="W49" s="48"/>
      <c r="X49" s="48"/>
      <c r="Y49" s="48"/>
      <c r="Z49" s="47"/>
      <c r="AA49" s="69">
        <v>49</v>
      </c>
      <c r="AB49" s="69"/>
      <c r="AC49" s="70"/>
      <c r="AD49" s="76" t="s">
        <v>5373</v>
      </c>
      <c r="AE49" s="81" t="s">
        <v>5144</v>
      </c>
      <c r="AF49" s="76">
        <v>371</v>
      </c>
      <c r="AG49" s="76">
        <v>1580</v>
      </c>
      <c r="AH49" s="76">
        <v>45175</v>
      </c>
      <c r="AI49" s="76">
        <v>0</v>
      </c>
      <c r="AJ49" s="76">
        <v>30267</v>
      </c>
      <c r="AK49" s="76">
        <v>15078</v>
      </c>
      <c r="AL49" s="76" t="b">
        <v>0</v>
      </c>
      <c r="AM49" s="78">
        <v>43562.966284722221</v>
      </c>
      <c r="AN49" s="76" t="s">
        <v>5758</v>
      </c>
      <c r="AO49" s="76" t="s">
        <v>5896</v>
      </c>
      <c r="AP49" s="83" t="str">
        <f>HYPERLINK("https://t.co/rsP2gVw9wY")</f>
        <v>https://t.co/rsP2gVw9wY</v>
      </c>
      <c r="AQ49" s="83" t="str">
        <f>HYPERLINK("https://www.instagram.com/professorjeanjavarini/")</f>
        <v>https://www.instagram.com/professorjeanjavarini/</v>
      </c>
      <c r="AR49" s="76" t="s">
        <v>6164</v>
      </c>
      <c r="AS49" s="76"/>
      <c r="AT49" s="76"/>
      <c r="AU49" s="76"/>
      <c r="AV49" s="76">
        <v>1.6629294397751301E+18</v>
      </c>
      <c r="AW49" s="83" t="str">
        <f>HYPERLINK("https://t.co/rsP2gVw9wY")</f>
        <v>https://t.co/rsP2gVw9wY</v>
      </c>
      <c r="AX49" s="76" t="b">
        <v>0</v>
      </c>
      <c r="AY49" s="76"/>
      <c r="AZ49" s="76"/>
      <c r="BA49" s="76" t="b">
        <v>0</v>
      </c>
      <c r="BB49" s="76" t="b">
        <v>1</v>
      </c>
      <c r="BC49" s="76" t="b">
        <v>1</v>
      </c>
      <c r="BD49" s="76" t="b">
        <v>0</v>
      </c>
      <c r="BE49" s="76" t="b">
        <v>0</v>
      </c>
      <c r="BF49" s="76" t="b">
        <v>0</v>
      </c>
      <c r="BG49" s="76" t="b">
        <v>0</v>
      </c>
      <c r="BH49" s="83" t="str">
        <f>HYPERLINK("https://pbs.twimg.com/profile_banners/1115029348816388101/1678538890")</f>
        <v>https://pbs.twimg.com/profile_banners/1115029348816388101/1678538890</v>
      </c>
      <c r="BI49" s="76"/>
      <c r="BJ49" s="76" t="s">
        <v>6360</v>
      </c>
      <c r="BK49" s="76" t="b">
        <v>0</v>
      </c>
      <c r="BL49" s="76"/>
      <c r="BM49" s="76" t="s">
        <v>66</v>
      </c>
      <c r="BN49" s="76" t="s">
        <v>6362</v>
      </c>
      <c r="BO49" s="83" t="str">
        <f>HYPERLINK("https://twitter.com/javarinijean")</f>
        <v>https://twitter.com/javarinijean</v>
      </c>
      <c r="BP49" s="2"/>
    </row>
    <row r="50" spans="1:68" x14ac:dyDescent="0.25">
      <c r="A50" s="62" t="s">
        <v>266</v>
      </c>
      <c r="B50" s="63"/>
      <c r="C50" s="63"/>
      <c r="D50" s="64"/>
      <c r="E50" s="66"/>
      <c r="F50" s="102" t="str">
        <f>HYPERLINK("https://pbs.twimg.com/profile_images/1276150299560992770/f8LsoPYA_normal.jpg")</f>
        <v>https://pbs.twimg.com/profile_images/1276150299560992770/f8LsoPYA_normal.jpg</v>
      </c>
      <c r="G50" s="63"/>
      <c r="H50" s="67"/>
      <c r="I50" s="68"/>
      <c r="J50" s="68"/>
      <c r="K50" s="67" t="s">
        <v>6409</v>
      </c>
      <c r="L50" s="71"/>
      <c r="M50" s="72"/>
      <c r="N50" s="72"/>
      <c r="O50" s="73"/>
      <c r="P50" s="74"/>
      <c r="Q50" s="74"/>
      <c r="R50" s="86"/>
      <c r="S50" s="86"/>
      <c r="T50" s="86"/>
      <c r="U50" s="86"/>
      <c r="V50" s="48"/>
      <c r="W50" s="48"/>
      <c r="X50" s="48"/>
      <c r="Y50" s="48"/>
      <c r="Z50" s="47"/>
      <c r="AA50" s="69">
        <v>50</v>
      </c>
      <c r="AB50" s="69"/>
      <c r="AC50" s="70"/>
      <c r="AD50" s="76" t="s">
        <v>5374</v>
      </c>
      <c r="AE50" s="81" t="s">
        <v>5145</v>
      </c>
      <c r="AF50" s="76">
        <v>58</v>
      </c>
      <c r="AG50" s="76">
        <v>4</v>
      </c>
      <c r="AH50" s="76">
        <v>904</v>
      </c>
      <c r="AI50" s="76">
        <v>4</v>
      </c>
      <c r="AJ50" s="76">
        <v>3</v>
      </c>
      <c r="AK50" s="76">
        <v>893</v>
      </c>
      <c r="AL50" s="76" t="b">
        <v>0</v>
      </c>
      <c r="AM50" s="78">
        <v>43152.878703703704</v>
      </c>
      <c r="AN50" s="76"/>
      <c r="AO50" s="76" t="s">
        <v>5897</v>
      </c>
      <c r="AP50" s="83" t="str">
        <f>HYPERLINK("https://t.co/fMRDv0Jekv")</f>
        <v>https://t.co/fMRDv0Jekv</v>
      </c>
      <c r="AQ50" s="83" t="str">
        <f>HYPERLINK("https://www.williamhunt.com.br/segredos-dos-investimentos-para-iniciantes")</f>
        <v>https://www.williamhunt.com.br/segredos-dos-investimentos-para-iniciantes</v>
      </c>
      <c r="AR50" s="76" t="s">
        <v>6165</v>
      </c>
      <c r="AS50" s="76"/>
      <c r="AT50" s="76"/>
      <c r="AU50" s="76"/>
      <c r="AV50" s="76"/>
      <c r="AW50" s="83" t="str">
        <f>HYPERLINK("https://t.co/fMRDv0Jekv")</f>
        <v>https://t.co/fMRDv0Jekv</v>
      </c>
      <c r="AX50" s="76" t="b">
        <v>0</v>
      </c>
      <c r="AY50" s="76"/>
      <c r="AZ50" s="76"/>
      <c r="BA50" s="76" t="b">
        <v>0</v>
      </c>
      <c r="BB50" s="76" t="b">
        <v>1</v>
      </c>
      <c r="BC50" s="76" t="b">
        <v>0</v>
      </c>
      <c r="BD50" s="76" t="b">
        <v>0</v>
      </c>
      <c r="BE50" s="76" t="b">
        <v>0</v>
      </c>
      <c r="BF50" s="76" t="b">
        <v>0</v>
      </c>
      <c r="BG50" s="76" t="b">
        <v>0</v>
      </c>
      <c r="BH50" s="83" t="str">
        <f>HYPERLINK("https://pbs.twimg.com/profile_banners/966418582421811200/1678219927")</f>
        <v>https://pbs.twimg.com/profile_banners/966418582421811200/1678219927</v>
      </c>
      <c r="BI50" s="76"/>
      <c r="BJ50" s="76" t="s">
        <v>6360</v>
      </c>
      <c r="BK50" s="76" t="b">
        <v>0</v>
      </c>
      <c r="BL50" s="76"/>
      <c r="BM50" s="76" t="s">
        <v>66</v>
      </c>
      <c r="BN50" s="76" t="s">
        <v>6362</v>
      </c>
      <c r="BO50" s="83" t="str">
        <f>HYPERLINK("https://twitter.com/williamhuntbr")</f>
        <v>https://twitter.com/williamhuntbr</v>
      </c>
      <c r="BP50" s="2"/>
    </row>
    <row r="51" spans="1:68" x14ac:dyDescent="0.25">
      <c r="A51" s="62" t="s">
        <v>267</v>
      </c>
      <c r="B51" s="63"/>
      <c r="C51" s="63"/>
      <c r="D51" s="64"/>
      <c r="E51" s="66"/>
      <c r="F51" s="102" t="str">
        <f>HYPERLINK("https://pbs.twimg.com/profile_images/1401173226517143552/PRfYdES1_normal.jpg")</f>
        <v>https://pbs.twimg.com/profile_images/1401173226517143552/PRfYdES1_normal.jpg</v>
      </c>
      <c r="G51" s="63"/>
      <c r="H51" s="67"/>
      <c r="I51" s="68"/>
      <c r="J51" s="68"/>
      <c r="K51" s="67" t="s">
        <v>6410</v>
      </c>
      <c r="L51" s="71"/>
      <c r="M51" s="72"/>
      <c r="N51" s="72"/>
      <c r="O51" s="73"/>
      <c r="P51" s="74"/>
      <c r="Q51" s="74"/>
      <c r="R51" s="86"/>
      <c r="S51" s="86"/>
      <c r="T51" s="86"/>
      <c r="U51" s="86"/>
      <c r="V51" s="48"/>
      <c r="W51" s="48"/>
      <c r="X51" s="48"/>
      <c r="Y51" s="48"/>
      <c r="Z51" s="47"/>
      <c r="AA51" s="69">
        <v>51</v>
      </c>
      <c r="AB51" s="69"/>
      <c r="AC51" s="70"/>
      <c r="AD51" s="76" t="s">
        <v>5375</v>
      </c>
      <c r="AE51" s="81" t="s">
        <v>5652</v>
      </c>
      <c r="AF51" s="76">
        <v>92</v>
      </c>
      <c r="AG51" s="76">
        <v>93</v>
      </c>
      <c r="AH51" s="76">
        <v>1783</v>
      </c>
      <c r="AI51" s="76">
        <v>0</v>
      </c>
      <c r="AJ51" s="76">
        <v>292</v>
      </c>
      <c r="AK51" s="76">
        <v>57</v>
      </c>
      <c r="AL51" s="76" t="b">
        <v>0</v>
      </c>
      <c r="AM51" s="78">
        <v>40026.563831018517</v>
      </c>
      <c r="AN51" s="76" t="s">
        <v>5759</v>
      </c>
      <c r="AO51" s="76" t="s">
        <v>5898</v>
      </c>
      <c r="AP51" s="83" t="str">
        <f>HYPERLINK("https://t.co/mDRLu2t3A5")</f>
        <v>https://t.co/mDRLu2t3A5</v>
      </c>
      <c r="AQ51" s="83" t="str">
        <f>HYPERLINK("http://tonyfinancas.com.br")</f>
        <v>http://tonyfinancas.com.br</v>
      </c>
      <c r="AR51" s="76" t="s">
        <v>6166</v>
      </c>
      <c r="AS51" s="76"/>
      <c r="AT51" s="76"/>
      <c r="AU51" s="76"/>
      <c r="AV51" s="76">
        <v>1.6240553032506199E+18</v>
      </c>
      <c r="AW51" s="83" t="str">
        <f>HYPERLINK("https://t.co/mDRLu2t3A5")</f>
        <v>https://t.co/mDRLu2t3A5</v>
      </c>
      <c r="AX51" s="76" t="b">
        <v>0</v>
      </c>
      <c r="AY51" s="76"/>
      <c r="AZ51" s="76"/>
      <c r="BA51" s="76" t="b">
        <v>1</v>
      </c>
      <c r="BB51" s="76" t="b">
        <v>1</v>
      </c>
      <c r="BC51" s="76" t="b">
        <v>0</v>
      </c>
      <c r="BD51" s="76" t="b">
        <v>0</v>
      </c>
      <c r="BE51" s="76" t="b">
        <v>0</v>
      </c>
      <c r="BF51" s="76" t="b">
        <v>0</v>
      </c>
      <c r="BG51" s="76" t="b">
        <v>0</v>
      </c>
      <c r="BH51" s="83" t="str">
        <f>HYPERLINK("https://pbs.twimg.com/profile_banners/62033604/1617722431")</f>
        <v>https://pbs.twimg.com/profile_banners/62033604/1617722431</v>
      </c>
      <c r="BI51" s="76"/>
      <c r="BJ51" s="76" t="s">
        <v>6360</v>
      </c>
      <c r="BK51" s="76" t="b">
        <v>0</v>
      </c>
      <c r="BL51" s="76"/>
      <c r="BM51" s="76" t="s">
        <v>66</v>
      </c>
      <c r="BN51" s="76" t="s">
        <v>6362</v>
      </c>
      <c r="BO51" s="83" t="str">
        <f>HYPERLINK("https://twitter.com/tony_financas")</f>
        <v>https://twitter.com/tony_financas</v>
      </c>
      <c r="BP51" s="2"/>
    </row>
    <row r="52" spans="1:68" x14ac:dyDescent="0.25">
      <c r="A52" s="62" t="s">
        <v>268</v>
      </c>
      <c r="B52" s="63"/>
      <c r="C52" s="63"/>
      <c r="D52" s="64"/>
      <c r="E52" s="66"/>
      <c r="F52" s="102" t="str">
        <f>HYPERLINK("https://pbs.twimg.com/profile_images/1168497822011838464/VTU361vX_normal.jpg")</f>
        <v>https://pbs.twimg.com/profile_images/1168497822011838464/VTU361vX_normal.jpg</v>
      </c>
      <c r="G52" s="63"/>
      <c r="H52" s="67"/>
      <c r="I52" s="68"/>
      <c r="J52" s="68"/>
      <c r="K52" s="67" t="s">
        <v>6411</v>
      </c>
      <c r="L52" s="71"/>
      <c r="M52" s="72"/>
      <c r="N52" s="72"/>
      <c r="O52" s="73"/>
      <c r="P52" s="74"/>
      <c r="Q52" s="74"/>
      <c r="R52" s="86"/>
      <c r="S52" s="86"/>
      <c r="T52" s="86"/>
      <c r="U52" s="86"/>
      <c r="V52" s="48"/>
      <c r="W52" s="48"/>
      <c r="X52" s="48"/>
      <c r="Y52" s="48"/>
      <c r="Z52" s="47"/>
      <c r="AA52" s="69">
        <v>52</v>
      </c>
      <c r="AB52" s="69"/>
      <c r="AC52" s="70"/>
      <c r="AD52" s="76" t="s">
        <v>5376</v>
      </c>
      <c r="AE52" s="81" t="s">
        <v>5146</v>
      </c>
      <c r="AF52" s="76">
        <v>25</v>
      </c>
      <c r="AG52" s="76">
        <v>23</v>
      </c>
      <c r="AH52" s="76">
        <v>407</v>
      </c>
      <c r="AI52" s="76">
        <v>0</v>
      </c>
      <c r="AJ52" s="76">
        <v>502</v>
      </c>
      <c r="AK52" s="76">
        <v>277</v>
      </c>
      <c r="AL52" s="76" t="b">
        <v>0</v>
      </c>
      <c r="AM52" s="78">
        <v>43710.493032407408</v>
      </c>
      <c r="AN52" s="76"/>
      <c r="AO52" s="76" t="s">
        <v>5899</v>
      </c>
      <c r="AP52" s="76"/>
      <c r="AQ52" s="76"/>
      <c r="AR52" s="76"/>
      <c r="AS52" s="76"/>
      <c r="AT52" s="76"/>
      <c r="AU52" s="76"/>
      <c r="AV52" s="76">
        <v>1.67573464037471E+18</v>
      </c>
      <c r="AW52" s="76"/>
      <c r="AX52" s="76" t="b">
        <v>0</v>
      </c>
      <c r="AY52" s="76"/>
      <c r="AZ52" s="76"/>
      <c r="BA52" s="76" t="b">
        <v>0</v>
      </c>
      <c r="BB52" s="76" t="b">
        <v>1</v>
      </c>
      <c r="BC52" s="76" t="b">
        <v>1</v>
      </c>
      <c r="BD52" s="76" t="b">
        <v>0</v>
      </c>
      <c r="BE52" s="76" t="b">
        <v>0</v>
      </c>
      <c r="BF52" s="76" t="b">
        <v>0</v>
      </c>
      <c r="BG52" s="76" t="b">
        <v>0</v>
      </c>
      <c r="BH52" s="76"/>
      <c r="BI52" s="76"/>
      <c r="BJ52" s="76" t="s">
        <v>6360</v>
      </c>
      <c r="BK52" s="76" t="b">
        <v>0</v>
      </c>
      <c r="BL52" s="76"/>
      <c r="BM52" s="76" t="s">
        <v>66</v>
      </c>
      <c r="BN52" s="76" t="s">
        <v>6362</v>
      </c>
      <c r="BO52" s="83" t="str">
        <f>HYPERLINK("https://twitter.com/puneetkohli1979")</f>
        <v>https://twitter.com/puneetkohli1979</v>
      </c>
      <c r="BP52" s="2"/>
    </row>
    <row r="53" spans="1:68" x14ac:dyDescent="0.25">
      <c r="A53" s="62" t="s">
        <v>269</v>
      </c>
      <c r="B53" s="63"/>
      <c r="C53" s="63"/>
      <c r="D53" s="64"/>
      <c r="E53" s="66"/>
      <c r="F53" s="102" t="str">
        <f>HYPERLINK("https://pbs.twimg.com/profile_images/1693320843894435840/_5YiDUQx_normal.jpg")</f>
        <v>https://pbs.twimg.com/profile_images/1693320843894435840/_5YiDUQx_normal.jpg</v>
      </c>
      <c r="G53" s="63"/>
      <c r="H53" s="67"/>
      <c r="I53" s="68"/>
      <c r="J53" s="68"/>
      <c r="K53" s="67" t="s">
        <v>6412</v>
      </c>
      <c r="L53" s="71"/>
      <c r="M53" s="72"/>
      <c r="N53" s="72"/>
      <c r="O53" s="73"/>
      <c r="P53" s="74"/>
      <c r="Q53" s="74"/>
      <c r="R53" s="86"/>
      <c r="S53" s="86"/>
      <c r="T53" s="86"/>
      <c r="U53" s="86"/>
      <c r="V53" s="48"/>
      <c r="W53" s="48"/>
      <c r="X53" s="48"/>
      <c r="Y53" s="48"/>
      <c r="Z53" s="47"/>
      <c r="AA53" s="69">
        <v>53</v>
      </c>
      <c r="AB53" s="69"/>
      <c r="AC53" s="70"/>
      <c r="AD53" s="76" t="s">
        <v>5377</v>
      </c>
      <c r="AE53" s="81" t="s">
        <v>5147</v>
      </c>
      <c r="AF53" s="76">
        <v>1</v>
      </c>
      <c r="AG53" s="76">
        <v>32</v>
      </c>
      <c r="AH53" s="76">
        <v>25</v>
      </c>
      <c r="AI53" s="76">
        <v>0</v>
      </c>
      <c r="AJ53" s="76">
        <v>13</v>
      </c>
      <c r="AK53" s="76">
        <v>12</v>
      </c>
      <c r="AL53" s="76" t="b">
        <v>0</v>
      </c>
      <c r="AM53" s="78">
        <v>44748.623067129629</v>
      </c>
      <c r="AN53" s="76"/>
      <c r="AO53" s="76" t="s">
        <v>5900</v>
      </c>
      <c r="AP53" s="76"/>
      <c r="AQ53" s="76"/>
      <c r="AR53" s="76"/>
      <c r="AS53" s="76"/>
      <c r="AT53" s="76"/>
      <c r="AU53" s="76"/>
      <c r="AV53" s="76">
        <v>1.56600769611709E+18</v>
      </c>
      <c r="AW53" s="76"/>
      <c r="AX53" s="76" t="b">
        <v>0</v>
      </c>
      <c r="AY53" s="76"/>
      <c r="AZ53" s="76"/>
      <c r="BA53" s="76" t="b">
        <v>0</v>
      </c>
      <c r="BB53" s="76" t="b">
        <v>1</v>
      </c>
      <c r="BC53" s="76" t="b">
        <v>1</v>
      </c>
      <c r="BD53" s="76" t="b">
        <v>0</v>
      </c>
      <c r="BE53" s="76" t="b">
        <v>0</v>
      </c>
      <c r="BF53" s="76" t="b">
        <v>0</v>
      </c>
      <c r="BG53" s="76" t="b">
        <v>0</v>
      </c>
      <c r="BH53" s="83" t="str">
        <f>HYPERLINK("https://pbs.twimg.com/profile_banners/1544696882454302720/1692554124")</f>
        <v>https://pbs.twimg.com/profile_banners/1544696882454302720/1692554124</v>
      </c>
      <c r="BI53" s="76"/>
      <c r="BJ53" s="76" t="s">
        <v>6360</v>
      </c>
      <c r="BK53" s="76" t="b">
        <v>0</v>
      </c>
      <c r="BL53" s="76"/>
      <c r="BM53" s="76" t="s">
        <v>66</v>
      </c>
      <c r="BN53" s="76" t="s">
        <v>6362</v>
      </c>
      <c r="BO53" s="83" t="str">
        <f>HYPERLINK("https://twitter.com/ludemicon")</f>
        <v>https://twitter.com/ludemicon</v>
      </c>
      <c r="BP53" s="2"/>
    </row>
    <row r="54" spans="1:68" x14ac:dyDescent="0.25">
      <c r="A54" s="62" t="s">
        <v>519</v>
      </c>
      <c r="B54" s="63"/>
      <c r="C54" s="63"/>
      <c r="D54" s="64"/>
      <c r="E54" s="66"/>
      <c r="F54" s="102" t="str">
        <f>HYPERLINK("https://pbs.twimg.com/profile_images/1655946691554709508/mR9gODcz_normal.jpg")</f>
        <v>https://pbs.twimg.com/profile_images/1655946691554709508/mR9gODcz_normal.jpg</v>
      </c>
      <c r="G54" s="63"/>
      <c r="H54" s="67"/>
      <c r="I54" s="68"/>
      <c r="J54" s="68"/>
      <c r="K54" s="67" t="s">
        <v>6413</v>
      </c>
      <c r="L54" s="71"/>
      <c r="M54" s="72"/>
      <c r="N54" s="72"/>
      <c r="O54" s="73"/>
      <c r="P54" s="74"/>
      <c r="Q54" s="74"/>
      <c r="R54" s="86"/>
      <c r="S54" s="86"/>
      <c r="T54" s="86"/>
      <c r="U54" s="86"/>
      <c r="V54" s="48"/>
      <c r="W54" s="48"/>
      <c r="X54" s="48"/>
      <c r="Y54" s="48"/>
      <c r="Z54" s="47"/>
      <c r="AA54" s="69">
        <v>54</v>
      </c>
      <c r="AB54" s="69"/>
      <c r="AC54" s="70"/>
      <c r="AD54" s="76" t="s">
        <v>5378</v>
      </c>
      <c r="AE54" s="81" t="s">
        <v>5653</v>
      </c>
      <c r="AF54" s="76">
        <v>1265</v>
      </c>
      <c r="AG54" s="76">
        <v>48</v>
      </c>
      <c r="AH54" s="76">
        <v>1246</v>
      </c>
      <c r="AI54" s="76">
        <v>13</v>
      </c>
      <c r="AJ54" s="76">
        <v>1073</v>
      </c>
      <c r="AK54" s="76">
        <v>218</v>
      </c>
      <c r="AL54" s="76" t="b">
        <v>0</v>
      </c>
      <c r="AM54" s="78">
        <v>41917.724756944444</v>
      </c>
      <c r="AN54" s="76" t="s">
        <v>3410</v>
      </c>
      <c r="AO54" s="76" t="s">
        <v>5901</v>
      </c>
      <c r="AP54" s="83" t="str">
        <f>HYPERLINK("https://t.co/APlDMvTHPe")</f>
        <v>https://t.co/APlDMvTHPe</v>
      </c>
      <c r="AQ54" s="83" t="str">
        <f>HYPERLINK("http://www.ademicon.com.br")</f>
        <v>http://www.ademicon.com.br</v>
      </c>
      <c r="AR54" s="76" t="s">
        <v>6167</v>
      </c>
      <c r="AS54" s="76"/>
      <c r="AT54" s="76"/>
      <c r="AU54" s="76"/>
      <c r="AV54" s="76"/>
      <c r="AW54" s="83" t="str">
        <f>HYPERLINK("https://t.co/APlDMvTHPe")</f>
        <v>https://t.co/APlDMvTHPe</v>
      </c>
      <c r="AX54" s="76" t="b">
        <v>0</v>
      </c>
      <c r="AY54" s="76"/>
      <c r="AZ54" s="76"/>
      <c r="BA54" s="76" t="b">
        <v>1</v>
      </c>
      <c r="BB54" s="76" t="b">
        <v>1</v>
      </c>
      <c r="BC54" s="76" t="b">
        <v>1</v>
      </c>
      <c r="BD54" s="76" t="b">
        <v>0</v>
      </c>
      <c r="BE54" s="76" t="b">
        <v>0</v>
      </c>
      <c r="BF54" s="76" t="b">
        <v>0</v>
      </c>
      <c r="BG54" s="76" t="b">
        <v>0</v>
      </c>
      <c r="BH54" s="83" t="str">
        <f>HYPERLINK("https://pbs.twimg.com/profile_banners/2808537327/1683643433")</f>
        <v>https://pbs.twimg.com/profile_banners/2808537327/1683643433</v>
      </c>
      <c r="BI54" s="76"/>
      <c r="BJ54" s="76" t="s">
        <v>6360</v>
      </c>
      <c r="BK54" s="76" t="b">
        <v>0</v>
      </c>
      <c r="BL54" s="76"/>
      <c r="BM54" s="76" t="s">
        <v>65</v>
      </c>
      <c r="BN54" s="76" t="s">
        <v>6362</v>
      </c>
      <c r="BO54" s="83" t="str">
        <f>HYPERLINK("https://twitter.com/ademicon")</f>
        <v>https://twitter.com/ademicon</v>
      </c>
      <c r="BP54" s="2"/>
    </row>
    <row r="55" spans="1:68" x14ac:dyDescent="0.25">
      <c r="A55" s="62" t="s">
        <v>270</v>
      </c>
      <c r="B55" s="63"/>
      <c r="C55" s="63"/>
      <c r="D55" s="64"/>
      <c r="E55" s="66"/>
      <c r="F55" s="102" t="str">
        <f>HYPERLINK("https://pbs.twimg.com/profile_images/1665822666849230850/lKxsQRVU_normal.jpg")</f>
        <v>https://pbs.twimg.com/profile_images/1665822666849230850/lKxsQRVU_normal.jpg</v>
      </c>
      <c r="G55" s="63"/>
      <c r="H55" s="67"/>
      <c r="I55" s="68"/>
      <c r="J55" s="68"/>
      <c r="K55" s="67" t="s">
        <v>6414</v>
      </c>
      <c r="L55" s="71"/>
      <c r="M55" s="72"/>
      <c r="N55" s="72"/>
      <c r="O55" s="73"/>
      <c r="P55" s="74"/>
      <c r="Q55" s="74"/>
      <c r="R55" s="86"/>
      <c r="S55" s="86"/>
      <c r="T55" s="86"/>
      <c r="U55" s="86"/>
      <c r="V55" s="48"/>
      <c r="W55" s="48"/>
      <c r="X55" s="48"/>
      <c r="Y55" s="48"/>
      <c r="Z55" s="47"/>
      <c r="AA55" s="69">
        <v>55</v>
      </c>
      <c r="AB55" s="69"/>
      <c r="AC55" s="70"/>
      <c r="AD55" s="76" t="s">
        <v>5379</v>
      </c>
      <c r="AE55" s="81" t="s">
        <v>5148</v>
      </c>
      <c r="AF55" s="76">
        <v>313</v>
      </c>
      <c r="AG55" s="76">
        <v>55</v>
      </c>
      <c r="AH55" s="76">
        <v>92</v>
      </c>
      <c r="AI55" s="76">
        <v>5</v>
      </c>
      <c r="AJ55" s="76">
        <v>132</v>
      </c>
      <c r="AK55" s="76">
        <v>16</v>
      </c>
      <c r="AL55" s="76" t="b">
        <v>0</v>
      </c>
      <c r="AM55" s="78">
        <v>44576.616701388892</v>
      </c>
      <c r="AN55" s="76" t="s">
        <v>3435</v>
      </c>
      <c r="AO55" s="76" t="s">
        <v>5902</v>
      </c>
      <c r="AP55" s="76"/>
      <c r="AQ55" s="76"/>
      <c r="AR55" s="76"/>
      <c r="AS55" s="76"/>
      <c r="AT55" s="76"/>
      <c r="AU55" s="76"/>
      <c r="AV55" s="76"/>
      <c r="AW55" s="76"/>
      <c r="AX55" s="76" t="b">
        <v>1</v>
      </c>
      <c r="AY55" s="76"/>
      <c r="AZ55" s="76"/>
      <c r="BA55" s="76" t="b">
        <v>0</v>
      </c>
      <c r="BB55" s="76" t="b">
        <v>1</v>
      </c>
      <c r="BC55" s="76" t="b">
        <v>1</v>
      </c>
      <c r="BD55" s="76" t="b">
        <v>0</v>
      </c>
      <c r="BE55" s="76" t="b">
        <v>0</v>
      </c>
      <c r="BF55" s="76" t="b">
        <v>0</v>
      </c>
      <c r="BG55" s="76" t="b">
        <v>1</v>
      </c>
      <c r="BH55" s="83" t="str">
        <f>HYPERLINK("https://pbs.twimg.com/profile_banners/1482363900704210951/1686324583")</f>
        <v>https://pbs.twimg.com/profile_banners/1482363900704210951/1686324583</v>
      </c>
      <c r="BI55" s="76"/>
      <c r="BJ55" s="76" t="s">
        <v>6360</v>
      </c>
      <c r="BK55" s="76" t="b">
        <v>0</v>
      </c>
      <c r="BL55" s="76"/>
      <c r="BM55" s="76" t="s">
        <v>66</v>
      </c>
      <c r="BN55" s="76" t="s">
        <v>6362</v>
      </c>
      <c r="BO55" s="83" t="str">
        <f>HYPERLINK("https://twitter.com/pag4nini")</f>
        <v>https://twitter.com/pag4nini</v>
      </c>
      <c r="BP55" s="2"/>
    </row>
    <row r="56" spans="1:68" x14ac:dyDescent="0.25">
      <c r="A56" s="62" t="s">
        <v>271</v>
      </c>
      <c r="B56" s="63"/>
      <c r="C56" s="63"/>
      <c r="D56" s="64"/>
      <c r="E56" s="66"/>
      <c r="F56" s="102" t="str">
        <f>HYPERLINK("https://pbs.twimg.com/profile_images/1607019381896224773/CEONiBXG_normal.jpg")</f>
        <v>https://pbs.twimg.com/profile_images/1607019381896224773/CEONiBXG_normal.jpg</v>
      </c>
      <c r="G56" s="63"/>
      <c r="H56" s="67"/>
      <c r="I56" s="68"/>
      <c r="J56" s="68"/>
      <c r="K56" s="67" t="s">
        <v>6415</v>
      </c>
      <c r="L56" s="71"/>
      <c r="M56" s="72"/>
      <c r="N56" s="72"/>
      <c r="O56" s="73"/>
      <c r="P56" s="74"/>
      <c r="Q56" s="74"/>
      <c r="R56" s="86"/>
      <c r="S56" s="86"/>
      <c r="T56" s="86"/>
      <c r="U56" s="86"/>
      <c r="V56" s="48"/>
      <c r="W56" s="48"/>
      <c r="X56" s="48"/>
      <c r="Y56" s="48"/>
      <c r="Z56" s="47"/>
      <c r="AA56" s="69">
        <v>56</v>
      </c>
      <c r="AB56" s="69"/>
      <c r="AC56" s="70"/>
      <c r="AD56" s="76" t="s">
        <v>5380</v>
      </c>
      <c r="AE56" s="81" t="s">
        <v>5654</v>
      </c>
      <c r="AF56" s="76">
        <v>20</v>
      </c>
      <c r="AG56" s="76">
        <v>89</v>
      </c>
      <c r="AH56" s="76">
        <v>120</v>
      </c>
      <c r="AI56" s="76">
        <v>0</v>
      </c>
      <c r="AJ56" s="76">
        <v>4</v>
      </c>
      <c r="AK56" s="76">
        <v>70</v>
      </c>
      <c r="AL56" s="76" t="b">
        <v>0</v>
      </c>
      <c r="AM56" s="78">
        <v>40565.946631944447</v>
      </c>
      <c r="AN56" s="76" t="s">
        <v>5760</v>
      </c>
      <c r="AO56" s="76" t="s">
        <v>5903</v>
      </c>
      <c r="AP56" s="83" t="str">
        <f>HYPERLINK("https://t.co/s2c2xhNItY")</f>
        <v>https://t.co/s2c2xhNItY</v>
      </c>
      <c r="AQ56" s="83" t="str">
        <f>HYPERLINK("https://linktr.ee/erik.investimentos")</f>
        <v>https://linktr.ee/erik.investimentos</v>
      </c>
      <c r="AR56" s="76" t="s">
        <v>6168</v>
      </c>
      <c r="AS56" s="76"/>
      <c r="AT56" s="76"/>
      <c r="AU56" s="76"/>
      <c r="AV56" s="76"/>
      <c r="AW56" s="83" t="str">
        <f>HYPERLINK("https://t.co/s2c2xhNItY")</f>
        <v>https://t.co/s2c2xhNItY</v>
      </c>
      <c r="AX56" s="76" t="b">
        <v>0</v>
      </c>
      <c r="AY56" s="76"/>
      <c r="AZ56" s="76"/>
      <c r="BA56" s="76" t="b">
        <v>0</v>
      </c>
      <c r="BB56" s="76" t="b">
        <v>1</v>
      </c>
      <c r="BC56" s="76" t="b">
        <v>1</v>
      </c>
      <c r="BD56" s="76" t="b">
        <v>0</v>
      </c>
      <c r="BE56" s="76" t="b">
        <v>0</v>
      </c>
      <c r="BF56" s="76" t="b">
        <v>0</v>
      </c>
      <c r="BG56" s="76" t="b">
        <v>0</v>
      </c>
      <c r="BH56" s="83" t="str">
        <f>HYPERLINK("https://pbs.twimg.com/profile_banners/241696673/1671978254")</f>
        <v>https://pbs.twimg.com/profile_banners/241696673/1671978254</v>
      </c>
      <c r="BI56" s="76"/>
      <c r="BJ56" s="76" t="s">
        <v>6360</v>
      </c>
      <c r="BK56" s="76" t="b">
        <v>0</v>
      </c>
      <c r="BL56" s="76"/>
      <c r="BM56" s="76" t="s">
        <v>66</v>
      </c>
      <c r="BN56" s="76" t="s">
        <v>6362</v>
      </c>
      <c r="BO56" s="83" t="str">
        <f>HYPERLINK("https://twitter.com/erik_investir")</f>
        <v>https://twitter.com/erik_investir</v>
      </c>
      <c r="BP56" s="2"/>
    </row>
    <row r="57" spans="1:68" x14ac:dyDescent="0.25">
      <c r="A57" s="62" t="s">
        <v>272</v>
      </c>
      <c r="B57" s="63"/>
      <c r="C57" s="63"/>
      <c r="D57" s="64"/>
      <c r="E57" s="66"/>
      <c r="F57" s="102" t="str">
        <f>HYPERLINK("https://pbs.twimg.com/profile_images/1150785055729471488/qYsxrPuN_normal.png")</f>
        <v>https://pbs.twimg.com/profile_images/1150785055729471488/qYsxrPuN_normal.png</v>
      </c>
      <c r="G57" s="63"/>
      <c r="H57" s="67"/>
      <c r="I57" s="68"/>
      <c r="J57" s="68"/>
      <c r="K57" s="67" t="s">
        <v>6416</v>
      </c>
      <c r="L57" s="71"/>
      <c r="M57" s="72"/>
      <c r="N57" s="72"/>
      <c r="O57" s="73"/>
      <c r="P57" s="74"/>
      <c r="Q57" s="74"/>
      <c r="R57" s="86"/>
      <c r="S57" s="86"/>
      <c r="T57" s="86"/>
      <c r="U57" s="86"/>
      <c r="V57" s="48"/>
      <c r="W57" s="48"/>
      <c r="X57" s="48"/>
      <c r="Y57" s="48"/>
      <c r="Z57" s="47"/>
      <c r="AA57" s="69">
        <v>57</v>
      </c>
      <c r="AB57" s="69"/>
      <c r="AC57" s="70"/>
      <c r="AD57" s="76" t="s">
        <v>5381</v>
      </c>
      <c r="AE57" s="81" t="s">
        <v>5149</v>
      </c>
      <c r="AF57" s="76">
        <v>15</v>
      </c>
      <c r="AG57" s="76">
        <v>43</v>
      </c>
      <c r="AH57" s="76">
        <v>232</v>
      </c>
      <c r="AI57" s="76">
        <v>0</v>
      </c>
      <c r="AJ57" s="76">
        <v>6</v>
      </c>
      <c r="AK57" s="76">
        <v>210</v>
      </c>
      <c r="AL57" s="76" t="b">
        <v>0</v>
      </c>
      <c r="AM57" s="78">
        <v>43661.632939814815</v>
      </c>
      <c r="AN57" s="76" t="s">
        <v>5761</v>
      </c>
      <c r="AO57" s="76" t="s">
        <v>5904</v>
      </c>
      <c r="AP57" s="83" t="str">
        <f>HYPERLINK("https://t.co/cXWRoNPMqh")</f>
        <v>https://t.co/cXWRoNPMqh</v>
      </c>
      <c r="AQ57" s="83" t="str">
        <f>HYPERLINK("http://www.prospergroup.co.in")</f>
        <v>http://www.prospergroup.co.in</v>
      </c>
      <c r="AR57" s="76" t="s">
        <v>6169</v>
      </c>
      <c r="AS57" s="76"/>
      <c r="AT57" s="76"/>
      <c r="AU57" s="76"/>
      <c r="AV57" s="76"/>
      <c r="AW57" s="83" t="str">
        <f>HYPERLINK("https://t.co/cXWRoNPMqh")</f>
        <v>https://t.co/cXWRoNPMqh</v>
      </c>
      <c r="AX57" s="76" t="b">
        <v>0</v>
      </c>
      <c r="AY57" s="76"/>
      <c r="AZ57" s="76"/>
      <c r="BA57" s="76" t="b">
        <v>0</v>
      </c>
      <c r="BB57" s="76" t="b">
        <v>1</v>
      </c>
      <c r="BC57" s="76" t="b">
        <v>1</v>
      </c>
      <c r="BD57" s="76" t="b">
        <v>0</v>
      </c>
      <c r="BE57" s="76" t="b">
        <v>0</v>
      </c>
      <c r="BF57" s="76" t="b">
        <v>0</v>
      </c>
      <c r="BG57" s="76" t="b">
        <v>0</v>
      </c>
      <c r="BH57" s="83" t="str">
        <f>HYPERLINK("https://pbs.twimg.com/profile_banners/1150784944420970497/1622699964")</f>
        <v>https://pbs.twimg.com/profile_banners/1150784944420970497/1622699964</v>
      </c>
      <c r="BI57" s="76"/>
      <c r="BJ57" s="76" t="s">
        <v>6360</v>
      </c>
      <c r="BK57" s="76" t="b">
        <v>0</v>
      </c>
      <c r="BL57" s="76"/>
      <c r="BM57" s="76" t="s">
        <v>66</v>
      </c>
      <c r="BN57" s="76" t="s">
        <v>6362</v>
      </c>
      <c r="BO57" s="83" t="str">
        <f>HYPERLINK("https://twitter.com/milan_prosper")</f>
        <v>https://twitter.com/milan_prosper</v>
      </c>
      <c r="BP57" s="2"/>
    </row>
    <row r="58" spans="1:68" x14ac:dyDescent="0.25">
      <c r="A58" s="62" t="s">
        <v>273</v>
      </c>
      <c r="B58" s="63"/>
      <c r="C58" s="63"/>
      <c r="D58" s="64"/>
      <c r="E58" s="66"/>
      <c r="F58" s="102" t="str">
        <f>HYPERLINK("https://pbs.twimg.com/profile_images/1594035193081364484/kMgIPxhL_normal.jpg")</f>
        <v>https://pbs.twimg.com/profile_images/1594035193081364484/kMgIPxhL_normal.jpg</v>
      </c>
      <c r="G58" s="63"/>
      <c r="H58" s="67"/>
      <c r="I58" s="68"/>
      <c r="J58" s="68"/>
      <c r="K58" s="67" t="s">
        <v>6417</v>
      </c>
      <c r="L58" s="71"/>
      <c r="M58" s="72"/>
      <c r="N58" s="72"/>
      <c r="O58" s="73"/>
      <c r="P58" s="74"/>
      <c r="Q58" s="74"/>
      <c r="R58" s="86"/>
      <c r="S58" s="86"/>
      <c r="T58" s="86"/>
      <c r="U58" s="86"/>
      <c r="V58" s="48"/>
      <c r="W58" s="48"/>
      <c r="X58" s="48"/>
      <c r="Y58" s="48"/>
      <c r="Z58" s="47"/>
      <c r="AA58" s="69">
        <v>58</v>
      </c>
      <c r="AB58" s="69"/>
      <c r="AC58" s="70"/>
      <c r="AD58" s="76" t="s">
        <v>5382</v>
      </c>
      <c r="AE58" s="81" t="s">
        <v>5150</v>
      </c>
      <c r="AF58" s="76">
        <v>1</v>
      </c>
      <c r="AG58" s="76">
        <v>78</v>
      </c>
      <c r="AH58" s="76">
        <v>121</v>
      </c>
      <c r="AI58" s="76">
        <v>0</v>
      </c>
      <c r="AJ58" s="76">
        <v>81</v>
      </c>
      <c r="AK58" s="76">
        <v>1</v>
      </c>
      <c r="AL58" s="76" t="b">
        <v>0</v>
      </c>
      <c r="AM58" s="78">
        <v>44560.725532407407</v>
      </c>
      <c r="AN58" s="76" t="s">
        <v>5762</v>
      </c>
      <c r="AO58" s="76" t="s">
        <v>5905</v>
      </c>
      <c r="AP58" s="83" t="str">
        <f>HYPERLINK("https://t.co/bq592JepmT")</f>
        <v>https://t.co/bq592JepmT</v>
      </c>
      <c r="AQ58" s="83" t="str">
        <f>HYPERLINK("http://www.seuplanejadorfinanceiropessoal.com")</f>
        <v>http://www.seuplanejadorfinanceiropessoal.com</v>
      </c>
      <c r="AR58" s="76" t="s">
        <v>6170</v>
      </c>
      <c r="AS58" s="76"/>
      <c r="AT58" s="76"/>
      <c r="AU58" s="76"/>
      <c r="AV58" s="76"/>
      <c r="AW58" s="83" t="str">
        <f>HYPERLINK("https://t.co/bq592JepmT")</f>
        <v>https://t.co/bq592JepmT</v>
      </c>
      <c r="AX58" s="76" t="b">
        <v>0</v>
      </c>
      <c r="AY58" s="76"/>
      <c r="AZ58" s="76"/>
      <c r="BA58" s="76" t="b">
        <v>0</v>
      </c>
      <c r="BB58" s="76" t="b">
        <v>1</v>
      </c>
      <c r="BC58" s="76" t="b">
        <v>1</v>
      </c>
      <c r="BD58" s="76" t="b">
        <v>0</v>
      </c>
      <c r="BE58" s="76" t="b">
        <v>0</v>
      </c>
      <c r="BF58" s="76" t="b">
        <v>0</v>
      </c>
      <c r="BG58" s="76" t="b">
        <v>0</v>
      </c>
      <c r="BH58" s="83" t="str">
        <f>HYPERLINK("https://pbs.twimg.com/profile_banners/1476605019931688971/1668342577")</f>
        <v>https://pbs.twimg.com/profile_banners/1476605019931688971/1668342577</v>
      </c>
      <c r="BI58" s="76"/>
      <c r="BJ58" s="76" t="s">
        <v>6360</v>
      </c>
      <c r="BK58" s="76" t="b">
        <v>0</v>
      </c>
      <c r="BL58" s="76"/>
      <c r="BM58" s="76" t="s">
        <v>66</v>
      </c>
      <c r="BN58" s="76" t="s">
        <v>6362</v>
      </c>
      <c r="BO58" s="83" t="str">
        <f>HYPERLINK("https://twitter.com/euluisconsultor")</f>
        <v>https://twitter.com/euluisconsultor</v>
      </c>
      <c r="BP58" s="2"/>
    </row>
    <row r="59" spans="1:68" x14ac:dyDescent="0.25">
      <c r="A59" s="62" t="s">
        <v>274</v>
      </c>
      <c r="B59" s="63"/>
      <c r="C59" s="63"/>
      <c r="D59" s="64"/>
      <c r="E59" s="66"/>
      <c r="F59" s="102" t="str">
        <f>HYPERLINK("https://pbs.twimg.com/profile_images/1561516721835577352/FYTrPwEo_normal.jpg")</f>
        <v>https://pbs.twimg.com/profile_images/1561516721835577352/FYTrPwEo_normal.jpg</v>
      </c>
      <c r="G59" s="63"/>
      <c r="H59" s="67"/>
      <c r="I59" s="68"/>
      <c r="J59" s="68"/>
      <c r="K59" s="67" t="s">
        <v>6418</v>
      </c>
      <c r="L59" s="71"/>
      <c r="M59" s="72"/>
      <c r="N59" s="72"/>
      <c r="O59" s="73"/>
      <c r="P59" s="74"/>
      <c r="Q59" s="74"/>
      <c r="R59" s="86"/>
      <c r="S59" s="86"/>
      <c r="T59" s="86"/>
      <c r="U59" s="86"/>
      <c r="V59" s="48"/>
      <c r="W59" s="48"/>
      <c r="X59" s="48"/>
      <c r="Y59" s="48"/>
      <c r="Z59" s="47"/>
      <c r="AA59" s="69">
        <v>59</v>
      </c>
      <c r="AB59" s="69"/>
      <c r="AC59" s="70"/>
      <c r="AD59" s="76" t="s">
        <v>5383</v>
      </c>
      <c r="AE59" s="81" t="s">
        <v>5030</v>
      </c>
      <c r="AF59" s="76">
        <v>128</v>
      </c>
      <c r="AG59" s="76">
        <v>906</v>
      </c>
      <c r="AH59" s="76">
        <v>3272</v>
      </c>
      <c r="AI59" s="76">
        <v>3</v>
      </c>
      <c r="AJ59" s="76">
        <v>27330</v>
      </c>
      <c r="AK59" s="76">
        <v>351</v>
      </c>
      <c r="AL59" s="76" t="b">
        <v>0</v>
      </c>
      <c r="AM59" s="78">
        <v>42248.044189814813</v>
      </c>
      <c r="AN59" s="76"/>
      <c r="AO59" s="76" t="s">
        <v>5906</v>
      </c>
      <c r="AP59" s="76"/>
      <c r="AQ59" s="76"/>
      <c r="AR59" s="76"/>
      <c r="AS59" s="76"/>
      <c r="AT59" s="76"/>
      <c r="AU59" s="76"/>
      <c r="AV59" s="76"/>
      <c r="AW59" s="76"/>
      <c r="AX59" s="76" t="b">
        <v>0</v>
      </c>
      <c r="AY59" s="76"/>
      <c r="AZ59" s="76"/>
      <c r="BA59" s="76" t="b">
        <v>0</v>
      </c>
      <c r="BB59" s="76" t="b">
        <v>0</v>
      </c>
      <c r="BC59" s="76" t="b">
        <v>1</v>
      </c>
      <c r="BD59" s="76" t="b">
        <v>0</v>
      </c>
      <c r="BE59" s="76" t="b">
        <v>1</v>
      </c>
      <c r="BF59" s="76" t="b">
        <v>0</v>
      </c>
      <c r="BG59" s="76" t="b">
        <v>0</v>
      </c>
      <c r="BH59" s="83" t="str">
        <f>HYPERLINK("https://pbs.twimg.com/profile_banners/3507344897/1560433348")</f>
        <v>https://pbs.twimg.com/profile_banners/3507344897/1560433348</v>
      </c>
      <c r="BI59" s="76"/>
      <c r="BJ59" s="76" t="s">
        <v>6360</v>
      </c>
      <c r="BK59" s="76" t="b">
        <v>0</v>
      </c>
      <c r="BL59" s="76"/>
      <c r="BM59" s="76" t="s">
        <v>66</v>
      </c>
      <c r="BN59" s="76" t="s">
        <v>6362</v>
      </c>
      <c r="BO59" s="83" t="str">
        <f>HYPERLINK("https://twitter.com/fgaugustus")</f>
        <v>https://twitter.com/fgaugustus</v>
      </c>
      <c r="BP59" s="2"/>
    </row>
    <row r="60" spans="1:68" x14ac:dyDescent="0.25">
      <c r="A60" s="62" t="s">
        <v>275</v>
      </c>
      <c r="B60" s="63"/>
      <c r="C60" s="63"/>
      <c r="D60" s="64"/>
      <c r="E60" s="66"/>
      <c r="F60" s="102" t="str">
        <f>HYPERLINK("https://pbs.twimg.com/profile_images/1449205960711544835/naiecfNt_normal.jpg")</f>
        <v>https://pbs.twimg.com/profile_images/1449205960711544835/naiecfNt_normal.jpg</v>
      </c>
      <c r="G60" s="63"/>
      <c r="H60" s="67"/>
      <c r="I60" s="68"/>
      <c r="J60" s="68"/>
      <c r="K60" s="67" t="s">
        <v>6419</v>
      </c>
      <c r="L60" s="71"/>
      <c r="M60" s="72"/>
      <c r="N60" s="72"/>
      <c r="O60" s="73"/>
      <c r="P60" s="74"/>
      <c r="Q60" s="74"/>
      <c r="R60" s="86"/>
      <c r="S60" s="86"/>
      <c r="T60" s="86"/>
      <c r="U60" s="86"/>
      <c r="V60" s="48"/>
      <c r="W60" s="48"/>
      <c r="X60" s="48"/>
      <c r="Y60" s="48"/>
      <c r="Z60" s="47"/>
      <c r="AA60" s="69">
        <v>60</v>
      </c>
      <c r="AB60" s="69"/>
      <c r="AC60" s="70"/>
      <c r="AD60" s="76" t="s">
        <v>5384</v>
      </c>
      <c r="AE60" s="81" t="s">
        <v>5031</v>
      </c>
      <c r="AF60" s="76">
        <v>1</v>
      </c>
      <c r="AG60" s="76">
        <v>1</v>
      </c>
      <c r="AH60" s="76">
        <v>107</v>
      </c>
      <c r="AI60" s="76">
        <v>0</v>
      </c>
      <c r="AJ60" s="76">
        <v>16</v>
      </c>
      <c r="AK60" s="76">
        <v>104</v>
      </c>
      <c r="AL60" s="76" t="b">
        <v>0</v>
      </c>
      <c r="AM60" s="78">
        <v>44485.117824074077</v>
      </c>
      <c r="AN60" s="76"/>
      <c r="AO60" s="76" t="s">
        <v>5907</v>
      </c>
      <c r="AP60" s="83" t="str">
        <f>HYPERLINK("https://t.co/oJDJag97x3")</f>
        <v>https://t.co/oJDJag97x3</v>
      </c>
      <c r="AQ60" s="83" t="str">
        <f>HYPERLINK("https://www.instagram.com/targetexecutive")</f>
        <v>https://www.instagram.com/targetexecutive</v>
      </c>
      <c r="AR60" s="76" t="s">
        <v>6171</v>
      </c>
      <c r="AS60" s="83" t="str">
        <f>HYPERLINK("https://t.co/XTD2kEOGHM")</f>
        <v>https://t.co/XTD2kEOGHM</v>
      </c>
      <c r="AT60" s="83" t="str">
        <f>HYPERLINK("http://linktr.ee/targetexecutive")</f>
        <v>http://linktr.ee/targetexecutive</v>
      </c>
      <c r="AU60" s="76" t="s">
        <v>6344</v>
      </c>
      <c r="AV60" s="76"/>
      <c r="AW60" s="83" t="str">
        <f>HYPERLINK("https://t.co/oJDJag97x3")</f>
        <v>https://t.co/oJDJag97x3</v>
      </c>
      <c r="AX60" s="76" t="b">
        <v>0</v>
      </c>
      <c r="AY60" s="76"/>
      <c r="AZ60" s="76"/>
      <c r="BA60" s="76" t="b">
        <v>0</v>
      </c>
      <c r="BB60" s="76" t="b">
        <v>1</v>
      </c>
      <c r="BC60" s="76" t="b">
        <v>1</v>
      </c>
      <c r="BD60" s="76" t="b">
        <v>0</v>
      </c>
      <c r="BE60" s="76" t="b">
        <v>0</v>
      </c>
      <c r="BF60" s="76" t="b">
        <v>0</v>
      </c>
      <c r="BG60" s="76" t="b">
        <v>0</v>
      </c>
      <c r="BH60" s="83" t="str">
        <f>HYPERLINK("https://pbs.twimg.com/profile_banners/1449205682729783296/1648498804")</f>
        <v>https://pbs.twimg.com/profile_banners/1449205682729783296/1648498804</v>
      </c>
      <c r="BI60" s="76"/>
      <c r="BJ60" s="76" t="s">
        <v>6360</v>
      </c>
      <c r="BK60" s="76" t="b">
        <v>0</v>
      </c>
      <c r="BL60" s="76"/>
      <c r="BM60" s="76" t="s">
        <v>66</v>
      </c>
      <c r="BN60" s="76" t="s">
        <v>6362</v>
      </c>
      <c r="BO60" s="83" t="str">
        <f>HYPERLINK("https://twitter.com/targetexecutiv")</f>
        <v>https://twitter.com/targetexecutiv</v>
      </c>
      <c r="BP60" s="2"/>
    </row>
    <row r="61" spans="1:68" x14ac:dyDescent="0.25">
      <c r="A61" s="62" t="s">
        <v>276</v>
      </c>
      <c r="B61" s="63"/>
      <c r="C61" s="63"/>
      <c r="D61" s="64"/>
      <c r="E61" s="66"/>
      <c r="F61" s="102" t="str">
        <f>HYPERLINK("https://pbs.twimg.com/profile_images/1660592018991599620/lHJceqgE_normal.jpg")</f>
        <v>https://pbs.twimg.com/profile_images/1660592018991599620/lHJceqgE_normal.jpg</v>
      </c>
      <c r="G61" s="63"/>
      <c r="H61" s="67"/>
      <c r="I61" s="68"/>
      <c r="J61" s="68"/>
      <c r="K61" s="67" t="s">
        <v>6420</v>
      </c>
      <c r="L61" s="71"/>
      <c r="M61" s="72"/>
      <c r="N61" s="72"/>
      <c r="O61" s="73"/>
      <c r="P61" s="74"/>
      <c r="Q61" s="74"/>
      <c r="R61" s="86"/>
      <c r="S61" s="86"/>
      <c r="T61" s="86"/>
      <c r="U61" s="86"/>
      <c r="V61" s="48"/>
      <c r="W61" s="48"/>
      <c r="X61" s="48"/>
      <c r="Y61" s="48"/>
      <c r="Z61" s="47"/>
      <c r="AA61" s="69">
        <v>61</v>
      </c>
      <c r="AB61" s="69"/>
      <c r="AC61" s="70"/>
      <c r="AD61" s="76" t="s">
        <v>5385</v>
      </c>
      <c r="AE61" s="81" t="s">
        <v>5151</v>
      </c>
      <c r="AF61" s="76">
        <v>0</v>
      </c>
      <c r="AG61" s="76">
        <v>15</v>
      </c>
      <c r="AH61" s="76">
        <v>4</v>
      </c>
      <c r="AI61" s="76">
        <v>0</v>
      </c>
      <c r="AJ61" s="76">
        <v>0</v>
      </c>
      <c r="AK61" s="76">
        <v>1</v>
      </c>
      <c r="AL61" s="76" t="b">
        <v>0</v>
      </c>
      <c r="AM61" s="78">
        <v>45067.966226851851</v>
      </c>
      <c r="AN61" s="76" t="s">
        <v>5743</v>
      </c>
      <c r="AO61" s="76" t="s">
        <v>5908</v>
      </c>
      <c r="AP61" s="83" t="str">
        <f>HYPERLINK("https://t.co/mK2S1LRS1c")</f>
        <v>https://t.co/mK2S1LRS1c</v>
      </c>
      <c r="AQ61" s="83" t="str">
        <f>HYPERLINK("http://taggo.one/dncontador")</f>
        <v>http://taggo.one/dncontador</v>
      </c>
      <c r="AR61" s="76" t="s">
        <v>6172</v>
      </c>
      <c r="AS61" s="76"/>
      <c r="AT61" s="76"/>
      <c r="AU61" s="76"/>
      <c r="AV61" s="76"/>
      <c r="AW61" s="83" t="str">
        <f>HYPERLINK("https://t.co/mK2S1LRS1c")</f>
        <v>https://t.co/mK2S1LRS1c</v>
      </c>
      <c r="AX61" s="76" t="b">
        <v>0</v>
      </c>
      <c r="AY61" s="76"/>
      <c r="AZ61" s="76"/>
      <c r="BA61" s="76" t="b">
        <v>0</v>
      </c>
      <c r="BB61" s="76" t="b">
        <v>1</v>
      </c>
      <c r="BC61" s="76" t="b">
        <v>1</v>
      </c>
      <c r="BD61" s="76" t="b">
        <v>0</v>
      </c>
      <c r="BE61" s="76" t="b">
        <v>0</v>
      </c>
      <c r="BF61" s="76" t="b">
        <v>0</v>
      </c>
      <c r="BG61" s="76" t="b">
        <v>0</v>
      </c>
      <c r="BH61" s="83" t="str">
        <f>HYPERLINK("https://pbs.twimg.com/profile_banners/1660422940138041345/1684751064")</f>
        <v>https://pbs.twimg.com/profile_banners/1660422940138041345/1684751064</v>
      </c>
      <c r="BI61" s="76"/>
      <c r="BJ61" s="76" t="s">
        <v>6360</v>
      </c>
      <c r="BK61" s="76" t="b">
        <v>0</v>
      </c>
      <c r="BL61" s="76"/>
      <c r="BM61" s="76" t="s">
        <v>66</v>
      </c>
      <c r="BN61" s="76" t="s">
        <v>6362</v>
      </c>
      <c r="BO61" s="83" t="str">
        <f>HYPERLINK("https://twitter.com/dncontador")</f>
        <v>https://twitter.com/dncontador</v>
      </c>
      <c r="BP61" s="2"/>
    </row>
    <row r="62" spans="1:68" x14ac:dyDescent="0.25">
      <c r="A62" s="62" t="s">
        <v>277</v>
      </c>
      <c r="B62" s="63"/>
      <c r="C62" s="63"/>
      <c r="D62" s="64"/>
      <c r="E62" s="66"/>
      <c r="F62" s="102" t="str">
        <f>HYPERLINK("https://pbs.twimg.com/profile_images/1641559324974563330/WhHAId3b_normal.png")</f>
        <v>https://pbs.twimg.com/profile_images/1641559324974563330/WhHAId3b_normal.png</v>
      </c>
      <c r="G62" s="63"/>
      <c r="H62" s="67"/>
      <c r="I62" s="68"/>
      <c r="J62" s="68"/>
      <c r="K62" s="67" t="s">
        <v>6421</v>
      </c>
      <c r="L62" s="71"/>
      <c r="M62" s="72"/>
      <c r="N62" s="72"/>
      <c r="O62" s="73"/>
      <c r="P62" s="74"/>
      <c r="Q62" s="74"/>
      <c r="R62" s="86"/>
      <c r="S62" s="86"/>
      <c r="T62" s="86"/>
      <c r="U62" s="86"/>
      <c r="V62" s="48"/>
      <c r="W62" s="48"/>
      <c r="X62" s="48"/>
      <c r="Y62" s="48"/>
      <c r="Z62" s="47"/>
      <c r="AA62" s="69">
        <v>62</v>
      </c>
      <c r="AB62" s="69"/>
      <c r="AC62" s="70"/>
      <c r="AD62" s="76" t="s">
        <v>5386</v>
      </c>
      <c r="AE62" s="81" t="s">
        <v>5152</v>
      </c>
      <c r="AF62" s="76">
        <v>15</v>
      </c>
      <c r="AG62" s="76">
        <v>14</v>
      </c>
      <c r="AH62" s="76">
        <v>47</v>
      </c>
      <c r="AI62" s="76">
        <v>0</v>
      </c>
      <c r="AJ62" s="76">
        <v>15</v>
      </c>
      <c r="AK62" s="76">
        <v>29</v>
      </c>
      <c r="AL62" s="76" t="b">
        <v>0</v>
      </c>
      <c r="AM62" s="78">
        <v>45015.912222222221</v>
      </c>
      <c r="AN62" s="76"/>
      <c r="AO62" s="76" t="s">
        <v>5909</v>
      </c>
      <c r="AP62" s="83" t="str">
        <f>HYPERLINK("https://t.co/zHI8KWtT4v")</f>
        <v>https://t.co/zHI8KWtT4v</v>
      </c>
      <c r="AQ62" s="83" t="str">
        <f>HYPERLINK("https://linkr.bio/deriv")</f>
        <v>https://linkr.bio/deriv</v>
      </c>
      <c r="AR62" s="76" t="s">
        <v>6173</v>
      </c>
      <c r="AS62" s="76"/>
      <c r="AT62" s="76"/>
      <c r="AU62" s="76"/>
      <c r="AV62" s="76"/>
      <c r="AW62" s="83" t="str">
        <f>HYPERLINK("https://t.co/zHI8KWtT4v")</f>
        <v>https://t.co/zHI8KWtT4v</v>
      </c>
      <c r="AX62" s="76" t="b">
        <v>0</v>
      </c>
      <c r="AY62" s="76"/>
      <c r="AZ62" s="76"/>
      <c r="BA62" s="76" t="b">
        <v>0</v>
      </c>
      <c r="BB62" s="76" t="b">
        <v>1</v>
      </c>
      <c r="BC62" s="76" t="b">
        <v>1</v>
      </c>
      <c r="BD62" s="76" t="b">
        <v>0</v>
      </c>
      <c r="BE62" s="76" t="b">
        <v>0</v>
      </c>
      <c r="BF62" s="76" t="b">
        <v>0</v>
      </c>
      <c r="BG62" s="76" t="b">
        <v>0</v>
      </c>
      <c r="BH62" s="76"/>
      <c r="BI62" s="76"/>
      <c r="BJ62" s="76" t="s">
        <v>6360</v>
      </c>
      <c r="BK62" s="76" t="b">
        <v>0</v>
      </c>
      <c r="BL62" s="76"/>
      <c r="BM62" s="76" t="s">
        <v>66</v>
      </c>
      <c r="BN62" s="76" t="s">
        <v>6362</v>
      </c>
      <c r="BO62" s="83" t="str">
        <f>HYPERLINK("https://twitter.com/edsonderiv")</f>
        <v>https://twitter.com/edsonderiv</v>
      </c>
      <c r="BP62" s="2"/>
    </row>
    <row r="63" spans="1:68" x14ac:dyDescent="0.25">
      <c r="A63" s="62" t="s">
        <v>278</v>
      </c>
      <c r="B63" s="63"/>
      <c r="C63" s="63"/>
      <c r="D63" s="64"/>
      <c r="E63" s="66"/>
      <c r="F63" s="102" t="str">
        <f>HYPERLINK("https://pbs.twimg.com/profile_images/1611377581210714114/HzhUWz2X_normal.jpg")</f>
        <v>https://pbs.twimg.com/profile_images/1611377581210714114/HzhUWz2X_normal.jpg</v>
      </c>
      <c r="G63" s="63"/>
      <c r="H63" s="67"/>
      <c r="I63" s="68"/>
      <c r="J63" s="68"/>
      <c r="K63" s="67" t="s">
        <v>6422</v>
      </c>
      <c r="L63" s="71"/>
      <c r="M63" s="72"/>
      <c r="N63" s="72"/>
      <c r="O63" s="73"/>
      <c r="P63" s="74"/>
      <c r="Q63" s="74"/>
      <c r="R63" s="86"/>
      <c r="S63" s="86"/>
      <c r="T63" s="86"/>
      <c r="U63" s="86"/>
      <c r="V63" s="48"/>
      <c r="W63" s="48"/>
      <c r="X63" s="48"/>
      <c r="Y63" s="48"/>
      <c r="Z63" s="47"/>
      <c r="AA63" s="69">
        <v>63</v>
      </c>
      <c r="AB63" s="69"/>
      <c r="AC63" s="70"/>
      <c r="AD63" s="76" t="s">
        <v>5387</v>
      </c>
      <c r="AE63" s="81" t="s">
        <v>5153</v>
      </c>
      <c r="AF63" s="76">
        <v>2</v>
      </c>
      <c r="AG63" s="76">
        <v>5</v>
      </c>
      <c r="AH63" s="76">
        <v>40</v>
      </c>
      <c r="AI63" s="76">
        <v>0</v>
      </c>
      <c r="AJ63" s="76">
        <v>22</v>
      </c>
      <c r="AK63" s="76">
        <v>14</v>
      </c>
      <c r="AL63" s="76" t="b">
        <v>0</v>
      </c>
      <c r="AM63" s="78">
        <v>44932.622847222221</v>
      </c>
      <c r="AN63" s="76" t="s">
        <v>5763</v>
      </c>
      <c r="AO63" s="76" t="s">
        <v>5910</v>
      </c>
      <c r="AP63" s="76"/>
      <c r="AQ63" s="76"/>
      <c r="AR63" s="76"/>
      <c r="AS63" s="76"/>
      <c r="AT63" s="76"/>
      <c r="AU63" s="76"/>
      <c r="AV63" s="76">
        <v>1.61139548861966E+18</v>
      </c>
      <c r="AW63" s="76"/>
      <c r="AX63" s="76" t="b">
        <v>0</v>
      </c>
      <c r="AY63" s="76"/>
      <c r="AZ63" s="76"/>
      <c r="BA63" s="76" t="b">
        <v>0</v>
      </c>
      <c r="BB63" s="76" t="b">
        <v>1</v>
      </c>
      <c r="BC63" s="76" t="b">
        <v>1</v>
      </c>
      <c r="BD63" s="76" t="b">
        <v>0</v>
      </c>
      <c r="BE63" s="76" t="b">
        <v>0</v>
      </c>
      <c r="BF63" s="76" t="b">
        <v>0</v>
      </c>
      <c r="BG63" s="76" t="b">
        <v>0</v>
      </c>
      <c r="BH63" s="83" t="str">
        <f>HYPERLINK("https://pbs.twimg.com/profile_banners/1611376198860374016/1673028367")</f>
        <v>https://pbs.twimg.com/profile_banners/1611376198860374016/1673028367</v>
      </c>
      <c r="BI63" s="76"/>
      <c r="BJ63" s="76" t="s">
        <v>6360</v>
      </c>
      <c r="BK63" s="76" t="b">
        <v>0</v>
      </c>
      <c r="BL63" s="76"/>
      <c r="BM63" s="76" t="s">
        <v>66</v>
      </c>
      <c r="BN63" s="76" t="s">
        <v>6362</v>
      </c>
      <c r="BO63" s="83" t="str">
        <f>HYPERLINK("https://twitter.com/sebraport")</f>
        <v>https://twitter.com/sebraport</v>
      </c>
      <c r="BP63" s="2"/>
    </row>
    <row r="64" spans="1:68" x14ac:dyDescent="0.25">
      <c r="A64" s="62" t="s">
        <v>279</v>
      </c>
      <c r="B64" s="63"/>
      <c r="C64" s="63"/>
      <c r="D64" s="64"/>
      <c r="E64" s="66"/>
      <c r="F64" s="102" t="str">
        <f>HYPERLINK("https://pbs.twimg.com/profile_images/1666814261744766979/Z3Vpdskg_normal.jpg")</f>
        <v>https://pbs.twimg.com/profile_images/1666814261744766979/Z3Vpdskg_normal.jpg</v>
      </c>
      <c r="G64" s="63"/>
      <c r="H64" s="67"/>
      <c r="I64" s="68"/>
      <c r="J64" s="68"/>
      <c r="K64" s="67" t="s">
        <v>6423</v>
      </c>
      <c r="L64" s="71"/>
      <c r="M64" s="72"/>
      <c r="N64" s="72"/>
      <c r="O64" s="73"/>
      <c r="P64" s="74"/>
      <c r="Q64" s="74"/>
      <c r="R64" s="86"/>
      <c r="S64" s="86"/>
      <c r="T64" s="86"/>
      <c r="U64" s="86"/>
      <c r="V64" s="48"/>
      <c r="W64" s="48"/>
      <c r="X64" s="48"/>
      <c r="Y64" s="48"/>
      <c r="Z64" s="47"/>
      <c r="AA64" s="69">
        <v>64</v>
      </c>
      <c r="AB64" s="69"/>
      <c r="AC64" s="70"/>
      <c r="AD64" s="76" t="s">
        <v>5388</v>
      </c>
      <c r="AE64" s="81" t="s">
        <v>5655</v>
      </c>
      <c r="AF64" s="76">
        <v>338</v>
      </c>
      <c r="AG64" s="76">
        <v>731</v>
      </c>
      <c r="AH64" s="76">
        <v>883</v>
      </c>
      <c r="AI64" s="76">
        <v>2</v>
      </c>
      <c r="AJ64" s="76">
        <v>362</v>
      </c>
      <c r="AK64" s="76">
        <v>702</v>
      </c>
      <c r="AL64" s="76" t="b">
        <v>0</v>
      </c>
      <c r="AM64" s="78">
        <v>40053.701979166668</v>
      </c>
      <c r="AN64" s="76" t="s">
        <v>3410</v>
      </c>
      <c r="AO64" s="76" t="s">
        <v>5911</v>
      </c>
      <c r="AP64" s="83" t="str">
        <f>HYPERLINK("https://t.co/1xWXdwfb9T")</f>
        <v>https://t.co/1xWXdwfb9T</v>
      </c>
      <c r="AQ64" s="83" t="str">
        <f>HYPERLINK("https://www.kakoramos.com/")</f>
        <v>https://www.kakoramos.com/</v>
      </c>
      <c r="AR64" s="76" t="s">
        <v>6174</v>
      </c>
      <c r="AS64" s="76"/>
      <c r="AT64" s="76"/>
      <c r="AU64" s="76"/>
      <c r="AV64" s="76"/>
      <c r="AW64" s="83" t="str">
        <f>HYPERLINK("https://t.co/1xWXdwfb9T")</f>
        <v>https://t.co/1xWXdwfb9T</v>
      </c>
      <c r="AX64" s="76" t="b">
        <v>0</v>
      </c>
      <c r="AY64" s="76"/>
      <c r="AZ64" s="76"/>
      <c r="BA64" s="76" t="b">
        <v>1</v>
      </c>
      <c r="BB64" s="76" t="b">
        <v>1</v>
      </c>
      <c r="BC64" s="76" t="b">
        <v>0</v>
      </c>
      <c r="BD64" s="76" t="b">
        <v>0</v>
      </c>
      <c r="BE64" s="76" t="b">
        <v>0</v>
      </c>
      <c r="BF64" s="76" t="b">
        <v>0</v>
      </c>
      <c r="BG64" s="76" t="b">
        <v>0</v>
      </c>
      <c r="BH64" s="83" t="str">
        <f>HYPERLINK("https://pbs.twimg.com/profile_banners/69634735/1686234463")</f>
        <v>https://pbs.twimg.com/profile_banners/69634735/1686234463</v>
      </c>
      <c r="BI64" s="76"/>
      <c r="BJ64" s="76" t="s">
        <v>6360</v>
      </c>
      <c r="BK64" s="76" t="b">
        <v>0</v>
      </c>
      <c r="BL64" s="76"/>
      <c r="BM64" s="76" t="s">
        <v>66</v>
      </c>
      <c r="BN64" s="76" t="s">
        <v>6362</v>
      </c>
      <c r="BO64" s="83" t="str">
        <f>HYPERLINK("https://twitter.com/kakoramos")</f>
        <v>https://twitter.com/kakoramos</v>
      </c>
      <c r="BP64" s="2"/>
    </row>
    <row r="65" spans="1:68" x14ac:dyDescent="0.25">
      <c r="A65" s="62" t="s">
        <v>280</v>
      </c>
      <c r="B65" s="63"/>
      <c r="C65" s="63"/>
      <c r="D65" s="64"/>
      <c r="E65" s="66"/>
      <c r="F65" s="102" t="str">
        <f>HYPERLINK("https://pbs.twimg.com/profile_images/1470508945882202114/CJxge1AA_normal.jpg")</f>
        <v>https://pbs.twimg.com/profile_images/1470508945882202114/CJxge1AA_normal.jpg</v>
      </c>
      <c r="G65" s="63"/>
      <c r="H65" s="67"/>
      <c r="I65" s="68"/>
      <c r="J65" s="68"/>
      <c r="K65" s="67" t="s">
        <v>6424</v>
      </c>
      <c r="L65" s="71"/>
      <c r="M65" s="72"/>
      <c r="N65" s="72"/>
      <c r="O65" s="73"/>
      <c r="P65" s="74"/>
      <c r="Q65" s="74"/>
      <c r="R65" s="86"/>
      <c r="S65" s="86"/>
      <c r="T65" s="86"/>
      <c r="U65" s="86"/>
      <c r="V65" s="48"/>
      <c r="W65" s="48"/>
      <c r="X65" s="48"/>
      <c r="Y65" s="48"/>
      <c r="Z65" s="47"/>
      <c r="AA65" s="69">
        <v>65</v>
      </c>
      <c r="AB65" s="69"/>
      <c r="AC65" s="70"/>
      <c r="AD65" s="76" t="s">
        <v>5389</v>
      </c>
      <c r="AE65" s="81" t="s">
        <v>5154</v>
      </c>
      <c r="AF65" s="76">
        <v>1402</v>
      </c>
      <c r="AG65" s="76">
        <v>1381</v>
      </c>
      <c r="AH65" s="76">
        <v>206</v>
      </c>
      <c r="AI65" s="76">
        <v>0</v>
      </c>
      <c r="AJ65" s="76">
        <v>47</v>
      </c>
      <c r="AK65" s="76">
        <v>35</v>
      </c>
      <c r="AL65" s="76" t="b">
        <v>0</v>
      </c>
      <c r="AM65" s="78">
        <v>43328.568993055553</v>
      </c>
      <c r="AN65" s="76" t="s">
        <v>5764</v>
      </c>
      <c r="AO65" s="76" t="s">
        <v>5912</v>
      </c>
      <c r="AP65" s="83" t="str">
        <f>HYPERLINK("https://t.co/8ln1B2ELbR")</f>
        <v>https://t.co/8ln1B2ELbR</v>
      </c>
      <c r="AQ65" s="83" t="str">
        <f>HYPERLINK("https://investoom.com")</f>
        <v>https://investoom.com</v>
      </c>
      <c r="AR65" s="76" t="s">
        <v>6175</v>
      </c>
      <c r="AS65" s="76"/>
      <c r="AT65" s="76"/>
      <c r="AU65" s="76"/>
      <c r="AV65" s="76"/>
      <c r="AW65" s="83" t="str">
        <f>HYPERLINK("https://t.co/8ln1B2ELbR")</f>
        <v>https://t.co/8ln1B2ELbR</v>
      </c>
      <c r="AX65" s="76" t="b">
        <v>0</v>
      </c>
      <c r="AY65" s="76"/>
      <c r="AZ65" s="76"/>
      <c r="BA65" s="76" t="b">
        <v>0</v>
      </c>
      <c r="BB65" s="76" t="b">
        <v>1</v>
      </c>
      <c r="BC65" s="76" t="b">
        <v>1</v>
      </c>
      <c r="BD65" s="76" t="b">
        <v>0</v>
      </c>
      <c r="BE65" s="76" t="b">
        <v>0</v>
      </c>
      <c r="BF65" s="76" t="b">
        <v>0</v>
      </c>
      <c r="BG65" s="76" t="b">
        <v>0</v>
      </c>
      <c r="BH65" s="83" t="str">
        <f>HYPERLINK("https://pbs.twimg.com/profile_banners/1030086613349617666/1642005526")</f>
        <v>https://pbs.twimg.com/profile_banners/1030086613349617666/1642005526</v>
      </c>
      <c r="BI65" s="76"/>
      <c r="BJ65" s="76" t="s">
        <v>6360</v>
      </c>
      <c r="BK65" s="76" t="b">
        <v>0</v>
      </c>
      <c r="BL65" s="76"/>
      <c r="BM65" s="76" t="s">
        <v>66</v>
      </c>
      <c r="BN65" s="76" t="s">
        <v>6362</v>
      </c>
      <c r="BO65" s="83" t="str">
        <f>HYPERLINK("https://twitter.com/investoom")</f>
        <v>https://twitter.com/investoom</v>
      </c>
      <c r="BP65" s="2"/>
    </row>
    <row r="66" spans="1:68" x14ac:dyDescent="0.25">
      <c r="A66" s="62" t="s">
        <v>281</v>
      </c>
      <c r="B66" s="63"/>
      <c r="C66" s="63"/>
      <c r="D66" s="64"/>
      <c r="E66" s="66"/>
      <c r="F66" s="102" t="str">
        <f>HYPERLINK("https://pbs.twimg.com/profile_images/1633264209675931648/8TquTmoQ_normal.jpg")</f>
        <v>https://pbs.twimg.com/profile_images/1633264209675931648/8TquTmoQ_normal.jpg</v>
      </c>
      <c r="G66" s="63"/>
      <c r="H66" s="67"/>
      <c r="I66" s="68"/>
      <c r="J66" s="68"/>
      <c r="K66" s="67" t="s">
        <v>6425</v>
      </c>
      <c r="L66" s="71"/>
      <c r="M66" s="72"/>
      <c r="N66" s="72"/>
      <c r="O66" s="73"/>
      <c r="P66" s="74"/>
      <c r="Q66" s="74"/>
      <c r="R66" s="86"/>
      <c r="S66" s="86"/>
      <c r="T66" s="86"/>
      <c r="U66" s="86"/>
      <c r="V66" s="48"/>
      <c r="W66" s="48"/>
      <c r="X66" s="48"/>
      <c r="Y66" s="48"/>
      <c r="Z66" s="47"/>
      <c r="AA66" s="69">
        <v>66</v>
      </c>
      <c r="AB66" s="69"/>
      <c r="AC66" s="70"/>
      <c r="AD66" s="76" t="s">
        <v>5390</v>
      </c>
      <c r="AE66" s="81" t="s">
        <v>5155</v>
      </c>
      <c r="AF66" s="76">
        <v>1</v>
      </c>
      <c r="AG66" s="76">
        <v>24</v>
      </c>
      <c r="AH66" s="76">
        <v>33</v>
      </c>
      <c r="AI66" s="76">
        <v>0</v>
      </c>
      <c r="AJ66" s="76">
        <v>0</v>
      </c>
      <c r="AK66" s="76">
        <v>0</v>
      </c>
      <c r="AL66" s="76" t="b">
        <v>0</v>
      </c>
      <c r="AM66" s="78">
        <v>44878.002916666665</v>
      </c>
      <c r="AN66" s="76"/>
      <c r="AO66" s="76" t="s">
        <v>5913</v>
      </c>
      <c r="AP66" s="76"/>
      <c r="AQ66" s="76"/>
      <c r="AR66" s="76"/>
      <c r="AS66" s="76"/>
      <c r="AT66" s="76"/>
      <c r="AU66" s="76"/>
      <c r="AV66" s="76"/>
      <c r="AW66" s="76"/>
      <c r="AX66" s="76" t="b">
        <v>0</v>
      </c>
      <c r="AY66" s="76"/>
      <c r="AZ66" s="76"/>
      <c r="BA66" s="76" t="b">
        <v>0</v>
      </c>
      <c r="BB66" s="76" t="b">
        <v>1</v>
      </c>
      <c r="BC66" s="76" t="b">
        <v>1</v>
      </c>
      <c r="BD66" s="76" t="b">
        <v>0</v>
      </c>
      <c r="BE66" s="76" t="b">
        <v>1</v>
      </c>
      <c r="BF66" s="76" t="b">
        <v>0</v>
      </c>
      <c r="BG66" s="76" t="b">
        <v>0</v>
      </c>
      <c r="BH66" s="76"/>
      <c r="BI66" s="76"/>
      <c r="BJ66" s="76" t="s">
        <v>6360</v>
      </c>
      <c r="BK66" s="76" t="b">
        <v>0</v>
      </c>
      <c r="BL66" s="76"/>
      <c r="BM66" s="76" t="s">
        <v>66</v>
      </c>
      <c r="BN66" s="76" t="s">
        <v>6362</v>
      </c>
      <c r="BO66" s="83" t="str">
        <f>HYPERLINK("https://twitter.com/andrewerneck_")</f>
        <v>https://twitter.com/andrewerneck_</v>
      </c>
      <c r="BP66" s="2"/>
    </row>
    <row r="67" spans="1:68" x14ac:dyDescent="0.25">
      <c r="A67" s="62" t="s">
        <v>282</v>
      </c>
      <c r="B67" s="63"/>
      <c r="C67" s="63"/>
      <c r="D67" s="64"/>
      <c r="E67" s="66"/>
      <c r="F67" s="102" t="str">
        <f>HYPERLINK("https://pbs.twimg.com/profile_images/1476622667113508873/6WeO1hSk_normal.jpg")</f>
        <v>https://pbs.twimg.com/profile_images/1476622667113508873/6WeO1hSk_normal.jpg</v>
      </c>
      <c r="G67" s="63"/>
      <c r="H67" s="67"/>
      <c r="I67" s="68"/>
      <c r="J67" s="68"/>
      <c r="K67" s="67" t="s">
        <v>6426</v>
      </c>
      <c r="L67" s="71"/>
      <c r="M67" s="72"/>
      <c r="N67" s="72"/>
      <c r="O67" s="73"/>
      <c r="P67" s="74"/>
      <c r="Q67" s="74"/>
      <c r="R67" s="86"/>
      <c r="S67" s="86"/>
      <c r="T67" s="86"/>
      <c r="U67" s="86"/>
      <c r="V67" s="48"/>
      <c r="W67" s="48"/>
      <c r="X67" s="48"/>
      <c r="Y67" s="48"/>
      <c r="Z67" s="47"/>
      <c r="AA67" s="69">
        <v>67</v>
      </c>
      <c r="AB67" s="69"/>
      <c r="AC67" s="70"/>
      <c r="AD67" s="76" t="s">
        <v>5391</v>
      </c>
      <c r="AE67" s="81" t="s">
        <v>5656</v>
      </c>
      <c r="AF67" s="76">
        <v>119384</v>
      </c>
      <c r="AG67" s="76">
        <v>714</v>
      </c>
      <c r="AH67" s="76">
        <v>60787</v>
      </c>
      <c r="AI67" s="76">
        <v>499</v>
      </c>
      <c r="AJ67" s="76">
        <v>211059</v>
      </c>
      <c r="AK67" s="76">
        <v>6266</v>
      </c>
      <c r="AL67" s="76" t="b">
        <v>0</v>
      </c>
      <c r="AM67" s="78">
        <v>41093.011377314811</v>
      </c>
      <c r="AN67" s="76" t="s">
        <v>5753</v>
      </c>
      <c r="AO67" s="76" t="s">
        <v>5914</v>
      </c>
      <c r="AP67" s="83" t="str">
        <f>HYPERLINK("https://t.co/Z8TfItQ92x")</f>
        <v>https://t.co/Z8TfItQ92x</v>
      </c>
      <c r="AQ67" s="83" t="str">
        <f>HYPERLINK("https://linktr.ee/nonoinvestidor")</f>
        <v>https://linktr.ee/nonoinvestidor</v>
      </c>
      <c r="AR67" s="76" t="s">
        <v>6176</v>
      </c>
      <c r="AS67" s="76"/>
      <c r="AT67" s="76"/>
      <c r="AU67" s="76"/>
      <c r="AV67" s="76">
        <v>1.66253136464461E+18</v>
      </c>
      <c r="AW67" s="83" t="str">
        <f>HYPERLINK("https://t.co/Z8TfItQ92x")</f>
        <v>https://t.co/Z8TfItQ92x</v>
      </c>
      <c r="AX67" s="76" t="b">
        <v>1</v>
      </c>
      <c r="AY67" s="76"/>
      <c r="AZ67" s="76"/>
      <c r="BA67" s="76" t="b">
        <v>1</v>
      </c>
      <c r="BB67" s="76" t="b">
        <v>0</v>
      </c>
      <c r="BC67" s="76" t="b">
        <v>1</v>
      </c>
      <c r="BD67" s="76" t="b">
        <v>0</v>
      </c>
      <c r="BE67" s="76" t="b">
        <v>1</v>
      </c>
      <c r="BF67" s="76" t="b">
        <v>0</v>
      </c>
      <c r="BG67" s="76" t="b">
        <v>0</v>
      </c>
      <c r="BH67" s="83" t="str">
        <f>HYPERLINK("https://pbs.twimg.com/profile_banners/625192155/1615930360")</f>
        <v>https://pbs.twimg.com/profile_banners/625192155/1615930360</v>
      </c>
      <c r="BI67" s="76"/>
      <c r="BJ67" s="76" t="s">
        <v>6360</v>
      </c>
      <c r="BK67" s="76" t="b">
        <v>0</v>
      </c>
      <c r="BL67" s="76"/>
      <c r="BM67" s="76" t="s">
        <v>66</v>
      </c>
      <c r="BN67" s="76" t="s">
        <v>6362</v>
      </c>
      <c r="BO67" s="83" t="str">
        <f>HYPERLINK("https://twitter.com/nonoinvestidor")</f>
        <v>https://twitter.com/nonoinvestidor</v>
      </c>
      <c r="BP67" s="2"/>
    </row>
    <row r="68" spans="1:68" x14ac:dyDescent="0.25">
      <c r="A68" s="62" t="s">
        <v>283</v>
      </c>
      <c r="B68" s="63"/>
      <c r="C68" s="63"/>
      <c r="D68" s="64"/>
      <c r="E68" s="66"/>
      <c r="F68" s="102" t="str">
        <f>HYPERLINK("https://pbs.twimg.com/profile_images/1633896603005141000/0_NlXxC__normal.jpg")</f>
        <v>https://pbs.twimg.com/profile_images/1633896603005141000/0_NlXxC__normal.jpg</v>
      </c>
      <c r="G68" s="63"/>
      <c r="H68" s="67"/>
      <c r="I68" s="68"/>
      <c r="J68" s="68"/>
      <c r="K68" s="67" t="s">
        <v>6427</v>
      </c>
      <c r="L68" s="71"/>
      <c r="M68" s="72"/>
      <c r="N68" s="72"/>
      <c r="O68" s="73"/>
      <c r="P68" s="74"/>
      <c r="Q68" s="74"/>
      <c r="R68" s="86"/>
      <c r="S68" s="86"/>
      <c r="T68" s="86"/>
      <c r="U68" s="86"/>
      <c r="V68" s="48"/>
      <c r="W68" s="48"/>
      <c r="X68" s="48"/>
      <c r="Y68" s="48"/>
      <c r="Z68" s="47"/>
      <c r="AA68" s="69">
        <v>68</v>
      </c>
      <c r="AB68" s="69"/>
      <c r="AC68" s="70"/>
      <c r="AD68" s="76" t="s">
        <v>5392</v>
      </c>
      <c r="AE68" s="81" t="s">
        <v>5032</v>
      </c>
      <c r="AF68" s="76">
        <v>3705</v>
      </c>
      <c r="AG68" s="76">
        <v>244</v>
      </c>
      <c r="AH68" s="76">
        <v>8384</v>
      </c>
      <c r="AI68" s="76">
        <v>16</v>
      </c>
      <c r="AJ68" s="76">
        <v>900</v>
      </c>
      <c r="AK68" s="76">
        <v>800</v>
      </c>
      <c r="AL68" s="76" t="b">
        <v>0</v>
      </c>
      <c r="AM68" s="78">
        <v>39825.489340277774</v>
      </c>
      <c r="AN68" s="76" t="s">
        <v>3410</v>
      </c>
      <c r="AO68" s="76" t="s">
        <v>5915</v>
      </c>
      <c r="AP68" s="83" t="str">
        <f>HYPERLINK("https://t.co/1cZDDdLsul")</f>
        <v>https://t.co/1cZDDdLsul</v>
      </c>
      <c r="AQ68" s="83" t="str">
        <f>HYPERLINK("https://linktr.ee/creditopravaler")</f>
        <v>https://linktr.ee/creditopravaler</v>
      </c>
      <c r="AR68" s="76" t="s">
        <v>6177</v>
      </c>
      <c r="AS68" s="76"/>
      <c r="AT68" s="76"/>
      <c r="AU68" s="76"/>
      <c r="AV68" s="76">
        <v>1.6791615762536801E+18</v>
      </c>
      <c r="AW68" s="83" t="str">
        <f>HYPERLINK("https://t.co/1cZDDdLsul")</f>
        <v>https://t.co/1cZDDdLsul</v>
      </c>
      <c r="AX68" s="76" t="b">
        <v>0</v>
      </c>
      <c r="AY68" s="76"/>
      <c r="AZ68" s="76"/>
      <c r="BA68" s="76" t="b">
        <v>1</v>
      </c>
      <c r="BB68" s="76" t="b">
        <v>1</v>
      </c>
      <c r="BC68" s="76" t="b">
        <v>0</v>
      </c>
      <c r="BD68" s="76" t="b">
        <v>0</v>
      </c>
      <c r="BE68" s="76" t="b">
        <v>1</v>
      </c>
      <c r="BF68" s="76" t="b">
        <v>0</v>
      </c>
      <c r="BG68" s="76" t="b">
        <v>0</v>
      </c>
      <c r="BH68" s="83" t="str">
        <f>HYPERLINK("https://pbs.twimg.com/profile_banners/18898473/1678739057")</f>
        <v>https://pbs.twimg.com/profile_banners/18898473/1678739057</v>
      </c>
      <c r="BI68" s="76"/>
      <c r="BJ68" s="76" t="s">
        <v>6360</v>
      </c>
      <c r="BK68" s="76" t="b">
        <v>0</v>
      </c>
      <c r="BL68" s="76"/>
      <c r="BM68" s="76" t="s">
        <v>66</v>
      </c>
      <c r="BN68" s="76" t="s">
        <v>6362</v>
      </c>
      <c r="BO68" s="83" t="str">
        <f>HYPERLINK("https://twitter.com/pravaler")</f>
        <v>https://twitter.com/pravaler</v>
      </c>
      <c r="BP68" s="2"/>
    </row>
    <row r="69" spans="1:68" x14ac:dyDescent="0.25">
      <c r="A69" s="62" t="s">
        <v>284</v>
      </c>
      <c r="B69" s="63"/>
      <c r="C69" s="63"/>
      <c r="D69" s="64"/>
      <c r="E69" s="66"/>
      <c r="F69" s="102" t="str">
        <f>HYPERLINK("https://pbs.twimg.com/profile_images/1675930994241576966/MNUlIwKN_normal.jpg")</f>
        <v>https://pbs.twimg.com/profile_images/1675930994241576966/MNUlIwKN_normal.jpg</v>
      </c>
      <c r="G69" s="63"/>
      <c r="H69" s="67"/>
      <c r="I69" s="68"/>
      <c r="J69" s="68"/>
      <c r="K69" s="67" t="s">
        <v>6428</v>
      </c>
      <c r="L69" s="71"/>
      <c r="M69" s="72"/>
      <c r="N69" s="72"/>
      <c r="O69" s="73"/>
      <c r="P69" s="74"/>
      <c r="Q69" s="74"/>
      <c r="R69" s="86"/>
      <c r="S69" s="86"/>
      <c r="T69" s="86"/>
      <c r="U69" s="86"/>
      <c r="V69" s="48"/>
      <c r="W69" s="48"/>
      <c r="X69" s="48"/>
      <c r="Y69" s="48"/>
      <c r="Z69" s="47"/>
      <c r="AA69" s="69">
        <v>69</v>
      </c>
      <c r="AB69" s="69"/>
      <c r="AC69" s="70"/>
      <c r="AD69" s="76" t="s">
        <v>5393</v>
      </c>
      <c r="AE69" s="81" t="s">
        <v>5657</v>
      </c>
      <c r="AF69" s="76">
        <v>7640</v>
      </c>
      <c r="AG69" s="76">
        <v>204</v>
      </c>
      <c r="AH69" s="76">
        <v>20452</v>
      </c>
      <c r="AI69" s="76">
        <v>60</v>
      </c>
      <c r="AJ69" s="76">
        <v>39</v>
      </c>
      <c r="AK69" s="76">
        <v>885</v>
      </c>
      <c r="AL69" s="76" t="b">
        <v>0</v>
      </c>
      <c r="AM69" s="78">
        <v>39986.690509259257</v>
      </c>
      <c r="AN69" s="76" t="s">
        <v>5765</v>
      </c>
      <c r="AO69" s="76" t="s">
        <v>5916</v>
      </c>
      <c r="AP69" s="83" t="str">
        <f>HYPERLINK("https://t.co/gp1L2qgchC")</f>
        <v>https://t.co/gp1L2qgchC</v>
      </c>
      <c r="AQ69" s="83" t="str">
        <f>HYPERLINK("http://www.revistaapolice.com.br")</f>
        <v>http://www.revistaapolice.com.br</v>
      </c>
      <c r="AR69" s="76" t="s">
        <v>6178</v>
      </c>
      <c r="AS69" s="76"/>
      <c r="AT69" s="76"/>
      <c r="AU69" s="76"/>
      <c r="AV69" s="76"/>
      <c r="AW69" s="83" t="str">
        <f>HYPERLINK("https://t.co/gp1L2qgchC")</f>
        <v>https://t.co/gp1L2qgchC</v>
      </c>
      <c r="AX69" s="76" t="b">
        <v>0</v>
      </c>
      <c r="AY69" s="76"/>
      <c r="AZ69" s="76"/>
      <c r="BA69" s="76" t="b">
        <v>1</v>
      </c>
      <c r="BB69" s="76" t="b">
        <v>0</v>
      </c>
      <c r="BC69" s="76" t="b">
        <v>0</v>
      </c>
      <c r="BD69" s="76" t="b">
        <v>0</v>
      </c>
      <c r="BE69" s="76" t="b">
        <v>1</v>
      </c>
      <c r="BF69" s="76" t="b">
        <v>0</v>
      </c>
      <c r="BG69" s="76" t="b">
        <v>0</v>
      </c>
      <c r="BH69" s="83" t="str">
        <f>HYPERLINK("https://pbs.twimg.com/profile_banners/49681434/1587045307")</f>
        <v>https://pbs.twimg.com/profile_banners/49681434/1587045307</v>
      </c>
      <c r="BI69" s="76"/>
      <c r="BJ69" s="76" t="s">
        <v>6360</v>
      </c>
      <c r="BK69" s="76" t="b">
        <v>0</v>
      </c>
      <c r="BL69" s="76"/>
      <c r="BM69" s="76" t="s">
        <v>66</v>
      </c>
      <c r="BN69" s="76" t="s">
        <v>6362</v>
      </c>
      <c r="BO69" s="83" t="str">
        <f>HYPERLINK("https://twitter.com/revistaapolice")</f>
        <v>https://twitter.com/revistaapolice</v>
      </c>
      <c r="BP69" s="2"/>
    </row>
    <row r="70" spans="1:68" x14ac:dyDescent="0.25">
      <c r="A70" s="62" t="s">
        <v>285</v>
      </c>
      <c r="B70" s="63"/>
      <c r="C70" s="63"/>
      <c r="D70" s="64"/>
      <c r="E70" s="66"/>
      <c r="F70" s="102" t="str">
        <f>HYPERLINK("https://pbs.twimg.com/profile_images/1704588549712973824/baItJPXM_normal.jpg")</f>
        <v>https://pbs.twimg.com/profile_images/1704588549712973824/baItJPXM_normal.jpg</v>
      </c>
      <c r="G70" s="63"/>
      <c r="H70" s="67"/>
      <c r="I70" s="68"/>
      <c r="J70" s="68"/>
      <c r="K70" s="67" t="s">
        <v>6429</v>
      </c>
      <c r="L70" s="71"/>
      <c r="M70" s="72"/>
      <c r="N70" s="72"/>
      <c r="O70" s="73"/>
      <c r="P70" s="74"/>
      <c r="Q70" s="74"/>
      <c r="R70" s="86"/>
      <c r="S70" s="86"/>
      <c r="T70" s="86"/>
      <c r="U70" s="86"/>
      <c r="V70" s="48"/>
      <c r="W70" s="48"/>
      <c r="X70" s="48"/>
      <c r="Y70" s="48"/>
      <c r="Z70" s="47"/>
      <c r="AA70" s="69">
        <v>70</v>
      </c>
      <c r="AB70" s="69"/>
      <c r="AC70" s="70"/>
      <c r="AD70" s="76" t="s">
        <v>5394</v>
      </c>
      <c r="AE70" s="81" t="s">
        <v>5156</v>
      </c>
      <c r="AF70" s="76">
        <v>2</v>
      </c>
      <c r="AG70" s="76">
        <v>182</v>
      </c>
      <c r="AH70" s="76">
        <v>5</v>
      </c>
      <c r="AI70" s="76">
        <v>0</v>
      </c>
      <c r="AJ70" s="76">
        <v>12</v>
      </c>
      <c r="AK70" s="76">
        <v>1</v>
      </c>
      <c r="AL70" s="76" t="b">
        <v>0</v>
      </c>
      <c r="AM70" s="78">
        <v>44702.708518518521</v>
      </c>
      <c r="AN70" s="76"/>
      <c r="AO70" s="76" t="s">
        <v>5917</v>
      </c>
      <c r="AP70" s="76"/>
      <c r="AQ70" s="76"/>
      <c r="AR70" s="76"/>
      <c r="AS70" s="76"/>
      <c r="AT70" s="76"/>
      <c r="AU70" s="76"/>
      <c r="AV70" s="76"/>
      <c r="AW70" s="76"/>
      <c r="AX70" s="76" t="b">
        <v>0</v>
      </c>
      <c r="AY70" s="76"/>
      <c r="AZ70" s="76"/>
      <c r="BA70" s="76" t="b">
        <v>0</v>
      </c>
      <c r="BB70" s="76" t="b">
        <v>1</v>
      </c>
      <c r="BC70" s="76" t="b">
        <v>1</v>
      </c>
      <c r="BD70" s="76" t="b">
        <v>0</v>
      </c>
      <c r="BE70" s="76" t="b">
        <v>0</v>
      </c>
      <c r="BF70" s="76" t="b">
        <v>0</v>
      </c>
      <c r="BG70" s="76" t="b">
        <v>0</v>
      </c>
      <c r="BH70" s="83" t="str">
        <f>HYPERLINK("https://pbs.twimg.com/profile_banners/1528058026741178369/1695252966")</f>
        <v>https://pbs.twimg.com/profile_banners/1528058026741178369/1695252966</v>
      </c>
      <c r="BI70" s="76"/>
      <c r="BJ70" s="76" t="s">
        <v>6360</v>
      </c>
      <c r="BK70" s="76" t="b">
        <v>0</v>
      </c>
      <c r="BL70" s="76"/>
      <c r="BM70" s="76" t="s">
        <v>66</v>
      </c>
      <c r="BN70" s="76" t="s">
        <v>6362</v>
      </c>
      <c r="BO70" s="83" t="str">
        <f>HYPERLINK("https://twitter.com/investcarta")</f>
        <v>https://twitter.com/investcarta</v>
      </c>
      <c r="BP70" s="2"/>
    </row>
    <row r="71" spans="1:68" x14ac:dyDescent="0.25">
      <c r="A71" s="62" t="s">
        <v>286</v>
      </c>
      <c r="B71" s="63"/>
      <c r="C71" s="63"/>
      <c r="D71" s="64"/>
      <c r="E71" s="66"/>
      <c r="F71" s="102" t="str">
        <f>HYPERLINK("https://pbs.twimg.com/profile_images/1616247606157496320/l4pwSVaL_normal.jpg")</f>
        <v>https://pbs.twimg.com/profile_images/1616247606157496320/l4pwSVaL_normal.jpg</v>
      </c>
      <c r="G71" s="63"/>
      <c r="H71" s="67"/>
      <c r="I71" s="68"/>
      <c r="J71" s="68"/>
      <c r="K71" s="67" t="s">
        <v>6430</v>
      </c>
      <c r="L71" s="71"/>
      <c r="M71" s="72"/>
      <c r="N71" s="72"/>
      <c r="O71" s="73"/>
      <c r="P71" s="74"/>
      <c r="Q71" s="74"/>
      <c r="R71" s="86"/>
      <c r="S71" s="86"/>
      <c r="T71" s="86"/>
      <c r="U71" s="86"/>
      <c r="V71" s="48"/>
      <c r="W71" s="48"/>
      <c r="X71" s="48"/>
      <c r="Y71" s="48"/>
      <c r="Z71" s="47"/>
      <c r="AA71" s="69">
        <v>71</v>
      </c>
      <c r="AB71" s="69"/>
      <c r="AC71" s="70"/>
      <c r="AD71" s="76" t="s">
        <v>5395</v>
      </c>
      <c r="AE71" s="81" t="s">
        <v>5033</v>
      </c>
      <c r="AF71" s="76">
        <v>2</v>
      </c>
      <c r="AG71" s="76">
        <v>0</v>
      </c>
      <c r="AH71" s="76">
        <v>97</v>
      </c>
      <c r="AI71" s="76">
        <v>0</v>
      </c>
      <c r="AJ71" s="76">
        <v>17</v>
      </c>
      <c r="AK71" s="76">
        <v>97</v>
      </c>
      <c r="AL71" s="76" t="b">
        <v>0</v>
      </c>
      <c r="AM71" s="78">
        <v>44946.064918981479</v>
      </c>
      <c r="AN71" s="76"/>
      <c r="AO71" s="76" t="s">
        <v>5918</v>
      </c>
      <c r="AP71" s="83" t="str">
        <f>HYPERLINK("https://t.co/yuUvpcgy3Y")</f>
        <v>https://t.co/yuUvpcgy3Y</v>
      </c>
      <c r="AQ71" s="83" t="str">
        <f>HYPERLINK("https://www.instagram.com/minteredu")</f>
        <v>https://www.instagram.com/minteredu</v>
      </c>
      <c r="AR71" s="76" t="s">
        <v>6179</v>
      </c>
      <c r="AS71" s="83" t="str">
        <f>HYPERLINK("https://t.co/pkS0sEMfzD")</f>
        <v>https://t.co/pkS0sEMfzD</v>
      </c>
      <c r="AT71" s="83" t="str">
        <f>HYPERLINK("https://www.minter.com.br")</f>
        <v>https://www.minter.com.br</v>
      </c>
      <c r="AU71" s="76" t="s">
        <v>6345</v>
      </c>
      <c r="AV71" s="76"/>
      <c r="AW71" s="83" t="str">
        <f>HYPERLINK("https://t.co/yuUvpcgy3Y")</f>
        <v>https://t.co/yuUvpcgy3Y</v>
      </c>
      <c r="AX71" s="76" t="b">
        <v>0</v>
      </c>
      <c r="AY71" s="76"/>
      <c r="AZ71" s="76"/>
      <c r="BA71" s="76" t="b">
        <v>0</v>
      </c>
      <c r="BB71" s="76" t="b">
        <v>1</v>
      </c>
      <c r="BC71" s="76" t="b">
        <v>1</v>
      </c>
      <c r="BD71" s="76" t="b">
        <v>0</v>
      </c>
      <c r="BE71" s="76" t="b">
        <v>0</v>
      </c>
      <c r="BF71" s="76" t="b">
        <v>0</v>
      </c>
      <c r="BG71" s="76" t="b">
        <v>0</v>
      </c>
      <c r="BH71" s="83" t="str">
        <f>HYPERLINK("https://pbs.twimg.com/profile_banners/1616247480068313088/1674178731")</f>
        <v>https://pbs.twimg.com/profile_banners/1616247480068313088/1674178731</v>
      </c>
      <c r="BI71" s="76"/>
      <c r="BJ71" s="76" t="s">
        <v>6360</v>
      </c>
      <c r="BK71" s="76" t="b">
        <v>0</v>
      </c>
      <c r="BL71" s="76"/>
      <c r="BM71" s="76" t="s">
        <v>66</v>
      </c>
      <c r="BN71" s="76" t="s">
        <v>6362</v>
      </c>
      <c r="BO71" s="83" t="str">
        <f>HYPERLINK("https://twitter.com/minteredu")</f>
        <v>https://twitter.com/minteredu</v>
      </c>
      <c r="BP71" s="2"/>
    </row>
    <row r="72" spans="1:68" x14ac:dyDescent="0.25">
      <c r="A72" s="62" t="s">
        <v>287</v>
      </c>
      <c r="B72" s="63"/>
      <c r="C72" s="63"/>
      <c r="D72" s="64"/>
      <c r="E72" s="66"/>
      <c r="F72" s="102" t="str">
        <f>HYPERLINK("https://pbs.twimg.com/profile_images/1509569305616203788/SmKqjHVS_normal.jpg")</f>
        <v>https://pbs.twimg.com/profile_images/1509569305616203788/SmKqjHVS_normal.jpg</v>
      </c>
      <c r="G72" s="63"/>
      <c r="H72" s="67"/>
      <c r="I72" s="68"/>
      <c r="J72" s="68"/>
      <c r="K72" s="67" t="s">
        <v>6431</v>
      </c>
      <c r="L72" s="71"/>
      <c r="M72" s="72"/>
      <c r="N72" s="72"/>
      <c r="O72" s="73"/>
      <c r="P72" s="74"/>
      <c r="Q72" s="74"/>
      <c r="R72" s="86"/>
      <c r="S72" s="86"/>
      <c r="T72" s="86"/>
      <c r="U72" s="86"/>
      <c r="V72" s="48"/>
      <c r="W72" s="48"/>
      <c r="X72" s="48"/>
      <c r="Y72" s="48"/>
      <c r="Z72" s="47"/>
      <c r="AA72" s="69">
        <v>72</v>
      </c>
      <c r="AB72" s="69"/>
      <c r="AC72" s="70"/>
      <c r="AD72" s="76" t="s">
        <v>5396</v>
      </c>
      <c r="AE72" s="81" t="s">
        <v>5658</v>
      </c>
      <c r="AF72" s="76">
        <v>302</v>
      </c>
      <c r="AG72" s="76">
        <v>348</v>
      </c>
      <c r="AH72" s="76">
        <v>8875</v>
      </c>
      <c r="AI72" s="76">
        <v>2</v>
      </c>
      <c r="AJ72" s="76">
        <v>96708</v>
      </c>
      <c r="AK72" s="76">
        <v>178</v>
      </c>
      <c r="AL72" s="76" t="b">
        <v>0</v>
      </c>
      <c r="AM72" s="78">
        <v>39935.80027777778</v>
      </c>
      <c r="AN72" s="76" t="s">
        <v>5766</v>
      </c>
      <c r="AO72" s="76" t="s">
        <v>5919</v>
      </c>
      <c r="AP72" s="83" t="str">
        <f>HYPERLINK("https://t.co/zghpd9JU2y")</f>
        <v>https://t.co/zghpd9JU2y</v>
      </c>
      <c r="AQ72" s="83" t="str">
        <f>HYPERLINK("https://www.instagram.com/amanda.parla/")</f>
        <v>https://www.instagram.com/amanda.parla/</v>
      </c>
      <c r="AR72" s="76" t="s">
        <v>6180</v>
      </c>
      <c r="AS72" s="76"/>
      <c r="AT72" s="76"/>
      <c r="AU72" s="76"/>
      <c r="AV72" s="76"/>
      <c r="AW72" s="83" t="str">
        <f>HYPERLINK("https://t.co/zghpd9JU2y")</f>
        <v>https://t.co/zghpd9JU2y</v>
      </c>
      <c r="AX72" s="76" t="b">
        <v>0</v>
      </c>
      <c r="AY72" s="76"/>
      <c r="AZ72" s="76"/>
      <c r="BA72" s="76" t="b">
        <v>1</v>
      </c>
      <c r="BB72" s="76" t="b">
        <v>1</v>
      </c>
      <c r="BC72" s="76" t="b">
        <v>0</v>
      </c>
      <c r="BD72" s="76" t="b">
        <v>0</v>
      </c>
      <c r="BE72" s="76" t="b">
        <v>1</v>
      </c>
      <c r="BF72" s="76" t="b">
        <v>0</v>
      </c>
      <c r="BG72" s="76" t="b">
        <v>0</v>
      </c>
      <c r="BH72" s="76"/>
      <c r="BI72" s="76"/>
      <c r="BJ72" s="76" t="s">
        <v>6360</v>
      </c>
      <c r="BK72" s="76" t="b">
        <v>0</v>
      </c>
      <c r="BL72" s="76"/>
      <c r="BM72" s="76" t="s">
        <v>66</v>
      </c>
      <c r="BN72" s="76" t="s">
        <v>6362</v>
      </c>
      <c r="BO72" s="83" t="str">
        <f>HYPERLINK("https://twitter.com/parlamento")</f>
        <v>https://twitter.com/parlamento</v>
      </c>
      <c r="BP72" s="2"/>
    </row>
    <row r="73" spans="1:68" x14ac:dyDescent="0.25">
      <c r="A73" s="62" t="s">
        <v>520</v>
      </c>
      <c r="B73" s="63"/>
      <c r="C73" s="63"/>
      <c r="D73" s="64"/>
      <c r="E73" s="66"/>
      <c r="F73" s="102" t="str">
        <f>HYPERLINK("https://pbs.twimg.com/profile_images/1682127866408910852/83q-RDVm_normal.jpg")</f>
        <v>https://pbs.twimg.com/profile_images/1682127866408910852/83q-RDVm_normal.jpg</v>
      </c>
      <c r="G73" s="63"/>
      <c r="H73" s="67"/>
      <c r="I73" s="68"/>
      <c r="J73" s="68"/>
      <c r="K73" s="67" t="s">
        <v>6432</v>
      </c>
      <c r="L73" s="71"/>
      <c r="M73" s="72"/>
      <c r="N73" s="72"/>
      <c r="O73" s="73"/>
      <c r="P73" s="74"/>
      <c r="Q73" s="74"/>
      <c r="R73" s="86"/>
      <c r="S73" s="86"/>
      <c r="T73" s="86"/>
      <c r="U73" s="86"/>
      <c r="V73" s="48"/>
      <c r="W73" s="48"/>
      <c r="X73" s="48"/>
      <c r="Y73" s="48"/>
      <c r="Z73" s="47"/>
      <c r="AA73" s="69">
        <v>73</v>
      </c>
      <c r="AB73" s="69"/>
      <c r="AC73" s="70"/>
      <c r="AD73" s="76" t="s">
        <v>5397</v>
      </c>
      <c r="AE73" s="81" t="s">
        <v>5034</v>
      </c>
      <c r="AF73" s="76">
        <v>5352</v>
      </c>
      <c r="AG73" s="76">
        <v>1909</v>
      </c>
      <c r="AH73" s="76">
        <v>81161</v>
      </c>
      <c r="AI73" s="76">
        <v>10</v>
      </c>
      <c r="AJ73" s="76">
        <v>146789</v>
      </c>
      <c r="AK73" s="76">
        <v>16384</v>
      </c>
      <c r="AL73" s="76" t="b">
        <v>0</v>
      </c>
      <c r="AM73" s="78">
        <v>43569.632939814815</v>
      </c>
      <c r="AN73" s="76" t="s">
        <v>3410</v>
      </c>
      <c r="AO73" s="76" t="s">
        <v>5920</v>
      </c>
      <c r="AP73" s="76"/>
      <c r="AQ73" s="76"/>
      <c r="AR73" s="76"/>
      <c r="AS73" s="76"/>
      <c r="AT73" s="76"/>
      <c r="AU73" s="76"/>
      <c r="AV73" s="76">
        <v>1.2800906036956201E+18</v>
      </c>
      <c r="AW73" s="76"/>
      <c r="AX73" s="76" t="b">
        <v>0</v>
      </c>
      <c r="AY73" s="76"/>
      <c r="AZ73" s="76"/>
      <c r="BA73" s="76" t="b">
        <v>0</v>
      </c>
      <c r="BB73" s="76" t="b">
        <v>0</v>
      </c>
      <c r="BC73" s="76" t="b">
        <v>1</v>
      </c>
      <c r="BD73" s="76" t="b">
        <v>0</v>
      </c>
      <c r="BE73" s="76" t="b">
        <v>1</v>
      </c>
      <c r="BF73" s="76" t="b">
        <v>0</v>
      </c>
      <c r="BG73" s="76" t="b">
        <v>0</v>
      </c>
      <c r="BH73" s="83" t="str">
        <f>HYPERLINK("https://pbs.twimg.com/profile_banners/1117445260773416960/1678672345")</f>
        <v>https://pbs.twimg.com/profile_banners/1117445260773416960/1678672345</v>
      </c>
      <c r="BI73" s="76"/>
      <c r="BJ73" s="76" t="s">
        <v>6360</v>
      </c>
      <c r="BK73" s="76" t="b">
        <v>0</v>
      </c>
      <c r="BL73" s="76"/>
      <c r="BM73" s="76" t="s">
        <v>65</v>
      </c>
      <c r="BN73" s="76" t="s">
        <v>6362</v>
      </c>
      <c r="BO73" s="83" t="str">
        <f>HYPERLINK("https://twitter.com/tiajulha")</f>
        <v>https://twitter.com/tiajulha</v>
      </c>
      <c r="BP73" s="2"/>
    </row>
    <row r="74" spans="1:68" x14ac:dyDescent="0.25">
      <c r="A74" s="62" t="s">
        <v>420</v>
      </c>
      <c r="B74" s="63"/>
      <c r="C74" s="63"/>
      <c r="D74" s="64"/>
      <c r="E74" s="66"/>
      <c r="F74" s="102" t="str">
        <f>HYPERLINK("https://pbs.twimg.com/profile_images/1432680716140269571/JntTrJ45_normal.jpg")</f>
        <v>https://pbs.twimg.com/profile_images/1432680716140269571/JntTrJ45_normal.jpg</v>
      </c>
      <c r="G74" s="63"/>
      <c r="H74" s="67"/>
      <c r="I74" s="68"/>
      <c r="J74" s="68"/>
      <c r="K74" s="67" t="s">
        <v>6433</v>
      </c>
      <c r="L74" s="71"/>
      <c r="M74" s="72"/>
      <c r="N74" s="72"/>
      <c r="O74" s="73"/>
      <c r="P74" s="74"/>
      <c r="Q74" s="74"/>
      <c r="R74" s="86"/>
      <c r="S74" s="86"/>
      <c r="T74" s="86"/>
      <c r="U74" s="86"/>
      <c r="V74" s="48"/>
      <c r="W74" s="48"/>
      <c r="X74" s="48"/>
      <c r="Y74" s="48"/>
      <c r="Z74" s="47"/>
      <c r="AA74" s="69">
        <v>74</v>
      </c>
      <c r="AB74" s="69"/>
      <c r="AC74" s="70"/>
      <c r="AD74" s="76" t="s">
        <v>5398</v>
      </c>
      <c r="AE74" s="81" t="s">
        <v>5659</v>
      </c>
      <c r="AF74" s="76">
        <v>178267</v>
      </c>
      <c r="AG74" s="76">
        <v>7710</v>
      </c>
      <c r="AH74" s="76">
        <v>21034</v>
      </c>
      <c r="AI74" s="76">
        <v>83</v>
      </c>
      <c r="AJ74" s="76">
        <v>13718</v>
      </c>
      <c r="AK74" s="76">
        <v>4982</v>
      </c>
      <c r="AL74" s="76" t="b">
        <v>0</v>
      </c>
      <c r="AM74" s="78">
        <v>41717.549351851849</v>
      </c>
      <c r="AN74" s="76" t="s">
        <v>3410</v>
      </c>
      <c r="AO74" s="76" t="s">
        <v>5921</v>
      </c>
      <c r="AP74" s="83" t="str">
        <f>HYPERLINK("https://t.co/UGD4CJAhqQ")</f>
        <v>https://t.co/UGD4CJAhqQ</v>
      </c>
      <c r="AQ74" s="83" t="str">
        <f>HYPERLINK("http://paginalixo.com")</f>
        <v>http://paginalixo.com</v>
      </c>
      <c r="AR74" s="76" t="s">
        <v>6181</v>
      </c>
      <c r="AS74" s="76"/>
      <c r="AT74" s="76"/>
      <c r="AU74" s="76"/>
      <c r="AV74" s="76"/>
      <c r="AW74" s="83" t="str">
        <f>HYPERLINK("https://t.co/UGD4CJAhqQ")</f>
        <v>https://t.co/UGD4CJAhqQ</v>
      </c>
      <c r="AX74" s="76" t="b">
        <v>1</v>
      </c>
      <c r="AY74" s="76"/>
      <c r="AZ74" s="76"/>
      <c r="BA74" s="76" t="b">
        <v>1</v>
      </c>
      <c r="BB74" s="76" t="b">
        <v>1</v>
      </c>
      <c r="BC74" s="76" t="b">
        <v>0</v>
      </c>
      <c r="BD74" s="76" t="b">
        <v>0</v>
      </c>
      <c r="BE74" s="76" t="b">
        <v>1</v>
      </c>
      <c r="BF74" s="76" t="b">
        <v>0</v>
      </c>
      <c r="BG74" s="76" t="b">
        <v>0</v>
      </c>
      <c r="BH74" s="83" t="str">
        <f>HYPERLINK("https://pbs.twimg.com/profile_banners/2397838608/1542651045")</f>
        <v>https://pbs.twimg.com/profile_banners/2397838608/1542651045</v>
      </c>
      <c r="BI74" s="76"/>
      <c r="BJ74" s="76" t="s">
        <v>6361</v>
      </c>
      <c r="BK74" s="76" t="b">
        <v>0</v>
      </c>
      <c r="BL74" s="76"/>
      <c r="BM74" s="76" t="s">
        <v>66</v>
      </c>
      <c r="BN74" s="76" t="s">
        <v>6362</v>
      </c>
      <c r="BO74" s="83" t="str">
        <f>HYPERLINK("https://twitter.com/paginalixo1")</f>
        <v>https://twitter.com/paginalixo1</v>
      </c>
      <c r="BP74" s="2"/>
    </row>
    <row r="75" spans="1:68" x14ac:dyDescent="0.25">
      <c r="A75" s="62" t="s">
        <v>288</v>
      </c>
      <c r="B75" s="63"/>
      <c r="C75" s="63"/>
      <c r="D75" s="64"/>
      <c r="E75" s="66"/>
      <c r="F75" s="102" t="str">
        <f>HYPERLINK("https://pbs.twimg.com/profile_images/1566829977424781312/h5nwiQtw_normal.jpg")</f>
        <v>https://pbs.twimg.com/profile_images/1566829977424781312/h5nwiQtw_normal.jpg</v>
      </c>
      <c r="G75" s="63"/>
      <c r="H75" s="67"/>
      <c r="I75" s="68"/>
      <c r="J75" s="68"/>
      <c r="K75" s="67" t="s">
        <v>6434</v>
      </c>
      <c r="L75" s="71"/>
      <c r="M75" s="72"/>
      <c r="N75" s="72"/>
      <c r="O75" s="73"/>
      <c r="P75" s="74"/>
      <c r="Q75" s="74"/>
      <c r="R75" s="86"/>
      <c r="S75" s="86"/>
      <c r="T75" s="86"/>
      <c r="U75" s="86"/>
      <c r="V75" s="48"/>
      <c r="W75" s="48"/>
      <c r="X75" s="48"/>
      <c r="Y75" s="48"/>
      <c r="Z75" s="47"/>
      <c r="AA75" s="69">
        <v>75</v>
      </c>
      <c r="AB75" s="69"/>
      <c r="AC75" s="70"/>
      <c r="AD75" s="76" t="s">
        <v>5399</v>
      </c>
      <c r="AE75" s="81" t="s">
        <v>5157</v>
      </c>
      <c r="AF75" s="76">
        <v>2</v>
      </c>
      <c r="AG75" s="76">
        <v>24</v>
      </c>
      <c r="AH75" s="76">
        <v>137</v>
      </c>
      <c r="AI75" s="76">
        <v>0</v>
      </c>
      <c r="AJ75" s="76">
        <v>0</v>
      </c>
      <c r="AK75" s="76">
        <v>81</v>
      </c>
      <c r="AL75" s="76" t="b">
        <v>0</v>
      </c>
      <c r="AM75" s="78">
        <v>44809.698333333334</v>
      </c>
      <c r="AN75" s="76" t="s">
        <v>5767</v>
      </c>
      <c r="AO75" s="76" t="s">
        <v>5922</v>
      </c>
      <c r="AP75" s="83" t="str">
        <f>HYPERLINK("https://t.co/9x4W9tfZiL")</f>
        <v>https://t.co/9x4W9tfZiL</v>
      </c>
      <c r="AQ75" s="83" t="str">
        <f>HYPERLINK("http://cobratecassis.com.br/")</f>
        <v>http://cobratecassis.com.br/</v>
      </c>
      <c r="AR75" s="76" t="s">
        <v>6182</v>
      </c>
      <c r="AS75" s="76"/>
      <c r="AT75" s="76"/>
      <c r="AU75" s="76"/>
      <c r="AV75" s="76"/>
      <c r="AW75" s="83" t="str">
        <f>HYPERLINK("https://t.co/9x4W9tfZiL")</f>
        <v>https://t.co/9x4W9tfZiL</v>
      </c>
      <c r="AX75" s="76" t="b">
        <v>0</v>
      </c>
      <c r="AY75" s="76"/>
      <c r="AZ75" s="76"/>
      <c r="BA75" s="76" t="b">
        <v>0</v>
      </c>
      <c r="BB75" s="76" t="b">
        <v>1</v>
      </c>
      <c r="BC75" s="76" t="b">
        <v>1</v>
      </c>
      <c r="BD75" s="76" t="b">
        <v>0</v>
      </c>
      <c r="BE75" s="76" t="b">
        <v>0</v>
      </c>
      <c r="BF75" s="76" t="b">
        <v>0</v>
      </c>
      <c r="BG75" s="76" t="b">
        <v>0</v>
      </c>
      <c r="BH75" s="76"/>
      <c r="BI75" s="76"/>
      <c r="BJ75" s="76" t="s">
        <v>6360</v>
      </c>
      <c r="BK75" s="76" t="b">
        <v>0</v>
      </c>
      <c r="BL75" s="76"/>
      <c r="BM75" s="76" t="s">
        <v>66</v>
      </c>
      <c r="BN75" s="76" t="s">
        <v>6362</v>
      </c>
      <c r="BO75" s="83" t="str">
        <f>HYPERLINK("https://twitter.com/cobratecassis")</f>
        <v>https://twitter.com/cobratecassis</v>
      </c>
      <c r="BP75" s="2"/>
    </row>
    <row r="76" spans="1:68" x14ac:dyDescent="0.25">
      <c r="A76" s="62" t="s">
        <v>289</v>
      </c>
      <c r="B76" s="63"/>
      <c r="C76" s="63"/>
      <c r="D76" s="64"/>
      <c r="E76" s="66"/>
      <c r="F76" s="102" t="str">
        <f>HYPERLINK("https://pbs.twimg.com/profile_images/1649152439537266809/usI0AuDu_normal.jpg")</f>
        <v>https://pbs.twimg.com/profile_images/1649152439537266809/usI0AuDu_normal.jpg</v>
      </c>
      <c r="G76" s="63"/>
      <c r="H76" s="67"/>
      <c r="I76" s="68"/>
      <c r="J76" s="68"/>
      <c r="K76" s="67" t="s">
        <v>6435</v>
      </c>
      <c r="L76" s="71"/>
      <c r="M76" s="72"/>
      <c r="N76" s="72"/>
      <c r="O76" s="73"/>
      <c r="P76" s="74"/>
      <c r="Q76" s="74"/>
      <c r="R76" s="86"/>
      <c r="S76" s="86"/>
      <c r="T76" s="86"/>
      <c r="U76" s="86"/>
      <c r="V76" s="48"/>
      <c r="W76" s="48"/>
      <c r="X76" s="48"/>
      <c r="Y76" s="48"/>
      <c r="Z76" s="47"/>
      <c r="AA76" s="69">
        <v>76</v>
      </c>
      <c r="AB76" s="69"/>
      <c r="AC76" s="70"/>
      <c r="AD76" s="76" t="s">
        <v>5400</v>
      </c>
      <c r="AE76" s="81" t="s">
        <v>5158</v>
      </c>
      <c r="AF76" s="76">
        <v>0</v>
      </c>
      <c r="AG76" s="76">
        <v>10</v>
      </c>
      <c r="AH76" s="76">
        <v>49</v>
      </c>
      <c r="AI76" s="76">
        <v>0</v>
      </c>
      <c r="AJ76" s="76">
        <v>0</v>
      </c>
      <c r="AK76" s="76">
        <v>39</v>
      </c>
      <c r="AL76" s="76" t="b">
        <v>0</v>
      </c>
      <c r="AM76" s="78">
        <v>45036.854641203703</v>
      </c>
      <c r="AN76" s="76"/>
      <c r="AO76" s="76"/>
      <c r="AP76" s="76"/>
      <c r="AQ76" s="76"/>
      <c r="AR76" s="76"/>
      <c r="AS76" s="76"/>
      <c r="AT76" s="76"/>
      <c r="AU76" s="76"/>
      <c r="AV76" s="76"/>
      <c r="AW76" s="76"/>
      <c r="AX76" s="76" t="b">
        <v>0</v>
      </c>
      <c r="AY76" s="76"/>
      <c r="AZ76" s="76"/>
      <c r="BA76" s="76" t="b">
        <v>0</v>
      </c>
      <c r="BB76" s="76" t="b">
        <v>1</v>
      </c>
      <c r="BC76" s="76" t="b">
        <v>1</v>
      </c>
      <c r="BD76" s="76" t="b">
        <v>0</v>
      </c>
      <c r="BE76" s="76" t="b">
        <v>0</v>
      </c>
      <c r="BF76" s="76" t="b">
        <v>0</v>
      </c>
      <c r="BG76" s="76" t="b">
        <v>0</v>
      </c>
      <c r="BH76" s="83" t="str">
        <f>HYPERLINK("https://pbs.twimg.com/profile_banners/1649148528118099984/1682023562")</f>
        <v>https://pbs.twimg.com/profile_banners/1649148528118099984/1682023562</v>
      </c>
      <c r="BI76" s="76"/>
      <c r="BJ76" s="76" t="s">
        <v>6360</v>
      </c>
      <c r="BK76" s="76" t="b">
        <v>0</v>
      </c>
      <c r="BL76" s="76"/>
      <c r="BM76" s="76" t="s">
        <v>66</v>
      </c>
      <c r="BN76" s="76" t="s">
        <v>6362</v>
      </c>
      <c r="BO76" s="83" t="str">
        <f>HYPERLINK("https://twitter.com/atlantickapital")</f>
        <v>https://twitter.com/atlantickapital</v>
      </c>
      <c r="BP76" s="2"/>
    </row>
    <row r="77" spans="1:68" x14ac:dyDescent="0.25">
      <c r="A77" s="62" t="s">
        <v>290</v>
      </c>
      <c r="B77" s="63"/>
      <c r="C77" s="63"/>
      <c r="D77" s="64"/>
      <c r="E77" s="66"/>
      <c r="F77" s="102" t="str">
        <f>HYPERLINK("https://pbs.twimg.com/profile_images/1609890382300471297/1HGHH84K_normal.png")</f>
        <v>https://pbs.twimg.com/profile_images/1609890382300471297/1HGHH84K_normal.png</v>
      </c>
      <c r="G77" s="63"/>
      <c r="H77" s="67"/>
      <c r="I77" s="68"/>
      <c r="J77" s="68"/>
      <c r="K77" s="67" t="s">
        <v>6436</v>
      </c>
      <c r="L77" s="71"/>
      <c r="M77" s="72"/>
      <c r="N77" s="72"/>
      <c r="O77" s="73"/>
      <c r="P77" s="74"/>
      <c r="Q77" s="74"/>
      <c r="R77" s="86"/>
      <c r="S77" s="86"/>
      <c r="T77" s="86"/>
      <c r="U77" s="86"/>
      <c r="V77" s="48"/>
      <c r="W77" s="48"/>
      <c r="X77" s="48"/>
      <c r="Y77" s="48"/>
      <c r="Z77" s="47"/>
      <c r="AA77" s="69">
        <v>77</v>
      </c>
      <c r="AB77" s="69"/>
      <c r="AC77" s="70"/>
      <c r="AD77" s="76" t="s">
        <v>5328</v>
      </c>
      <c r="AE77" s="81" t="s">
        <v>5660</v>
      </c>
      <c r="AF77" s="76">
        <v>149</v>
      </c>
      <c r="AG77" s="76">
        <v>137</v>
      </c>
      <c r="AH77" s="76">
        <v>2288</v>
      </c>
      <c r="AI77" s="76">
        <v>1</v>
      </c>
      <c r="AJ77" s="76">
        <v>6</v>
      </c>
      <c r="AK77" s="76">
        <v>309</v>
      </c>
      <c r="AL77" s="76" t="b">
        <v>0</v>
      </c>
      <c r="AM77" s="78">
        <v>40993.628981481481</v>
      </c>
      <c r="AN77" s="76" t="s">
        <v>5736</v>
      </c>
      <c r="AO77" s="76" t="s">
        <v>5923</v>
      </c>
      <c r="AP77" s="83" t="str">
        <f>HYPERLINK("https://t.co/BdoUz1mriB")</f>
        <v>https://t.co/BdoUz1mriB</v>
      </c>
      <c r="AQ77" s="83" t="str">
        <f>HYPERLINK("https://www.instagram.com/pulsofinanceiro/")</f>
        <v>https://www.instagram.com/pulsofinanceiro/</v>
      </c>
      <c r="AR77" s="76" t="s">
        <v>6183</v>
      </c>
      <c r="AS77" s="76"/>
      <c r="AT77" s="76"/>
      <c r="AU77" s="76"/>
      <c r="AV77" s="76"/>
      <c r="AW77" s="83" t="str">
        <f>HYPERLINK("https://t.co/BdoUz1mriB")</f>
        <v>https://t.co/BdoUz1mriB</v>
      </c>
      <c r="AX77" s="76" t="b">
        <v>0</v>
      </c>
      <c r="AY77" s="76"/>
      <c r="AZ77" s="76"/>
      <c r="BA77" s="76" t="b">
        <v>1</v>
      </c>
      <c r="BB77" s="76" t="b">
        <v>1</v>
      </c>
      <c r="BC77" s="76" t="b">
        <v>0</v>
      </c>
      <c r="BD77" s="76" t="b">
        <v>0</v>
      </c>
      <c r="BE77" s="76" t="b">
        <v>0</v>
      </c>
      <c r="BF77" s="76" t="b">
        <v>0</v>
      </c>
      <c r="BG77" s="76" t="b">
        <v>0</v>
      </c>
      <c r="BH77" s="83" t="str">
        <f>HYPERLINK("https://pbs.twimg.com/profile_banners/536380588/1451739933")</f>
        <v>https://pbs.twimg.com/profile_banners/536380588/1451739933</v>
      </c>
      <c r="BI77" s="76"/>
      <c r="BJ77" s="76" t="s">
        <v>6360</v>
      </c>
      <c r="BK77" s="76" t="b">
        <v>0</v>
      </c>
      <c r="BL77" s="76"/>
      <c r="BM77" s="76" t="s">
        <v>66</v>
      </c>
      <c r="BN77" s="76" t="s">
        <v>6362</v>
      </c>
      <c r="BO77" s="83" t="str">
        <f>HYPERLINK("https://twitter.com/irineubere")</f>
        <v>https://twitter.com/irineubere</v>
      </c>
      <c r="BP77" s="2"/>
    </row>
    <row r="78" spans="1:68" x14ac:dyDescent="0.25">
      <c r="A78" s="62" t="s">
        <v>291</v>
      </c>
      <c r="B78" s="63"/>
      <c r="C78" s="63"/>
      <c r="D78" s="64"/>
      <c r="E78" s="66"/>
      <c r="F78" s="102" t="str">
        <f>HYPERLINK("https://pbs.twimg.com/profile_images/1214922333279989760/sJZYxAZY_normal.jpg")</f>
        <v>https://pbs.twimg.com/profile_images/1214922333279989760/sJZYxAZY_normal.jpg</v>
      </c>
      <c r="G78" s="63"/>
      <c r="H78" s="67"/>
      <c r="I78" s="68"/>
      <c r="J78" s="68"/>
      <c r="K78" s="67" t="s">
        <v>6437</v>
      </c>
      <c r="L78" s="71"/>
      <c r="M78" s="72"/>
      <c r="N78" s="72"/>
      <c r="O78" s="73"/>
      <c r="P78" s="74"/>
      <c r="Q78" s="74"/>
      <c r="R78" s="86"/>
      <c r="S78" s="86"/>
      <c r="T78" s="86"/>
      <c r="U78" s="86"/>
      <c r="V78" s="48"/>
      <c r="W78" s="48"/>
      <c r="X78" s="48"/>
      <c r="Y78" s="48"/>
      <c r="Z78" s="47"/>
      <c r="AA78" s="69">
        <v>78</v>
      </c>
      <c r="AB78" s="69"/>
      <c r="AC78" s="70"/>
      <c r="AD78" s="76" t="s">
        <v>5401</v>
      </c>
      <c r="AE78" s="81" t="s">
        <v>5159</v>
      </c>
      <c r="AF78" s="76">
        <v>10</v>
      </c>
      <c r="AG78" s="76">
        <v>57</v>
      </c>
      <c r="AH78" s="76">
        <v>517</v>
      </c>
      <c r="AI78" s="76">
        <v>0</v>
      </c>
      <c r="AJ78" s="76">
        <v>4</v>
      </c>
      <c r="AK78" s="76">
        <v>512</v>
      </c>
      <c r="AL78" s="76" t="b">
        <v>0</v>
      </c>
      <c r="AM78" s="78">
        <v>43045.710381944446</v>
      </c>
      <c r="AN78" s="76"/>
      <c r="AO78" s="76"/>
      <c r="AP78" s="76"/>
      <c r="AQ78" s="76"/>
      <c r="AR78" s="76"/>
      <c r="AS78" s="76"/>
      <c r="AT78" s="76"/>
      <c r="AU78" s="76"/>
      <c r="AV78" s="76"/>
      <c r="AW78" s="76"/>
      <c r="AX78" s="76" t="b">
        <v>0</v>
      </c>
      <c r="AY78" s="76"/>
      <c r="AZ78" s="76"/>
      <c r="BA78" s="76" t="b">
        <v>0</v>
      </c>
      <c r="BB78" s="76" t="b">
        <v>1</v>
      </c>
      <c r="BC78" s="76" t="b">
        <v>1</v>
      </c>
      <c r="BD78" s="76" t="b">
        <v>0</v>
      </c>
      <c r="BE78" s="76" t="b">
        <v>0</v>
      </c>
      <c r="BF78" s="76" t="b">
        <v>0</v>
      </c>
      <c r="BG78" s="76" t="b">
        <v>0</v>
      </c>
      <c r="BH78" s="83" t="str">
        <f>HYPERLINK("https://pbs.twimg.com/profile_banners/927582083635122181/1509987978")</f>
        <v>https://pbs.twimg.com/profile_banners/927582083635122181/1509987978</v>
      </c>
      <c r="BI78" s="76"/>
      <c r="BJ78" s="76" t="s">
        <v>6360</v>
      </c>
      <c r="BK78" s="76" t="b">
        <v>0</v>
      </c>
      <c r="BL78" s="76"/>
      <c r="BM78" s="76" t="s">
        <v>66</v>
      </c>
      <c r="BN78" s="76" t="s">
        <v>6362</v>
      </c>
      <c r="BO78" s="83" t="str">
        <f>HYPERLINK("https://twitter.com/lifecreditbr")</f>
        <v>https://twitter.com/lifecreditbr</v>
      </c>
      <c r="BP78" s="2"/>
    </row>
    <row r="79" spans="1:68" x14ac:dyDescent="0.25">
      <c r="A79" s="62" t="s">
        <v>292</v>
      </c>
      <c r="B79" s="63"/>
      <c r="C79" s="63"/>
      <c r="D79" s="64"/>
      <c r="E79" s="66"/>
      <c r="F79" s="102" t="str">
        <f>HYPERLINK("https://pbs.twimg.com/profile_images/1577020692184301587/YW6XkdWF_normal.jpg")</f>
        <v>https://pbs.twimg.com/profile_images/1577020692184301587/YW6XkdWF_normal.jpg</v>
      </c>
      <c r="G79" s="63"/>
      <c r="H79" s="67"/>
      <c r="I79" s="68"/>
      <c r="J79" s="68"/>
      <c r="K79" s="67" t="s">
        <v>6438</v>
      </c>
      <c r="L79" s="71"/>
      <c r="M79" s="72"/>
      <c r="N79" s="72"/>
      <c r="O79" s="73"/>
      <c r="P79" s="74"/>
      <c r="Q79" s="74"/>
      <c r="R79" s="86"/>
      <c r="S79" s="86"/>
      <c r="T79" s="86"/>
      <c r="U79" s="86"/>
      <c r="V79" s="48"/>
      <c r="W79" s="48"/>
      <c r="X79" s="48"/>
      <c r="Y79" s="48"/>
      <c r="Z79" s="47"/>
      <c r="AA79" s="69">
        <v>79</v>
      </c>
      <c r="AB79" s="69"/>
      <c r="AC79" s="70"/>
      <c r="AD79" s="76" t="s">
        <v>5402</v>
      </c>
      <c r="AE79" s="81" t="s">
        <v>5160</v>
      </c>
      <c r="AF79" s="76">
        <v>19</v>
      </c>
      <c r="AG79" s="76">
        <v>0</v>
      </c>
      <c r="AH79" s="76">
        <v>497</v>
      </c>
      <c r="AI79" s="76">
        <v>0</v>
      </c>
      <c r="AJ79" s="76">
        <v>5</v>
      </c>
      <c r="AK79" s="76">
        <v>493</v>
      </c>
      <c r="AL79" s="76" t="b">
        <v>0</v>
      </c>
      <c r="AM79" s="78">
        <v>44054.259259259263</v>
      </c>
      <c r="AN79" s="76"/>
      <c r="AO79" s="76" t="s">
        <v>5924</v>
      </c>
      <c r="AP79" s="83" t="str">
        <f>HYPERLINK("https://t.co/nzu6PhKPfx")</f>
        <v>https://t.co/nzu6PhKPfx</v>
      </c>
      <c r="AQ79" s="83" t="str">
        <f>HYPERLINK("https://linktr.ee/studiomadehits")</f>
        <v>https://linktr.ee/studiomadehits</v>
      </c>
      <c r="AR79" s="76" t="s">
        <v>6184</v>
      </c>
      <c r="AS79" s="76"/>
      <c r="AT79" s="76"/>
      <c r="AU79" s="76"/>
      <c r="AV79" s="76"/>
      <c r="AW79" s="83" t="str">
        <f>HYPERLINK("https://t.co/nzu6PhKPfx")</f>
        <v>https://t.co/nzu6PhKPfx</v>
      </c>
      <c r="AX79" s="76" t="b">
        <v>0</v>
      </c>
      <c r="AY79" s="76"/>
      <c r="AZ79" s="76"/>
      <c r="BA79" s="76" t="b">
        <v>0</v>
      </c>
      <c r="BB79" s="76" t="b">
        <v>1</v>
      </c>
      <c r="BC79" s="76" t="b">
        <v>1</v>
      </c>
      <c r="BD79" s="76" t="b">
        <v>0</v>
      </c>
      <c r="BE79" s="76" t="b">
        <v>0</v>
      </c>
      <c r="BF79" s="76" t="b">
        <v>0</v>
      </c>
      <c r="BG79" s="76" t="b">
        <v>0</v>
      </c>
      <c r="BH79" s="83" t="str">
        <f>HYPERLINK("https://pbs.twimg.com/profile_banners/1293067913453338625/1664826009")</f>
        <v>https://pbs.twimg.com/profile_banners/1293067913453338625/1664826009</v>
      </c>
      <c r="BI79" s="76"/>
      <c r="BJ79" s="76" t="s">
        <v>6360</v>
      </c>
      <c r="BK79" s="76" t="b">
        <v>0</v>
      </c>
      <c r="BL79" s="76"/>
      <c r="BM79" s="76" t="s">
        <v>66</v>
      </c>
      <c r="BN79" s="76" t="s">
        <v>6362</v>
      </c>
      <c r="BO79" s="83" t="str">
        <f>HYPERLINK("https://twitter.com/made_hits")</f>
        <v>https://twitter.com/made_hits</v>
      </c>
      <c r="BP79" s="2"/>
    </row>
    <row r="80" spans="1:68" x14ac:dyDescent="0.25">
      <c r="A80" s="62" t="s">
        <v>293</v>
      </c>
      <c r="B80" s="63"/>
      <c r="C80" s="63"/>
      <c r="D80" s="64"/>
      <c r="E80" s="66"/>
      <c r="F80" s="102" t="str">
        <f>HYPERLINK("https://pbs.twimg.com/profile_images/1691937102152265728/YIiJB_wu_normal.jpg")</f>
        <v>https://pbs.twimg.com/profile_images/1691937102152265728/YIiJB_wu_normal.jpg</v>
      </c>
      <c r="G80" s="63"/>
      <c r="H80" s="67"/>
      <c r="I80" s="68"/>
      <c r="J80" s="68"/>
      <c r="K80" s="67" t="s">
        <v>6439</v>
      </c>
      <c r="L80" s="71"/>
      <c r="M80" s="72"/>
      <c r="N80" s="72"/>
      <c r="O80" s="73"/>
      <c r="P80" s="74"/>
      <c r="Q80" s="74"/>
      <c r="R80" s="86"/>
      <c r="S80" s="86"/>
      <c r="T80" s="86"/>
      <c r="U80" s="86"/>
      <c r="V80" s="48"/>
      <c r="W80" s="48"/>
      <c r="X80" s="48"/>
      <c r="Y80" s="48"/>
      <c r="Z80" s="47"/>
      <c r="AA80" s="69">
        <v>80</v>
      </c>
      <c r="AB80" s="69"/>
      <c r="AC80" s="70"/>
      <c r="AD80" s="76" t="s">
        <v>5403</v>
      </c>
      <c r="AE80" s="81" t="s">
        <v>5035</v>
      </c>
      <c r="AF80" s="76">
        <v>2</v>
      </c>
      <c r="AG80" s="76">
        <v>22</v>
      </c>
      <c r="AH80" s="76">
        <v>68</v>
      </c>
      <c r="AI80" s="76">
        <v>0</v>
      </c>
      <c r="AJ80" s="76">
        <v>0</v>
      </c>
      <c r="AK80" s="76">
        <v>7</v>
      </c>
      <c r="AL80" s="76" t="b">
        <v>0</v>
      </c>
      <c r="AM80" s="78">
        <v>45154.918298611112</v>
      </c>
      <c r="AN80" s="76"/>
      <c r="AO80" s="76" t="s">
        <v>5925</v>
      </c>
      <c r="AP80" s="76"/>
      <c r="AQ80" s="76"/>
      <c r="AR80" s="76"/>
      <c r="AS80" s="76"/>
      <c r="AT80" s="76"/>
      <c r="AU80" s="76"/>
      <c r="AV80" s="76"/>
      <c r="AW80" s="76"/>
      <c r="AX80" s="76" t="b">
        <v>0</v>
      </c>
      <c r="AY80" s="76"/>
      <c r="AZ80" s="76"/>
      <c r="BA80" s="76" t="b">
        <v>0</v>
      </c>
      <c r="BB80" s="76" t="b">
        <v>1</v>
      </c>
      <c r="BC80" s="76" t="b">
        <v>1</v>
      </c>
      <c r="BD80" s="76" t="b">
        <v>0</v>
      </c>
      <c r="BE80" s="76" t="b">
        <v>0</v>
      </c>
      <c r="BF80" s="76" t="b">
        <v>0</v>
      </c>
      <c r="BG80" s="76" t="b">
        <v>0</v>
      </c>
      <c r="BH80" s="83" t="str">
        <f>HYPERLINK("https://pbs.twimg.com/profile_banners/1691933346077786118/1692311073")</f>
        <v>https://pbs.twimg.com/profile_banners/1691933346077786118/1692311073</v>
      </c>
      <c r="BI80" s="76"/>
      <c r="BJ80" s="76" t="s">
        <v>6360</v>
      </c>
      <c r="BK80" s="76" t="b">
        <v>0</v>
      </c>
      <c r="BL80" s="76"/>
      <c r="BM80" s="76" t="s">
        <v>66</v>
      </c>
      <c r="BN80" s="76" t="s">
        <v>6362</v>
      </c>
      <c r="BO80" s="83" t="str">
        <f>HYPERLINK("https://twitter.com/livrosemresumo")</f>
        <v>https://twitter.com/livrosemresumo</v>
      </c>
      <c r="BP80" s="2"/>
    </row>
    <row r="81" spans="1:68" x14ac:dyDescent="0.25">
      <c r="A81" s="62" t="s">
        <v>294</v>
      </c>
      <c r="B81" s="63"/>
      <c r="C81" s="63"/>
      <c r="D81" s="64"/>
      <c r="E81" s="66"/>
      <c r="F81" s="102" t="str">
        <f>HYPERLINK("https://pbs.twimg.com/profile_images/1373009655790776321/9zfGe27k_normal.jpg")</f>
        <v>https://pbs.twimg.com/profile_images/1373009655790776321/9zfGe27k_normal.jpg</v>
      </c>
      <c r="G81" s="63"/>
      <c r="H81" s="67"/>
      <c r="I81" s="68"/>
      <c r="J81" s="68"/>
      <c r="K81" s="67" t="s">
        <v>6440</v>
      </c>
      <c r="L81" s="71"/>
      <c r="M81" s="72"/>
      <c r="N81" s="72"/>
      <c r="O81" s="73"/>
      <c r="P81" s="74"/>
      <c r="Q81" s="74"/>
      <c r="R81" s="86"/>
      <c r="S81" s="86"/>
      <c r="T81" s="86"/>
      <c r="U81" s="86"/>
      <c r="V81" s="48"/>
      <c r="W81" s="48"/>
      <c r="X81" s="48"/>
      <c r="Y81" s="48"/>
      <c r="Z81" s="47"/>
      <c r="AA81" s="69">
        <v>81</v>
      </c>
      <c r="AB81" s="69"/>
      <c r="AC81" s="70"/>
      <c r="AD81" s="76" t="s">
        <v>5404</v>
      </c>
      <c r="AE81" s="81" t="s">
        <v>5161</v>
      </c>
      <c r="AF81" s="76">
        <v>34</v>
      </c>
      <c r="AG81" s="76">
        <v>215</v>
      </c>
      <c r="AH81" s="76">
        <v>294</v>
      </c>
      <c r="AI81" s="76">
        <v>0</v>
      </c>
      <c r="AJ81" s="76">
        <v>4069</v>
      </c>
      <c r="AK81" s="76">
        <v>1</v>
      </c>
      <c r="AL81" s="76" t="b">
        <v>0</v>
      </c>
      <c r="AM81" s="78">
        <v>44267.003055555557</v>
      </c>
      <c r="AN81" s="76" t="s">
        <v>5768</v>
      </c>
      <c r="AO81" s="76" t="s">
        <v>5926</v>
      </c>
      <c r="AP81" s="83" t="str">
        <f>HYPERLINK("https://t.co/UaxnDfgX7H")</f>
        <v>https://t.co/UaxnDfgX7H</v>
      </c>
      <c r="AQ81" s="83" t="str">
        <f>HYPERLINK("https://investsmart.com.br/alan-valney/")</f>
        <v>https://investsmart.com.br/alan-valney/</v>
      </c>
      <c r="AR81" s="76" t="s">
        <v>6185</v>
      </c>
      <c r="AS81" s="76"/>
      <c r="AT81" s="76"/>
      <c r="AU81" s="76"/>
      <c r="AV81" s="76"/>
      <c r="AW81" s="83" t="str">
        <f>HYPERLINK("https://t.co/UaxnDfgX7H")</f>
        <v>https://t.co/UaxnDfgX7H</v>
      </c>
      <c r="AX81" s="76" t="b">
        <v>0</v>
      </c>
      <c r="AY81" s="76"/>
      <c r="AZ81" s="76"/>
      <c r="BA81" s="76" t="b">
        <v>1</v>
      </c>
      <c r="BB81" s="76" t="b">
        <v>1</v>
      </c>
      <c r="BC81" s="76" t="b">
        <v>1</v>
      </c>
      <c r="BD81" s="76" t="b">
        <v>0</v>
      </c>
      <c r="BE81" s="76" t="b">
        <v>0</v>
      </c>
      <c r="BF81" s="76" t="b">
        <v>0</v>
      </c>
      <c r="BG81" s="76" t="b">
        <v>0</v>
      </c>
      <c r="BH81" s="83" t="str">
        <f>HYPERLINK("https://pbs.twimg.com/profile_banners/1370163662539915266/1667404807")</f>
        <v>https://pbs.twimg.com/profile_banners/1370163662539915266/1667404807</v>
      </c>
      <c r="BI81" s="76"/>
      <c r="BJ81" s="76" t="s">
        <v>6360</v>
      </c>
      <c r="BK81" s="76" t="b">
        <v>0</v>
      </c>
      <c r="BL81" s="76"/>
      <c r="BM81" s="76" t="s">
        <v>66</v>
      </c>
      <c r="BN81" s="76" t="s">
        <v>6362</v>
      </c>
      <c r="BO81" s="83" t="str">
        <f>HYPERLINK("https://twitter.com/alanvalney")</f>
        <v>https://twitter.com/alanvalney</v>
      </c>
      <c r="BP81" s="2"/>
    </row>
    <row r="82" spans="1:68" x14ac:dyDescent="0.25">
      <c r="A82" s="62" t="s">
        <v>295</v>
      </c>
      <c r="B82" s="63"/>
      <c r="C82" s="63"/>
      <c r="D82" s="64"/>
      <c r="E82" s="66"/>
      <c r="F82" s="102" t="str">
        <f>HYPERLINK("https://pbs.twimg.com/profile_images/1704206805142769664/ZiqdxLmn_normal.jpg")</f>
        <v>https://pbs.twimg.com/profile_images/1704206805142769664/ZiqdxLmn_normal.jpg</v>
      </c>
      <c r="G82" s="63"/>
      <c r="H82" s="67"/>
      <c r="I82" s="68"/>
      <c r="J82" s="68"/>
      <c r="K82" s="67" t="s">
        <v>6441</v>
      </c>
      <c r="L82" s="71"/>
      <c r="M82" s="72"/>
      <c r="N82" s="72"/>
      <c r="O82" s="73"/>
      <c r="P82" s="74"/>
      <c r="Q82" s="74"/>
      <c r="R82" s="86"/>
      <c r="S82" s="86"/>
      <c r="T82" s="86"/>
      <c r="U82" s="86"/>
      <c r="V82" s="48"/>
      <c r="W82" s="48"/>
      <c r="X82" s="48"/>
      <c r="Y82" s="48"/>
      <c r="Z82" s="47"/>
      <c r="AA82" s="69">
        <v>82</v>
      </c>
      <c r="AB82" s="69"/>
      <c r="AC82" s="70"/>
      <c r="AD82" s="76" t="s">
        <v>5405</v>
      </c>
      <c r="AE82" s="81" t="s">
        <v>5661</v>
      </c>
      <c r="AF82" s="76">
        <v>495</v>
      </c>
      <c r="AG82" s="76">
        <v>460</v>
      </c>
      <c r="AH82" s="76">
        <v>42563</v>
      </c>
      <c r="AI82" s="76">
        <v>0</v>
      </c>
      <c r="AJ82" s="76">
        <v>20224</v>
      </c>
      <c r="AK82" s="76">
        <v>260</v>
      </c>
      <c r="AL82" s="76" t="b">
        <v>0</v>
      </c>
      <c r="AM82" s="78">
        <v>40069.528969907406</v>
      </c>
      <c r="AN82" s="76">
        <v>19</v>
      </c>
      <c r="AO82" s="76" t="s">
        <v>5927</v>
      </c>
      <c r="AP82" s="76"/>
      <c r="AQ82" s="76"/>
      <c r="AR82" s="76"/>
      <c r="AS82" s="76"/>
      <c r="AT82" s="76"/>
      <c r="AU82" s="76"/>
      <c r="AV82" s="76"/>
      <c r="AW82" s="76"/>
      <c r="AX82" s="76" t="b">
        <v>0</v>
      </c>
      <c r="AY82" s="76"/>
      <c r="AZ82" s="76"/>
      <c r="BA82" s="76" t="b">
        <v>0</v>
      </c>
      <c r="BB82" s="76" t="b">
        <v>1</v>
      </c>
      <c r="BC82" s="76" t="b">
        <v>0</v>
      </c>
      <c r="BD82" s="76" t="b">
        <v>0</v>
      </c>
      <c r="BE82" s="76" t="b">
        <v>0</v>
      </c>
      <c r="BF82" s="76" t="b">
        <v>0</v>
      </c>
      <c r="BG82" s="76" t="b">
        <v>0</v>
      </c>
      <c r="BH82" s="83" t="str">
        <f>HYPERLINK("https://pbs.twimg.com/profile_banners/73875357/1678733568")</f>
        <v>https://pbs.twimg.com/profile_banners/73875357/1678733568</v>
      </c>
      <c r="BI82" s="76"/>
      <c r="BJ82" s="76" t="s">
        <v>6360</v>
      </c>
      <c r="BK82" s="76" t="b">
        <v>0</v>
      </c>
      <c r="BL82" s="76"/>
      <c r="BM82" s="76" t="s">
        <v>66</v>
      </c>
      <c r="BN82" s="76" t="s">
        <v>6362</v>
      </c>
      <c r="BO82" s="83" t="str">
        <f>HYPERLINK("https://twitter.com/felipecandianii")</f>
        <v>https://twitter.com/felipecandianii</v>
      </c>
      <c r="BP82" s="2"/>
    </row>
    <row r="83" spans="1:68" x14ac:dyDescent="0.25">
      <c r="A83" s="62" t="s">
        <v>296</v>
      </c>
      <c r="B83" s="63"/>
      <c r="C83" s="63"/>
      <c r="D83" s="64"/>
      <c r="E83" s="66"/>
      <c r="F83" s="102" t="str">
        <f>HYPERLINK("https://pbs.twimg.com/profile_images/1669719795082698754/FYNEQaxI_normal.jpg")</f>
        <v>https://pbs.twimg.com/profile_images/1669719795082698754/FYNEQaxI_normal.jpg</v>
      </c>
      <c r="G83" s="63"/>
      <c r="H83" s="67"/>
      <c r="I83" s="68"/>
      <c r="J83" s="68"/>
      <c r="K83" s="67" t="s">
        <v>6442</v>
      </c>
      <c r="L83" s="71"/>
      <c r="M83" s="72"/>
      <c r="N83" s="72"/>
      <c r="O83" s="73"/>
      <c r="P83" s="74"/>
      <c r="Q83" s="74"/>
      <c r="R83" s="86"/>
      <c r="S83" s="86"/>
      <c r="T83" s="86"/>
      <c r="U83" s="86"/>
      <c r="V83" s="48"/>
      <c r="W83" s="48"/>
      <c r="X83" s="48"/>
      <c r="Y83" s="48"/>
      <c r="Z83" s="47"/>
      <c r="AA83" s="69">
        <v>83</v>
      </c>
      <c r="AB83" s="69"/>
      <c r="AC83" s="70"/>
      <c r="AD83" s="76" t="s">
        <v>5406</v>
      </c>
      <c r="AE83" s="81" t="s">
        <v>5162</v>
      </c>
      <c r="AF83" s="76">
        <v>56</v>
      </c>
      <c r="AG83" s="76">
        <v>789</v>
      </c>
      <c r="AH83" s="76">
        <v>493</v>
      </c>
      <c r="AI83" s="76">
        <v>8</v>
      </c>
      <c r="AJ83" s="76">
        <v>307</v>
      </c>
      <c r="AK83" s="76">
        <v>168</v>
      </c>
      <c r="AL83" s="76" t="b">
        <v>0</v>
      </c>
      <c r="AM83" s="78">
        <v>44498.627939814818</v>
      </c>
      <c r="AN83" s="76" t="s">
        <v>3415</v>
      </c>
      <c r="AO83" s="76" t="s">
        <v>5928</v>
      </c>
      <c r="AP83" s="76"/>
      <c r="AQ83" s="76"/>
      <c r="AR83" s="76"/>
      <c r="AS83" s="76"/>
      <c r="AT83" s="76"/>
      <c r="AU83" s="76"/>
      <c r="AV83" s="76"/>
      <c r="AW83" s="76"/>
      <c r="AX83" s="76" t="b">
        <v>0</v>
      </c>
      <c r="AY83" s="76"/>
      <c r="AZ83" s="76"/>
      <c r="BA83" s="76" t="b">
        <v>0</v>
      </c>
      <c r="BB83" s="76" t="b">
        <v>1</v>
      </c>
      <c r="BC83" s="76" t="b">
        <v>1</v>
      </c>
      <c r="BD83" s="76" t="b">
        <v>0</v>
      </c>
      <c r="BE83" s="76" t="b">
        <v>1</v>
      </c>
      <c r="BF83" s="76" t="b">
        <v>0</v>
      </c>
      <c r="BG83" s="76" t="b">
        <v>0</v>
      </c>
      <c r="BH83" s="83" t="str">
        <f>HYPERLINK("https://pbs.twimg.com/profile_banners/1454101639338598403/1687966530")</f>
        <v>https://pbs.twimg.com/profile_banners/1454101639338598403/1687966530</v>
      </c>
      <c r="BI83" s="76"/>
      <c r="BJ83" s="76" t="s">
        <v>6360</v>
      </c>
      <c r="BK83" s="76" t="b">
        <v>0</v>
      </c>
      <c r="BL83" s="76"/>
      <c r="BM83" s="76" t="s">
        <v>66</v>
      </c>
      <c r="BN83" s="76" t="s">
        <v>6362</v>
      </c>
      <c r="BO83" s="83" t="str">
        <f>HYPERLINK("https://twitter.com/francisinvicto")</f>
        <v>https://twitter.com/francisinvicto</v>
      </c>
      <c r="BP83" s="2"/>
    </row>
    <row r="84" spans="1:68" x14ac:dyDescent="0.25">
      <c r="A84" s="62" t="s">
        <v>521</v>
      </c>
      <c r="B84" s="63"/>
      <c r="C84" s="63"/>
      <c r="D84" s="64"/>
      <c r="E84" s="66"/>
      <c r="F84" s="102" t="str">
        <f>HYPERLINK("https://pbs.twimg.com/profile_images/1680299608784744448/5oR3tZi5_normal.jpg")</f>
        <v>https://pbs.twimg.com/profile_images/1680299608784744448/5oR3tZi5_normal.jpg</v>
      </c>
      <c r="G84" s="63"/>
      <c r="H84" s="67"/>
      <c r="I84" s="68"/>
      <c r="J84" s="68"/>
      <c r="K84" s="67" t="s">
        <v>6443</v>
      </c>
      <c r="L84" s="71"/>
      <c r="M84" s="72"/>
      <c r="N84" s="72"/>
      <c r="O84" s="73"/>
      <c r="P84" s="74"/>
      <c r="Q84" s="74"/>
      <c r="R84" s="86"/>
      <c r="S84" s="86"/>
      <c r="T84" s="86"/>
      <c r="U84" s="86"/>
      <c r="V84" s="48"/>
      <c r="W84" s="48"/>
      <c r="X84" s="48"/>
      <c r="Y84" s="48"/>
      <c r="Z84" s="47"/>
      <c r="AA84" s="69">
        <v>84</v>
      </c>
      <c r="AB84" s="69"/>
      <c r="AC84" s="70"/>
      <c r="AD84" s="76" t="s">
        <v>5407</v>
      </c>
      <c r="AE84" s="81" t="s">
        <v>5662</v>
      </c>
      <c r="AF84" s="76">
        <v>8631262</v>
      </c>
      <c r="AG84" s="76">
        <v>1761</v>
      </c>
      <c r="AH84" s="76">
        <v>8979</v>
      </c>
      <c r="AI84" s="76">
        <v>30223</v>
      </c>
      <c r="AJ84" s="76">
        <v>16494</v>
      </c>
      <c r="AK84" s="76">
        <v>933</v>
      </c>
      <c r="AL84" s="76" t="b">
        <v>0</v>
      </c>
      <c r="AM84" s="78">
        <v>42977.675150462965</v>
      </c>
      <c r="AN84" s="76"/>
      <c r="AO84" s="76" t="s">
        <v>5929</v>
      </c>
      <c r="AP84" s="83" t="str">
        <f>HYPERLINK("https://t.co/zlvCSBI7R2")</f>
        <v>https://t.co/zlvCSBI7R2</v>
      </c>
      <c r="AQ84" s="83" t="str">
        <f>HYPERLINK("http://www.binance.com")</f>
        <v>http://www.binance.com</v>
      </c>
      <c r="AR84" s="76" t="s">
        <v>6186</v>
      </c>
      <c r="AS84" s="76"/>
      <c r="AT84" s="76"/>
      <c r="AU84" s="76"/>
      <c r="AV84" s="76">
        <v>1.61001809612285E+18</v>
      </c>
      <c r="AW84" s="83" t="str">
        <f>HYPERLINK("https://t.co/zlvCSBI7R2")</f>
        <v>https://t.co/zlvCSBI7R2</v>
      </c>
      <c r="AX84" s="76" t="b">
        <v>1</v>
      </c>
      <c r="AY84" s="76"/>
      <c r="AZ84" s="76"/>
      <c r="BA84" s="76" t="b">
        <v>0</v>
      </c>
      <c r="BB84" s="76" t="b">
        <v>1</v>
      </c>
      <c r="BC84" s="76" t="b">
        <v>0</v>
      </c>
      <c r="BD84" s="76" t="b">
        <v>0</v>
      </c>
      <c r="BE84" s="76" t="b">
        <v>1</v>
      </c>
      <c r="BF84" s="76" t="b">
        <v>0</v>
      </c>
      <c r="BG84" s="76" t="b">
        <v>0</v>
      </c>
      <c r="BH84" s="83" t="str">
        <f>HYPERLINK("https://pbs.twimg.com/profile_banners/902926941413453824/1597864552")</f>
        <v>https://pbs.twimg.com/profile_banners/902926941413453824/1597864552</v>
      </c>
      <c r="BI84" s="76"/>
      <c r="BJ84" s="76" t="s">
        <v>6360</v>
      </c>
      <c r="BK84" s="76" t="b">
        <v>0</v>
      </c>
      <c r="BL84" s="76"/>
      <c r="BM84" s="76" t="s">
        <v>65</v>
      </c>
      <c r="BN84" s="76" t="s">
        <v>6362</v>
      </c>
      <c r="BO84" s="83" t="str">
        <f>HYPERLINK("https://twitter.com/cz_binance")</f>
        <v>https://twitter.com/cz_binance</v>
      </c>
      <c r="BP84" s="2"/>
    </row>
    <row r="85" spans="1:68" x14ac:dyDescent="0.25">
      <c r="A85" s="62" t="s">
        <v>522</v>
      </c>
      <c r="B85" s="63"/>
      <c r="C85" s="63"/>
      <c r="D85" s="64"/>
      <c r="E85" s="66"/>
      <c r="F85" s="102" t="str">
        <f>HYPERLINK("https://pbs.twimg.com/profile_images/1675780528992141312/AIth_3GW_normal.jpg")</f>
        <v>https://pbs.twimg.com/profile_images/1675780528992141312/AIth_3GW_normal.jpg</v>
      </c>
      <c r="G85" s="63"/>
      <c r="H85" s="67"/>
      <c r="I85" s="68"/>
      <c r="J85" s="68"/>
      <c r="K85" s="67" t="s">
        <v>6444</v>
      </c>
      <c r="L85" s="71"/>
      <c r="M85" s="72"/>
      <c r="N85" s="72"/>
      <c r="O85" s="73"/>
      <c r="P85" s="74"/>
      <c r="Q85" s="74"/>
      <c r="R85" s="86"/>
      <c r="S85" s="86"/>
      <c r="T85" s="86"/>
      <c r="U85" s="86"/>
      <c r="V85" s="48"/>
      <c r="W85" s="48"/>
      <c r="X85" s="48"/>
      <c r="Y85" s="48"/>
      <c r="Z85" s="47"/>
      <c r="AA85" s="69">
        <v>85</v>
      </c>
      <c r="AB85" s="69"/>
      <c r="AC85" s="70"/>
      <c r="AD85" s="76" t="s">
        <v>5408</v>
      </c>
      <c r="AE85" s="81" t="s">
        <v>5663</v>
      </c>
      <c r="AF85" s="76">
        <v>1419738</v>
      </c>
      <c r="AG85" s="76">
        <v>4</v>
      </c>
      <c r="AH85" s="76">
        <v>7287</v>
      </c>
      <c r="AI85" s="76">
        <v>9067</v>
      </c>
      <c r="AJ85" s="76">
        <v>1942</v>
      </c>
      <c r="AK85" s="76">
        <v>1202</v>
      </c>
      <c r="AL85" s="76" t="b">
        <v>0</v>
      </c>
      <c r="AM85" s="78">
        <v>41470.46292824074</v>
      </c>
      <c r="AN85" s="76"/>
      <c r="AO85" s="76" t="s">
        <v>5930</v>
      </c>
      <c r="AP85" s="83" t="str">
        <f>HYPERLINK("https://t.co/34ZKs2wKlr")</f>
        <v>https://t.co/34ZKs2wKlr</v>
      </c>
      <c r="AQ85" s="83" t="str">
        <f>HYPERLINK("https://polkadot.network/")</f>
        <v>https://polkadot.network/</v>
      </c>
      <c r="AR85" s="76" t="s">
        <v>6187</v>
      </c>
      <c r="AS85" s="76"/>
      <c r="AT85" s="76"/>
      <c r="AU85" s="76"/>
      <c r="AV85" s="76">
        <v>1.70412103888627E+18</v>
      </c>
      <c r="AW85" s="83" t="str">
        <f>HYPERLINK("https://t.co/34ZKs2wKlr")</f>
        <v>https://t.co/34ZKs2wKlr</v>
      </c>
      <c r="AX85" s="76" t="b">
        <v>1</v>
      </c>
      <c r="AY85" s="76"/>
      <c r="AZ85" s="76"/>
      <c r="BA85" s="76" t="b">
        <v>0</v>
      </c>
      <c r="BB85" s="76" t="b">
        <v>1</v>
      </c>
      <c r="BC85" s="76" t="b">
        <v>0</v>
      </c>
      <c r="BD85" s="76" t="b">
        <v>0</v>
      </c>
      <c r="BE85" s="76" t="b">
        <v>0</v>
      </c>
      <c r="BF85" s="76" t="b">
        <v>0</v>
      </c>
      <c r="BG85" s="76" t="b">
        <v>0</v>
      </c>
      <c r="BH85" s="83" t="str">
        <f>HYPERLINK("https://pbs.twimg.com/profile_banners/1595615893/1688502183")</f>
        <v>https://pbs.twimg.com/profile_banners/1595615893/1688502183</v>
      </c>
      <c r="BI85" s="76"/>
      <c r="BJ85" s="76" t="s">
        <v>6360</v>
      </c>
      <c r="BK85" s="76" t="b">
        <v>0</v>
      </c>
      <c r="BL85" s="76"/>
      <c r="BM85" s="76" t="s">
        <v>65</v>
      </c>
      <c r="BN85" s="76" t="s">
        <v>6362</v>
      </c>
      <c r="BO85" s="83" t="str">
        <f>HYPERLINK("https://twitter.com/polkadot")</f>
        <v>https://twitter.com/polkadot</v>
      </c>
      <c r="BP85" s="2"/>
    </row>
    <row r="86" spans="1:68" x14ac:dyDescent="0.25">
      <c r="A86" s="62" t="s">
        <v>523</v>
      </c>
      <c r="B86" s="63"/>
      <c r="C86" s="63"/>
      <c r="D86" s="64"/>
      <c r="E86" s="66"/>
      <c r="F86" s="102" t="str">
        <f>HYPERLINK("https://pbs.twimg.com/profile_images/1618518716337254400/xhFkLBqa_normal.jpg")</f>
        <v>https://pbs.twimg.com/profile_images/1618518716337254400/xhFkLBqa_normal.jpg</v>
      </c>
      <c r="G86" s="63"/>
      <c r="H86" s="67"/>
      <c r="I86" s="68"/>
      <c r="J86" s="68"/>
      <c r="K86" s="67" t="s">
        <v>6445</v>
      </c>
      <c r="L86" s="71"/>
      <c r="M86" s="72"/>
      <c r="N86" s="72"/>
      <c r="O86" s="73"/>
      <c r="P86" s="74"/>
      <c r="Q86" s="74"/>
      <c r="R86" s="86"/>
      <c r="S86" s="86"/>
      <c r="T86" s="86"/>
      <c r="U86" s="86"/>
      <c r="V86" s="48"/>
      <c r="W86" s="48"/>
      <c r="X86" s="48"/>
      <c r="Y86" s="48"/>
      <c r="Z86" s="47"/>
      <c r="AA86" s="69">
        <v>86</v>
      </c>
      <c r="AB86" s="69"/>
      <c r="AC86" s="70"/>
      <c r="AD86" s="76" t="s">
        <v>5409</v>
      </c>
      <c r="AE86" s="81" t="s">
        <v>5664</v>
      </c>
      <c r="AF86" s="76">
        <v>179042</v>
      </c>
      <c r="AG86" s="76">
        <v>90</v>
      </c>
      <c r="AH86" s="76">
        <v>1796</v>
      </c>
      <c r="AI86" s="76">
        <v>281</v>
      </c>
      <c r="AJ86" s="76">
        <v>644</v>
      </c>
      <c r="AK86" s="76">
        <v>605</v>
      </c>
      <c r="AL86" s="76" t="b">
        <v>0</v>
      </c>
      <c r="AM86" s="78">
        <v>44197.536319444444</v>
      </c>
      <c r="AN86" s="76" t="s">
        <v>5769</v>
      </c>
      <c r="AO86" s="76" t="s">
        <v>5931</v>
      </c>
      <c r="AP86" s="83" t="str">
        <f>HYPERLINK("https://t.co/4I5LvzRirs")</f>
        <v>https://t.co/4I5LvzRirs</v>
      </c>
      <c r="AQ86" s="83" t="str">
        <f>HYPERLINK("https://p2p.polkabridge.org")</f>
        <v>https://p2p.polkabridge.org</v>
      </c>
      <c r="AR86" s="76" t="s">
        <v>6188</v>
      </c>
      <c r="AS86" s="76" t="s">
        <v>6336</v>
      </c>
      <c r="AT86" s="76" t="s">
        <v>6340</v>
      </c>
      <c r="AU86" s="76" t="s">
        <v>6346</v>
      </c>
      <c r="AV86" s="76">
        <v>1.6791603335236101E+18</v>
      </c>
      <c r="AW86" s="83" t="str">
        <f>HYPERLINK("https://t.co/4I5LvzRirs")</f>
        <v>https://t.co/4I5LvzRirs</v>
      </c>
      <c r="AX86" s="76" t="b">
        <v>1</v>
      </c>
      <c r="AY86" s="76"/>
      <c r="AZ86" s="76"/>
      <c r="BA86" s="76" t="b">
        <v>0</v>
      </c>
      <c r="BB86" s="76" t="b">
        <v>1</v>
      </c>
      <c r="BC86" s="76" t="b">
        <v>1</v>
      </c>
      <c r="BD86" s="76" t="b">
        <v>0</v>
      </c>
      <c r="BE86" s="76" t="b">
        <v>1</v>
      </c>
      <c r="BF86" s="76" t="b">
        <v>0</v>
      </c>
      <c r="BG86" s="76" t="b">
        <v>0</v>
      </c>
      <c r="BH86" s="83" t="str">
        <f>HYPERLINK("https://pbs.twimg.com/profile_banners/1344989728706158595/1695737421")</f>
        <v>https://pbs.twimg.com/profile_banners/1344989728706158595/1695737421</v>
      </c>
      <c r="BI86" s="76"/>
      <c r="BJ86" s="76" t="s">
        <v>6360</v>
      </c>
      <c r="BK86" s="76" t="b">
        <v>0</v>
      </c>
      <c r="BL86" s="76"/>
      <c r="BM86" s="76" t="s">
        <v>65</v>
      </c>
      <c r="BN86" s="76" t="s">
        <v>6362</v>
      </c>
      <c r="BO86" s="83" t="str">
        <f>HYPERLINK("https://twitter.com/realpolkabridge")</f>
        <v>https://twitter.com/realpolkabridge</v>
      </c>
      <c r="BP86" s="2"/>
    </row>
    <row r="87" spans="1:68" x14ac:dyDescent="0.25">
      <c r="A87" s="62" t="s">
        <v>297</v>
      </c>
      <c r="B87" s="63"/>
      <c r="C87" s="63"/>
      <c r="D87" s="64"/>
      <c r="E87" s="66"/>
      <c r="F87" s="102" t="str">
        <f>HYPERLINK("https://pbs.twimg.com/profile_images/1603789840184709127/s_dyGcWT_normal.jpg")</f>
        <v>https://pbs.twimg.com/profile_images/1603789840184709127/s_dyGcWT_normal.jpg</v>
      </c>
      <c r="G87" s="63"/>
      <c r="H87" s="67"/>
      <c r="I87" s="68"/>
      <c r="J87" s="68"/>
      <c r="K87" s="67" t="s">
        <v>6446</v>
      </c>
      <c r="L87" s="71"/>
      <c r="M87" s="72"/>
      <c r="N87" s="72"/>
      <c r="O87" s="73"/>
      <c r="P87" s="74"/>
      <c r="Q87" s="74"/>
      <c r="R87" s="86"/>
      <c r="S87" s="86"/>
      <c r="T87" s="86"/>
      <c r="U87" s="86"/>
      <c r="V87" s="48"/>
      <c r="W87" s="48"/>
      <c r="X87" s="48"/>
      <c r="Y87" s="48"/>
      <c r="Z87" s="47"/>
      <c r="AA87" s="69">
        <v>87</v>
      </c>
      <c r="AB87" s="69"/>
      <c r="AC87" s="70"/>
      <c r="AD87" s="76" t="s">
        <v>5410</v>
      </c>
      <c r="AE87" s="81" t="s">
        <v>5163</v>
      </c>
      <c r="AF87" s="76">
        <v>0</v>
      </c>
      <c r="AG87" s="76">
        <v>27</v>
      </c>
      <c r="AH87" s="76">
        <v>181</v>
      </c>
      <c r="AI87" s="76">
        <v>2</v>
      </c>
      <c r="AJ87" s="76">
        <v>6</v>
      </c>
      <c r="AK87" s="76">
        <v>2</v>
      </c>
      <c r="AL87" s="76" t="b">
        <v>0</v>
      </c>
      <c r="AM87" s="78">
        <v>44911.687928240739</v>
      </c>
      <c r="AN87" s="76"/>
      <c r="AO87" s="76" t="s">
        <v>5932</v>
      </c>
      <c r="AP87" s="76"/>
      <c r="AQ87" s="76"/>
      <c r="AR87" s="76"/>
      <c r="AS87" s="76"/>
      <c r="AT87" s="76"/>
      <c r="AU87" s="76"/>
      <c r="AV87" s="76"/>
      <c r="AW87" s="76"/>
      <c r="AX87" s="76" t="b">
        <v>0</v>
      </c>
      <c r="AY87" s="76"/>
      <c r="AZ87" s="76"/>
      <c r="BA87" s="76" t="b">
        <v>0</v>
      </c>
      <c r="BB87" s="76" t="b">
        <v>1</v>
      </c>
      <c r="BC87" s="76" t="b">
        <v>1</v>
      </c>
      <c r="BD87" s="76" t="b">
        <v>0</v>
      </c>
      <c r="BE87" s="76" t="b">
        <v>0</v>
      </c>
      <c r="BF87" s="76" t="b">
        <v>0</v>
      </c>
      <c r="BG87" s="76" t="b">
        <v>0</v>
      </c>
      <c r="BH87" s="76"/>
      <c r="BI87" s="76"/>
      <c r="BJ87" s="76" t="s">
        <v>6360</v>
      </c>
      <c r="BK87" s="76" t="b">
        <v>0</v>
      </c>
      <c r="BL87" s="76"/>
      <c r="BM87" s="76" t="s">
        <v>66</v>
      </c>
      <c r="BN87" s="76" t="s">
        <v>6362</v>
      </c>
      <c r="BO87" s="83" t="str">
        <f>HYPERLINK("https://twitter.com/fbiosha")</f>
        <v>https://twitter.com/fbiosha</v>
      </c>
      <c r="BP87" s="2"/>
    </row>
    <row r="88" spans="1:68" x14ac:dyDescent="0.25">
      <c r="A88" s="62" t="s">
        <v>298</v>
      </c>
      <c r="B88" s="63"/>
      <c r="C88" s="63"/>
      <c r="D88" s="64"/>
      <c r="E88" s="66"/>
      <c r="F88" s="102" t="str">
        <f>HYPERLINK("https://pbs.twimg.com/profile_images/1632843373810704389/wzjwnJsh_normal.jpg")</f>
        <v>https://pbs.twimg.com/profile_images/1632843373810704389/wzjwnJsh_normal.jpg</v>
      </c>
      <c r="G88" s="63"/>
      <c r="H88" s="67"/>
      <c r="I88" s="68"/>
      <c r="J88" s="68"/>
      <c r="K88" s="67" t="s">
        <v>6447</v>
      </c>
      <c r="L88" s="71"/>
      <c r="M88" s="72"/>
      <c r="N88" s="72"/>
      <c r="O88" s="73"/>
      <c r="P88" s="74"/>
      <c r="Q88" s="74"/>
      <c r="R88" s="86"/>
      <c r="S88" s="86"/>
      <c r="T88" s="86"/>
      <c r="U88" s="86"/>
      <c r="V88" s="48"/>
      <c r="W88" s="48"/>
      <c r="X88" s="48"/>
      <c r="Y88" s="48"/>
      <c r="Z88" s="47"/>
      <c r="AA88" s="69">
        <v>88</v>
      </c>
      <c r="AB88" s="69"/>
      <c r="AC88" s="70"/>
      <c r="AD88" s="76" t="s">
        <v>5411</v>
      </c>
      <c r="AE88" s="81" t="s">
        <v>5036</v>
      </c>
      <c r="AF88" s="76">
        <v>12</v>
      </c>
      <c r="AG88" s="76">
        <v>1</v>
      </c>
      <c r="AH88" s="76">
        <v>105</v>
      </c>
      <c r="AI88" s="76">
        <v>0</v>
      </c>
      <c r="AJ88" s="76">
        <v>6</v>
      </c>
      <c r="AK88" s="76">
        <v>19</v>
      </c>
      <c r="AL88" s="76" t="b">
        <v>0</v>
      </c>
      <c r="AM88" s="78">
        <v>44706.555613425924</v>
      </c>
      <c r="AN88" s="76"/>
      <c r="AO88" s="76" t="s">
        <v>5933</v>
      </c>
      <c r="AP88" s="83" t="str">
        <f>HYPERLINK("https://t.co/CTth8WmzgW")</f>
        <v>https://t.co/CTth8WmzgW</v>
      </c>
      <c r="AQ88" s="83" t="str">
        <f>HYPERLINK("https://www.instagram.com/luizefinancas/")</f>
        <v>https://www.instagram.com/luizefinancas/</v>
      </c>
      <c r="AR88" s="76" t="s">
        <v>6189</v>
      </c>
      <c r="AS88" s="76"/>
      <c r="AT88" s="76"/>
      <c r="AU88" s="76"/>
      <c r="AV88" s="76"/>
      <c r="AW88" s="83" t="str">
        <f>HYPERLINK("https://t.co/CTth8WmzgW")</f>
        <v>https://t.co/CTth8WmzgW</v>
      </c>
      <c r="AX88" s="76" t="b">
        <v>0</v>
      </c>
      <c r="AY88" s="76"/>
      <c r="AZ88" s="76"/>
      <c r="BA88" s="76" t="b">
        <v>0</v>
      </c>
      <c r="BB88" s="76" t="b">
        <v>1</v>
      </c>
      <c r="BC88" s="76" t="b">
        <v>1</v>
      </c>
      <c r="BD88" s="76" t="b">
        <v>0</v>
      </c>
      <c r="BE88" s="76" t="b">
        <v>0</v>
      </c>
      <c r="BF88" s="76" t="b">
        <v>0</v>
      </c>
      <c r="BG88" s="76" t="b">
        <v>0</v>
      </c>
      <c r="BH88" s="83" t="str">
        <f>HYPERLINK("https://pbs.twimg.com/profile_banners/1529452211121623040/1679498839")</f>
        <v>https://pbs.twimg.com/profile_banners/1529452211121623040/1679498839</v>
      </c>
      <c r="BI88" s="76"/>
      <c r="BJ88" s="76" t="s">
        <v>6360</v>
      </c>
      <c r="BK88" s="76" t="b">
        <v>0</v>
      </c>
      <c r="BL88" s="76"/>
      <c r="BM88" s="76" t="s">
        <v>66</v>
      </c>
      <c r="BN88" s="76" t="s">
        <v>6362</v>
      </c>
      <c r="BO88" s="83" t="str">
        <f>HYPERLINK("https://twitter.com/luizefinancas")</f>
        <v>https://twitter.com/luizefinancas</v>
      </c>
      <c r="BP88" s="2"/>
    </row>
    <row r="89" spans="1:68" x14ac:dyDescent="0.25">
      <c r="A89" s="62" t="s">
        <v>299</v>
      </c>
      <c r="B89" s="63"/>
      <c r="C89" s="63"/>
      <c r="D89" s="64"/>
      <c r="E89" s="66"/>
      <c r="F89" s="102" t="str">
        <f>HYPERLINK("https://pbs.twimg.com/profile_images/1656004536211841032/HRnhFWb4_normal.jpg")</f>
        <v>https://pbs.twimg.com/profile_images/1656004536211841032/HRnhFWb4_normal.jpg</v>
      </c>
      <c r="G89" s="63"/>
      <c r="H89" s="67"/>
      <c r="I89" s="68"/>
      <c r="J89" s="68"/>
      <c r="K89" s="67" t="s">
        <v>6448</v>
      </c>
      <c r="L89" s="71"/>
      <c r="M89" s="72"/>
      <c r="N89" s="72"/>
      <c r="O89" s="73"/>
      <c r="P89" s="74"/>
      <c r="Q89" s="74"/>
      <c r="R89" s="86"/>
      <c r="S89" s="86"/>
      <c r="T89" s="86"/>
      <c r="U89" s="86"/>
      <c r="V89" s="48"/>
      <c r="W89" s="48"/>
      <c r="X89" s="48"/>
      <c r="Y89" s="48"/>
      <c r="Z89" s="47"/>
      <c r="AA89" s="69">
        <v>89</v>
      </c>
      <c r="AB89" s="69"/>
      <c r="AC89" s="70"/>
      <c r="AD89" s="76" t="s">
        <v>5412</v>
      </c>
      <c r="AE89" s="81" t="s">
        <v>5164</v>
      </c>
      <c r="AF89" s="76">
        <v>1</v>
      </c>
      <c r="AG89" s="76">
        <v>19</v>
      </c>
      <c r="AH89" s="76">
        <v>112</v>
      </c>
      <c r="AI89" s="76">
        <v>0</v>
      </c>
      <c r="AJ89" s="76">
        <v>19</v>
      </c>
      <c r="AK89" s="76">
        <v>27</v>
      </c>
      <c r="AL89" s="76" t="b">
        <v>0</v>
      </c>
      <c r="AM89" s="78">
        <v>45055.065381944441</v>
      </c>
      <c r="AN89" s="76"/>
      <c r="AO89" s="76" t="s">
        <v>5934</v>
      </c>
      <c r="AP89" s="83" t="str">
        <f>HYPERLINK("https://t.co/NtAsymS1yx")</f>
        <v>https://t.co/NtAsymS1yx</v>
      </c>
      <c r="AQ89" s="83" t="str">
        <f>HYPERLINK("https://www.aflawgovernancatributaria.com/home")</f>
        <v>https://www.aflawgovernancatributaria.com/home</v>
      </c>
      <c r="AR89" s="76" t="s">
        <v>6190</v>
      </c>
      <c r="AS89" s="76"/>
      <c r="AT89" s="76"/>
      <c r="AU89" s="76"/>
      <c r="AV89" s="76">
        <v>1.6635392480272901E+18</v>
      </c>
      <c r="AW89" s="83" t="str">
        <f>HYPERLINK("https://t.co/NtAsymS1yx")</f>
        <v>https://t.co/NtAsymS1yx</v>
      </c>
      <c r="AX89" s="76" t="b">
        <v>0</v>
      </c>
      <c r="AY89" s="76"/>
      <c r="AZ89" s="76"/>
      <c r="BA89" s="76" t="b">
        <v>0</v>
      </c>
      <c r="BB89" s="76" t="b">
        <v>1</v>
      </c>
      <c r="BC89" s="76" t="b">
        <v>1</v>
      </c>
      <c r="BD89" s="76" t="b">
        <v>0</v>
      </c>
      <c r="BE89" s="76" t="b">
        <v>0</v>
      </c>
      <c r="BF89" s="76" t="b">
        <v>0</v>
      </c>
      <c r="BG89" s="76" t="b">
        <v>0</v>
      </c>
      <c r="BH89" s="83" t="str">
        <f>HYPERLINK("https://pbs.twimg.com/profile_banners/1655747852386050049/1683657376")</f>
        <v>https://pbs.twimg.com/profile_banners/1655747852386050049/1683657376</v>
      </c>
      <c r="BI89" s="76"/>
      <c r="BJ89" s="76" t="s">
        <v>6360</v>
      </c>
      <c r="BK89" s="76" t="b">
        <v>0</v>
      </c>
      <c r="BL89" s="76"/>
      <c r="BM89" s="76" t="s">
        <v>66</v>
      </c>
      <c r="BN89" s="76" t="s">
        <v>6362</v>
      </c>
      <c r="BO89" s="83" t="str">
        <f>HYPERLINK("https://twitter.com/focanoimposto")</f>
        <v>https://twitter.com/focanoimposto</v>
      </c>
      <c r="BP89" s="2"/>
    </row>
    <row r="90" spans="1:68" x14ac:dyDescent="0.25">
      <c r="A90" s="62" t="s">
        <v>300</v>
      </c>
      <c r="B90" s="63"/>
      <c r="C90" s="63"/>
      <c r="D90" s="64"/>
      <c r="E90" s="66"/>
      <c r="F90" s="102" t="str">
        <f>HYPERLINK("https://pbs.twimg.com/profile_images/655862819032838144/BMMqm4Pm_normal.jpg")</f>
        <v>https://pbs.twimg.com/profile_images/655862819032838144/BMMqm4Pm_normal.jpg</v>
      </c>
      <c r="G90" s="63"/>
      <c r="H90" s="67"/>
      <c r="I90" s="68"/>
      <c r="J90" s="68"/>
      <c r="K90" s="67" t="s">
        <v>6449</v>
      </c>
      <c r="L90" s="71"/>
      <c r="M90" s="72"/>
      <c r="N90" s="72"/>
      <c r="O90" s="73"/>
      <c r="P90" s="74"/>
      <c r="Q90" s="74"/>
      <c r="R90" s="86"/>
      <c r="S90" s="86"/>
      <c r="T90" s="86"/>
      <c r="U90" s="86"/>
      <c r="V90" s="48"/>
      <c r="W90" s="48"/>
      <c r="X90" s="48"/>
      <c r="Y90" s="48"/>
      <c r="Z90" s="47"/>
      <c r="AA90" s="69">
        <v>90</v>
      </c>
      <c r="AB90" s="69"/>
      <c r="AC90" s="70"/>
      <c r="AD90" s="76" t="s">
        <v>5413</v>
      </c>
      <c r="AE90" s="81" t="s">
        <v>5665</v>
      </c>
      <c r="AF90" s="76">
        <v>10</v>
      </c>
      <c r="AG90" s="76">
        <v>21</v>
      </c>
      <c r="AH90" s="76">
        <v>345</v>
      </c>
      <c r="AI90" s="76">
        <v>0</v>
      </c>
      <c r="AJ90" s="76">
        <v>0</v>
      </c>
      <c r="AK90" s="76">
        <v>317</v>
      </c>
      <c r="AL90" s="76" t="b">
        <v>0</v>
      </c>
      <c r="AM90" s="78">
        <v>41618.94803240741</v>
      </c>
      <c r="AN90" s="76" t="s">
        <v>5770</v>
      </c>
      <c r="AO90" s="76" t="s">
        <v>5935</v>
      </c>
      <c r="AP90" s="83" t="str">
        <f>HYPERLINK("https://t.co/LZJPGQ1i1I")</f>
        <v>https://t.co/LZJPGQ1i1I</v>
      </c>
      <c r="AQ90" s="83" t="str">
        <f>HYPERLINK("http://www.vidatodacorretora.com.br")</f>
        <v>http://www.vidatodacorretora.com.br</v>
      </c>
      <c r="AR90" s="76" t="s">
        <v>6191</v>
      </c>
      <c r="AS90" s="76"/>
      <c r="AT90" s="76"/>
      <c r="AU90" s="76"/>
      <c r="AV90" s="76"/>
      <c r="AW90" s="83" t="str">
        <f>HYPERLINK("https://t.co/LZJPGQ1i1I")</f>
        <v>https://t.co/LZJPGQ1i1I</v>
      </c>
      <c r="AX90" s="76" t="b">
        <v>0</v>
      </c>
      <c r="AY90" s="76"/>
      <c r="AZ90" s="76"/>
      <c r="BA90" s="76" t="b">
        <v>0</v>
      </c>
      <c r="BB90" s="76" t="b">
        <v>1</v>
      </c>
      <c r="BC90" s="76" t="b">
        <v>1</v>
      </c>
      <c r="BD90" s="76" t="b">
        <v>0</v>
      </c>
      <c r="BE90" s="76" t="b">
        <v>0</v>
      </c>
      <c r="BF90" s="76" t="b">
        <v>0</v>
      </c>
      <c r="BG90" s="76" t="b">
        <v>0</v>
      </c>
      <c r="BH90" s="76"/>
      <c r="BI90" s="76"/>
      <c r="BJ90" s="76" t="s">
        <v>6360</v>
      </c>
      <c r="BK90" s="76" t="b">
        <v>0</v>
      </c>
      <c r="BL90" s="76"/>
      <c r="BM90" s="76" t="s">
        <v>66</v>
      </c>
      <c r="BN90" s="76" t="s">
        <v>6362</v>
      </c>
      <c r="BO90" s="83" t="str">
        <f>HYPERLINK("https://twitter.com/vidatodaseguros")</f>
        <v>https://twitter.com/vidatodaseguros</v>
      </c>
      <c r="BP90" s="2"/>
    </row>
    <row r="91" spans="1:68" x14ac:dyDescent="0.25">
      <c r="A91" s="62" t="s">
        <v>301</v>
      </c>
      <c r="B91" s="63"/>
      <c r="C91" s="63"/>
      <c r="D91" s="64"/>
      <c r="E91" s="66"/>
      <c r="F91" s="102" t="str">
        <f>HYPERLINK("https://pbs.twimg.com/profile_images/1481698610869944334/to1as_J2_normal.jpg")</f>
        <v>https://pbs.twimg.com/profile_images/1481698610869944334/to1as_J2_normal.jpg</v>
      </c>
      <c r="G91" s="63"/>
      <c r="H91" s="67"/>
      <c r="I91" s="68"/>
      <c r="J91" s="68"/>
      <c r="K91" s="67" t="s">
        <v>6450</v>
      </c>
      <c r="L91" s="71"/>
      <c r="M91" s="72"/>
      <c r="N91" s="72"/>
      <c r="O91" s="73"/>
      <c r="P91" s="74"/>
      <c r="Q91" s="74"/>
      <c r="R91" s="86"/>
      <c r="S91" s="86"/>
      <c r="T91" s="86"/>
      <c r="U91" s="86"/>
      <c r="V91" s="48"/>
      <c r="W91" s="48"/>
      <c r="X91" s="48"/>
      <c r="Y91" s="48"/>
      <c r="Z91" s="47"/>
      <c r="AA91" s="69">
        <v>91</v>
      </c>
      <c r="AB91" s="69"/>
      <c r="AC91" s="70"/>
      <c r="AD91" s="76" t="s">
        <v>5414</v>
      </c>
      <c r="AE91" s="81" t="s">
        <v>5666</v>
      </c>
      <c r="AF91" s="76">
        <v>218</v>
      </c>
      <c r="AG91" s="76">
        <v>1380</v>
      </c>
      <c r="AH91" s="76">
        <v>5457</v>
      </c>
      <c r="AI91" s="76">
        <v>0</v>
      </c>
      <c r="AJ91" s="76">
        <v>27657</v>
      </c>
      <c r="AK91" s="76">
        <v>66</v>
      </c>
      <c r="AL91" s="76" t="b">
        <v>0</v>
      </c>
      <c r="AM91" s="78">
        <v>42205.978113425925</v>
      </c>
      <c r="AN91" s="76" t="s">
        <v>5771</v>
      </c>
      <c r="AO91" s="76" t="s">
        <v>5936</v>
      </c>
      <c r="AP91" s="76"/>
      <c r="AQ91" s="76"/>
      <c r="AR91" s="76"/>
      <c r="AS91" s="76"/>
      <c r="AT91" s="76"/>
      <c r="AU91" s="76"/>
      <c r="AV91" s="76"/>
      <c r="AW91" s="76"/>
      <c r="AX91" s="76" t="b">
        <v>0</v>
      </c>
      <c r="AY91" s="76"/>
      <c r="AZ91" s="76"/>
      <c r="BA91" s="76" t="b">
        <v>0</v>
      </c>
      <c r="BB91" s="76" t="b">
        <v>1</v>
      </c>
      <c r="BC91" s="76" t="b">
        <v>1</v>
      </c>
      <c r="BD91" s="76" t="b">
        <v>0</v>
      </c>
      <c r="BE91" s="76" t="b">
        <v>1</v>
      </c>
      <c r="BF91" s="76" t="b">
        <v>0</v>
      </c>
      <c r="BG91" s="76" t="b">
        <v>0</v>
      </c>
      <c r="BH91" s="83" t="str">
        <f>HYPERLINK("https://pbs.twimg.com/profile_banners/3385144997/1617225757")</f>
        <v>https://pbs.twimg.com/profile_banners/3385144997/1617225757</v>
      </c>
      <c r="BI91" s="76"/>
      <c r="BJ91" s="76" t="s">
        <v>6360</v>
      </c>
      <c r="BK91" s="76" t="b">
        <v>0</v>
      </c>
      <c r="BL91" s="76"/>
      <c r="BM91" s="76" t="s">
        <v>66</v>
      </c>
      <c r="BN91" s="76" t="s">
        <v>6362</v>
      </c>
      <c r="BO91" s="83" t="str">
        <f>HYPERLINK("https://twitter.com/dalai_money")</f>
        <v>https://twitter.com/dalai_money</v>
      </c>
      <c r="BP91" s="2"/>
    </row>
    <row r="92" spans="1:68" x14ac:dyDescent="0.25">
      <c r="A92" s="62" t="s">
        <v>302</v>
      </c>
      <c r="B92" s="63"/>
      <c r="C92" s="63"/>
      <c r="D92" s="64"/>
      <c r="E92" s="66"/>
      <c r="F92" s="102" t="str">
        <f>HYPERLINK("https://pbs.twimg.com/profile_images/1107999612772716545/ace4Knt3_normal.png")</f>
        <v>https://pbs.twimg.com/profile_images/1107999612772716545/ace4Knt3_normal.png</v>
      </c>
      <c r="G92" s="63"/>
      <c r="H92" s="67"/>
      <c r="I92" s="68"/>
      <c r="J92" s="68"/>
      <c r="K92" s="67" t="s">
        <v>6451</v>
      </c>
      <c r="L92" s="71"/>
      <c r="M92" s="72"/>
      <c r="N92" s="72"/>
      <c r="O92" s="73"/>
      <c r="P92" s="74"/>
      <c r="Q92" s="74"/>
      <c r="R92" s="86"/>
      <c r="S92" s="86"/>
      <c r="T92" s="86"/>
      <c r="U92" s="86"/>
      <c r="V92" s="48"/>
      <c r="W92" s="48"/>
      <c r="X92" s="48"/>
      <c r="Y92" s="48"/>
      <c r="Z92" s="47"/>
      <c r="AA92" s="69">
        <v>92</v>
      </c>
      <c r="AB92" s="69"/>
      <c r="AC92" s="70"/>
      <c r="AD92" s="76" t="s">
        <v>5415</v>
      </c>
      <c r="AE92" s="81" t="s">
        <v>5667</v>
      </c>
      <c r="AF92" s="76">
        <v>212</v>
      </c>
      <c r="AG92" s="76">
        <v>48</v>
      </c>
      <c r="AH92" s="76">
        <v>3159</v>
      </c>
      <c r="AI92" s="76">
        <v>0</v>
      </c>
      <c r="AJ92" s="76">
        <v>11</v>
      </c>
      <c r="AK92" s="76">
        <v>2464</v>
      </c>
      <c r="AL92" s="76" t="b">
        <v>0</v>
      </c>
      <c r="AM92" s="78">
        <v>40939.744247685187</v>
      </c>
      <c r="AN92" s="76" t="s">
        <v>3410</v>
      </c>
      <c r="AO92" s="76" t="s">
        <v>5937</v>
      </c>
      <c r="AP92" s="83" t="str">
        <f>HYPERLINK("http://t.co/k2RNHXkQRK")</f>
        <v>http://t.co/k2RNHXkQRK</v>
      </c>
      <c r="AQ92" s="83" t="str">
        <f>HYPERLINK("http://www.hidoctor.com.br")</f>
        <v>http://www.hidoctor.com.br</v>
      </c>
      <c r="AR92" s="76" t="s">
        <v>6192</v>
      </c>
      <c r="AS92" s="76"/>
      <c r="AT92" s="76"/>
      <c r="AU92" s="76"/>
      <c r="AV92" s="76"/>
      <c r="AW92" s="83" t="str">
        <f>HYPERLINK("http://t.co/k2RNHXkQRK")</f>
        <v>http://t.co/k2RNHXkQRK</v>
      </c>
      <c r="AX92" s="76" t="b">
        <v>0</v>
      </c>
      <c r="AY92" s="76"/>
      <c r="AZ92" s="76"/>
      <c r="BA92" s="76" t="b">
        <v>0</v>
      </c>
      <c r="BB92" s="76" t="b">
        <v>1</v>
      </c>
      <c r="BC92" s="76" t="b">
        <v>0</v>
      </c>
      <c r="BD92" s="76" t="b">
        <v>0</v>
      </c>
      <c r="BE92" s="76" t="b">
        <v>1</v>
      </c>
      <c r="BF92" s="76" t="b">
        <v>0</v>
      </c>
      <c r="BG92" s="76" t="b">
        <v>0</v>
      </c>
      <c r="BH92" s="83" t="str">
        <f>HYPERLINK("https://pbs.twimg.com/profile_banners/479716607/1627595187")</f>
        <v>https://pbs.twimg.com/profile_banners/479716607/1627595187</v>
      </c>
      <c r="BI92" s="76"/>
      <c r="BJ92" s="76" t="s">
        <v>6360</v>
      </c>
      <c r="BK92" s="76" t="b">
        <v>0</v>
      </c>
      <c r="BL92" s="76"/>
      <c r="BM92" s="76" t="s">
        <v>66</v>
      </c>
      <c r="BN92" s="76" t="s">
        <v>6362</v>
      </c>
      <c r="BO92" s="83" t="str">
        <f>HYPERLINK("https://twitter.com/hidoctor")</f>
        <v>https://twitter.com/hidoctor</v>
      </c>
      <c r="BP92" s="2"/>
    </row>
    <row r="93" spans="1:68" x14ac:dyDescent="0.25">
      <c r="A93" s="62" t="s">
        <v>303</v>
      </c>
      <c r="B93" s="63"/>
      <c r="C93" s="63"/>
      <c r="D93" s="64"/>
      <c r="E93" s="66"/>
      <c r="F93" s="102" t="str">
        <f>HYPERLINK("https://pbs.twimg.com/profile_images/938484946544611328/PKg24OzC_normal.jpg")</f>
        <v>https://pbs.twimg.com/profile_images/938484946544611328/PKg24OzC_normal.jpg</v>
      </c>
      <c r="G93" s="63"/>
      <c r="H93" s="67"/>
      <c r="I93" s="68"/>
      <c r="J93" s="68"/>
      <c r="K93" s="67" t="s">
        <v>6452</v>
      </c>
      <c r="L93" s="71"/>
      <c r="M93" s="72"/>
      <c r="N93" s="72"/>
      <c r="O93" s="73"/>
      <c r="P93" s="74"/>
      <c r="Q93" s="74"/>
      <c r="R93" s="86"/>
      <c r="S93" s="86"/>
      <c r="T93" s="86"/>
      <c r="U93" s="86"/>
      <c r="V93" s="48"/>
      <c r="W93" s="48"/>
      <c r="X93" s="48"/>
      <c r="Y93" s="48"/>
      <c r="Z93" s="47"/>
      <c r="AA93" s="69">
        <v>93</v>
      </c>
      <c r="AB93" s="69"/>
      <c r="AC93" s="70"/>
      <c r="AD93" s="76" t="s">
        <v>5416</v>
      </c>
      <c r="AE93" s="81" t="s">
        <v>5668</v>
      </c>
      <c r="AF93" s="76">
        <v>617</v>
      </c>
      <c r="AG93" s="76">
        <v>945</v>
      </c>
      <c r="AH93" s="76">
        <v>2274</v>
      </c>
      <c r="AI93" s="76">
        <v>0</v>
      </c>
      <c r="AJ93" s="76">
        <v>173</v>
      </c>
      <c r="AK93" s="76">
        <v>397</v>
      </c>
      <c r="AL93" s="76" t="b">
        <v>0</v>
      </c>
      <c r="AM93" s="78">
        <v>40290.682662037034</v>
      </c>
      <c r="AN93" s="76" t="s">
        <v>3410</v>
      </c>
      <c r="AO93" s="76" t="s">
        <v>5938</v>
      </c>
      <c r="AP93" s="83" t="str">
        <f>HYPERLINK("https://t.co/1sDH7KE0t6")</f>
        <v>https://t.co/1sDH7KE0t6</v>
      </c>
      <c r="AQ93" s="83" t="str">
        <f>HYPERLINK("http://www.cintiamenegazzo.com.br")</f>
        <v>http://www.cintiamenegazzo.com.br</v>
      </c>
      <c r="AR93" s="76" t="s">
        <v>6193</v>
      </c>
      <c r="AS93" s="76"/>
      <c r="AT93" s="76"/>
      <c r="AU93" s="76"/>
      <c r="AV93" s="76"/>
      <c r="AW93" s="83" t="str">
        <f>HYPERLINK("https://t.co/1sDH7KE0t6")</f>
        <v>https://t.co/1sDH7KE0t6</v>
      </c>
      <c r="AX93" s="76" t="b">
        <v>0</v>
      </c>
      <c r="AY93" s="76"/>
      <c r="AZ93" s="76"/>
      <c r="BA93" s="76" t="b">
        <v>0</v>
      </c>
      <c r="BB93" s="76" t="b">
        <v>1</v>
      </c>
      <c r="BC93" s="76" t="b">
        <v>0</v>
      </c>
      <c r="BD93" s="76" t="b">
        <v>0</v>
      </c>
      <c r="BE93" s="76" t="b">
        <v>0</v>
      </c>
      <c r="BF93" s="76" t="b">
        <v>0</v>
      </c>
      <c r="BG93" s="76" t="b">
        <v>0</v>
      </c>
      <c r="BH93" s="83" t="str">
        <f>HYPERLINK("https://pbs.twimg.com/profile_banners/135946507/1512587228")</f>
        <v>https://pbs.twimg.com/profile_banners/135946507/1512587228</v>
      </c>
      <c r="BI93" s="76"/>
      <c r="BJ93" s="76" t="s">
        <v>6360</v>
      </c>
      <c r="BK93" s="76" t="b">
        <v>0</v>
      </c>
      <c r="BL93" s="76"/>
      <c r="BM93" s="76" t="s">
        <v>66</v>
      </c>
      <c r="BN93" s="76" t="s">
        <v>6362</v>
      </c>
      <c r="BO93" s="83" t="str">
        <f>HYPERLINK("https://twitter.com/cintiamenegazzo")</f>
        <v>https://twitter.com/cintiamenegazzo</v>
      </c>
      <c r="BP93" s="2"/>
    </row>
    <row r="94" spans="1:68" x14ac:dyDescent="0.25">
      <c r="A94" s="62" t="s">
        <v>304</v>
      </c>
      <c r="B94" s="63"/>
      <c r="C94" s="63"/>
      <c r="D94" s="64"/>
      <c r="E94" s="66"/>
      <c r="F94" s="102" t="str">
        <f>HYPERLINK("https://pbs.twimg.com/profile_images/1663303465655738371/ZP8K3PUK_normal.png")</f>
        <v>https://pbs.twimg.com/profile_images/1663303465655738371/ZP8K3PUK_normal.png</v>
      </c>
      <c r="G94" s="63"/>
      <c r="H94" s="67"/>
      <c r="I94" s="68"/>
      <c r="J94" s="68"/>
      <c r="K94" s="67" t="s">
        <v>6453</v>
      </c>
      <c r="L94" s="71"/>
      <c r="M94" s="72"/>
      <c r="N94" s="72"/>
      <c r="O94" s="73"/>
      <c r="P94" s="74"/>
      <c r="Q94" s="74"/>
      <c r="R94" s="86"/>
      <c r="S94" s="86"/>
      <c r="T94" s="86"/>
      <c r="U94" s="86"/>
      <c r="V94" s="48"/>
      <c r="W94" s="48"/>
      <c r="X94" s="48"/>
      <c r="Y94" s="48"/>
      <c r="Z94" s="47"/>
      <c r="AA94" s="69">
        <v>94</v>
      </c>
      <c r="AB94" s="69"/>
      <c r="AC94" s="70"/>
      <c r="AD94" s="76" t="s">
        <v>5417</v>
      </c>
      <c r="AE94" s="81" t="s">
        <v>5165</v>
      </c>
      <c r="AF94" s="76">
        <v>2</v>
      </c>
      <c r="AG94" s="76">
        <v>3</v>
      </c>
      <c r="AH94" s="76">
        <v>18</v>
      </c>
      <c r="AI94" s="76">
        <v>0</v>
      </c>
      <c r="AJ94" s="76">
        <v>1</v>
      </c>
      <c r="AK94" s="76">
        <v>18</v>
      </c>
      <c r="AL94" s="76" t="b">
        <v>0</v>
      </c>
      <c r="AM94" s="78">
        <v>45075.914340277777</v>
      </c>
      <c r="AN94" s="76" t="s">
        <v>3410</v>
      </c>
      <c r="AO94" s="76" t="s">
        <v>5939</v>
      </c>
      <c r="AP94" s="83" t="str">
        <f>HYPERLINK("https://t.co/UNDnQ1mDPV")</f>
        <v>https://t.co/UNDnQ1mDPV</v>
      </c>
      <c r="AQ94" s="83" t="str">
        <f>HYPERLINK("https://snap.fi")</f>
        <v>https://snap.fi</v>
      </c>
      <c r="AR94" s="76" t="s">
        <v>6194</v>
      </c>
      <c r="AS94" s="76"/>
      <c r="AT94" s="76"/>
      <c r="AU94" s="76"/>
      <c r="AV94" s="76">
        <v>1.6633050816708201E+18</v>
      </c>
      <c r="AW94" s="83" t="str">
        <f>HYPERLINK("https://t.co/UNDnQ1mDPV")</f>
        <v>https://t.co/UNDnQ1mDPV</v>
      </c>
      <c r="AX94" s="76" t="b">
        <v>0</v>
      </c>
      <c r="AY94" s="76"/>
      <c r="AZ94" s="76"/>
      <c r="BA94" s="76" t="b">
        <v>0</v>
      </c>
      <c r="BB94" s="76" t="b">
        <v>1</v>
      </c>
      <c r="BC94" s="76" t="b">
        <v>1</v>
      </c>
      <c r="BD94" s="76" t="b">
        <v>0</v>
      </c>
      <c r="BE94" s="76" t="b">
        <v>0</v>
      </c>
      <c r="BF94" s="76" t="b">
        <v>0</v>
      </c>
      <c r="BG94" s="76" t="b">
        <v>0</v>
      </c>
      <c r="BH94" s="83" t="str">
        <f>HYPERLINK("https://pbs.twimg.com/profile_banners/1663303337033322496/1687367892")</f>
        <v>https://pbs.twimg.com/profile_banners/1663303337033322496/1687367892</v>
      </c>
      <c r="BI94" s="76"/>
      <c r="BJ94" s="76" t="s">
        <v>6360</v>
      </c>
      <c r="BK94" s="76" t="b">
        <v>0</v>
      </c>
      <c r="BL94" s="76"/>
      <c r="BM94" s="76" t="s">
        <v>66</v>
      </c>
      <c r="BN94" s="76" t="s">
        <v>6362</v>
      </c>
      <c r="BO94" s="83" t="str">
        <f>HYPERLINK("https://twitter.com/snapfi_br")</f>
        <v>https://twitter.com/snapfi_br</v>
      </c>
      <c r="BP94" s="2"/>
    </row>
    <row r="95" spans="1:68" x14ac:dyDescent="0.25">
      <c r="A95" s="62" t="s">
        <v>305</v>
      </c>
      <c r="B95" s="63"/>
      <c r="C95" s="63"/>
      <c r="D95" s="64"/>
      <c r="E95" s="66"/>
      <c r="F95" s="102" t="str">
        <f>HYPERLINK("https://pbs.twimg.com/profile_images/1626422824867975169/qD7uN1ws_normal.jpg")</f>
        <v>https://pbs.twimg.com/profile_images/1626422824867975169/qD7uN1ws_normal.jpg</v>
      </c>
      <c r="G95" s="63"/>
      <c r="H95" s="67"/>
      <c r="I95" s="68"/>
      <c r="J95" s="68"/>
      <c r="K95" s="67" t="s">
        <v>6454</v>
      </c>
      <c r="L95" s="71"/>
      <c r="M95" s="72"/>
      <c r="N95" s="72"/>
      <c r="O95" s="73"/>
      <c r="P95" s="74"/>
      <c r="Q95" s="74"/>
      <c r="R95" s="86"/>
      <c r="S95" s="86"/>
      <c r="T95" s="86"/>
      <c r="U95" s="86"/>
      <c r="V95" s="48"/>
      <c r="W95" s="48"/>
      <c r="X95" s="48"/>
      <c r="Y95" s="48"/>
      <c r="Z95" s="47"/>
      <c r="AA95" s="69">
        <v>95</v>
      </c>
      <c r="AB95" s="69"/>
      <c r="AC95" s="70"/>
      <c r="AD95" s="76" t="s">
        <v>5418</v>
      </c>
      <c r="AE95" s="81" t="s">
        <v>5166</v>
      </c>
      <c r="AF95" s="76">
        <v>126</v>
      </c>
      <c r="AG95" s="76">
        <v>15</v>
      </c>
      <c r="AH95" s="76">
        <v>758</v>
      </c>
      <c r="AI95" s="76">
        <v>2</v>
      </c>
      <c r="AJ95" s="76">
        <v>8</v>
      </c>
      <c r="AK95" s="76">
        <v>30</v>
      </c>
      <c r="AL95" s="76" t="b">
        <v>0</v>
      </c>
      <c r="AM95" s="78">
        <v>44936.575208333335</v>
      </c>
      <c r="AN95" s="76"/>
      <c r="AO95" s="76" t="s">
        <v>5940</v>
      </c>
      <c r="AP95" s="76"/>
      <c r="AQ95" s="76"/>
      <c r="AR95" s="76"/>
      <c r="AS95" s="76"/>
      <c r="AT95" s="76"/>
      <c r="AU95" s="76"/>
      <c r="AV95" s="76"/>
      <c r="AW95" s="76"/>
      <c r="AX95" s="76" t="b">
        <v>0</v>
      </c>
      <c r="AY95" s="76"/>
      <c r="AZ95" s="76"/>
      <c r="BA95" s="76" t="b">
        <v>0</v>
      </c>
      <c r="BB95" s="76" t="b">
        <v>1</v>
      </c>
      <c r="BC95" s="76" t="b">
        <v>1</v>
      </c>
      <c r="BD95" s="76" t="b">
        <v>0</v>
      </c>
      <c r="BE95" s="76" t="b">
        <v>0</v>
      </c>
      <c r="BF95" s="76" t="b">
        <v>0</v>
      </c>
      <c r="BG95" s="76" t="b">
        <v>0</v>
      </c>
      <c r="BH95" s="76"/>
      <c r="BI95" s="76"/>
      <c r="BJ95" s="76" t="s">
        <v>6360</v>
      </c>
      <c r="BK95" s="76" t="b">
        <v>0</v>
      </c>
      <c r="BL95" s="76"/>
      <c r="BM95" s="76" t="s">
        <v>66</v>
      </c>
      <c r="BN95" s="76" t="s">
        <v>6362</v>
      </c>
      <c r="BO95" s="83" t="str">
        <f>HYPERLINK("https://twitter.com/henleinvest")</f>
        <v>https://twitter.com/henleinvest</v>
      </c>
      <c r="BP95" s="2"/>
    </row>
    <row r="96" spans="1:68" x14ac:dyDescent="0.25">
      <c r="A96" s="62" t="s">
        <v>306</v>
      </c>
      <c r="B96" s="63"/>
      <c r="C96" s="63"/>
      <c r="D96" s="64"/>
      <c r="E96" s="66"/>
      <c r="F96" s="102" t="str">
        <f>HYPERLINK("https://pbs.twimg.com/profile_images/1688257623194247168/a-zuwpVV_normal.jpg")</f>
        <v>https://pbs.twimg.com/profile_images/1688257623194247168/a-zuwpVV_normal.jpg</v>
      </c>
      <c r="G96" s="63"/>
      <c r="H96" s="67"/>
      <c r="I96" s="68"/>
      <c r="J96" s="68"/>
      <c r="K96" s="67" t="s">
        <v>6455</v>
      </c>
      <c r="L96" s="71"/>
      <c r="M96" s="72"/>
      <c r="N96" s="72"/>
      <c r="O96" s="73"/>
      <c r="P96" s="74"/>
      <c r="Q96" s="74"/>
      <c r="R96" s="86"/>
      <c r="S96" s="86"/>
      <c r="T96" s="86"/>
      <c r="U96" s="86"/>
      <c r="V96" s="48"/>
      <c r="W96" s="48"/>
      <c r="X96" s="48"/>
      <c r="Y96" s="48"/>
      <c r="Z96" s="47"/>
      <c r="AA96" s="69">
        <v>96</v>
      </c>
      <c r="AB96" s="69"/>
      <c r="AC96" s="70"/>
      <c r="AD96" s="76" t="s">
        <v>5419</v>
      </c>
      <c r="AE96" s="81" t="s">
        <v>5167</v>
      </c>
      <c r="AF96" s="76">
        <v>0</v>
      </c>
      <c r="AG96" s="76">
        <v>15</v>
      </c>
      <c r="AH96" s="76">
        <v>3</v>
      </c>
      <c r="AI96" s="76">
        <v>0</v>
      </c>
      <c r="AJ96" s="76">
        <v>1</v>
      </c>
      <c r="AK96" s="76">
        <v>0</v>
      </c>
      <c r="AL96" s="76" t="b">
        <v>0</v>
      </c>
      <c r="AM96" s="78">
        <v>45144.749085648145</v>
      </c>
      <c r="AN96" s="76" t="s">
        <v>5772</v>
      </c>
      <c r="AO96" s="76" t="s">
        <v>5941</v>
      </c>
      <c r="AP96" s="76"/>
      <c r="AQ96" s="76"/>
      <c r="AR96" s="76"/>
      <c r="AS96" s="76"/>
      <c r="AT96" s="76"/>
      <c r="AU96" s="76"/>
      <c r="AV96" s="76"/>
      <c r="AW96" s="76"/>
      <c r="AX96" s="76" t="b">
        <v>0</v>
      </c>
      <c r="AY96" s="76"/>
      <c r="AZ96" s="76"/>
      <c r="BA96" s="76" t="b">
        <v>0</v>
      </c>
      <c r="BB96" s="76" t="b">
        <v>1</v>
      </c>
      <c r="BC96" s="76" t="b">
        <v>1</v>
      </c>
      <c r="BD96" s="76" t="b">
        <v>0</v>
      </c>
      <c r="BE96" s="76" t="b">
        <v>0</v>
      </c>
      <c r="BF96" s="76" t="b">
        <v>0</v>
      </c>
      <c r="BG96" s="76" t="b">
        <v>0</v>
      </c>
      <c r="BH96" s="83" t="str">
        <f>HYPERLINK("https://pbs.twimg.com/profile_banners/1688248187872563205/1691346977")</f>
        <v>https://pbs.twimg.com/profile_banners/1688248187872563205/1691346977</v>
      </c>
      <c r="BI96" s="76"/>
      <c r="BJ96" s="76" t="s">
        <v>6360</v>
      </c>
      <c r="BK96" s="76" t="b">
        <v>0</v>
      </c>
      <c r="BL96" s="76"/>
      <c r="BM96" s="76" t="s">
        <v>66</v>
      </c>
      <c r="BN96" s="76" t="s">
        <v>6362</v>
      </c>
      <c r="BO96" s="83" t="str">
        <f>HYPERLINK("https://twitter.com/investidigital")</f>
        <v>https://twitter.com/investidigital</v>
      </c>
      <c r="BP96" s="2"/>
    </row>
    <row r="97" spans="1:68" x14ac:dyDescent="0.25">
      <c r="A97" s="62" t="s">
        <v>307</v>
      </c>
      <c r="B97" s="63"/>
      <c r="C97" s="63"/>
      <c r="D97" s="64"/>
      <c r="E97" s="66"/>
      <c r="F97" s="102" t="str">
        <f>HYPERLINK("https://pbs.twimg.com/profile_images/1662975640188903426/uzBT7XuS_normal.jpg")</f>
        <v>https://pbs.twimg.com/profile_images/1662975640188903426/uzBT7XuS_normal.jpg</v>
      </c>
      <c r="G97" s="63"/>
      <c r="H97" s="67"/>
      <c r="I97" s="68"/>
      <c r="J97" s="68"/>
      <c r="K97" s="67" t="s">
        <v>6456</v>
      </c>
      <c r="L97" s="71"/>
      <c r="M97" s="72"/>
      <c r="N97" s="72"/>
      <c r="O97" s="73"/>
      <c r="P97" s="74"/>
      <c r="Q97" s="74"/>
      <c r="R97" s="86"/>
      <c r="S97" s="86"/>
      <c r="T97" s="86"/>
      <c r="U97" s="86"/>
      <c r="V97" s="48"/>
      <c r="W97" s="48"/>
      <c r="X97" s="48"/>
      <c r="Y97" s="48"/>
      <c r="Z97" s="47"/>
      <c r="AA97" s="69">
        <v>97</v>
      </c>
      <c r="AB97" s="69"/>
      <c r="AC97" s="70"/>
      <c r="AD97" s="76" t="s">
        <v>5420</v>
      </c>
      <c r="AE97" s="81" t="s">
        <v>5168</v>
      </c>
      <c r="AF97" s="76">
        <v>1</v>
      </c>
      <c r="AG97" s="76">
        <v>31</v>
      </c>
      <c r="AH97" s="76">
        <v>6</v>
      </c>
      <c r="AI97" s="76">
        <v>0</v>
      </c>
      <c r="AJ97" s="76">
        <v>5</v>
      </c>
      <c r="AK97" s="76">
        <v>5</v>
      </c>
      <c r="AL97" s="76" t="b">
        <v>0</v>
      </c>
      <c r="AM97" s="78">
        <v>44917.963518518518</v>
      </c>
      <c r="AN97" s="76" t="s">
        <v>3410</v>
      </c>
      <c r="AO97" s="76" t="s">
        <v>5942</v>
      </c>
      <c r="AP97" s="83" t="str">
        <f>HYPERLINK("https://t.co/XxMXLKATyN")</f>
        <v>https://t.co/XxMXLKATyN</v>
      </c>
      <c r="AQ97" s="83" t="str">
        <f>HYPERLINK("https://linktr.ee/moprify")</f>
        <v>https://linktr.ee/moprify</v>
      </c>
      <c r="AR97" s="76" t="s">
        <v>6195</v>
      </c>
      <c r="AS97" s="76"/>
      <c r="AT97" s="76"/>
      <c r="AU97" s="76"/>
      <c r="AV97" s="76"/>
      <c r="AW97" s="83" t="str">
        <f>HYPERLINK("https://t.co/XxMXLKATyN")</f>
        <v>https://t.co/XxMXLKATyN</v>
      </c>
      <c r="AX97" s="76" t="b">
        <v>0</v>
      </c>
      <c r="AY97" s="76"/>
      <c r="AZ97" s="76"/>
      <c r="BA97" s="76" t="b">
        <v>0</v>
      </c>
      <c r="BB97" s="76" t="b">
        <v>1</v>
      </c>
      <c r="BC97" s="76" t="b">
        <v>1</v>
      </c>
      <c r="BD97" s="76" t="b">
        <v>0</v>
      </c>
      <c r="BE97" s="76" t="b">
        <v>0</v>
      </c>
      <c r="BF97" s="76" t="b">
        <v>0</v>
      </c>
      <c r="BG97" s="76" t="b">
        <v>0</v>
      </c>
      <c r="BH97" s="83" t="str">
        <f>HYPERLINK("https://pbs.twimg.com/profile_banners/1606063852457697280/1685319495")</f>
        <v>https://pbs.twimg.com/profile_banners/1606063852457697280/1685319495</v>
      </c>
      <c r="BI97" s="76"/>
      <c r="BJ97" s="76" t="s">
        <v>6360</v>
      </c>
      <c r="BK97" s="76" t="b">
        <v>0</v>
      </c>
      <c r="BL97" s="76"/>
      <c r="BM97" s="76" t="s">
        <v>66</v>
      </c>
      <c r="BN97" s="76" t="s">
        <v>6362</v>
      </c>
      <c r="BO97" s="83" t="str">
        <f>HYPERLINK("https://twitter.com/moprify")</f>
        <v>https://twitter.com/moprify</v>
      </c>
      <c r="BP97" s="2"/>
    </row>
    <row r="98" spans="1:68" x14ac:dyDescent="0.25">
      <c r="A98" s="62" t="s">
        <v>308</v>
      </c>
      <c r="B98" s="63"/>
      <c r="C98" s="63"/>
      <c r="D98" s="64"/>
      <c r="E98" s="66"/>
      <c r="F98" s="102" t="str">
        <f>HYPERLINK("https://pbs.twimg.com/profile_images/1620109434906152980/LdPkoH0z_normal.jpg")</f>
        <v>https://pbs.twimg.com/profile_images/1620109434906152980/LdPkoH0z_normal.jpg</v>
      </c>
      <c r="G98" s="63"/>
      <c r="H98" s="67"/>
      <c r="I98" s="68"/>
      <c r="J98" s="68"/>
      <c r="K98" s="67" t="s">
        <v>6457</v>
      </c>
      <c r="L98" s="71"/>
      <c r="M98" s="72"/>
      <c r="N98" s="72"/>
      <c r="O98" s="73"/>
      <c r="P98" s="74"/>
      <c r="Q98" s="74"/>
      <c r="R98" s="86"/>
      <c r="S98" s="86"/>
      <c r="T98" s="86"/>
      <c r="U98" s="86"/>
      <c r="V98" s="48"/>
      <c r="W98" s="48"/>
      <c r="X98" s="48"/>
      <c r="Y98" s="48"/>
      <c r="Z98" s="47"/>
      <c r="AA98" s="69">
        <v>98</v>
      </c>
      <c r="AB98" s="69"/>
      <c r="AC98" s="70"/>
      <c r="AD98" s="76" t="s">
        <v>5421</v>
      </c>
      <c r="AE98" s="81" t="s">
        <v>5669</v>
      </c>
      <c r="AF98" s="76">
        <v>863</v>
      </c>
      <c r="AG98" s="76">
        <v>2746</v>
      </c>
      <c r="AH98" s="76">
        <v>23595</v>
      </c>
      <c r="AI98" s="76">
        <v>26</v>
      </c>
      <c r="AJ98" s="76">
        <v>2205</v>
      </c>
      <c r="AK98" s="76">
        <v>3480</v>
      </c>
      <c r="AL98" s="76" t="b">
        <v>0</v>
      </c>
      <c r="AM98" s="78">
        <v>40876.816319444442</v>
      </c>
      <c r="AN98" s="76" t="s">
        <v>5773</v>
      </c>
      <c r="AO98" s="76" t="s">
        <v>5943</v>
      </c>
      <c r="AP98" s="83" t="str">
        <f>HYPERLINK("https://t.co/XihXfrCGCN")</f>
        <v>https://t.co/XihXfrCGCN</v>
      </c>
      <c r="AQ98" s="83" t="str">
        <f>HYPERLINK("https://hungryforhits.com/downpost3.php?id=9060")</f>
        <v>https://hungryforhits.com/downpost3.php?id=9060</v>
      </c>
      <c r="AR98" s="76" t="s">
        <v>6196</v>
      </c>
      <c r="AS98" s="76"/>
      <c r="AT98" s="76"/>
      <c r="AU98" s="76"/>
      <c r="AV98" s="76"/>
      <c r="AW98" s="83" t="str">
        <f>HYPERLINK("https://t.co/XihXfrCGCN")</f>
        <v>https://t.co/XihXfrCGCN</v>
      </c>
      <c r="AX98" s="76" t="b">
        <v>0</v>
      </c>
      <c r="AY98" s="76"/>
      <c r="AZ98" s="76"/>
      <c r="BA98" s="76" t="b">
        <v>0</v>
      </c>
      <c r="BB98" s="76" t="b">
        <v>0</v>
      </c>
      <c r="BC98" s="76" t="b">
        <v>1</v>
      </c>
      <c r="BD98" s="76" t="b">
        <v>0</v>
      </c>
      <c r="BE98" s="76" t="b">
        <v>0</v>
      </c>
      <c r="BF98" s="76" t="b">
        <v>0</v>
      </c>
      <c r="BG98" s="76" t="b">
        <v>0</v>
      </c>
      <c r="BH98" s="83" t="str">
        <f>HYPERLINK("https://pbs.twimg.com/profile_banners/424440280/1544114594")</f>
        <v>https://pbs.twimg.com/profile_banners/424440280/1544114594</v>
      </c>
      <c r="BI98" s="76"/>
      <c r="BJ98" s="76" t="s">
        <v>6360</v>
      </c>
      <c r="BK98" s="76" t="b">
        <v>0</v>
      </c>
      <c r="BL98" s="76"/>
      <c r="BM98" s="76" t="s">
        <v>66</v>
      </c>
      <c r="BN98" s="76" t="s">
        <v>6362</v>
      </c>
      <c r="BO98" s="83" t="str">
        <f>HYPERLINK("https://twitter.com/azizbasry")</f>
        <v>https://twitter.com/azizbasry</v>
      </c>
      <c r="BP98" s="2"/>
    </row>
    <row r="99" spans="1:68" x14ac:dyDescent="0.25">
      <c r="A99" s="62" t="s">
        <v>309</v>
      </c>
      <c r="B99" s="63"/>
      <c r="C99" s="63"/>
      <c r="D99" s="64"/>
      <c r="E99" s="66"/>
      <c r="F99" s="102" t="str">
        <f>HYPERLINK("https://pbs.twimg.com/profile_images/1237513137550536704/LlzsxU1Z_normal.jpg")</f>
        <v>https://pbs.twimg.com/profile_images/1237513137550536704/LlzsxU1Z_normal.jpg</v>
      </c>
      <c r="G99" s="63"/>
      <c r="H99" s="67"/>
      <c r="I99" s="68"/>
      <c r="J99" s="68"/>
      <c r="K99" s="67" t="s">
        <v>6458</v>
      </c>
      <c r="L99" s="71"/>
      <c r="M99" s="72"/>
      <c r="N99" s="72"/>
      <c r="O99" s="73"/>
      <c r="P99" s="74"/>
      <c r="Q99" s="74"/>
      <c r="R99" s="86"/>
      <c r="S99" s="86"/>
      <c r="T99" s="86"/>
      <c r="U99" s="86"/>
      <c r="V99" s="48"/>
      <c r="W99" s="48"/>
      <c r="X99" s="48"/>
      <c r="Y99" s="48"/>
      <c r="Z99" s="47"/>
      <c r="AA99" s="69">
        <v>99</v>
      </c>
      <c r="AB99" s="69"/>
      <c r="AC99" s="70"/>
      <c r="AD99" s="76" t="s">
        <v>5422</v>
      </c>
      <c r="AE99" s="81" t="s">
        <v>5670</v>
      </c>
      <c r="AF99" s="76">
        <v>71</v>
      </c>
      <c r="AG99" s="76">
        <v>129</v>
      </c>
      <c r="AH99" s="76">
        <v>480</v>
      </c>
      <c r="AI99" s="76">
        <v>0</v>
      </c>
      <c r="AJ99" s="76">
        <v>406</v>
      </c>
      <c r="AK99" s="76">
        <v>28</v>
      </c>
      <c r="AL99" s="76" t="b">
        <v>0</v>
      </c>
      <c r="AM99" s="78">
        <v>42225.842662037037</v>
      </c>
      <c r="AN99" s="76" t="s">
        <v>3415</v>
      </c>
      <c r="AO99" s="76" t="s">
        <v>5944</v>
      </c>
      <c r="AP99" s="83" t="str">
        <f>HYPERLINK("https://t.co/Ul1IkyxEa7")</f>
        <v>https://t.co/Ul1IkyxEa7</v>
      </c>
      <c r="AQ99" s="83" t="str">
        <f>HYPERLINK("http://Instagram.com/jorg1nho")</f>
        <v>http://Instagram.com/jorg1nho</v>
      </c>
      <c r="AR99" s="76" t="s">
        <v>6197</v>
      </c>
      <c r="AS99" s="76"/>
      <c r="AT99" s="76"/>
      <c r="AU99" s="76"/>
      <c r="AV99" s="76"/>
      <c r="AW99" s="83" t="str">
        <f>HYPERLINK("https://t.co/Ul1IkyxEa7")</f>
        <v>https://t.co/Ul1IkyxEa7</v>
      </c>
      <c r="AX99" s="76" t="b">
        <v>0</v>
      </c>
      <c r="AY99" s="76"/>
      <c r="AZ99" s="76"/>
      <c r="BA99" s="76" t="b">
        <v>1</v>
      </c>
      <c r="BB99" s="76" t="b">
        <v>0</v>
      </c>
      <c r="BC99" s="76" t="b">
        <v>1</v>
      </c>
      <c r="BD99" s="76" t="b">
        <v>0</v>
      </c>
      <c r="BE99" s="76" t="b">
        <v>0</v>
      </c>
      <c r="BF99" s="76" t="b">
        <v>0</v>
      </c>
      <c r="BG99" s="76" t="b">
        <v>0</v>
      </c>
      <c r="BH99" s="83" t="str">
        <f>HYPERLINK("https://pbs.twimg.com/profile_banners/3411124432/1583881229")</f>
        <v>https://pbs.twimg.com/profile_banners/3411124432/1583881229</v>
      </c>
      <c r="BI99" s="76"/>
      <c r="BJ99" s="76" t="s">
        <v>6360</v>
      </c>
      <c r="BK99" s="76" t="b">
        <v>0</v>
      </c>
      <c r="BL99" s="76"/>
      <c r="BM99" s="76" t="s">
        <v>66</v>
      </c>
      <c r="BN99" s="76" t="s">
        <v>6362</v>
      </c>
      <c r="BO99" s="83" t="str">
        <f>HYPERLINK("https://twitter.com/jorg1nho_")</f>
        <v>https://twitter.com/jorg1nho_</v>
      </c>
      <c r="BP99" s="2"/>
    </row>
    <row r="100" spans="1:68" x14ac:dyDescent="0.25">
      <c r="A100" s="62" t="s">
        <v>524</v>
      </c>
      <c r="B100" s="63"/>
      <c r="C100" s="63"/>
      <c r="D100" s="64"/>
      <c r="E100" s="66"/>
      <c r="F100" s="102" t="str">
        <f>HYPERLINK("https://pbs.twimg.com/profile_images/1349202066326118401/GZAomnf1_normal.jpg")</f>
        <v>https://pbs.twimg.com/profile_images/1349202066326118401/GZAomnf1_normal.jpg</v>
      </c>
      <c r="G100" s="63"/>
      <c r="H100" s="67"/>
      <c r="I100" s="68"/>
      <c r="J100" s="68"/>
      <c r="K100" s="67" t="s">
        <v>6459</v>
      </c>
      <c r="L100" s="71"/>
      <c r="M100" s="72"/>
      <c r="N100" s="72"/>
      <c r="O100" s="73"/>
      <c r="P100" s="74"/>
      <c r="Q100" s="74"/>
      <c r="R100" s="86"/>
      <c r="S100" s="86"/>
      <c r="T100" s="86"/>
      <c r="U100" s="86"/>
      <c r="V100" s="48"/>
      <c r="W100" s="48"/>
      <c r="X100" s="48"/>
      <c r="Y100" s="48"/>
      <c r="Z100" s="47"/>
      <c r="AA100" s="69">
        <v>100</v>
      </c>
      <c r="AB100" s="69"/>
      <c r="AC100" s="70"/>
      <c r="AD100" s="76" t="s">
        <v>5423</v>
      </c>
      <c r="AE100" s="81" t="s">
        <v>5037</v>
      </c>
      <c r="AF100" s="76">
        <v>758</v>
      </c>
      <c r="AG100" s="76">
        <v>1127</v>
      </c>
      <c r="AH100" s="76">
        <v>6680</v>
      </c>
      <c r="AI100" s="76">
        <v>0</v>
      </c>
      <c r="AJ100" s="76">
        <v>5117</v>
      </c>
      <c r="AK100" s="76">
        <v>92</v>
      </c>
      <c r="AL100" s="76" t="b">
        <v>0</v>
      </c>
      <c r="AM100" s="78">
        <v>43377.128379629627</v>
      </c>
      <c r="AN100" s="76" t="s">
        <v>3415</v>
      </c>
      <c r="AO100" s="76"/>
      <c r="AP100" s="76"/>
      <c r="AQ100" s="76"/>
      <c r="AR100" s="76"/>
      <c r="AS100" s="76"/>
      <c r="AT100" s="76"/>
      <c r="AU100" s="76"/>
      <c r="AV100" s="76">
        <v>1.26801167040161E+18</v>
      </c>
      <c r="AW100" s="76"/>
      <c r="AX100" s="76" t="b">
        <v>0</v>
      </c>
      <c r="AY100" s="76"/>
      <c r="AZ100" s="76"/>
      <c r="BA100" s="76" t="b">
        <v>1</v>
      </c>
      <c r="BB100" s="76" t="b">
        <v>0</v>
      </c>
      <c r="BC100" s="76" t="b">
        <v>1</v>
      </c>
      <c r="BD100" s="76" t="b">
        <v>0</v>
      </c>
      <c r="BE100" s="76" t="b">
        <v>0</v>
      </c>
      <c r="BF100" s="76" t="b">
        <v>0</v>
      </c>
      <c r="BG100" s="76" t="b">
        <v>1</v>
      </c>
      <c r="BH100" s="76"/>
      <c r="BI100" s="76"/>
      <c r="BJ100" s="76" t="s">
        <v>6360</v>
      </c>
      <c r="BK100" s="76" t="b">
        <v>0</v>
      </c>
      <c r="BL100" s="76"/>
      <c r="BM100" s="76" t="s">
        <v>65</v>
      </c>
      <c r="BN100" s="76" t="s">
        <v>6362</v>
      </c>
      <c r="BO100" s="83" t="str">
        <f>HYPERLINK("https://twitter.com/djefvlogg")</f>
        <v>https://twitter.com/djefvlogg</v>
      </c>
      <c r="BP100" s="2"/>
    </row>
    <row r="101" spans="1:68" x14ac:dyDescent="0.25">
      <c r="A101" s="62" t="s">
        <v>310</v>
      </c>
      <c r="B101" s="63"/>
      <c r="C101" s="63"/>
      <c r="D101" s="64"/>
      <c r="E101" s="66"/>
      <c r="F101" s="102" t="str">
        <f>HYPERLINK("https://pbs.twimg.com/profile_images/1691815575909986304/qGtxTEf6_normal.jpg")</f>
        <v>https://pbs.twimg.com/profile_images/1691815575909986304/qGtxTEf6_normal.jpg</v>
      </c>
      <c r="G101" s="63"/>
      <c r="H101" s="67"/>
      <c r="I101" s="68"/>
      <c r="J101" s="68"/>
      <c r="K101" s="67" t="s">
        <v>6460</v>
      </c>
      <c r="L101" s="71"/>
      <c r="M101" s="72"/>
      <c r="N101" s="72"/>
      <c r="O101" s="73"/>
      <c r="P101" s="74"/>
      <c r="Q101" s="74"/>
      <c r="R101" s="86"/>
      <c r="S101" s="86"/>
      <c r="T101" s="86"/>
      <c r="U101" s="86"/>
      <c r="V101" s="48"/>
      <c r="W101" s="48"/>
      <c r="X101" s="48"/>
      <c r="Y101" s="48"/>
      <c r="Z101" s="47"/>
      <c r="AA101" s="69">
        <v>101</v>
      </c>
      <c r="AB101" s="69"/>
      <c r="AC101" s="70"/>
      <c r="AD101" s="76" t="s">
        <v>5424</v>
      </c>
      <c r="AE101" s="81" t="s">
        <v>5038</v>
      </c>
      <c r="AF101" s="76">
        <v>191</v>
      </c>
      <c r="AG101" s="76">
        <v>0</v>
      </c>
      <c r="AH101" s="76">
        <v>832</v>
      </c>
      <c r="AI101" s="76">
        <v>3</v>
      </c>
      <c r="AJ101" s="76">
        <v>3</v>
      </c>
      <c r="AK101" s="76">
        <v>484</v>
      </c>
      <c r="AL101" s="76" t="b">
        <v>0</v>
      </c>
      <c r="AM101" s="78">
        <v>40633.516736111109</v>
      </c>
      <c r="AN101" s="76" t="s">
        <v>5774</v>
      </c>
      <c r="AO101" s="76" t="s">
        <v>5945</v>
      </c>
      <c r="AP101" s="83" t="str">
        <f>HYPERLINK("https://t.co/GefmmfvNfC")</f>
        <v>https://t.co/GefmmfvNfC</v>
      </c>
      <c r="AQ101" s="83" t="str">
        <f>HYPERLINK("https://www.contasonline.com.br")</f>
        <v>https://www.contasonline.com.br</v>
      </c>
      <c r="AR101" s="76" t="s">
        <v>6198</v>
      </c>
      <c r="AS101" s="76"/>
      <c r="AT101" s="76"/>
      <c r="AU101" s="76"/>
      <c r="AV101" s="76"/>
      <c r="AW101" s="83" t="str">
        <f>HYPERLINK("https://t.co/GefmmfvNfC")</f>
        <v>https://t.co/GefmmfvNfC</v>
      </c>
      <c r="AX101" s="76" t="b">
        <v>0</v>
      </c>
      <c r="AY101" s="76"/>
      <c r="AZ101" s="76"/>
      <c r="BA101" s="76" t="b">
        <v>0</v>
      </c>
      <c r="BB101" s="76" t="b">
        <v>0</v>
      </c>
      <c r="BC101" s="76" t="b">
        <v>0</v>
      </c>
      <c r="BD101" s="76" t="b">
        <v>0</v>
      </c>
      <c r="BE101" s="76" t="b">
        <v>0</v>
      </c>
      <c r="BF101" s="76" t="b">
        <v>0</v>
      </c>
      <c r="BG101" s="76" t="b">
        <v>0</v>
      </c>
      <c r="BH101" s="83" t="str">
        <f>HYPERLINK("https://pbs.twimg.com/profile_banners/274989938/1692195242")</f>
        <v>https://pbs.twimg.com/profile_banners/274989938/1692195242</v>
      </c>
      <c r="BI101" s="76"/>
      <c r="BJ101" s="76" t="s">
        <v>6360</v>
      </c>
      <c r="BK101" s="76" t="b">
        <v>0</v>
      </c>
      <c r="BL101" s="76"/>
      <c r="BM101" s="76" t="s">
        <v>66</v>
      </c>
      <c r="BN101" s="76" t="s">
        <v>6362</v>
      </c>
      <c r="BO101" s="83" t="str">
        <f>HYPERLINK("https://twitter.com/contas_online")</f>
        <v>https://twitter.com/contas_online</v>
      </c>
      <c r="BP101" s="2"/>
    </row>
    <row r="102" spans="1:68" x14ac:dyDescent="0.25">
      <c r="A102" s="62" t="s">
        <v>311</v>
      </c>
      <c r="B102" s="63"/>
      <c r="C102" s="63"/>
      <c r="D102" s="64"/>
      <c r="E102" s="66"/>
      <c r="F102" s="102" t="str">
        <f>HYPERLINK("https://pbs.twimg.com/profile_images/1550999438952464384/tFhqdbVs_normal.jpg")</f>
        <v>https://pbs.twimg.com/profile_images/1550999438952464384/tFhqdbVs_normal.jpg</v>
      </c>
      <c r="G102" s="63"/>
      <c r="H102" s="67"/>
      <c r="I102" s="68"/>
      <c r="J102" s="68"/>
      <c r="K102" s="67" t="s">
        <v>6461</v>
      </c>
      <c r="L102" s="71"/>
      <c r="M102" s="72"/>
      <c r="N102" s="72"/>
      <c r="O102" s="73"/>
      <c r="P102" s="74"/>
      <c r="Q102" s="74"/>
      <c r="R102" s="86"/>
      <c r="S102" s="86"/>
      <c r="T102" s="86"/>
      <c r="U102" s="86"/>
      <c r="V102" s="48"/>
      <c r="W102" s="48"/>
      <c r="X102" s="48"/>
      <c r="Y102" s="48"/>
      <c r="Z102" s="47"/>
      <c r="AA102" s="69">
        <v>102</v>
      </c>
      <c r="AB102" s="69"/>
      <c r="AC102" s="70"/>
      <c r="AD102" s="76" t="s">
        <v>5425</v>
      </c>
      <c r="AE102" s="81" t="s">
        <v>5039</v>
      </c>
      <c r="AF102" s="76">
        <v>23</v>
      </c>
      <c r="AG102" s="76">
        <v>350</v>
      </c>
      <c r="AH102" s="76">
        <v>202</v>
      </c>
      <c r="AI102" s="76">
        <v>0</v>
      </c>
      <c r="AJ102" s="76">
        <v>3121</v>
      </c>
      <c r="AK102" s="76">
        <v>6</v>
      </c>
      <c r="AL102" s="76" t="b">
        <v>0</v>
      </c>
      <c r="AM102" s="78">
        <v>44607.163541666669</v>
      </c>
      <c r="AN102" s="76" t="s">
        <v>3435</v>
      </c>
      <c r="AO102" s="76" t="s">
        <v>5946</v>
      </c>
      <c r="AP102" s="76"/>
      <c r="AQ102" s="76"/>
      <c r="AR102" s="76"/>
      <c r="AS102" s="76"/>
      <c r="AT102" s="76"/>
      <c r="AU102" s="76"/>
      <c r="AV102" s="76"/>
      <c r="AW102" s="76"/>
      <c r="AX102" s="76" t="b">
        <v>0</v>
      </c>
      <c r="AY102" s="76"/>
      <c r="AZ102" s="76"/>
      <c r="BA102" s="76" t="b">
        <v>1</v>
      </c>
      <c r="BB102" s="76" t="b">
        <v>1</v>
      </c>
      <c r="BC102" s="76" t="b">
        <v>1</v>
      </c>
      <c r="BD102" s="76" t="b">
        <v>0</v>
      </c>
      <c r="BE102" s="76" t="b">
        <v>1</v>
      </c>
      <c r="BF102" s="76" t="b">
        <v>0</v>
      </c>
      <c r="BG102" s="76" t="b">
        <v>0</v>
      </c>
      <c r="BH102" s="83" t="str">
        <f>HYPERLINK("https://pbs.twimg.com/profile_banners/1493433552196808704/1694741167")</f>
        <v>https://pbs.twimg.com/profile_banners/1493433552196808704/1694741167</v>
      </c>
      <c r="BI102" s="76"/>
      <c r="BJ102" s="76" t="s">
        <v>6360</v>
      </c>
      <c r="BK102" s="76" t="b">
        <v>0</v>
      </c>
      <c r="BL102" s="76"/>
      <c r="BM102" s="76" t="s">
        <v>66</v>
      </c>
      <c r="BN102" s="76" t="s">
        <v>6362</v>
      </c>
      <c r="BO102" s="83" t="str">
        <f>HYPERLINK("https://twitter.com/financialstream")</f>
        <v>https://twitter.com/financialstream</v>
      </c>
      <c r="BP102" s="2"/>
    </row>
    <row r="103" spans="1:68" x14ac:dyDescent="0.25">
      <c r="A103" s="62" t="s">
        <v>312</v>
      </c>
      <c r="B103" s="63"/>
      <c r="C103" s="63"/>
      <c r="D103" s="64"/>
      <c r="E103" s="66"/>
      <c r="F103" s="102" t="str">
        <f>HYPERLINK("https://pbs.twimg.com/profile_images/1485247923868901376/AOtagI6o_normal.jpg")</f>
        <v>https://pbs.twimg.com/profile_images/1485247923868901376/AOtagI6o_normal.jpg</v>
      </c>
      <c r="G103" s="63"/>
      <c r="H103" s="67"/>
      <c r="I103" s="68"/>
      <c r="J103" s="68"/>
      <c r="K103" s="67" t="s">
        <v>6462</v>
      </c>
      <c r="L103" s="71"/>
      <c r="M103" s="72"/>
      <c r="N103" s="72"/>
      <c r="O103" s="73"/>
      <c r="P103" s="74"/>
      <c r="Q103" s="74"/>
      <c r="R103" s="86"/>
      <c r="S103" s="86"/>
      <c r="T103" s="86"/>
      <c r="U103" s="86"/>
      <c r="V103" s="48"/>
      <c r="W103" s="48"/>
      <c r="X103" s="48"/>
      <c r="Y103" s="48"/>
      <c r="Z103" s="47"/>
      <c r="AA103" s="69">
        <v>103</v>
      </c>
      <c r="AB103" s="69"/>
      <c r="AC103" s="70"/>
      <c r="AD103" s="76" t="s">
        <v>5426</v>
      </c>
      <c r="AE103" s="81" t="s">
        <v>5169</v>
      </c>
      <c r="AF103" s="76">
        <v>7</v>
      </c>
      <c r="AG103" s="76">
        <v>60</v>
      </c>
      <c r="AH103" s="76">
        <v>215</v>
      </c>
      <c r="AI103" s="76">
        <v>0</v>
      </c>
      <c r="AJ103" s="76">
        <v>249</v>
      </c>
      <c r="AK103" s="76">
        <v>14</v>
      </c>
      <c r="AL103" s="76" t="b">
        <v>0</v>
      </c>
      <c r="AM103" s="78">
        <v>44584.574421296296</v>
      </c>
      <c r="AN103" s="76"/>
      <c r="AO103" s="76" t="s">
        <v>5947</v>
      </c>
      <c r="AP103" s="76"/>
      <c r="AQ103" s="76"/>
      <c r="AR103" s="76"/>
      <c r="AS103" s="76"/>
      <c r="AT103" s="76"/>
      <c r="AU103" s="76"/>
      <c r="AV103" s="76"/>
      <c r="AW103" s="76"/>
      <c r="AX103" s="76" t="b">
        <v>0</v>
      </c>
      <c r="AY103" s="76"/>
      <c r="AZ103" s="76"/>
      <c r="BA103" s="76" t="b">
        <v>0</v>
      </c>
      <c r="BB103" s="76" t="b">
        <v>1</v>
      </c>
      <c r="BC103" s="76" t="b">
        <v>1</v>
      </c>
      <c r="BD103" s="76" t="b">
        <v>0</v>
      </c>
      <c r="BE103" s="76" t="b">
        <v>1</v>
      </c>
      <c r="BF103" s="76" t="b">
        <v>0</v>
      </c>
      <c r="BG103" s="76" t="b">
        <v>0</v>
      </c>
      <c r="BH103" s="83" t="str">
        <f>HYPERLINK("https://pbs.twimg.com/profile_banners/1485247609065324550/1657734212")</f>
        <v>https://pbs.twimg.com/profile_banners/1485247609065324550/1657734212</v>
      </c>
      <c r="BI103" s="76"/>
      <c r="BJ103" s="76" t="s">
        <v>6360</v>
      </c>
      <c r="BK103" s="76" t="b">
        <v>0</v>
      </c>
      <c r="BL103" s="76"/>
      <c r="BM103" s="76" t="s">
        <v>66</v>
      </c>
      <c r="BN103" s="76" t="s">
        <v>6362</v>
      </c>
      <c r="BO103" s="83" t="str">
        <f>HYPERLINK("https://twitter.com/cassebbsb")</f>
        <v>https://twitter.com/cassebbsb</v>
      </c>
      <c r="BP103" s="2"/>
    </row>
    <row r="104" spans="1:68" x14ac:dyDescent="0.25">
      <c r="A104" s="62" t="s">
        <v>313</v>
      </c>
      <c r="B104" s="63"/>
      <c r="C104" s="63"/>
      <c r="D104" s="64"/>
      <c r="E104" s="66"/>
      <c r="F104" s="102" t="str">
        <f>HYPERLINK("https://pbs.twimg.com/profile_images/1592168328059097090/I0pVhflc_normal.png")</f>
        <v>https://pbs.twimg.com/profile_images/1592168328059097090/I0pVhflc_normal.png</v>
      </c>
      <c r="G104" s="63"/>
      <c r="H104" s="67"/>
      <c r="I104" s="68"/>
      <c r="J104" s="68"/>
      <c r="K104" s="67" t="s">
        <v>6463</v>
      </c>
      <c r="L104" s="71"/>
      <c r="M104" s="72"/>
      <c r="N104" s="72"/>
      <c r="O104" s="73"/>
      <c r="P104" s="74"/>
      <c r="Q104" s="74"/>
      <c r="R104" s="86"/>
      <c r="S104" s="86"/>
      <c r="T104" s="86"/>
      <c r="U104" s="86"/>
      <c r="V104" s="48"/>
      <c r="W104" s="48"/>
      <c r="X104" s="48"/>
      <c r="Y104" s="48"/>
      <c r="Z104" s="47"/>
      <c r="AA104" s="69">
        <v>104</v>
      </c>
      <c r="AB104" s="69"/>
      <c r="AC104" s="70"/>
      <c r="AD104" s="76" t="s">
        <v>5427</v>
      </c>
      <c r="AE104" s="81" t="s">
        <v>5671</v>
      </c>
      <c r="AF104" s="76">
        <v>93</v>
      </c>
      <c r="AG104" s="76">
        <v>17</v>
      </c>
      <c r="AH104" s="76">
        <v>703</v>
      </c>
      <c r="AI104" s="76">
        <v>1</v>
      </c>
      <c r="AJ104" s="76">
        <v>2</v>
      </c>
      <c r="AK104" s="76">
        <v>311</v>
      </c>
      <c r="AL104" s="76" t="b">
        <v>0</v>
      </c>
      <c r="AM104" s="78">
        <v>40091.58121527778</v>
      </c>
      <c r="AN104" s="76" t="s">
        <v>5775</v>
      </c>
      <c r="AO104" s="76" t="s">
        <v>5948</v>
      </c>
      <c r="AP104" s="83" t="str">
        <f>HYPERLINK("https://t.co/uJ3pZovcdN")</f>
        <v>https://t.co/uJ3pZovcdN</v>
      </c>
      <c r="AQ104" s="83" t="str">
        <f>HYPERLINK("http://www.clmcontroller.com.br")</f>
        <v>http://www.clmcontroller.com.br</v>
      </c>
      <c r="AR104" s="76" t="s">
        <v>6199</v>
      </c>
      <c r="AS104" s="76"/>
      <c r="AT104" s="76"/>
      <c r="AU104" s="76"/>
      <c r="AV104" s="76"/>
      <c r="AW104" s="83" t="str">
        <f>HYPERLINK("https://t.co/uJ3pZovcdN")</f>
        <v>https://t.co/uJ3pZovcdN</v>
      </c>
      <c r="AX104" s="76" t="b">
        <v>0</v>
      </c>
      <c r="AY104" s="76"/>
      <c r="AZ104" s="76"/>
      <c r="BA104" s="76" t="b">
        <v>1</v>
      </c>
      <c r="BB104" s="76" t="b">
        <v>1</v>
      </c>
      <c r="BC104" s="76" t="b">
        <v>0</v>
      </c>
      <c r="BD104" s="76" t="b">
        <v>0</v>
      </c>
      <c r="BE104" s="76" t="b">
        <v>0</v>
      </c>
      <c r="BF104" s="76" t="b">
        <v>0</v>
      </c>
      <c r="BG104" s="76" t="b">
        <v>0</v>
      </c>
      <c r="BH104" s="83" t="str">
        <f>HYPERLINK("https://pbs.twimg.com/profile_banners/80030542/1668605386")</f>
        <v>https://pbs.twimg.com/profile_banners/80030542/1668605386</v>
      </c>
      <c r="BI104" s="76"/>
      <c r="BJ104" s="76" t="s">
        <v>6360</v>
      </c>
      <c r="BK104" s="76" t="b">
        <v>0</v>
      </c>
      <c r="BL104" s="76"/>
      <c r="BM104" s="76" t="s">
        <v>66</v>
      </c>
      <c r="BN104" s="76" t="s">
        <v>6362</v>
      </c>
      <c r="BO104" s="83" t="str">
        <f>HYPERLINK("https://twitter.com/clmcontroller")</f>
        <v>https://twitter.com/clmcontroller</v>
      </c>
      <c r="BP104" s="2"/>
    </row>
    <row r="105" spans="1:68" x14ac:dyDescent="0.25">
      <c r="A105" s="62" t="s">
        <v>314</v>
      </c>
      <c r="B105" s="63"/>
      <c r="C105" s="63"/>
      <c r="D105" s="64"/>
      <c r="E105" s="66"/>
      <c r="F105" s="102" t="str">
        <f>HYPERLINK("https://pbs.twimg.com/profile_images/1483803839643979777/TQ478pLY_normal.jpg")</f>
        <v>https://pbs.twimg.com/profile_images/1483803839643979777/TQ478pLY_normal.jpg</v>
      </c>
      <c r="G105" s="63"/>
      <c r="H105" s="67"/>
      <c r="I105" s="68"/>
      <c r="J105" s="68"/>
      <c r="K105" s="67" t="s">
        <v>6464</v>
      </c>
      <c r="L105" s="71"/>
      <c r="M105" s="72"/>
      <c r="N105" s="72"/>
      <c r="O105" s="73"/>
      <c r="P105" s="74"/>
      <c r="Q105" s="74"/>
      <c r="R105" s="86"/>
      <c r="S105" s="86"/>
      <c r="T105" s="86"/>
      <c r="U105" s="86"/>
      <c r="V105" s="48"/>
      <c r="W105" s="48"/>
      <c r="X105" s="48"/>
      <c r="Y105" s="48"/>
      <c r="Z105" s="47"/>
      <c r="AA105" s="69">
        <v>105</v>
      </c>
      <c r="AB105" s="69"/>
      <c r="AC105" s="70"/>
      <c r="AD105" s="76" t="s">
        <v>5428</v>
      </c>
      <c r="AE105" s="81" t="s">
        <v>5170</v>
      </c>
      <c r="AF105" s="76">
        <v>206</v>
      </c>
      <c r="AG105" s="76">
        <v>23</v>
      </c>
      <c r="AH105" s="76">
        <v>169</v>
      </c>
      <c r="AI105" s="76">
        <v>0</v>
      </c>
      <c r="AJ105" s="76">
        <v>67</v>
      </c>
      <c r="AK105" s="76">
        <v>80</v>
      </c>
      <c r="AL105" s="76" t="b">
        <v>0</v>
      </c>
      <c r="AM105" s="78">
        <v>44332.560590277775</v>
      </c>
      <c r="AN105" s="76" t="s">
        <v>5776</v>
      </c>
      <c r="AO105" s="76" t="s">
        <v>5949</v>
      </c>
      <c r="AP105" s="83" t="str">
        <f>HYPERLINK("https://t.co/9rtzA3BGWj")</f>
        <v>https://t.co/9rtzA3BGWj</v>
      </c>
      <c r="AQ105" s="83" t="str">
        <f>HYPERLINK("https://tokenweb3.onelink.me/2eel/4sd4al5r")</f>
        <v>https://tokenweb3.onelink.me/2eel/4sd4al5r</v>
      </c>
      <c r="AR105" s="76" t="s">
        <v>6200</v>
      </c>
      <c r="AS105" s="76"/>
      <c r="AT105" s="76"/>
      <c r="AU105" s="76"/>
      <c r="AV105" s="76"/>
      <c r="AW105" s="83" t="str">
        <f>HYPERLINK("https://t.co/9rtzA3BGWj")</f>
        <v>https://t.co/9rtzA3BGWj</v>
      </c>
      <c r="AX105" s="76" t="b">
        <v>0</v>
      </c>
      <c r="AY105" s="76"/>
      <c r="AZ105" s="76"/>
      <c r="BA105" s="76" t="b">
        <v>0</v>
      </c>
      <c r="BB105" s="76" t="b">
        <v>1</v>
      </c>
      <c r="BC105" s="76" t="b">
        <v>1</v>
      </c>
      <c r="BD105" s="76" t="b">
        <v>0</v>
      </c>
      <c r="BE105" s="76" t="b">
        <v>0</v>
      </c>
      <c r="BF105" s="76" t="b">
        <v>0</v>
      </c>
      <c r="BG105" s="76" t="b">
        <v>0</v>
      </c>
      <c r="BH105" s="83" t="str">
        <f>HYPERLINK("https://pbs.twimg.com/profile_banners/1393920957258084352/1642267177")</f>
        <v>https://pbs.twimg.com/profile_banners/1393920957258084352/1642267177</v>
      </c>
      <c r="BI105" s="76"/>
      <c r="BJ105" s="76" t="s">
        <v>6360</v>
      </c>
      <c r="BK105" s="76" t="b">
        <v>0</v>
      </c>
      <c r="BL105" s="76"/>
      <c r="BM105" s="76" t="s">
        <v>66</v>
      </c>
      <c r="BN105" s="76" t="s">
        <v>6362</v>
      </c>
      <c r="BO105" s="83" t="str">
        <f>HYPERLINK("https://twitter.com/tokencom_br")</f>
        <v>https://twitter.com/tokencom_br</v>
      </c>
      <c r="BP105" s="2"/>
    </row>
    <row r="106" spans="1:68" x14ac:dyDescent="0.25">
      <c r="A106" s="62" t="s">
        <v>315</v>
      </c>
      <c r="B106" s="63"/>
      <c r="C106" s="63"/>
      <c r="D106" s="64"/>
      <c r="E106" s="66"/>
      <c r="F106" s="102" t="str">
        <f>HYPERLINK("https://pbs.twimg.com/profile_images/1598423978082705410/jU-vUeHf_normal.jpg")</f>
        <v>https://pbs.twimg.com/profile_images/1598423978082705410/jU-vUeHf_normal.jpg</v>
      </c>
      <c r="G106" s="63"/>
      <c r="H106" s="67"/>
      <c r="I106" s="68"/>
      <c r="J106" s="68"/>
      <c r="K106" s="67" t="s">
        <v>6465</v>
      </c>
      <c r="L106" s="71"/>
      <c r="M106" s="72"/>
      <c r="N106" s="72"/>
      <c r="O106" s="73"/>
      <c r="P106" s="74"/>
      <c r="Q106" s="74"/>
      <c r="R106" s="86"/>
      <c r="S106" s="86"/>
      <c r="T106" s="86"/>
      <c r="U106" s="86"/>
      <c r="V106" s="48"/>
      <c r="W106" s="48"/>
      <c r="X106" s="48"/>
      <c r="Y106" s="48"/>
      <c r="Z106" s="47"/>
      <c r="AA106" s="69">
        <v>106</v>
      </c>
      <c r="AB106" s="69"/>
      <c r="AC106" s="70"/>
      <c r="AD106" s="76" t="s">
        <v>5429</v>
      </c>
      <c r="AE106" s="81" t="s">
        <v>5040</v>
      </c>
      <c r="AF106" s="76">
        <v>207</v>
      </c>
      <c r="AG106" s="76">
        <v>925</v>
      </c>
      <c r="AH106" s="76">
        <v>4627</v>
      </c>
      <c r="AI106" s="76">
        <v>0</v>
      </c>
      <c r="AJ106" s="76">
        <v>11126</v>
      </c>
      <c r="AK106" s="76">
        <v>494</v>
      </c>
      <c r="AL106" s="76" t="b">
        <v>0</v>
      </c>
      <c r="AM106" s="78">
        <v>43441.077384259261</v>
      </c>
      <c r="AN106" s="76"/>
      <c r="AO106" s="76" t="s">
        <v>5950</v>
      </c>
      <c r="AP106" s="76"/>
      <c r="AQ106" s="76"/>
      <c r="AR106" s="76"/>
      <c r="AS106" s="76"/>
      <c r="AT106" s="76"/>
      <c r="AU106" s="76"/>
      <c r="AV106" s="76">
        <v>1.36359864083775E+18</v>
      </c>
      <c r="AW106" s="76"/>
      <c r="AX106" s="76" t="b">
        <v>0</v>
      </c>
      <c r="AY106" s="76"/>
      <c r="AZ106" s="76"/>
      <c r="BA106" s="76" t="b">
        <v>0</v>
      </c>
      <c r="BB106" s="76" t="b">
        <v>1</v>
      </c>
      <c r="BC106" s="76" t="b">
        <v>0</v>
      </c>
      <c r="BD106" s="76" t="b">
        <v>0</v>
      </c>
      <c r="BE106" s="76" t="b">
        <v>1</v>
      </c>
      <c r="BF106" s="76" t="b">
        <v>0</v>
      </c>
      <c r="BG106" s="76" t="b">
        <v>0</v>
      </c>
      <c r="BH106" s="83" t="str">
        <f>HYPERLINK("https://pbs.twimg.com/profile_banners/1070858287447449601/1619274581")</f>
        <v>https://pbs.twimg.com/profile_banners/1070858287447449601/1619274581</v>
      </c>
      <c r="BI106" s="76"/>
      <c r="BJ106" s="76" t="s">
        <v>6360</v>
      </c>
      <c r="BK106" s="76" t="b">
        <v>0</v>
      </c>
      <c r="BL106" s="76"/>
      <c r="BM106" s="76" t="s">
        <v>66</v>
      </c>
      <c r="BN106" s="76" t="s">
        <v>6362</v>
      </c>
      <c r="BO106" s="83" t="str">
        <f>HYPERLINK("https://twitter.com/danielg_s6")</f>
        <v>https://twitter.com/danielg_s6</v>
      </c>
      <c r="BP106" s="2"/>
    </row>
    <row r="107" spans="1:68" x14ac:dyDescent="0.25">
      <c r="A107" s="62" t="s">
        <v>316</v>
      </c>
      <c r="B107" s="63"/>
      <c r="C107" s="63"/>
      <c r="D107" s="64"/>
      <c r="E107" s="66"/>
      <c r="F107" s="102" t="str">
        <f>HYPERLINK("https://pbs.twimg.com/profile_images/1089556244933812224/DTaDyzIS_normal.jpg")</f>
        <v>https://pbs.twimg.com/profile_images/1089556244933812224/DTaDyzIS_normal.jpg</v>
      </c>
      <c r="G107" s="63"/>
      <c r="H107" s="67"/>
      <c r="I107" s="68"/>
      <c r="J107" s="68"/>
      <c r="K107" s="67" t="s">
        <v>6466</v>
      </c>
      <c r="L107" s="71"/>
      <c r="M107" s="72"/>
      <c r="N107" s="72"/>
      <c r="O107" s="73"/>
      <c r="P107" s="74"/>
      <c r="Q107" s="74"/>
      <c r="R107" s="86"/>
      <c r="S107" s="86"/>
      <c r="T107" s="86"/>
      <c r="U107" s="86"/>
      <c r="V107" s="48"/>
      <c r="W107" s="48"/>
      <c r="X107" s="48"/>
      <c r="Y107" s="48"/>
      <c r="Z107" s="47"/>
      <c r="AA107" s="69">
        <v>107</v>
      </c>
      <c r="AB107" s="69"/>
      <c r="AC107" s="70"/>
      <c r="AD107" s="76" t="s">
        <v>5430</v>
      </c>
      <c r="AE107" s="81" t="s">
        <v>5171</v>
      </c>
      <c r="AF107" s="76">
        <v>10</v>
      </c>
      <c r="AG107" s="76">
        <v>39</v>
      </c>
      <c r="AH107" s="76">
        <v>622</v>
      </c>
      <c r="AI107" s="76">
        <v>0</v>
      </c>
      <c r="AJ107" s="76">
        <v>132</v>
      </c>
      <c r="AK107" s="76">
        <v>570</v>
      </c>
      <c r="AL107" s="76" t="b">
        <v>0</v>
      </c>
      <c r="AM107" s="78">
        <v>43326.381412037037</v>
      </c>
      <c r="AN107" s="76" t="s">
        <v>3439</v>
      </c>
      <c r="AO107" s="76" t="s">
        <v>5951</v>
      </c>
      <c r="AP107" s="83" t="str">
        <f>HYPERLINK("https://t.co/7ZWC0XEg7r")</f>
        <v>https://t.co/7ZWC0XEg7r</v>
      </c>
      <c r="AQ107" s="83" t="str">
        <f>HYPERLINK("http://lobscontabil.com")</f>
        <v>http://lobscontabil.com</v>
      </c>
      <c r="AR107" s="76" t="s">
        <v>1984</v>
      </c>
      <c r="AS107" s="76"/>
      <c r="AT107" s="76"/>
      <c r="AU107" s="76"/>
      <c r="AV107" s="76"/>
      <c r="AW107" s="83" t="str">
        <f>HYPERLINK("https://t.co/7ZWC0XEg7r")</f>
        <v>https://t.co/7ZWC0XEg7r</v>
      </c>
      <c r="AX107" s="76" t="b">
        <v>0</v>
      </c>
      <c r="AY107" s="76"/>
      <c r="AZ107" s="76"/>
      <c r="BA107" s="76" t="b">
        <v>0</v>
      </c>
      <c r="BB107" s="76" t="b">
        <v>1</v>
      </c>
      <c r="BC107" s="76" t="b">
        <v>0</v>
      </c>
      <c r="BD107" s="76" t="b">
        <v>0</v>
      </c>
      <c r="BE107" s="76" t="b">
        <v>0</v>
      </c>
      <c r="BF107" s="76" t="b">
        <v>0</v>
      </c>
      <c r="BG107" s="76" t="b">
        <v>0</v>
      </c>
      <c r="BH107" s="83" t="str">
        <f>HYPERLINK("https://pbs.twimg.com/profile_banners/1029293862387429377/1548605425")</f>
        <v>https://pbs.twimg.com/profile_banners/1029293862387429377/1548605425</v>
      </c>
      <c r="BI107" s="76"/>
      <c r="BJ107" s="76" t="s">
        <v>6360</v>
      </c>
      <c r="BK107" s="76" t="b">
        <v>0</v>
      </c>
      <c r="BL107" s="76"/>
      <c r="BM107" s="76" t="s">
        <v>66</v>
      </c>
      <c r="BN107" s="76" t="s">
        <v>6362</v>
      </c>
      <c r="BO107" s="83" t="str">
        <f>HYPERLINK("https://twitter.com/lobscontabilid1")</f>
        <v>https://twitter.com/lobscontabilid1</v>
      </c>
      <c r="BP107" s="2"/>
    </row>
    <row r="108" spans="1:68" x14ac:dyDescent="0.25">
      <c r="A108" s="62" t="s">
        <v>317</v>
      </c>
      <c r="B108" s="63"/>
      <c r="C108" s="63"/>
      <c r="D108" s="64"/>
      <c r="E108" s="66"/>
      <c r="F108" s="102" t="str">
        <f>HYPERLINK("https://pbs.twimg.com/profile_images/1526628556578725890/HgC0bau7_normal.jpg")</f>
        <v>https://pbs.twimg.com/profile_images/1526628556578725890/HgC0bau7_normal.jpg</v>
      </c>
      <c r="G108" s="63"/>
      <c r="H108" s="67"/>
      <c r="I108" s="68"/>
      <c r="J108" s="68"/>
      <c r="K108" s="67" t="s">
        <v>6467</v>
      </c>
      <c r="L108" s="71"/>
      <c r="M108" s="72"/>
      <c r="N108" s="72"/>
      <c r="O108" s="73"/>
      <c r="P108" s="74"/>
      <c r="Q108" s="74"/>
      <c r="R108" s="86"/>
      <c r="S108" s="86"/>
      <c r="T108" s="86"/>
      <c r="U108" s="86"/>
      <c r="V108" s="48"/>
      <c r="W108" s="48"/>
      <c r="X108" s="48"/>
      <c r="Y108" s="48"/>
      <c r="Z108" s="47"/>
      <c r="AA108" s="69">
        <v>108</v>
      </c>
      <c r="AB108" s="69"/>
      <c r="AC108" s="70"/>
      <c r="AD108" s="76" t="s">
        <v>5431</v>
      </c>
      <c r="AE108" s="81" t="s">
        <v>5172</v>
      </c>
      <c r="AF108" s="76">
        <v>1</v>
      </c>
      <c r="AG108" s="76">
        <v>1</v>
      </c>
      <c r="AH108" s="76">
        <v>49</v>
      </c>
      <c r="AI108" s="76">
        <v>0</v>
      </c>
      <c r="AJ108" s="76">
        <v>5</v>
      </c>
      <c r="AK108" s="76">
        <v>45</v>
      </c>
      <c r="AL108" s="76" t="b">
        <v>0</v>
      </c>
      <c r="AM108" s="78">
        <v>44698.761018518519</v>
      </c>
      <c r="AN108" s="76" t="s">
        <v>3435</v>
      </c>
      <c r="AO108" s="76" t="s">
        <v>5952</v>
      </c>
      <c r="AP108" s="83" t="str">
        <f>HYPERLINK("https://t.co/EVXTm7twGr")</f>
        <v>https://t.co/EVXTm7twGr</v>
      </c>
      <c r="AQ108" s="83" t="str">
        <f>HYPERLINK("https://www.youtube.com/channel/UCXqUPRz5FVflYOeDMC6hzIA")</f>
        <v>https://www.youtube.com/channel/UCXqUPRz5FVflYOeDMC6hzIA</v>
      </c>
      <c r="AR108" s="76" t="s">
        <v>6201</v>
      </c>
      <c r="AS108" s="76"/>
      <c r="AT108" s="76"/>
      <c r="AU108" s="76"/>
      <c r="AV108" s="76"/>
      <c r="AW108" s="83" t="str">
        <f>HYPERLINK("https://t.co/EVXTm7twGr")</f>
        <v>https://t.co/EVXTm7twGr</v>
      </c>
      <c r="AX108" s="76" t="b">
        <v>0</v>
      </c>
      <c r="AY108" s="76"/>
      <c r="AZ108" s="76"/>
      <c r="BA108" s="76" t="b">
        <v>0</v>
      </c>
      <c r="BB108" s="76" t="b">
        <v>1</v>
      </c>
      <c r="BC108" s="76" t="b">
        <v>1</v>
      </c>
      <c r="BD108" s="76" t="b">
        <v>0</v>
      </c>
      <c r="BE108" s="76" t="b">
        <v>0</v>
      </c>
      <c r="BF108" s="76" t="b">
        <v>0</v>
      </c>
      <c r="BG108" s="76" t="b">
        <v>0</v>
      </c>
      <c r="BH108" s="83" t="str">
        <f>HYPERLINK("https://pbs.twimg.com/profile_banners/1526627506396200962/1652811587")</f>
        <v>https://pbs.twimg.com/profile_banners/1526627506396200962/1652811587</v>
      </c>
      <c r="BI108" s="76"/>
      <c r="BJ108" s="76" t="s">
        <v>6360</v>
      </c>
      <c r="BK108" s="76" t="b">
        <v>0</v>
      </c>
      <c r="BL108" s="76"/>
      <c r="BM108" s="76" t="s">
        <v>66</v>
      </c>
      <c r="BN108" s="76" t="s">
        <v>6362</v>
      </c>
      <c r="BO108" s="83" t="str">
        <f>HYPERLINK("https://twitter.com/brunoma37644336")</f>
        <v>https://twitter.com/brunoma37644336</v>
      </c>
      <c r="BP108" s="2"/>
    </row>
    <row r="109" spans="1:68" x14ac:dyDescent="0.25">
      <c r="A109" s="62" t="s">
        <v>318</v>
      </c>
      <c r="B109" s="63"/>
      <c r="C109" s="63"/>
      <c r="D109" s="64"/>
      <c r="E109" s="66"/>
      <c r="F109" s="102" t="str">
        <f>HYPERLINK("https://pbs.twimg.com/profile_images/1629538989068673030/3ZpY0arZ_normal.jpg")</f>
        <v>https://pbs.twimg.com/profile_images/1629538989068673030/3ZpY0arZ_normal.jpg</v>
      </c>
      <c r="G109" s="63"/>
      <c r="H109" s="67"/>
      <c r="I109" s="68"/>
      <c r="J109" s="68"/>
      <c r="K109" s="67" t="s">
        <v>6468</v>
      </c>
      <c r="L109" s="71"/>
      <c r="M109" s="72"/>
      <c r="N109" s="72"/>
      <c r="O109" s="73"/>
      <c r="P109" s="74"/>
      <c r="Q109" s="74"/>
      <c r="R109" s="86"/>
      <c r="S109" s="86"/>
      <c r="T109" s="86"/>
      <c r="U109" s="86"/>
      <c r="V109" s="48"/>
      <c r="W109" s="48"/>
      <c r="X109" s="48"/>
      <c r="Y109" s="48"/>
      <c r="Z109" s="47"/>
      <c r="AA109" s="69">
        <v>109</v>
      </c>
      <c r="AB109" s="69"/>
      <c r="AC109" s="70"/>
      <c r="AD109" s="76" t="s">
        <v>5432</v>
      </c>
      <c r="AE109" s="81" t="s">
        <v>5041</v>
      </c>
      <c r="AF109" s="76">
        <v>320</v>
      </c>
      <c r="AG109" s="76">
        <v>603</v>
      </c>
      <c r="AH109" s="76">
        <v>5007</v>
      </c>
      <c r="AI109" s="76">
        <v>2</v>
      </c>
      <c r="AJ109" s="76">
        <v>24612</v>
      </c>
      <c r="AK109" s="76">
        <v>1816</v>
      </c>
      <c r="AL109" s="76" t="b">
        <v>0</v>
      </c>
      <c r="AM109" s="78">
        <v>44315.645150462966</v>
      </c>
      <c r="AN109" s="76"/>
      <c r="AO109" s="76" t="s">
        <v>5953</v>
      </c>
      <c r="AP109" s="76"/>
      <c r="AQ109" s="76"/>
      <c r="AR109" s="76"/>
      <c r="AS109" s="76"/>
      <c r="AT109" s="76"/>
      <c r="AU109" s="76"/>
      <c r="AV109" s="76"/>
      <c r="AW109" s="76"/>
      <c r="AX109" s="76" t="b">
        <v>0</v>
      </c>
      <c r="AY109" s="76"/>
      <c r="AZ109" s="76"/>
      <c r="BA109" s="76" t="b">
        <v>1</v>
      </c>
      <c r="BB109" s="76" t="b">
        <v>0</v>
      </c>
      <c r="BC109" s="76" t="b">
        <v>1</v>
      </c>
      <c r="BD109" s="76" t="b">
        <v>0</v>
      </c>
      <c r="BE109" s="76" t="b">
        <v>1</v>
      </c>
      <c r="BF109" s="76" t="b">
        <v>0</v>
      </c>
      <c r="BG109" s="76" t="b">
        <v>0</v>
      </c>
      <c r="BH109" s="83" t="str">
        <f>HYPERLINK("https://pbs.twimg.com/profile_banners/1387790965558104069/1620150353")</f>
        <v>https://pbs.twimg.com/profile_banners/1387790965558104069/1620150353</v>
      </c>
      <c r="BI109" s="76"/>
      <c r="BJ109" s="76" t="s">
        <v>6360</v>
      </c>
      <c r="BK109" s="76" t="b">
        <v>0</v>
      </c>
      <c r="BL109" s="76"/>
      <c r="BM109" s="76" t="s">
        <v>66</v>
      </c>
      <c r="BN109" s="76" t="s">
        <v>6362</v>
      </c>
      <c r="BO109" s="83" t="str">
        <f>HYPERLINK("https://twitter.com/emotionalillit1")</f>
        <v>https://twitter.com/emotionalillit1</v>
      </c>
      <c r="BP109" s="2"/>
    </row>
    <row r="110" spans="1:68" x14ac:dyDescent="0.25">
      <c r="A110" s="62" t="s">
        <v>319</v>
      </c>
      <c r="B110" s="63"/>
      <c r="C110" s="63"/>
      <c r="D110" s="64"/>
      <c r="E110" s="66"/>
      <c r="F110" s="102" t="str">
        <f>HYPERLINK("https://abs.twimg.com/sticky/default_profile_images/default_profile_normal.png")</f>
        <v>https://abs.twimg.com/sticky/default_profile_images/default_profile_normal.png</v>
      </c>
      <c r="G110" s="63"/>
      <c r="H110" s="67"/>
      <c r="I110" s="68"/>
      <c r="J110" s="68"/>
      <c r="K110" s="67" t="s">
        <v>6469</v>
      </c>
      <c r="L110" s="71"/>
      <c r="M110" s="72"/>
      <c r="N110" s="72"/>
      <c r="O110" s="73"/>
      <c r="P110" s="74"/>
      <c r="Q110" s="74"/>
      <c r="R110" s="86"/>
      <c r="S110" s="86"/>
      <c r="T110" s="86"/>
      <c r="U110" s="86"/>
      <c r="V110" s="48"/>
      <c r="W110" s="48"/>
      <c r="X110" s="48"/>
      <c r="Y110" s="48"/>
      <c r="Z110" s="47"/>
      <c r="AA110" s="69">
        <v>110</v>
      </c>
      <c r="AB110" s="69"/>
      <c r="AC110" s="70"/>
      <c r="AD110" s="76" t="s">
        <v>5433</v>
      </c>
      <c r="AE110" s="81" t="s">
        <v>5173</v>
      </c>
      <c r="AF110" s="76">
        <v>0</v>
      </c>
      <c r="AG110" s="76">
        <v>1</v>
      </c>
      <c r="AH110" s="76">
        <v>142</v>
      </c>
      <c r="AI110" s="76">
        <v>0</v>
      </c>
      <c r="AJ110" s="76">
        <v>0</v>
      </c>
      <c r="AK110" s="76">
        <v>142</v>
      </c>
      <c r="AL110" s="76" t="b">
        <v>0</v>
      </c>
      <c r="AM110" s="78">
        <v>45008.834305555552</v>
      </c>
      <c r="AN110" s="76"/>
      <c r="AO110" s="76"/>
      <c r="AP110" s="76"/>
      <c r="AQ110" s="76"/>
      <c r="AR110" s="76"/>
      <c r="AS110" s="76"/>
      <c r="AT110" s="76"/>
      <c r="AU110" s="76"/>
      <c r="AV110" s="76"/>
      <c r="AW110" s="76"/>
      <c r="AX110" s="76" t="b">
        <v>0</v>
      </c>
      <c r="AY110" s="76"/>
      <c r="AZ110" s="76"/>
      <c r="BA110" s="76" t="b">
        <v>0</v>
      </c>
      <c r="BB110" s="76" t="b">
        <v>1</v>
      </c>
      <c r="BC110" s="76" t="b">
        <v>1</v>
      </c>
      <c r="BD110" s="76" t="b">
        <v>1</v>
      </c>
      <c r="BE110" s="76" t="b">
        <v>0</v>
      </c>
      <c r="BF110" s="76" t="b">
        <v>0</v>
      </c>
      <c r="BG110" s="76" t="b">
        <v>0</v>
      </c>
      <c r="BH110" s="76"/>
      <c r="BI110" s="76"/>
      <c r="BJ110" s="76" t="s">
        <v>6360</v>
      </c>
      <c r="BK110" s="76" t="b">
        <v>0</v>
      </c>
      <c r="BL110" s="76"/>
      <c r="BM110" s="76" t="s">
        <v>66</v>
      </c>
      <c r="BN110" s="76" t="s">
        <v>6362</v>
      </c>
      <c r="BO110" s="83" t="str">
        <f>HYPERLINK("https://twitter.com/computar1915")</f>
        <v>https://twitter.com/computar1915</v>
      </c>
      <c r="BP110" s="2"/>
    </row>
    <row r="111" spans="1:68" x14ac:dyDescent="0.25">
      <c r="A111" s="62" t="s">
        <v>320</v>
      </c>
      <c r="B111" s="63"/>
      <c r="C111" s="63"/>
      <c r="D111" s="64"/>
      <c r="E111" s="66"/>
      <c r="F111" s="102" t="str">
        <f>HYPERLINK("https://pbs.twimg.com/profile_images/1675567492482101248/ZXXQDXRT_normal.png")</f>
        <v>https://pbs.twimg.com/profile_images/1675567492482101248/ZXXQDXRT_normal.png</v>
      </c>
      <c r="G111" s="63"/>
      <c r="H111" s="67"/>
      <c r="I111" s="68"/>
      <c r="J111" s="68"/>
      <c r="K111" s="67" t="s">
        <v>6470</v>
      </c>
      <c r="L111" s="71"/>
      <c r="M111" s="72"/>
      <c r="N111" s="72"/>
      <c r="O111" s="73"/>
      <c r="P111" s="74"/>
      <c r="Q111" s="74"/>
      <c r="R111" s="86"/>
      <c r="S111" s="86"/>
      <c r="T111" s="86"/>
      <c r="U111" s="86"/>
      <c r="V111" s="48"/>
      <c r="W111" s="48"/>
      <c r="X111" s="48"/>
      <c r="Y111" s="48"/>
      <c r="Z111" s="47"/>
      <c r="AA111" s="69">
        <v>111</v>
      </c>
      <c r="AB111" s="69"/>
      <c r="AC111" s="70"/>
      <c r="AD111" s="76" t="s">
        <v>5434</v>
      </c>
      <c r="AE111" s="81" t="s">
        <v>5174</v>
      </c>
      <c r="AF111" s="76">
        <v>4</v>
      </c>
      <c r="AG111" s="76">
        <v>25</v>
      </c>
      <c r="AH111" s="76">
        <v>335</v>
      </c>
      <c r="AI111" s="76">
        <v>0</v>
      </c>
      <c r="AJ111" s="76">
        <v>0</v>
      </c>
      <c r="AK111" s="76">
        <v>0</v>
      </c>
      <c r="AL111" s="76" t="b">
        <v>0</v>
      </c>
      <c r="AM111" s="78">
        <v>45109.756516203706</v>
      </c>
      <c r="AN111" s="76"/>
      <c r="AO111" s="76"/>
      <c r="AP111" s="76"/>
      <c r="AQ111" s="76"/>
      <c r="AR111" s="76"/>
      <c r="AS111" s="76"/>
      <c r="AT111" s="76"/>
      <c r="AU111" s="76"/>
      <c r="AV111" s="76"/>
      <c r="AW111" s="76"/>
      <c r="AX111" s="76" t="b">
        <v>0</v>
      </c>
      <c r="AY111" s="76"/>
      <c r="AZ111" s="76"/>
      <c r="BA111" s="76" t="b">
        <v>0</v>
      </c>
      <c r="BB111" s="76" t="b">
        <v>1</v>
      </c>
      <c r="BC111" s="76" t="b">
        <v>1</v>
      </c>
      <c r="BD111" s="76" t="b">
        <v>0</v>
      </c>
      <c r="BE111" s="76" t="b">
        <v>0</v>
      </c>
      <c r="BF111" s="76" t="b">
        <v>0</v>
      </c>
      <c r="BG111" s="76" t="b">
        <v>0</v>
      </c>
      <c r="BH111" s="76"/>
      <c r="BI111" s="76"/>
      <c r="BJ111" s="76" t="s">
        <v>6360</v>
      </c>
      <c r="BK111" s="76" t="b">
        <v>0</v>
      </c>
      <c r="BL111" s="76"/>
      <c r="BM111" s="76" t="s">
        <v>66</v>
      </c>
      <c r="BN111" s="76" t="s">
        <v>6362</v>
      </c>
      <c r="BO111" s="83" t="str">
        <f>HYPERLINK("https://twitter.com/dirprev")</f>
        <v>https://twitter.com/dirprev</v>
      </c>
      <c r="BP111" s="2"/>
    </row>
    <row r="112" spans="1:68" x14ac:dyDescent="0.25">
      <c r="A112" s="62" t="s">
        <v>321</v>
      </c>
      <c r="B112" s="63"/>
      <c r="C112" s="63"/>
      <c r="D112" s="64"/>
      <c r="E112" s="66"/>
      <c r="F112" s="102" t="str">
        <f>HYPERLINK("https://pbs.twimg.com/profile_images/1308037131470811138/4qhX5Ihs_normal.png")</f>
        <v>https://pbs.twimg.com/profile_images/1308037131470811138/4qhX5Ihs_normal.png</v>
      </c>
      <c r="G112" s="63"/>
      <c r="H112" s="67"/>
      <c r="I112" s="68"/>
      <c r="J112" s="68"/>
      <c r="K112" s="67" t="s">
        <v>6471</v>
      </c>
      <c r="L112" s="71"/>
      <c r="M112" s="72"/>
      <c r="N112" s="72"/>
      <c r="O112" s="73"/>
      <c r="P112" s="74"/>
      <c r="Q112" s="74"/>
      <c r="R112" s="86"/>
      <c r="S112" s="86"/>
      <c r="T112" s="86"/>
      <c r="U112" s="86"/>
      <c r="V112" s="48"/>
      <c r="W112" s="48"/>
      <c r="X112" s="48"/>
      <c r="Y112" s="48"/>
      <c r="Z112" s="47"/>
      <c r="AA112" s="69">
        <v>112</v>
      </c>
      <c r="AB112" s="69"/>
      <c r="AC112" s="70"/>
      <c r="AD112" s="76" t="s">
        <v>5435</v>
      </c>
      <c r="AE112" s="81" t="s">
        <v>5175</v>
      </c>
      <c r="AF112" s="76">
        <v>24</v>
      </c>
      <c r="AG112" s="76">
        <v>360</v>
      </c>
      <c r="AH112" s="76">
        <v>1249</v>
      </c>
      <c r="AI112" s="76">
        <v>0</v>
      </c>
      <c r="AJ112" s="76">
        <v>0</v>
      </c>
      <c r="AK112" s="76">
        <v>482</v>
      </c>
      <c r="AL112" s="76" t="b">
        <v>0</v>
      </c>
      <c r="AM112" s="78">
        <v>44095.565868055557</v>
      </c>
      <c r="AN112" s="76"/>
      <c r="AO112" s="76" t="s">
        <v>5954</v>
      </c>
      <c r="AP112" s="83" t="str">
        <f>HYPERLINK("https://t.co/UiUIarY1MT")</f>
        <v>https://t.co/UiUIarY1MT</v>
      </c>
      <c r="AQ112" s="83" t="str">
        <f>HYPERLINK("https://linktr.ee/investimentoobjetivo")</f>
        <v>https://linktr.ee/investimentoobjetivo</v>
      </c>
      <c r="AR112" s="76" t="s">
        <v>6202</v>
      </c>
      <c r="AS112" s="76"/>
      <c r="AT112" s="76"/>
      <c r="AU112" s="76"/>
      <c r="AV112" s="76"/>
      <c r="AW112" s="83" t="str">
        <f>HYPERLINK("https://t.co/UiUIarY1MT")</f>
        <v>https://t.co/UiUIarY1MT</v>
      </c>
      <c r="AX112" s="76" t="b">
        <v>0</v>
      </c>
      <c r="AY112" s="76"/>
      <c r="AZ112" s="76"/>
      <c r="BA112" s="76" t="b">
        <v>0</v>
      </c>
      <c r="BB112" s="76" t="b">
        <v>1</v>
      </c>
      <c r="BC112" s="76" t="b">
        <v>1</v>
      </c>
      <c r="BD112" s="76" t="b">
        <v>0</v>
      </c>
      <c r="BE112" s="76" t="b">
        <v>0</v>
      </c>
      <c r="BF112" s="76" t="b">
        <v>0</v>
      </c>
      <c r="BG112" s="76" t="b">
        <v>0</v>
      </c>
      <c r="BH112" s="83" t="str">
        <f>HYPERLINK("https://pbs.twimg.com/profile_banners/1308036876457177089/1651416308")</f>
        <v>https://pbs.twimg.com/profile_banners/1308036876457177089/1651416308</v>
      </c>
      <c r="BI112" s="76"/>
      <c r="BJ112" s="76" t="s">
        <v>6360</v>
      </c>
      <c r="BK112" s="76" t="b">
        <v>0</v>
      </c>
      <c r="BL112" s="76"/>
      <c r="BM112" s="76" t="s">
        <v>66</v>
      </c>
      <c r="BN112" s="76" t="s">
        <v>6362</v>
      </c>
      <c r="BO112" s="83" t="str">
        <f>HYPERLINK("https://twitter.com/investimentoob1")</f>
        <v>https://twitter.com/investimentoob1</v>
      </c>
      <c r="BP112" s="2"/>
    </row>
    <row r="113" spans="1:68" x14ac:dyDescent="0.25">
      <c r="A113" s="62" t="s">
        <v>322</v>
      </c>
      <c r="B113" s="63"/>
      <c r="C113" s="63"/>
      <c r="D113" s="64"/>
      <c r="E113" s="66"/>
      <c r="F113" s="102" t="str">
        <f>HYPERLINK("https://pbs.twimg.com/profile_images/1615417996826054674/S4AQ1ejx_normal.jpg")</f>
        <v>https://pbs.twimg.com/profile_images/1615417996826054674/S4AQ1ejx_normal.jpg</v>
      </c>
      <c r="G113" s="63"/>
      <c r="H113" s="67"/>
      <c r="I113" s="68"/>
      <c r="J113" s="68"/>
      <c r="K113" s="67" t="s">
        <v>6472</v>
      </c>
      <c r="L113" s="71"/>
      <c r="M113" s="72"/>
      <c r="N113" s="72"/>
      <c r="O113" s="73"/>
      <c r="P113" s="74"/>
      <c r="Q113" s="74"/>
      <c r="R113" s="86"/>
      <c r="S113" s="86"/>
      <c r="T113" s="86"/>
      <c r="U113" s="86"/>
      <c r="V113" s="48"/>
      <c r="W113" s="48"/>
      <c r="X113" s="48"/>
      <c r="Y113" s="48"/>
      <c r="Z113" s="47"/>
      <c r="AA113" s="69">
        <v>113</v>
      </c>
      <c r="AB113" s="69"/>
      <c r="AC113" s="70"/>
      <c r="AD113" s="76" t="s">
        <v>5436</v>
      </c>
      <c r="AE113" s="81" t="s">
        <v>5042</v>
      </c>
      <c r="AF113" s="76">
        <v>24762</v>
      </c>
      <c r="AG113" s="76">
        <v>34</v>
      </c>
      <c r="AH113" s="76">
        <v>23952</v>
      </c>
      <c r="AI113" s="76">
        <v>421</v>
      </c>
      <c r="AJ113" s="76">
        <v>220</v>
      </c>
      <c r="AK113" s="76">
        <v>706</v>
      </c>
      <c r="AL113" s="76" t="b">
        <v>0</v>
      </c>
      <c r="AM113" s="78">
        <v>42633.704722222225</v>
      </c>
      <c r="AN113" s="76"/>
      <c r="AO113" s="76" t="s">
        <v>5955</v>
      </c>
      <c r="AP113" s="83" t="str">
        <f>HYPERLINK("https://t.co/MP9EvRK6WE")</f>
        <v>https://t.co/MP9EvRK6WE</v>
      </c>
      <c r="AQ113" s="83" t="str">
        <f>HYPERLINK("https://linktr.ee/suno.noticias")</f>
        <v>https://linktr.ee/suno.noticias</v>
      </c>
      <c r="AR113" s="76" t="s">
        <v>6203</v>
      </c>
      <c r="AS113" s="76"/>
      <c r="AT113" s="76"/>
      <c r="AU113" s="76"/>
      <c r="AV113" s="76">
        <v>1.48822435088509E+18</v>
      </c>
      <c r="AW113" s="83" t="str">
        <f>HYPERLINK("https://t.co/MP9EvRK6WE")</f>
        <v>https://t.co/MP9EvRK6WE</v>
      </c>
      <c r="AX113" s="76" t="b">
        <v>0</v>
      </c>
      <c r="AY113" s="76"/>
      <c r="AZ113" s="76"/>
      <c r="BA113" s="76" t="b">
        <v>0</v>
      </c>
      <c r="BB113" s="76" t="b">
        <v>1</v>
      </c>
      <c r="BC113" s="76" t="b">
        <v>1</v>
      </c>
      <c r="BD113" s="76" t="b">
        <v>0</v>
      </c>
      <c r="BE113" s="76" t="b">
        <v>0</v>
      </c>
      <c r="BF113" s="76" t="b">
        <v>0</v>
      </c>
      <c r="BG113" s="76" t="b">
        <v>0</v>
      </c>
      <c r="BH113" s="83" t="str">
        <f>HYPERLINK("https://pbs.twimg.com/profile_banners/778276232081342464/1678307667")</f>
        <v>https://pbs.twimg.com/profile_banners/778276232081342464/1678307667</v>
      </c>
      <c r="BI113" s="76"/>
      <c r="BJ113" s="76" t="s">
        <v>6360</v>
      </c>
      <c r="BK113" s="76" t="b">
        <v>0</v>
      </c>
      <c r="BL113" s="76"/>
      <c r="BM113" s="76" t="s">
        <v>66</v>
      </c>
      <c r="BN113" s="76" t="s">
        <v>6362</v>
      </c>
      <c r="BO113" s="83" t="str">
        <f>HYPERLINK("https://twitter.com/sunonoticias")</f>
        <v>https://twitter.com/sunonoticias</v>
      </c>
      <c r="BP113" s="2"/>
    </row>
    <row r="114" spans="1:68" x14ac:dyDescent="0.25">
      <c r="A114" s="62" t="s">
        <v>323</v>
      </c>
      <c r="B114" s="63"/>
      <c r="C114" s="63"/>
      <c r="D114" s="64"/>
      <c r="E114" s="66"/>
      <c r="F114" s="102" t="str">
        <f>HYPERLINK("https://pbs.twimg.com/profile_images/1564389807702376458/1UGzDIk7_normal.jpg")</f>
        <v>https://pbs.twimg.com/profile_images/1564389807702376458/1UGzDIk7_normal.jpg</v>
      </c>
      <c r="G114" s="63"/>
      <c r="H114" s="67"/>
      <c r="I114" s="68"/>
      <c r="J114" s="68"/>
      <c r="K114" s="67" t="s">
        <v>6473</v>
      </c>
      <c r="L114" s="71"/>
      <c r="M114" s="72"/>
      <c r="N114" s="72"/>
      <c r="O114" s="73"/>
      <c r="P114" s="74"/>
      <c r="Q114" s="74"/>
      <c r="R114" s="86"/>
      <c r="S114" s="86"/>
      <c r="T114" s="86"/>
      <c r="U114" s="86"/>
      <c r="V114" s="48"/>
      <c r="W114" s="48"/>
      <c r="X114" s="48"/>
      <c r="Y114" s="48"/>
      <c r="Z114" s="47"/>
      <c r="AA114" s="69">
        <v>114</v>
      </c>
      <c r="AB114" s="69"/>
      <c r="AC114" s="70"/>
      <c r="AD114" s="76" t="s">
        <v>5437</v>
      </c>
      <c r="AE114" s="81" t="s">
        <v>5043</v>
      </c>
      <c r="AF114" s="76">
        <v>84</v>
      </c>
      <c r="AG114" s="76">
        <v>345</v>
      </c>
      <c r="AH114" s="76">
        <v>582</v>
      </c>
      <c r="AI114" s="76">
        <v>2</v>
      </c>
      <c r="AJ114" s="76">
        <v>1045</v>
      </c>
      <c r="AK114" s="76">
        <v>93</v>
      </c>
      <c r="AL114" s="76" t="b">
        <v>0</v>
      </c>
      <c r="AM114" s="78">
        <v>40012.721504629626</v>
      </c>
      <c r="AN114" s="76" t="s">
        <v>5777</v>
      </c>
      <c r="AO114" s="76" t="s">
        <v>5956</v>
      </c>
      <c r="AP114" s="83" t="str">
        <f>HYPERLINK("https://t.co/czl3C0J8lE")</f>
        <v>https://t.co/czl3C0J8lE</v>
      </c>
      <c r="AQ114" s="83" t="str">
        <f>HYPERLINK("http://www.nortusinvestimentos.com.br")</f>
        <v>http://www.nortusinvestimentos.com.br</v>
      </c>
      <c r="AR114" s="76" t="s">
        <v>6204</v>
      </c>
      <c r="AS114" s="76"/>
      <c r="AT114" s="76"/>
      <c r="AU114" s="76"/>
      <c r="AV114" s="76"/>
      <c r="AW114" s="83" t="str">
        <f>HYPERLINK("https://t.co/czl3C0J8lE")</f>
        <v>https://t.co/czl3C0J8lE</v>
      </c>
      <c r="AX114" s="76" t="b">
        <v>0</v>
      </c>
      <c r="AY114" s="76"/>
      <c r="AZ114" s="76"/>
      <c r="BA114" s="76" t="b">
        <v>0</v>
      </c>
      <c r="BB114" s="76" t="b">
        <v>0</v>
      </c>
      <c r="BC114" s="76" t="b">
        <v>0</v>
      </c>
      <c r="BD114" s="76" t="b">
        <v>0</v>
      </c>
      <c r="BE114" s="76" t="b">
        <v>1</v>
      </c>
      <c r="BF114" s="76" t="b">
        <v>0</v>
      </c>
      <c r="BG114" s="76" t="b">
        <v>0</v>
      </c>
      <c r="BH114" s="83" t="str">
        <f>HYPERLINK("https://pbs.twimg.com/profile_banners/57981116/1658760614")</f>
        <v>https://pbs.twimg.com/profile_banners/57981116/1658760614</v>
      </c>
      <c r="BI114" s="76"/>
      <c r="BJ114" s="76" t="s">
        <v>6360</v>
      </c>
      <c r="BK114" s="76" t="b">
        <v>0</v>
      </c>
      <c r="BL114" s="76"/>
      <c r="BM114" s="76" t="s">
        <v>66</v>
      </c>
      <c r="BN114" s="76" t="s">
        <v>6362</v>
      </c>
      <c r="BO114" s="83" t="str">
        <f>HYPERLINK("https://twitter.com/thiagobudni")</f>
        <v>https://twitter.com/thiagobudni</v>
      </c>
      <c r="BP114" s="2"/>
    </row>
    <row r="115" spans="1:68" x14ac:dyDescent="0.25">
      <c r="A115" s="62" t="s">
        <v>324</v>
      </c>
      <c r="B115" s="63"/>
      <c r="C115" s="63"/>
      <c r="D115" s="64"/>
      <c r="E115" s="66"/>
      <c r="F115" s="102" t="str">
        <f>HYPERLINK("https://pbs.twimg.com/profile_images/1660516506491568129/s9Q9FabK_normal.jpg")</f>
        <v>https://pbs.twimg.com/profile_images/1660516506491568129/s9Q9FabK_normal.jpg</v>
      </c>
      <c r="G115" s="63"/>
      <c r="H115" s="67"/>
      <c r="I115" s="68"/>
      <c r="J115" s="68"/>
      <c r="K115" s="67" t="s">
        <v>6474</v>
      </c>
      <c r="L115" s="71"/>
      <c r="M115" s="72"/>
      <c r="N115" s="72"/>
      <c r="O115" s="73"/>
      <c r="P115" s="74"/>
      <c r="Q115" s="74"/>
      <c r="R115" s="86"/>
      <c r="S115" s="86"/>
      <c r="T115" s="86"/>
      <c r="U115" s="86"/>
      <c r="V115" s="48"/>
      <c r="W115" s="48"/>
      <c r="X115" s="48"/>
      <c r="Y115" s="48"/>
      <c r="Z115" s="47"/>
      <c r="AA115" s="69">
        <v>115</v>
      </c>
      <c r="AB115" s="69"/>
      <c r="AC115" s="70"/>
      <c r="AD115" s="76" t="s">
        <v>5438</v>
      </c>
      <c r="AE115" s="81" t="s">
        <v>5044</v>
      </c>
      <c r="AF115" s="76">
        <v>236</v>
      </c>
      <c r="AG115" s="76">
        <v>0</v>
      </c>
      <c r="AH115" s="76">
        <v>777</v>
      </c>
      <c r="AI115" s="76">
        <v>1</v>
      </c>
      <c r="AJ115" s="76">
        <v>80</v>
      </c>
      <c r="AK115" s="76">
        <v>569</v>
      </c>
      <c r="AL115" s="76" t="b">
        <v>0</v>
      </c>
      <c r="AM115" s="78">
        <v>41758.464236111111</v>
      </c>
      <c r="AN115" s="76" t="s">
        <v>5778</v>
      </c>
      <c r="AO115" s="76" t="s">
        <v>5957</v>
      </c>
      <c r="AP115" s="83" t="str">
        <f>HYPERLINK("https://t.co/5y6BNqbkqN")</f>
        <v>https://t.co/5y6BNqbkqN</v>
      </c>
      <c r="AQ115" s="83" t="str">
        <f>HYPERLINK("https://www.paraminvest.in/")</f>
        <v>https://www.paraminvest.in/</v>
      </c>
      <c r="AR115" s="76" t="s">
        <v>6205</v>
      </c>
      <c r="AS115" s="76"/>
      <c r="AT115" s="76"/>
      <c r="AU115" s="76"/>
      <c r="AV115" s="76"/>
      <c r="AW115" s="83" t="str">
        <f>HYPERLINK("https://t.co/5y6BNqbkqN")</f>
        <v>https://t.co/5y6BNqbkqN</v>
      </c>
      <c r="AX115" s="76" t="b">
        <v>0</v>
      </c>
      <c r="AY115" s="76"/>
      <c r="AZ115" s="76"/>
      <c r="BA115" s="76" t="b">
        <v>0</v>
      </c>
      <c r="BB115" s="76" t="b">
        <v>1</v>
      </c>
      <c r="BC115" s="76" t="b">
        <v>1</v>
      </c>
      <c r="BD115" s="76" t="b">
        <v>0</v>
      </c>
      <c r="BE115" s="76" t="b">
        <v>0</v>
      </c>
      <c r="BF115" s="76" t="b">
        <v>0</v>
      </c>
      <c r="BG115" s="76" t="b">
        <v>0</v>
      </c>
      <c r="BH115" s="83" t="str">
        <f>HYPERLINK("https://pbs.twimg.com/profile_banners/2469127752/1641209950")</f>
        <v>https://pbs.twimg.com/profile_banners/2469127752/1641209950</v>
      </c>
      <c r="BI115" s="76"/>
      <c r="BJ115" s="76" t="s">
        <v>6360</v>
      </c>
      <c r="BK115" s="76" t="b">
        <v>0</v>
      </c>
      <c r="BL115" s="76"/>
      <c r="BM115" s="76" t="s">
        <v>66</v>
      </c>
      <c r="BN115" s="76" t="s">
        <v>6362</v>
      </c>
      <c r="BO115" s="83" t="str">
        <f>HYPERLINK("https://twitter.com/paraminvest")</f>
        <v>https://twitter.com/paraminvest</v>
      </c>
      <c r="BP115" s="2"/>
    </row>
    <row r="116" spans="1:68" x14ac:dyDescent="0.25">
      <c r="A116" s="62" t="s">
        <v>325</v>
      </c>
      <c r="B116" s="63"/>
      <c r="C116" s="63"/>
      <c r="D116" s="64"/>
      <c r="E116" s="66"/>
      <c r="F116" s="102" t="str">
        <f>HYPERLINK("https://pbs.twimg.com/profile_images/1680413141245612036/8M3SnOn-_normal.jpg")</f>
        <v>https://pbs.twimg.com/profile_images/1680413141245612036/8M3SnOn-_normal.jpg</v>
      </c>
      <c r="G116" s="63"/>
      <c r="H116" s="67"/>
      <c r="I116" s="68"/>
      <c r="J116" s="68"/>
      <c r="K116" s="67" t="s">
        <v>6475</v>
      </c>
      <c r="L116" s="71"/>
      <c r="M116" s="72"/>
      <c r="N116" s="72"/>
      <c r="O116" s="73"/>
      <c r="P116" s="74"/>
      <c r="Q116" s="74"/>
      <c r="R116" s="86"/>
      <c r="S116" s="86"/>
      <c r="T116" s="86"/>
      <c r="U116" s="86"/>
      <c r="V116" s="48"/>
      <c r="W116" s="48"/>
      <c r="X116" s="48"/>
      <c r="Y116" s="48"/>
      <c r="Z116" s="47"/>
      <c r="AA116" s="69">
        <v>116</v>
      </c>
      <c r="AB116" s="69"/>
      <c r="AC116" s="70"/>
      <c r="AD116" s="76" t="s">
        <v>5439</v>
      </c>
      <c r="AE116" s="81" t="s">
        <v>5672</v>
      </c>
      <c r="AF116" s="76">
        <v>6650</v>
      </c>
      <c r="AG116" s="76">
        <v>6765</v>
      </c>
      <c r="AH116" s="76">
        <v>15247</v>
      </c>
      <c r="AI116" s="76">
        <v>2</v>
      </c>
      <c r="AJ116" s="76">
        <v>23014</v>
      </c>
      <c r="AK116" s="76">
        <v>3875</v>
      </c>
      <c r="AL116" s="76" t="b">
        <v>0</v>
      </c>
      <c r="AM116" s="78">
        <v>40037.095034722224</v>
      </c>
      <c r="AN116" s="76"/>
      <c r="AO116" s="76" t="s">
        <v>5958</v>
      </c>
      <c r="AP116" s="83" t="str">
        <f>HYPERLINK("https://t.co/XApPq4XSHP")</f>
        <v>https://t.co/XApPq4XSHP</v>
      </c>
      <c r="AQ116" s="83" t="str">
        <f>HYPERLINK("https://bit.ly/criptoblindersbrasil")</f>
        <v>https://bit.ly/criptoblindersbrasil</v>
      </c>
      <c r="AR116" s="76" t="s">
        <v>6206</v>
      </c>
      <c r="AS116" s="76"/>
      <c r="AT116" s="76"/>
      <c r="AU116" s="76"/>
      <c r="AV116" s="76">
        <v>1.7066844476245E+18</v>
      </c>
      <c r="AW116" s="83" t="str">
        <f>HYPERLINK("https://t.co/XApPq4XSHP")</f>
        <v>https://t.co/XApPq4XSHP</v>
      </c>
      <c r="AX116" s="76" t="b">
        <v>0</v>
      </c>
      <c r="AY116" s="76"/>
      <c r="AZ116" s="76"/>
      <c r="BA116" s="76" t="b">
        <v>0</v>
      </c>
      <c r="BB116" s="76" t="b">
        <v>1</v>
      </c>
      <c r="BC116" s="76" t="b">
        <v>1</v>
      </c>
      <c r="BD116" s="76" t="b">
        <v>0</v>
      </c>
      <c r="BE116" s="76" t="b">
        <v>0</v>
      </c>
      <c r="BF116" s="76" t="b">
        <v>0</v>
      </c>
      <c r="BG116" s="76" t="b">
        <v>0</v>
      </c>
      <c r="BH116" s="83" t="str">
        <f>HYPERLINK("https://pbs.twimg.com/profile_banners/64904940/1677458032")</f>
        <v>https://pbs.twimg.com/profile_banners/64904940/1677458032</v>
      </c>
      <c r="BI116" s="76"/>
      <c r="BJ116" s="76" t="s">
        <v>6360</v>
      </c>
      <c r="BK116" s="76" t="b">
        <v>0</v>
      </c>
      <c r="BL116" s="76"/>
      <c r="BM116" s="76" t="s">
        <v>66</v>
      </c>
      <c r="BN116" s="76" t="s">
        <v>6362</v>
      </c>
      <c r="BO116" s="83" t="str">
        <f>HYPERLINK("https://twitter.com/rodrigosrp4")</f>
        <v>https://twitter.com/rodrigosrp4</v>
      </c>
      <c r="BP116" s="2"/>
    </row>
    <row r="117" spans="1:68" x14ac:dyDescent="0.25">
      <c r="A117" s="62" t="s">
        <v>326</v>
      </c>
      <c r="B117" s="63"/>
      <c r="C117" s="63"/>
      <c r="D117" s="64"/>
      <c r="E117" s="66"/>
      <c r="F117" s="102" t="str">
        <f>HYPERLINK("https://pbs.twimg.com/profile_images/1645400577034137601/VlDBb_3O_normal.jpg")</f>
        <v>https://pbs.twimg.com/profile_images/1645400577034137601/VlDBb_3O_normal.jpg</v>
      </c>
      <c r="G117" s="63"/>
      <c r="H117" s="67"/>
      <c r="I117" s="68"/>
      <c r="J117" s="68"/>
      <c r="K117" s="67" t="s">
        <v>6476</v>
      </c>
      <c r="L117" s="71"/>
      <c r="M117" s="72"/>
      <c r="N117" s="72"/>
      <c r="O117" s="73"/>
      <c r="P117" s="74"/>
      <c r="Q117" s="74"/>
      <c r="R117" s="86"/>
      <c r="S117" s="86"/>
      <c r="T117" s="86"/>
      <c r="U117" s="86"/>
      <c r="V117" s="48"/>
      <c r="W117" s="48"/>
      <c r="X117" s="48"/>
      <c r="Y117" s="48"/>
      <c r="Z117" s="47"/>
      <c r="AA117" s="69">
        <v>117</v>
      </c>
      <c r="AB117" s="69"/>
      <c r="AC117" s="70"/>
      <c r="AD117" s="76" t="s">
        <v>5440</v>
      </c>
      <c r="AE117" s="81" t="s">
        <v>5176</v>
      </c>
      <c r="AF117" s="76">
        <v>1</v>
      </c>
      <c r="AG117" s="76">
        <v>11</v>
      </c>
      <c r="AH117" s="76">
        <v>1</v>
      </c>
      <c r="AI117" s="76">
        <v>0</v>
      </c>
      <c r="AJ117" s="76">
        <v>14</v>
      </c>
      <c r="AK117" s="76">
        <v>1</v>
      </c>
      <c r="AL117" s="76" t="b">
        <v>0</v>
      </c>
      <c r="AM117" s="78">
        <v>44910.148159722223</v>
      </c>
      <c r="AN117" s="76" t="s">
        <v>5779</v>
      </c>
      <c r="AO117" s="76" t="s">
        <v>5959</v>
      </c>
      <c r="AP117" s="76"/>
      <c r="AQ117" s="76"/>
      <c r="AR117" s="76"/>
      <c r="AS117" s="76"/>
      <c r="AT117" s="76"/>
      <c r="AU117" s="76"/>
      <c r="AV117" s="76"/>
      <c r="AW117" s="76"/>
      <c r="AX117" s="76" t="b">
        <v>0</v>
      </c>
      <c r="AY117" s="76"/>
      <c r="AZ117" s="76"/>
      <c r="BA117" s="76" t="b">
        <v>0</v>
      </c>
      <c r="BB117" s="76" t="b">
        <v>1</v>
      </c>
      <c r="BC117" s="76" t="b">
        <v>1</v>
      </c>
      <c r="BD117" s="76" t="b">
        <v>0</v>
      </c>
      <c r="BE117" s="76" t="b">
        <v>0</v>
      </c>
      <c r="BF117" s="76" t="b">
        <v>0</v>
      </c>
      <c r="BG117" s="76" t="b">
        <v>0</v>
      </c>
      <c r="BH117" s="83" t="str">
        <f>HYPERLINK("https://pbs.twimg.com/profile_banners/1603231627559182336/1681129229")</f>
        <v>https://pbs.twimg.com/profile_banners/1603231627559182336/1681129229</v>
      </c>
      <c r="BI117" s="76"/>
      <c r="BJ117" s="76" t="s">
        <v>6360</v>
      </c>
      <c r="BK117" s="76" t="b">
        <v>0</v>
      </c>
      <c r="BL117" s="76"/>
      <c r="BM117" s="76" t="s">
        <v>66</v>
      </c>
      <c r="BN117" s="76" t="s">
        <v>6362</v>
      </c>
      <c r="BO117" s="83" t="str">
        <f>HYPERLINK("https://twitter.com/caixettanayara")</f>
        <v>https://twitter.com/caixettanayara</v>
      </c>
      <c r="BP117" s="2"/>
    </row>
    <row r="118" spans="1:68" x14ac:dyDescent="0.25">
      <c r="A118" s="62" t="s">
        <v>327</v>
      </c>
      <c r="B118" s="63"/>
      <c r="C118" s="63"/>
      <c r="D118" s="64"/>
      <c r="E118" s="66"/>
      <c r="F118" s="102" t="str">
        <f>HYPERLINK("https://pbs.twimg.com/profile_images/1675973165678247938/jdPb7WLd_normal.jpg")</f>
        <v>https://pbs.twimg.com/profile_images/1675973165678247938/jdPb7WLd_normal.jpg</v>
      </c>
      <c r="G118" s="63"/>
      <c r="H118" s="67"/>
      <c r="I118" s="68"/>
      <c r="J118" s="68"/>
      <c r="K118" s="67" t="s">
        <v>6477</v>
      </c>
      <c r="L118" s="71"/>
      <c r="M118" s="72"/>
      <c r="N118" s="72"/>
      <c r="O118" s="73"/>
      <c r="P118" s="74"/>
      <c r="Q118" s="74"/>
      <c r="R118" s="86"/>
      <c r="S118" s="86"/>
      <c r="T118" s="86"/>
      <c r="U118" s="86"/>
      <c r="V118" s="48"/>
      <c r="W118" s="48"/>
      <c r="X118" s="48"/>
      <c r="Y118" s="48"/>
      <c r="Z118" s="47"/>
      <c r="AA118" s="69">
        <v>118</v>
      </c>
      <c r="AB118" s="69"/>
      <c r="AC118" s="70"/>
      <c r="AD118" s="76" t="s">
        <v>5441</v>
      </c>
      <c r="AE118" s="81" t="s">
        <v>5177</v>
      </c>
      <c r="AF118" s="76">
        <v>116</v>
      </c>
      <c r="AG118" s="76">
        <v>273</v>
      </c>
      <c r="AH118" s="76">
        <v>5820</v>
      </c>
      <c r="AI118" s="76">
        <v>0</v>
      </c>
      <c r="AJ118" s="76">
        <v>10725</v>
      </c>
      <c r="AK118" s="76">
        <v>385</v>
      </c>
      <c r="AL118" s="76" t="b">
        <v>0</v>
      </c>
      <c r="AM118" s="78">
        <v>44715.013391203705</v>
      </c>
      <c r="AN118" s="76" t="s">
        <v>5780</v>
      </c>
      <c r="AO118" s="76"/>
      <c r="AP118" s="76"/>
      <c r="AQ118" s="76"/>
      <c r="AR118" s="76"/>
      <c r="AS118" s="76"/>
      <c r="AT118" s="76"/>
      <c r="AU118" s="76"/>
      <c r="AV118" s="76"/>
      <c r="AW118" s="76"/>
      <c r="AX118" s="76" t="b">
        <v>0</v>
      </c>
      <c r="AY118" s="76"/>
      <c r="AZ118" s="76"/>
      <c r="BA118" s="76" t="b">
        <v>1</v>
      </c>
      <c r="BB118" s="76" t="b">
        <v>0</v>
      </c>
      <c r="BC118" s="76" t="b">
        <v>1</v>
      </c>
      <c r="BD118" s="76" t="b">
        <v>0</v>
      </c>
      <c r="BE118" s="76" t="b">
        <v>0</v>
      </c>
      <c r="BF118" s="76" t="b">
        <v>0</v>
      </c>
      <c r="BG118" s="76" t="b">
        <v>0</v>
      </c>
      <c r="BH118" s="83" t="str">
        <f>HYPERLINK("https://pbs.twimg.com/profile_banners/1532517195418374144/1695653365")</f>
        <v>https://pbs.twimg.com/profile_banners/1532517195418374144/1695653365</v>
      </c>
      <c r="BI118" s="76"/>
      <c r="BJ118" s="76" t="s">
        <v>6360</v>
      </c>
      <c r="BK118" s="76" t="b">
        <v>0</v>
      </c>
      <c r="BL118" s="76"/>
      <c r="BM118" s="76" t="s">
        <v>66</v>
      </c>
      <c r="BN118" s="76" t="s">
        <v>6362</v>
      </c>
      <c r="BO118" s="83" t="str">
        <f>HYPERLINK("https://twitter.com/qfasegui")</f>
        <v>https://twitter.com/qfasegui</v>
      </c>
      <c r="BP118" s="2"/>
    </row>
    <row r="119" spans="1:68" x14ac:dyDescent="0.25">
      <c r="A119" s="62" t="s">
        <v>328</v>
      </c>
      <c r="B119" s="63"/>
      <c r="C119" s="63"/>
      <c r="D119" s="64"/>
      <c r="E119" s="66"/>
      <c r="F119" s="102" t="str">
        <f>HYPERLINK("https://pbs.twimg.com/profile_images/1156248170801827840/l0sXCZb4_normal.jpg")</f>
        <v>https://pbs.twimg.com/profile_images/1156248170801827840/l0sXCZb4_normal.jpg</v>
      </c>
      <c r="G119" s="63"/>
      <c r="H119" s="67"/>
      <c r="I119" s="68"/>
      <c r="J119" s="68"/>
      <c r="K119" s="67" t="s">
        <v>6478</v>
      </c>
      <c r="L119" s="71"/>
      <c r="M119" s="72"/>
      <c r="N119" s="72"/>
      <c r="O119" s="73"/>
      <c r="P119" s="74"/>
      <c r="Q119" s="74"/>
      <c r="R119" s="86"/>
      <c r="S119" s="86"/>
      <c r="T119" s="86"/>
      <c r="U119" s="86"/>
      <c r="V119" s="48"/>
      <c r="W119" s="48"/>
      <c r="X119" s="48"/>
      <c r="Y119" s="48"/>
      <c r="Z119" s="47"/>
      <c r="AA119" s="69">
        <v>119</v>
      </c>
      <c r="AB119" s="69"/>
      <c r="AC119" s="70"/>
      <c r="AD119" s="76" t="s">
        <v>5442</v>
      </c>
      <c r="AE119" s="81" t="s">
        <v>5673</v>
      </c>
      <c r="AF119" s="76">
        <v>216</v>
      </c>
      <c r="AG119" s="76">
        <v>121</v>
      </c>
      <c r="AH119" s="76">
        <v>2735</v>
      </c>
      <c r="AI119" s="76">
        <v>0</v>
      </c>
      <c r="AJ119" s="76">
        <v>186</v>
      </c>
      <c r="AK119" s="76">
        <v>327</v>
      </c>
      <c r="AL119" s="76" t="b">
        <v>0</v>
      </c>
      <c r="AM119" s="78">
        <v>40051.632592592592</v>
      </c>
      <c r="AN119" s="76" t="s">
        <v>3410</v>
      </c>
      <c r="AO119" s="76" t="s">
        <v>5960</v>
      </c>
      <c r="AP119" s="83" t="str">
        <f>HYPERLINK("https://t.co/xQTWTJTooD")</f>
        <v>https://t.co/xQTWTJTooD</v>
      </c>
      <c r="AQ119" s="83" t="str">
        <f>HYPERLINK("http://www.alexandresantiago.com.br")</f>
        <v>http://www.alexandresantiago.com.br</v>
      </c>
      <c r="AR119" s="76" t="s">
        <v>6207</v>
      </c>
      <c r="AS119" s="76"/>
      <c r="AT119" s="76"/>
      <c r="AU119" s="76"/>
      <c r="AV119" s="76"/>
      <c r="AW119" s="83" t="str">
        <f>HYPERLINK("https://t.co/xQTWTJTooD")</f>
        <v>https://t.co/xQTWTJTooD</v>
      </c>
      <c r="AX119" s="76" t="b">
        <v>0</v>
      </c>
      <c r="AY119" s="76"/>
      <c r="AZ119" s="76"/>
      <c r="BA119" s="76" t="b">
        <v>0</v>
      </c>
      <c r="BB119" s="76" t="b">
        <v>0</v>
      </c>
      <c r="BC119" s="76" t="b">
        <v>0</v>
      </c>
      <c r="BD119" s="76" t="b">
        <v>0</v>
      </c>
      <c r="BE119" s="76" t="b">
        <v>0</v>
      </c>
      <c r="BF119" s="76" t="b">
        <v>0</v>
      </c>
      <c r="BG119" s="76" t="b">
        <v>0</v>
      </c>
      <c r="BH119" s="83" t="str">
        <f>HYPERLINK("https://pbs.twimg.com/profile_banners/69006385/1595794208")</f>
        <v>https://pbs.twimg.com/profile_banners/69006385/1595794208</v>
      </c>
      <c r="BI119" s="76"/>
      <c r="BJ119" s="76" t="s">
        <v>6360</v>
      </c>
      <c r="BK119" s="76" t="b">
        <v>0</v>
      </c>
      <c r="BL119" s="76"/>
      <c r="BM119" s="76" t="s">
        <v>66</v>
      </c>
      <c r="BN119" s="76" t="s">
        <v>6362</v>
      </c>
      <c r="BO119" s="83" t="str">
        <f>HYPERLINK("https://twitter.com/falasantiago")</f>
        <v>https://twitter.com/falasantiago</v>
      </c>
      <c r="BP119" s="2"/>
    </row>
    <row r="120" spans="1:68" x14ac:dyDescent="0.25">
      <c r="A120" s="62" t="s">
        <v>329</v>
      </c>
      <c r="B120" s="63"/>
      <c r="C120" s="63"/>
      <c r="D120" s="64"/>
      <c r="E120" s="66"/>
      <c r="F120" s="102" t="str">
        <f>HYPERLINK("https://pbs.twimg.com/profile_images/1394560389283733504/fXVSfDJN_normal.jpg")</f>
        <v>https://pbs.twimg.com/profile_images/1394560389283733504/fXVSfDJN_normal.jpg</v>
      </c>
      <c r="G120" s="63"/>
      <c r="H120" s="67"/>
      <c r="I120" s="68"/>
      <c r="J120" s="68"/>
      <c r="K120" s="67" t="s">
        <v>6479</v>
      </c>
      <c r="L120" s="71"/>
      <c r="M120" s="72"/>
      <c r="N120" s="72"/>
      <c r="O120" s="73"/>
      <c r="P120" s="74"/>
      <c r="Q120" s="74"/>
      <c r="R120" s="86"/>
      <c r="S120" s="86"/>
      <c r="T120" s="86"/>
      <c r="U120" s="86"/>
      <c r="V120" s="48"/>
      <c r="W120" s="48"/>
      <c r="X120" s="48"/>
      <c r="Y120" s="48"/>
      <c r="Z120" s="47"/>
      <c r="AA120" s="69">
        <v>120</v>
      </c>
      <c r="AB120" s="69"/>
      <c r="AC120" s="70"/>
      <c r="AD120" s="76" t="s">
        <v>5443</v>
      </c>
      <c r="AE120" s="81" t="s">
        <v>5178</v>
      </c>
      <c r="AF120" s="76">
        <v>6587</v>
      </c>
      <c r="AG120" s="76">
        <v>307</v>
      </c>
      <c r="AH120" s="76">
        <v>5629</v>
      </c>
      <c r="AI120" s="76">
        <v>77</v>
      </c>
      <c r="AJ120" s="76">
        <v>7884</v>
      </c>
      <c r="AK120" s="76">
        <v>1752</v>
      </c>
      <c r="AL120" s="76" t="b">
        <v>0</v>
      </c>
      <c r="AM120" s="78">
        <v>43816.597442129627</v>
      </c>
      <c r="AN120" s="76"/>
      <c r="AO120" s="76" t="s">
        <v>5961</v>
      </c>
      <c r="AP120" s="83" t="str">
        <f>HYPERLINK("https://t.co/084r2QuYBi")</f>
        <v>https://t.co/084r2QuYBi</v>
      </c>
      <c r="AQ120" s="83" t="str">
        <f>HYPERLINK("https://nousi.finance/workshop-carteira-de-dividendos-em-crypto/")</f>
        <v>https://nousi.finance/workshop-carteira-de-dividendos-em-crypto/</v>
      </c>
      <c r="AR120" s="76" t="s">
        <v>6208</v>
      </c>
      <c r="AS120" s="76"/>
      <c r="AT120" s="76"/>
      <c r="AU120" s="76"/>
      <c r="AV120" s="76"/>
      <c r="AW120" s="83" t="str">
        <f>HYPERLINK("https://t.co/084r2QuYBi")</f>
        <v>https://t.co/084r2QuYBi</v>
      </c>
      <c r="AX120" s="76" t="b">
        <v>1</v>
      </c>
      <c r="AY120" s="76"/>
      <c r="AZ120" s="76"/>
      <c r="BA120" s="76" t="b">
        <v>0</v>
      </c>
      <c r="BB120" s="76" t="b">
        <v>0</v>
      </c>
      <c r="BC120" s="76" t="b">
        <v>1</v>
      </c>
      <c r="BD120" s="76" t="b">
        <v>0</v>
      </c>
      <c r="BE120" s="76" t="b">
        <v>1</v>
      </c>
      <c r="BF120" s="76" t="b">
        <v>0</v>
      </c>
      <c r="BG120" s="76" t="b">
        <v>0</v>
      </c>
      <c r="BH120" s="83" t="str">
        <f>HYPERLINK("https://pbs.twimg.com/profile_banners/1206942103735095296/1673195525")</f>
        <v>https://pbs.twimg.com/profile_banners/1206942103735095296/1673195525</v>
      </c>
      <c r="BI120" s="76"/>
      <c r="BJ120" s="76" t="s">
        <v>6360</v>
      </c>
      <c r="BK120" s="76" t="b">
        <v>0</v>
      </c>
      <c r="BL120" s="76"/>
      <c r="BM120" s="76" t="s">
        <v>66</v>
      </c>
      <c r="BN120" s="76" t="s">
        <v>6362</v>
      </c>
      <c r="BO120" s="83" t="str">
        <f>HYPERLINK("https://twitter.com/andreynousi")</f>
        <v>https://twitter.com/andreynousi</v>
      </c>
      <c r="BP120" s="2"/>
    </row>
    <row r="121" spans="1:68" x14ac:dyDescent="0.25">
      <c r="A121" s="62" t="s">
        <v>330</v>
      </c>
      <c r="B121" s="63"/>
      <c r="C121" s="63"/>
      <c r="D121" s="64"/>
      <c r="E121" s="66"/>
      <c r="F121" s="102" t="str">
        <f>HYPERLINK("https://pbs.twimg.com/profile_images/1595301647776989188/rZ892RI0_normal.jpg")</f>
        <v>https://pbs.twimg.com/profile_images/1595301647776989188/rZ892RI0_normal.jpg</v>
      </c>
      <c r="G121" s="63"/>
      <c r="H121" s="67"/>
      <c r="I121" s="68"/>
      <c r="J121" s="68"/>
      <c r="K121" s="67" t="s">
        <v>6480</v>
      </c>
      <c r="L121" s="71"/>
      <c r="M121" s="72"/>
      <c r="N121" s="72"/>
      <c r="O121" s="73"/>
      <c r="P121" s="74"/>
      <c r="Q121" s="74"/>
      <c r="R121" s="86"/>
      <c r="S121" s="86"/>
      <c r="T121" s="86"/>
      <c r="U121" s="86"/>
      <c r="V121" s="48"/>
      <c r="W121" s="48"/>
      <c r="X121" s="48"/>
      <c r="Y121" s="48"/>
      <c r="Z121" s="47"/>
      <c r="AA121" s="69">
        <v>121</v>
      </c>
      <c r="AB121" s="69"/>
      <c r="AC121" s="70"/>
      <c r="AD121" s="76" t="s">
        <v>5444</v>
      </c>
      <c r="AE121" s="81" t="s">
        <v>5179</v>
      </c>
      <c r="AF121" s="76">
        <v>9</v>
      </c>
      <c r="AG121" s="76">
        <v>10</v>
      </c>
      <c r="AH121" s="76">
        <v>299</v>
      </c>
      <c r="AI121" s="76">
        <v>0</v>
      </c>
      <c r="AJ121" s="76">
        <v>190</v>
      </c>
      <c r="AK121" s="76">
        <v>67</v>
      </c>
      <c r="AL121" s="76" t="b">
        <v>0</v>
      </c>
      <c r="AM121" s="78">
        <v>44888.262824074074</v>
      </c>
      <c r="AN121" s="76"/>
      <c r="AO121" s="76" t="s">
        <v>5962</v>
      </c>
      <c r="AP121" s="76"/>
      <c r="AQ121" s="76"/>
      <c r="AR121" s="76"/>
      <c r="AS121" s="76"/>
      <c r="AT121" s="76"/>
      <c r="AU121" s="76"/>
      <c r="AV121" s="76"/>
      <c r="AW121" s="76"/>
      <c r="AX121" s="76" t="b">
        <v>0</v>
      </c>
      <c r="AY121" s="76"/>
      <c r="AZ121" s="76"/>
      <c r="BA121" s="76" t="b">
        <v>0</v>
      </c>
      <c r="BB121" s="76" t="b">
        <v>1</v>
      </c>
      <c r="BC121" s="76" t="b">
        <v>1</v>
      </c>
      <c r="BD121" s="76" t="b">
        <v>0</v>
      </c>
      <c r="BE121" s="76" t="b">
        <v>1</v>
      </c>
      <c r="BF121" s="76" t="b">
        <v>0</v>
      </c>
      <c r="BG121" s="76" t="b">
        <v>0</v>
      </c>
      <c r="BH121" s="76"/>
      <c r="BI121" s="76"/>
      <c r="BJ121" s="76" t="s">
        <v>6360</v>
      </c>
      <c r="BK121" s="76" t="b">
        <v>0</v>
      </c>
      <c r="BL121" s="76"/>
      <c r="BM121" s="76" t="s">
        <v>66</v>
      </c>
      <c r="BN121" s="76" t="s">
        <v>6362</v>
      </c>
      <c r="BO121" s="83" t="str">
        <f>HYPERLINK("https://twitter.com/dicasxdicas")</f>
        <v>https://twitter.com/dicasxdicas</v>
      </c>
      <c r="BP121" s="2"/>
    </row>
    <row r="122" spans="1:68" x14ac:dyDescent="0.25">
      <c r="A122" s="62" t="s">
        <v>331</v>
      </c>
      <c r="B122" s="63"/>
      <c r="C122" s="63"/>
      <c r="D122" s="64"/>
      <c r="E122" s="66"/>
      <c r="F122" s="102" t="str">
        <f>HYPERLINK("https://pbs.twimg.com/profile_images/1701033403988987904/E9QP1UP1_normal.jpg")</f>
        <v>https://pbs.twimg.com/profile_images/1701033403988987904/E9QP1UP1_normal.jpg</v>
      </c>
      <c r="G122" s="63"/>
      <c r="H122" s="67"/>
      <c r="I122" s="68"/>
      <c r="J122" s="68"/>
      <c r="K122" s="67" t="s">
        <v>6481</v>
      </c>
      <c r="L122" s="71"/>
      <c r="M122" s="72"/>
      <c r="N122" s="72"/>
      <c r="O122" s="73"/>
      <c r="P122" s="74"/>
      <c r="Q122" s="74"/>
      <c r="R122" s="86"/>
      <c r="S122" s="86"/>
      <c r="T122" s="86"/>
      <c r="U122" s="86"/>
      <c r="V122" s="48"/>
      <c r="W122" s="48"/>
      <c r="X122" s="48"/>
      <c r="Y122" s="48"/>
      <c r="Z122" s="47"/>
      <c r="AA122" s="69">
        <v>122</v>
      </c>
      <c r="AB122" s="69"/>
      <c r="AC122" s="70"/>
      <c r="AD122" s="76" t="s">
        <v>5445</v>
      </c>
      <c r="AE122" s="81" t="s">
        <v>5045</v>
      </c>
      <c r="AF122" s="76">
        <v>1</v>
      </c>
      <c r="AG122" s="76">
        <v>6</v>
      </c>
      <c r="AH122" s="76">
        <v>21</v>
      </c>
      <c r="AI122" s="76">
        <v>0</v>
      </c>
      <c r="AJ122" s="76">
        <v>5</v>
      </c>
      <c r="AK122" s="76">
        <v>1</v>
      </c>
      <c r="AL122" s="76" t="b">
        <v>0</v>
      </c>
      <c r="AM122" s="78">
        <v>45180.009074074071</v>
      </c>
      <c r="AN122" s="76"/>
      <c r="AO122" s="76" t="s">
        <v>5963</v>
      </c>
      <c r="AP122" s="76"/>
      <c r="AQ122" s="76"/>
      <c r="AR122" s="76"/>
      <c r="AS122" s="76"/>
      <c r="AT122" s="76"/>
      <c r="AU122" s="76"/>
      <c r="AV122" s="76"/>
      <c r="AW122" s="76"/>
      <c r="AX122" s="76" t="b">
        <v>0</v>
      </c>
      <c r="AY122" s="76"/>
      <c r="AZ122" s="76"/>
      <c r="BA122" s="76" t="b">
        <v>0</v>
      </c>
      <c r="BB122" s="76" t="b">
        <v>1</v>
      </c>
      <c r="BC122" s="76" t="b">
        <v>1</v>
      </c>
      <c r="BD122" s="76" t="b">
        <v>0</v>
      </c>
      <c r="BE122" s="76" t="b">
        <v>0</v>
      </c>
      <c r="BF122" s="76" t="b">
        <v>0</v>
      </c>
      <c r="BG122" s="76" t="b">
        <v>0</v>
      </c>
      <c r="BH122" s="83" t="str">
        <f>HYPERLINK("https://pbs.twimg.com/profile_banners/1701025847908380672/1694393371")</f>
        <v>https://pbs.twimg.com/profile_banners/1701025847908380672/1694393371</v>
      </c>
      <c r="BI122" s="76"/>
      <c r="BJ122" s="76" t="s">
        <v>6360</v>
      </c>
      <c r="BK122" s="76" t="b">
        <v>0</v>
      </c>
      <c r="BL122" s="76"/>
      <c r="BM122" s="76" t="s">
        <v>66</v>
      </c>
      <c r="BN122" s="76" t="s">
        <v>6362</v>
      </c>
      <c r="BO122" s="83" t="str">
        <f>HYPERLINK("https://twitter.com/caiohleal")</f>
        <v>https://twitter.com/caiohleal</v>
      </c>
      <c r="BP122" s="2"/>
    </row>
    <row r="123" spans="1:68" x14ac:dyDescent="0.25">
      <c r="A123" s="62" t="s">
        <v>332</v>
      </c>
      <c r="B123" s="63"/>
      <c r="C123" s="63"/>
      <c r="D123" s="64"/>
      <c r="E123" s="66"/>
      <c r="F123" s="102" t="str">
        <f>HYPERLINK("https://pbs.twimg.com/profile_images/582322920476794880/BCepZ4fS_normal.jpg")</f>
        <v>https://pbs.twimg.com/profile_images/582322920476794880/BCepZ4fS_normal.jpg</v>
      </c>
      <c r="G123" s="63"/>
      <c r="H123" s="67"/>
      <c r="I123" s="68"/>
      <c r="J123" s="68"/>
      <c r="K123" s="67" t="s">
        <v>6482</v>
      </c>
      <c r="L123" s="71"/>
      <c r="M123" s="72"/>
      <c r="N123" s="72"/>
      <c r="O123" s="73"/>
      <c r="P123" s="74"/>
      <c r="Q123" s="74"/>
      <c r="R123" s="86"/>
      <c r="S123" s="86"/>
      <c r="T123" s="86"/>
      <c r="U123" s="86"/>
      <c r="V123" s="48"/>
      <c r="W123" s="48"/>
      <c r="X123" s="48"/>
      <c r="Y123" s="48"/>
      <c r="Z123" s="47"/>
      <c r="AA123" s="69">
        <v>123</v>
      </c>
      <c r="AB123" s="69"/>
      <c r="AC123" s="70"/>
      <c r="AD123" s="76" t="s">
        <v>5446</v>
      </c>
      <c r="AE123" s="81" t="s">
        <v>5674</v>
      </c>
      <c r="AF123" s="76">
        <v>35</v>
      </c>
      <c r="AG123" s="76">
        <v>81</v>
      </c>
      <c r="AH123" s="76">
        <v>1645</v>
      </c>
      <c r="AI123" s="76">
        <v>0</v>
      </c>
      <c r="AJ123" s="76">
        <v>8</v>
      </c>
      <c r="AK123" s="76">
        <v>264</v>
      </c>
      <c r="AL123" s="76" t="b">
        <v>0</v>
      </c>
      <c r="AM123" s="78">
        <v>42092.922476851854</v>
      </c>
      <c r="AN123" s="76" t="s">
        <v>3439</v>
      </c>
      <c r="AO123" s="76" t="s">
        <v>5964</v>
      </c>
      <c r="AP123" s="83" t="str">
        <f>HYPERLINK("https://t.co/zq2ryrr6lA")</f>
        <v>https://t.co/zq2ryrr6lA</v>
      </c>
      <c r="AQ123" s="83" t="str">
        <f>HYPERLINK("http://www.lpigestora.com.br")</f>
        <v>http://www.lpigestora.com.br</v>
      </c>
      <c r="AR123" s="76" t="s">
        <v>6209</v>
      </c>
      <c r="AS123" s="76"/>
      <c r="AT123" s="76"/>
      <c r="AU123" s="76"/>
      <c r="AV123" s="76"/>
      <c r="AW123" s="83" t="str">
        <f>HYPERLINK("https://t.co/zq2ryrr6lA")</f>
        <v>https://t.co/zq2ryrr6lA</v>
      </c>
      <c r="AX123" s="76" t="b">
        <v>0</v>
      </c>
      <c r="AY123" s="76"/>
      <c r="AZ123" s="76"/>
      <c r="BA123" s="76" t="b">
        <v>0</v>
      </c>
      <c r="BB123" s="76" t="b">
        <v>0</v>
      </c>
      <c r="BC123" s="76" t="b">
        <v>1</v>
      </c>
      <c r="BD123" s="76" t="b">
        <v>0</v>
      </c>
      <c r="BE123" s="76" t="b">
        <v>0</v>
      </c>
      <c r="BF123" s="76" t="b">
        <v>0</v>
      </c>
      <c r="BG123" s="76" t="b">
        <v>0</v>
      </c>
      <c r="BH123" s="83" t="str">
        <f>HYPERLINK("https://pbs.twimg.com/profile_banners/3127710448/1646242469")</f>
        <v>https://pbs.twimg.com/profile_banners/3127710448/1646242469</v>
      </c>
      <c r="BI123" s="76"/>
      <c r="BJ123" s="76" t="s">
        <v>6360</v>
      </c>
      <c r="BK123" s="76" t="b">
        <v>0</v>
      </c>
      <c r="BL123" s="76"/>
      <c r="BM123" s="76" t="s">
        <v>66</v>
      </c>
      <c r="BN123" s="76" t="s">
        <v>6362</v>
      </c>
      <c r="BO123" s="83" t="str">
        <f>HYPERLINK("https://twitter.com/ronaldolundgren")</f>
        <v>https://twitter.com/ronaldolundgren</v>
      </c>
      <c r="BP123" s="2"/>
    </row>
    <row r="124" spans="1:68" x14ac:dyDescent="0.25">
      <c r="A124" s="62" t="s">
        <v>333</v>
      </c>
      <c r="B124" s="63"/>
      <c r="C124" s="63"/>
      <c r="D124" s="64"/>
      <c r="E124" s="66"/>
      <c r="F124" s="102" t="str">
        <f>HYPERLINK("https://pbs.twimg.com/profile_images/1695802508277411840/RiWm3KDd_normal.jpg")</f>
        <v>https://pbs.twimg.com/profile_images/1695802508277411840/RiWm3KDd_normal.jpg</v>
      </c>
      <c r="G124" s="63"/>
      <c r="H124" s="67"/>
      <c r="I124" s="68"/>
      <c r="J124" s="68"/>
      <c r="K124" s="67" t="s">
        <v>6483</v>
      </c>
      <c r="L124" s="71"/>
      <c r="M124" s="72"/>
      <c r="N124" s="72"/>
      <c r="O124" s="73"/>
      <c r="P124" s="74"/>
      <c r="Q124" s="74"/>
      <c r="R124" s="86"/>
      <c r="S124" s="86"/>
      <c r="T124" s="86"/>
      <c r="U124" s="86"/>
      <c r="V124" s="48"/>
      <c r="W124" s="48"/>
      <c r="X124" s="48"/>
      <c r="Y124" s="48"/>
      <c r="Z124" s="47"/>
      <c r="AA124" s="69">
        <v>124</v>
      </c>
      <c r="AB124" s="69"/>
      <c r="AC124" s="70"/>
      <c r="AD124" s="76" t="s">
        <v>5447</v>
      </c>
      <c r="AE124" s="81" t="s">
        <v>5046</v>
      </c>
      <c r="AF124" s="76">
        <v>54</v>
      </c>
      <c r="AG124" s="76">
        <v>149</v>
      </c>
      <c r="AH124" s="76">
        <v>761</v>
      </c>
      <c r="AI124" s="76">
        <v>0</v>
      </c>
      <c r="AJ124" s="76">
        <v>924</v>
      </c>
      <c r="AK124" s="76">
        <v>8</v>
      </c>
      <c r="AL124" s="76" t="b">
        <v>0</v>
      </c>
      <c r="AM124" s="78">
        <v>43486.821643518517</v>
      </c>
      <c r="AN124" s="76"/>
      <c r="AO124" s="76" t="s">
        <v>5965</v>
      </c>
      <c r="AP124" s="83" t="str">
        <f>HYPERLINK("https://t.co/hBdqbtU1lX")</f>
        <v>https://t.co/hBdqbtU1lX</v>
      </c>
      <c r="AQ124" s="83" t="str">
        <f>HYPERLINK("http://camargoadv.com.br")</f>
        <v>http://camargoadv.com.br</v>
      </c>
      <c r="AR124" s="76" t="s">
        <v>6210</v>
      </c>
      <c r="AS124" s="76"/>
      <c r="AT124" s="76"/>
      <c r="AU124" s="76"/>
      <c r="AV124" s="76"/>
      <c r="AW124" s="83" t="str">
        <f>HYPERLINK("https://t.co/hBdqbtU1lX")</f>
        <v>https://t.co/hBdqbtU1lX</v>
      </c>
      <c r="AX124" s="76" t="b">
        <v>0</v>
      </c>
      <c r="AY124" s="76"/>
      <c r="AZ124" s="76"/>
      <c r="BA124" s="76" t="b">
        <v>1</v>
      </c>
      <c r="BB124" s="76" t="b">
        <v>1</v>
      </c>
      <c r="BC124" s="76" t="b">
        <v>1</v>
      </c>
      <c r="BD124" s="76" t="b">
        <v>0</v>
      </c>
      <c r="BE124" s="76" t="b">
        <v>1</v>
      </c>
      <c r="BF124" s="76" t="b">
        <v>0</v>
      </c>
      <c r="BG124" s="76" t="b">
        <v>0</v>
      </c>
      <c r="BH124" s="83" t="str">
        <f>HYPERLINK("https://pbs.twimg.com/profile_banners/1087435454054653958/1688322249")</f>
        <v>https://pbs.twimg.com/profile_banners/1087435454054653958/1688322249</v>
      </c>
      <c r="BI124" s="76"/>
      <c r="BJ124" s="76" t="s">
        <v>6360</v>
      </c>
      <c r="BK124" s="76" t="b">
        <v>0</v>
      </c>
      <c r="BL124" s="76"/>
      <c r="BM124" s="76" t="s">
        <v>66</v>
      </c>
      <c r="BN124" s="76" t="s">
        <v>6362</v>
      </c>
      <c r="BO124" s="83" t="str">
        <f>HYPERLINK("https://twitter.com/ageucamargoadv")</f>
        <v>https://twitter.com/ageucamargoadv</v>
      </c>
      <c r="BP124" s="2"/>
    </row>
    <row r="125" spans="1:68" x14ac:dyDescent="0.25">
      <c r="A125" s="62" t="s">
        <v>334</v>
      </c>
      <c r="B125" s="63"/>
      <c r="C125" s="63"/>
      <c r="D125" s="64"/>
      <c r="E125" s="66"/>
      <c r="F125" s="102" t="str">
        <f>HYPERLINK("https://pbs.twimg.com/profile_images/1247511475691958272/nc4hhRpx_normal.jpg")</f>
        <v>https://pbs.twimg.com/profile_images/1247511475691958272/nc4hhRpx_normal.jpg</v>
      </c>
      <c r="G125" s="63"/>
      <c r="H125" s="67"/>
      <c r="I125" s="68"/>
      <c r="J125" s="68"/>
      <c r="K125" s="67" t="s">
        <v>6484</v>
      </c>
      <c r="L125" s="71"/>
      <c r="M125" s="72"/>
      <c r="N125" s="72"/>
      <c r="O125" s="73"/>
      <c r="P125" s="74"/>
      <c r="Q125" s="74"/>
      <c r="R125" s="86"/>
      <c r="S125" s="86"/>
      <c r="T125" s="86"/>
      <c r="U125" s="86"/>
      <c r="V125" s="48"/>
      <c r="W125" s="48"/>
      <c r="X125" s="48"/>
      <c r="Y125" s="48"/>
      <c r="Z125" s="47"/>
      <c r="AA125" s="69">
        <v>125</v>
      </c>
      <c r="AB125" s="69"/>
      <c r="AC125" s="70"/>
      <c r="AD125" s="76" t="s">
        <v>5448</v>
      </c>
      <c r="AE125" s="81" t="s">
        <v>5180</v>
      </c>
      <c r="AF125" s="76">
        <v>7</v>
      </c>
      <c r="AG125" s="76">
        <v>9</v>
      </c>
      <c r="AH125" s="76">
        <v>120</v>
      </c>
      <c r="AI125" s="76">
        <v>0</v>
      </c>
      <c r="AJ125" s="76">
        <v>38</v>
      </c>
      <c r="AK125" s="76">
        <v>108</v>
      </c>
      <c r="AL125" s="76" t="b">
        <v>0</v>
      </c>
      <c r="AM125" s="78">
        <v>43928.544502314813</v>
      </c>
      <c r="AN125" s="76" t="s">
        <v>3435</v>
      </c>
      <c r="AO125" s="76" t="s">
        <v>5966</v>
      </c>
      <c r="AP125" s="83" t="str">
        <f>HYPERLINK("https://t.co/ro24sQMBML")</f>
        <v>https://t.co/ro24sQMBML</v>
      </c>
      <c r="AQ125" s="83" t="str">
        <f>HYPERLINK("https://www.b18.com.br/")</f>
        <v>https://www.b18.com.br/</v>
      </c>
      <c r="AR125" s="76" t="s">
        <v>6211</v>
      </c>
      <c r="AS125" s="76"/>
      <c r="AT125" s="76"/>
      <c r="AU125" s="76"/>
      <c r="AV125" s="76"/>
      <c r="AW125" s="83" t="str">
        <f>HYPERLINK("https://t.co/ro24sQMBML")</f>
        <v>https://t.co/ro24sQMBML</v>
      </c>
      <c r="AX125" s="76" t="b">
        <v>0</v>
      </c>
      <c r="AY125" s="76"/>
      <c r="AZ125" s="76"/>
      <c r="BA125" s="76" t="b">
        <v>0</v>
      </c>
      <c r="BB125" s="76" t="b">
        <v>1</v>
      </c>
      <c r="BC125" s="76" t="b">
        <v>1</v>
      </c>
      <c r="BD125" s="76" t="b">
        <v>0</v>
      </c>
      <c r="BE125" s="76" t="b">
        <v>0</v>
      </c>
      <c r="BF125" s="76" t="b">
        <v>0</v>
      </c>
      <c r="BG125" s="76" t="b">
        <v>0</v>
      </c>
      <c r="BH125" s="76"/>
      <c r="BI125" s="76"/>
      <c r="BJ125" s="76" t="s">
        <v>6360</v>
      </c>
      <c r="BK125" s="76" t="b">
        <v>0</v>
      </c>
      <c r="BL125" s="76"/>
      <c r="BM125" s="76" t="s">
        <v>66</v>
      </c>
      <c r="BN125" s="76" t="s">
        <v>6362</v>
      </c>
      <c r="BO125" s="83" t="str">
        <f>HYPERLINK("https://twitter.com/b18editora")</f>
        <v>https://twitter.com/b18editora</v>
      </c>
      <c r="BP125" s="2"/>
    </row>
    <row r="126" spans="1:68" x14ac:dyDescent="0.25">
      <c r="A126" s="62" t="s">
        <v>335</v>
      </c>
      <c r="B126" s="63"/>
      <c r="C126" s="63"/>
      <c r="D126" s="64"/>
      <c r="E126" s="66"/>
      <c r="F126" s="102" t="str">
        <f>HYPERLINK("https://pbs.twimg.com/profile_images/1662252054151143426/C6h1D0Ev_normal.jpg")</f>
        <v>https://pbs.twimg.com/profile_images/1662252054151143426/C6h1D0Ev_normal.jpg</v>
      </c>
      <c r="G126" s="63"/>
      <c r="H126" s="67"/>
      <c r="I126" s="68"/>
      <c r="J126" s="68"/>
      <c r="K126" s="67" t="s">
        <v>6485</v>
      </c>
      <c r="L126" s="71"/>
      <c r="M126" s="72"/>
      <c r="N126" s="72"/>
      <c r="O126" s="73"/>
      <c r="P126" s="74"/>
      <c r="Q126" s="74"/>
      <c r="R126" s="86"/>
      <c r="S126" s="86"/>
      <c r="T126" s="86"/>
      <c r="U126" s="86"/>
      <c r="V126" s="48"/>
      <c r="W126" s="48"/>
      <c r="X126" s="48"/>
      <c r="Y126" s="48"/>
      <c r="Z126" s="47"/>
      <c r="AA126" s="69">
        <v>126</v>
      </c>
      <c r="AB126" s="69"/>
      <c r="AC126" s="70"/>
      <c r="AD126" s="76" t="s">
        <v>5449</v>
      </c>
      <c r="AE126" s="81" t="s">
        <v>5181</v>
      </c>
      <c r="AF126" s="76">
        <v>1</v>
      </c>
      <c r="AG126" s="76">
        <v>0</v>
      </c>
      <c r="AH126" s="76">
        <v>260</v>
      </c>
      <c r="AI126" s="76">
        <v>0</v>
      </c>
      <c r="AJ126" s="76">
        <v>0</v>
      </c>
      <c r="AK126" s="76">
        <v>0</v>
      </c>
      <c r="AL126" s="76" t="b">
        <v>0</v>
      </c>
      <c r="AM126" s="78">
        <v>45073.013078703705</v>
      </c>
      <c r="AN126" s="76"/>
      <c r="AO126" s="76" t="s">
        <v>5967</v>
      </c>
      <c r="AP126" s="83" t="str">
        <f>HYPERLINK("https://t.co/gUd6AVKuIf")</f>
        <v>https://t.co/gUd6AVKuIf</v>
      </c>
      <c r="AQ126" s="83" t="str">
        <f>HYPERLINK("https://carreiraprofissional.com/")</f>
        <v>https://carreiraprofissional.com/</v>
      </c>
      <c r="AR126" s="76" t="s">
        <v>1987</v>
      </c>
      <c r="AS126" s="76" t="s">
        <v>6337</v>
      </c>
      <c r="AT126" s="76" t="s">
        <v>6341</v>
      </c>
      <c r="AU126" s="76" t="s">
        <v>6347</v>
      </c>
      <c r="AV126" s="76"/>
      <c r="AW126" s="83" t="str">
        <f>HYPERLINK("https://t.co/gUd6AVKuIf")</f>
        <v>https://t.co/gUd6AVKuIf</v>
      </c>
      <c r="AX126" s="76" t="b">
        <v>0</v>
      </c>
      <c r="AY126" s="76"/>
      <c r="AZ126" s="76"/>
      <c r="BA126" s="76" t="b">
        <v>0</v>
      </c>
      <c r="BB126" s="76" t="b">
        <v>1</v>
      </c>
      <c r="BC126" s="76" t="b">
        <v>1</v>
      </c>
      <c r="BD126" s="76" t="b">
        <v>0</v>
      </c>
      <c r="BE126" s="76" t="b">
        <v>0</v>
      </c>
      <c r="BF126" s="76" t="b">
        <v>0</v>
      </c>
      <c r="BG126" s="76" t="b">
        <v>0</v>
      </c>
      <c r="BH126" s="83" t="str">
        <f>HYPERLINK("https://pbs.twimg.com/profile_banners/1662251925557989377/1685147059")</f>
        <v>https://pbs.twimg.com/profile_banners/1662251925557989377/1685147059</v>
      </c>
      <c r="BI126" s="76"/>
      <c r="BJ126" s="76" t="s">
        <v>6360</v>
      </c>
      <c r="BK126" s="76" t="b">
        <v>0</v>
      </c>
      <c r="BL126" s="76"/>
      <c r="BM126" s="76" t="s">
        <v>66</v>
      </c>
      <c r="BN126" s="76" t="s">
        <v>6362</v>
      </c>
      <c r="BO126" s="83" t="str">
        <f>HYPERLINK("https://twitter.com/carreiraprof_cp")</f>
        <v>https://twitter.com/carreiraprof_cp</v>
      </c>
      <c r="BP126" s="2"/>
    </row>
    <row r="127" spans="1:68" x14ac:dyDescent="0.25">
      <c r="A127" s="62" t="s">
        <v>336</v>
      </c>
      <c r="B127" s="63"/>
      <c r="C127" s="63"/>
      <c r="D127" s="64"/>
      <c r="E127" s="66"/>
      <c r="F127" s="102" t="str">
        <f>HYPERLINK("https://pbs.twimg.com/profile_images/518743539010650112/lqoZd9CF_normal.jpeg")</f>
        <v>https://pbs.twimg.com/profile_images/518743539010650112/lqoZd9CF_normal.jpeg</v>
      </c>
      <c r="G127" s="63"/>
      <c r="H127" s="67"/>
      <c r="I127" s="68"/>
      <c r="J127" s="68"/>
      <c r="K127" s="67" t="s">
        <v>6486</v>
      </c>
      <c r="L127" s="71"/>
      <c r="M127" s="72"/>
      <c r="N127" s="72"/>
      <c r="O127" s="73"/>
      <c r="P127" s="74"/>
      <c r="Q127" s="74"/>
      <c r="R127" s="86"/>
      <c r="S127" s="86"/>
      <c r="T127" s="86"/>
      <c r="U127" s="86"/>
      <c r="V127" s="48"/>
      <c r="W127" s="48"/>
      <c r="X127" s="48"/>
      <c r="Y127" s="48"/>
      <c r="Z127" s="47"/>
      <c r="AA127" s="69">
        <v>127</v>
      </c>
      <c r="AB127" s="69"/>
      <c r="AC127" s="70"/>
      <c r="AD127" s="76" t="s">
        <v>5450</v>
      </c>
      <c r="AE127" s="81" t="s">
        <v>5675</v>
      </c>
      <c r="AF127" s="76">
        <v>20</v>
      </c>
      <c r="AG127" s="76">
        <v>38</v>
      </c>
      <c r="AH127" s="76">
        <v>403</v>
      </c>
      <c r="AI127" s="76">
        <v>1</v>
      </c>
      <c r="AJ127" s="76">
        <v>321</v>
      </c>
      <c r="AK127" s="76">
        <v>44</v>
      </c>
      <c r="AL127" s="76" t="b">
        <v>0</v>
      </c>
      <c r="AM127" s="78">
        <v>41397.724131944444</v>
      </c>
      <c r="AN127" s="76" t="s">
        <v>5781</v>
      </c>
      <c r="AO127" s="76"/>
      <c r="AP127" s="76"/>
      <c r="AQ127" s="76"/>
      <c r="AR127" s="76"/>
      <c r="AS127" s="76"/>
      <c r="AT127" s="76"/>
      <c r="AU127" s="76"/>
      <c r="AV127" s="76"/>
      <c r="AW127" s="76"/>
      <c r="AX127" s="76" t="b">
        <v>0</v>
      </c>
      <c r="AY127" s="76"/>
      <c r="AZ127" s="76"/>
      <c r="BA127" s="76" t="b">
        <v>1</v>
      </c>
      <c r="BB127" s="76" t="b">
        <v>0</v>
      </c>
      <c r="BC127" s="76" t="b">
        <v>1</v>
      </c>
      <c r="BD127" s="76" t="b">
        <v>0</v>
      </c>
      <c r="BE127" s="76" t="b">
        <v>1</v>
      </c>
      <c r="BF127" s="76" t="b">
        <v>0</v>
      </c>
      <c r="BG127" s="76" t="b">
        <v>0</v>
      </c>
      <c r="BH127" s="76"/>
      <c r="BI127" s="76"/>
      <c r="BJ127" s="76" t="s">
        <v>6360</v>
      </c>
      <c r="BK127" s="76" t="b">
        <v>0</v>
      </c>
      <c r="BL127" s="76"/>
      <c r="BM127" s="76" t="s">
        <v>66</v>
      </c>
      <c r="BN127" s="76" t="s">
        <v>6362</v>
      </c>
      <c r="BO127" s="83" t="str">
        <f>HYPERLINK("https://twitter.com/paulocpcorrea")</f>
        <v>https://twitter.com/paulocpcorrea</v>
      </c>
      <c r="BP127" s="2"/>
    </row>
    <row r="128" spans="1:68" x14ac:dyDescent="0.25">
      <c r="A128" s="62" t="s">
        <v>525</v>
      </c>
      <c r="B128" s="63"/>
      <c r="C128" s="63"/>
      <c r="D128" s="64"/>
      <c r="E128" s="66"/>
      <c r="F128" s="102" t="str">
        <f>HYPERLINK("https://pbs.twimg.com/profile_images/1661161645857710081/6WtDIesg_normal.png")</f>
        <v>https://pbs.twimg.com/profile_images/1661161645857710081/6WtDIesg_normal.png</v>
      </c>
      <c r="G128" s="63"/>
      <c r="H128" s="67"/>
      <c r="I128" s="68"/>
      <c r="J128" s="68"/>
      <c r="K128" s="67" t="s">
        <v>6487</v>
      </c>
      <c r="L128" s="71"/>
      <c r="M128" s="72"/>
      <c r="N128" s="72"/>
      <c r="O128" s="73"/>
      <c r="P128" s="74"/>
      <c r="Q128" s="74"/>
      <c r="R128" s="86"/>
      <c r="S128" s="86"/>
      <c r="T128" s="86"/>
      <c r="U128" s="86"/>
      <c r="V128" s="48"/>
      <c r="W128" s="48"/>
      <c r="X128" s="48"/>
      <c r="Y128" s="48"/>
      <c r="Z128" s="47"/>
      <c r="AA128" s="69">
        <v>128</v>
      </c>
      <c r="AB128" s="69"/>
      <c r="AC128" s="70"/>
      <c r="AD128" s="76" t="s">
        <v>2661</v>
      </c>
      <c r="AE128" s="81" t="s">
        <v>5676</v>
      </c>
      <c r="AF128" s="76">
        <v>1804875</v>
      </c>
      <c r="AG128" s="76">
        <v>26</v>
      </c>
      <c r="AH128" s="76">
        <v>20149</v>
      </c>
      <c r="AI128" s="76">
        <v>17357</v>
      </c>
      <c r="AJ128" s="76">
        <v>7516</v>
      </c>
      <c r="AK128" s="76">
        <v>2203</v>
      </c>
      <c r="AL128" s="76" t="b">
        <v>0</v>
      </c>
      <c r="AM128" s="78">
        <v>39482.765289351853</v>
      </c>
      <c r="AN128" s="76" t="s">
        <v>5782</v>
      </c>
      <c r="AO128" s="76" t="s">
        <v>5968</v>
      </c>
      <c r="AP128" s="83" t="str">
        <f>HYPERLINK("https://t.co/1Ccsai5CQI")</f>
        <v>https://t.co/1Ccsai5CQI</v>
      </c>
      <c r="AQ128" s="83" t="str">
        <f>HYPERLINK("http://www.linkedin.com")</f>
        <v>http://www.linkedin.com</v>
      </c>
      <c r="AR128" s="76" t="s">
        <v>1988</v>
      </c>
      <c r="AS128" s="76"/>
      <c r="AT128" s="76"/>
      <c r="AU128" s="76"/>
      <c r="AV128" s="76">
        <v>1.66075271927421E+18</v>
      </c>
      <c r="AW128" s="83" t="str">
        <f>HYPERLINK("https://t.co/1Ccsai5CQI")</f>
        <v>https://t.co/1Ccsai5CQI</v>
      </c>
      <c r="AX128" s="76" t="b">
        <v>1</v>
      </c>
      <c r="AY128" s="76"/>
      <c r="AZ128" s="76"/>
      <c r="BA128" s="76" t="b">
        <v>0</v>
      </c>
      <c r="BB128" s="76" t="b">
        <v>1</v>
      </c>
      <c r="BC128" s="76" t="b">
        <v>0</v>
      </c>
      <c r="BD128" s="76" t="b">
        <v>0</v>
      </c>
      <c r="BE128" s="76" t="b">
        <v>1</v>
      </c>
      <c r="BF128" s="76" t="b">
        <v>0</v>
      </c>
      <c r="BG128" s="76" t="b">
        <v>0</v>
      </c>
      <c r="BH128" s="83" t="str">
        <f>HYPERLINK("https://pbs.twimg.com/profile_banners/13058772/1684890286")</f>
        <v>https://pbs.twimg.com/profile_banners/13058772/1684890286</v>
      </c>
      <c r="BI128" s="76"/>
      <c r="BJ128" s="76" t="s">
        <v>6361</v>
      </c>
      <c r="BK128" s="76" t="b">
        <v>0</v>
      </c>
      <c r="BL128" s="76"/>
      <c r="BM128" s="76" t="s">
        <v>65</v>
      </c>
      <c r="BN128" s="76" t="s">
        <v>6362</v>
      </c>
      <c r="BO128" s="83" t="str">
        <f>HYPERLINK("https://twitter.com/linkedin")</f>
        <v>https://twitter.com/linkedin</v>
      </c>
      <c r="BP128" s="2"/>
    </row>
    <row r="129" spans="1:68" x14ac:dyDescent="0.25">
      <c r="A129" s="62" t="s">
        <v>337</v>
      </c>
      <c r="B129" s="63"/>
      <c r="C129" s="63"/>
      <c r="D129" s="64"/>
      <c r="E129" s="66"/>
      <c r="F129" s="102" t="str">
        <f>HYPERLINK("https://pbs.twimg.com/profile_images/1460727419829116929/1hfB_OTD_normal.jpg")</f>
        <v>https://pbs.twimg.com/profile_images/1460727419829116929/1hfB_OTD_normal.jpg</v>
      </c>
      <c r="G129" s="63"/>
      <c r="H129" s="67"/>
      <c r="I129" s="68"/>
      <c r="J129" s="68"/>
      <c r="K129" s="67" t="s">
        <v>6488</v>
      </c>
      <c r="L129" s="71"/>
      <c r="M129" s="72"/>
      <c r="N129" s="72"/>
      <c r="O129" s="73"/>
      <c r="P129" s="74"/>
      <c r="Q129" s="74"/>
      <c r="R129" s="86"/>
      <c r="S129" s="86"/>
      <c r="T129" s="86"/>
      <c r="U129" s="86"/>
      <c r="V129" s="48"/>
      <c r="W129" s="48"/>
      <c r="X129" s="48"/>
      <c r="Y129" s="48"/>
      <c r="Z129" s="47"/>
      <c r="AA129" s="69">
        <v>129</v>
      </c>
      <c r="AB129" s="69"/>
      <c r="AC129" s="70"/>
      <c r="AD129" s="76" t="s">
        <v>5451</v>
      </c>
      <c r="AE129" s="81" t="s">
        <v>5047</v>
      </c>
      <c r="AF129" s="76">
        <v>126</v>
      </c>
      <c r="AG129" s="76">
        <v>77</v>
      </c>
      <c r="AH129" s="76">
        <v>3112</v>
      </c>
      <c r="AI129" s="76">
        <v>1</v>
      </c>
      <c r="AJ129" s="76">
        <v>835</v>
      </c>
      <c r="AK129" s="76">
        <v>1365</v>
      </c>
      <c r="AL129" s="76" t="b">
        <v>0</v>
      </c>
      <c r="AM129" s="78">
        <v>44337.031539351854</v>
      </c>
      <c r="AN129" s="76"/>
      <c r="AO129" s="76" t="s">
        <v>5969</v>
      </c>
      <c r="AP129" s="76"/>
      <c r="AQ129" s="76"/>
      <c r="AR129" s="76"/>
      <c r="AS129" s="76"/>
      <c r="AT129" s="76"/>
      <c r="AU129" s="76"/>
      <c r="AV129" s="76"/>
      <c r="AW129" s="76"/>
      <c r="AX129" s="76" t="b">
        <v>0</v>
      </c>
      <c r="AY129" s="76"/>
      <c r="AZ129" s="76"/>
      <c r="BA129" s="76" t="b">
        <v>0</v>
      </c>
      <c r="BB129" s="76" t="b">
        <v>1</v>
      </c>
      <c r="BC129" s="76" t="b">
        <v>1</v>
      </c>
      <c r="BD129" s="76" t="b">
        <v>0</v>
      </c>
      <c r="BE129" s="76" t="b">
        <v>1</v>
      </c>
      <c r="BF129" s="76" t="b">
        <v>0</v>
      </c>
      <c r="BG129" s="76" t="b">
        <v>0</v>
      </c>
      <c r="BH129" s="76"/>
      <c r="BI129" s="76"/>
      <c r="BJ129" s="76" t="s">
        <v>6360</v>
      </c>
      <c r="BK129" s="76" t="b">
        <v>0</v>
      </c>
      <c r="BL129" s="76"/>
      <c r="BM129" s="76" t="s">
        <v>66</v>
      </c>
      <c r="BN129" s="76" t="s">
        <v>6362</v>
      </c>
      <c r="BO129" s="83" t="str">
        <f>HYPERLINK("https://twitter.com/rafael__costa__")</f>
        <v>https://twitter.com/rafael__costa__</v>
      </c>
      <c r="BP129" s="2"/>
    </row>
    <row r="130" spans="1:68" x14ac:dyDescent="0.25">
      <c r="A130" s="62" t="s">
        <v>338</v>
      </c>
      <c r="B130" s="63"/>
      <c r="C130" s="63"/>
      <c r="D130" s="64"/>
      <c r="E130" s="66"/>
      <c r="F130" s="102" t="str">
        <f>HYPERLINK("https://pbs.twimg.com/profile_images/1620817386516488192/ytC-q2gf_normal.jpg")</f>
        <v>https://pbs.twimg.com/profile_images/1620817386516488192/ytC-q2gf_normal.jpg</v>
      </c>
      <c r="G130" s="63"/>
      <c r="H130" s="67"/>
      <c r="I130" s="68"/>
      <c r="J130" s="68"/>
      <c r="K130" s="67" t="s">
        <v>6489</v>
      </c>
      <c r="L130" s="71"/>
      <c r="M130" s="72"/>
      <c r="N130" s="72"/>
      <c r="O130" s="73"/>
      <c r="P130" s="74"/>
      <c r="Q130" s="74"/>
      <c r="R130" s="86"/>
      <c r="S130" s="86"/>
      <c r="T130" s="86"/>
      <c r="U130" s="86"/>
      <c r="V130" s="48"/>
      <c r="W130" s="48"/>
      <c r="X130" s="48"/>
      <c r="Y130" s="48"/>
      <c r="Z130" s="47"/>
      <c r="AA130" s="69">
        <v>130</v>
      </c>
      <c r="AB130" s="69"/>
      <c r="AC130" s="70"/>
      <c r="AD130" s="76" t="s">
        <v>5452</v>
      </c>
      <c r="AE130" s="81" t="s">
        <v>5182</v>
      </c>
      <c r="AF130" s="76">
        <v>1246</v>
      </c>
      <c r="AG130" s="76">
        <v>1258</v>
      </c>
      <c r="AH130" s="76">
        <v>32</v>
      </c>
      <c r="AI130" s="76">
        <v>1</v>
      </c>
      <c r="AJ130" s="76">
        <v>73</v>
      </c>
      <c r="AK130" s="76">
        <v>19</v>
      </c>
      <c r="AL130" s="76" t="b">
        <v>0</v>
      </c>
      <c r="AM130" s="78">
        <v>44957.649016203701</v>
      </c>
      <c r="AN130" s="76" t="s">
        <v>3410</v>
      </c>
      <c r="AO130" s="76" t="s">
        <v>5970</v>
      </c>
      <c r="AP130" s="83" t="str">
        <f>HYPERLINK("https://t.co/7CCYlnEmoH")</f>
        <v>https://t.co/7CCYlnEmoH</v>
      </c>
      <c r="AQ130" s="83" t="str">
        <f>HYPERLINK("https://vidaideal.blog.br")</f>
        <v>https://vidaideal.blog.br</v>
      </c>
      <c r="AR130" s="76" t="s">
        <v>6212</v>
      </c>
      <c r="AS130" s="76"/>
      <c r="AT130" s="76"/>
      <c r="AU130" s="76"/>
      <c r="AV130" s="76">
        <v>1.62239216105971E+18</v>
      </c>
      <c r="AW130" s="83" t="str">
        <f>HYPERLINK("https://t.co/7CCYlnEmoH")</f>
        <v>https://t.co/7CCYlnEmoH</v>
      </c>
      <c r="AX130" s="76" t="b">
        <v>0</v>
      </c>
      <c r="AY130" s="76"/>
      <c r="AZ130" s="76"/>
      <c r="BA130" s="76" t="b">
        <v>0</v>
      </c>
      <c r="BB130" s="76" t="b">
        <v>1</v>
      </c>
      <c r="BC130" s="76" t="b">
        <v>1</v>
      </c>
      <c r="BD130" s="76" t="b">
        <v>0</v>
      </c>
      <c r="BE130" s="76" t="b">
        <v>0</v>
      </c>
      <c r="BF130" s="76" t="b">
        <v>0</v>
      </c>
      <c r="BG130" s="76" t="b">
        <v>0</v>
      </c>
      <c r="BH130" s="83" t="str">
        <f>HYPERLINK("https://pbs.twimg.com/profile_banners/1620445407808479232/1675347577")</f>
        <v>https://pbs.twimg.com/profile_banners/1620445407808479232/1675347577</v>
      </c>
      <c r="BI130" s="76"/>
      <c r="BJ130" s="76" t="s">
        <v>6360</v>
      </c>
      <c r="BK130" s="76" t="b">
        <v>0</v>
      </c>
      <c r="BL130" s="76"/>
      <c r="BM130" s="76" t="s">
        <v>66</v>
      </c>
      <c r="BN130" s="76" t="s">
        <v>6362</v>
      </c>
      <c r="BO130" s="83" t="str">
        <f>HYPERLINK("https://twitter.com/vidaidealbr")</f>
        <v>https://twitter.com/vidaidealbr</v>
      </c>
      <c r="BP130" s="2"/>
    </row>
    <row r="131" spans="1:68" x14ac:dyDescent="0.25">
      <c r="A131" s="62" t="s">
        <v>339</v>
      </c>
      <c r="B131" s="63"/>
      <c r="C131" s="63"/>
      <c r="D131" s="64"/>
      <c r="E131" s="66"/>
      <c r="F131" s="102" t="str">
        <f>HYPERLINK("https://pbs.twimg.com/profile_images/1673406541859266560/ThP893Z1_normal.jpg")</f>
        <v>https://pbs.twimg.com/profile_images/1673406541859266560/ThP893Z1_normal.jpg</v>
      </c>
      <c r="G131" s="63"/>
      <c r="H131" s="67"/>
      <c r="I131" s="68"/>
      <c r="J131" s="68"/>
      <c r="K131" s="67" t="s">
        <v>6490</v>
      </c>
      <c r="L131" s="71"/>
      <c r="M131" s="72"/>
      <c r="N131" s="72"/>
      <c r="O131" s="73"/>
      <c r="P131" s="74"/>
      <c r="Q131" s="74"/>
      <c r="R131" s="86"/>
      <c r="S131" s="86"/>
      <c r="T131" s="86"/>
      <c r="U131" s="86"/>
      <c r="V131" s="48"/>
      <c r="W131" s="48"/>
      <c r="X131" s="48"/>
      <c r="Y131" s="48"/>
      <c r="Z131" s="47"/>
      <c r="AA131" s="69">
        <v>131</v>
      </c>
      <c r="AB131" s="69"/>
      <c r="AC131" s="70"/>
      <c r="AD131" s="76" t="s">
        <v>5453</v>
      </c>
      <c r="AE131" s="81" t="s">
        <v>5183</v>
      </c>
      <c r="AF131" s="76">
        <v>2</v>
      </c>
      <c r="AG131" s="76">
        <v>25</v>
      </c>
      <c r="AH131" s="76">
        <v>28</v>
      </c>
      <c r="AI131" s="76">
        <v>0</v>
      </c>
      <c r="AJ131" s="76">
        <v>101</v>
      </c>
      <c r="AK131" s="76">
        <v>2</v>
      </c>
      <c r="AL131" s="76" t="b">
        <v>0</v>
      </c>
      <c r="AM131" s="78">
        <v>43982.619837962964</v>
      </c>
      <c r="AN131" s="76" t="s">
        <v>5776</v>
      </c>
      <c r="AO131" s="76" t="s">
        <v>5971</v>
      </c>
      <c r="AP131" s="83" t="str">
        <f>HYPERLINK("https://t.co/2IQLhphDeu")</f>
        <v>https://t.co/2IQLhphDeu</v>
      </c>
      <c r="AQ131" s="83" t="str">
        <f>HYPERLINK("http://x.gd/9LyUF")</f>
        <v>http://x.gd/9LyUF</v>
      </c>
      <c r="AR131" s="76" t="s">
        <v>6213</v>
      </c>
      <c r="AS131" s="76"/>
      <c r="AT131" s="76"/>
      <c r="AU131" s="76"/>
      <c r="AV131" s="76"/>
      <c r="AW131" s="83" t="str">
        <f>HYPERLINK("https://t.co/2IQLhphDeu")</f>
        <v>https://t.co/2IQLhphDeu</v>
      </c>
      <c r="AX131" s="76" t="b">
        <v>0</v>
      </c>
      <c r="AY131" s="76"/>
      <c r="AZ131" s="76"/>
      <c r="BA131" s="76" t="b">
        <v>0</v>
      </c>
      <c r="BB131" s="76" t="b">
        <v>1</v>
      </c>
      <c r="BC131" s="76" t="b">
        <v>1</v>
      </c>
      <c r="BD131" s="76" t="b">
        <v>0</v>
      </c>
      <c r="BE131" s="76" t="b">
        <v>0</v>
      </c>
      <c r="BF131" s="76" t="b">
        <v>0</v>
      </c>
      <c r="BG131" s="76" t="b">
        <v>0</v>
      </c>
      <c r="BH131" s="83" t="str">
        <f>HYPERLINK("https://pbs.twimg.com/profile_banners/1267106670129426432/1677796982")</f>
        <v>https://pbs.twimg.com/profile_banners/1267106670129426432/1677796982</v>
      </c>
      <c r="BI131" s="76"/>
      <c r="BJ131" s="76" t="s">
        <v>6360</v>
      </c>
      <c r="BK131" s="76" t="b">
        <v>0</v>
      </c>
      <c r="BL131" s="76"/>
      <c r="BM131" s="76" t="s">
        <v>66</v>
      </c>
      <c r="BN131" s="76" t="s">
        <v>6362</v>
      </c>
      <c r="BO131" s="83" t="str">
        <f>HYPERLINK("https://twitter.com/karlfranca")</f>
        <v>https://twitter.com/karlfranca</v>
      </c>
      <c r="BP131" s="2"/>
    </row>
    <row r="132" spans="1:68" x14ac:dyDescent="0.25">
      <c r="A132" s="62" t="s">
        <v>340</v>
      </c>
      <c r="B132" s="63"/>
      <c r="C132" s="63"/>
      <c r="D132" s="64"/>
      <c r="E132" s="66"/>
      <c r="F132" s="102" t="str">
        <f>HYPERLINK("https://pbs.twimg.com/profile_images/1654049369186861057/RuDhHhUO_normal.jpg")</f>
        <v>https://pbs.twimg.com/profile_images/1654049369186861057/RuDhHhUO_normal.jpg</v>
      </c>
      <c r="G132" s="63"/>
      <c r="H132" s="67"/>
      <c r="I132" s="68"/>
      <c r="J132" s="68"/>
      <c r="K132" s="67" t="s">
        <v>6491</v>
      </c>
      <c r="L132" s="71"/>
      <c r="M132" s="72"/>
      <c r="N132" s="72"/>
      <c r="O132" s="73"/>
      <c r="P132" s="74"/>
      <c r="Q132" s="74"/>
      <c r="R132" s="86"/>
      <c r="S132" s="86"/>
      <c r="T132" s="86"/>
      <c r="U132" s="86"/>
      <c r="V132" s="48"/>
      <c r="W132" s="48"/>
      <c r="X132" s="48"/>
      <c r="Y132" s="48"/>
      <c r="Z132" s="47"/>
      <c r="AA132" s="69">
        <v>132</v>
      </c>
      <c r="AB132" s="69"/>
      <c r="AC132" s="70"/>
      <c r="AD132" s="76" t="s">
        <v>5454</v>
      </c>
      <c r="AE132" s="81" t="s">
        <v>5184</v>
      </c>
      <c r="AF132" s="76">
        <v>1</v>
      </c>
      <c r="AG132" s="76">
        <v>5</v>
      </c>
      <c r="AH132" s="76">
        <v>8</v>
      </c>
      <c r="AI132" s="76">
        <v>0</v>
      </c>
      <c r="AJ132" s="76">
        <v>0</v>
      </c>
      <c r="AK132" s="76">
        <v>0</v>
      </c>
      <c r="AL132" s="76" t="b">
        <v>0</v>
      </c>
      <c r="AM132" s="78">
        <v>45050.377430555556</v>
      </c>
      <c r="AN132" s="76"/>
      <c r="AO132" s="76"/>
      <c r="AP132" s="76"/>
      <c r="AQ132" s="76"/>
      <c r="AR132" s="76"/>
      <c r="AS132" s="76"/>
      <c r="AT132" s="76"/>
      <c r="AU132" s="76"/>
      <c r="AV132" s="76"/>
      <c r="AW132" s="76"/>
      <c r="AX132" s="76" t="b">
        <v>0</v>
      </c>
      <c r="AY132" s="76"/>
      <c r="AZ132" s="76"/>
      <c r="BA132" s="76" t="b">
        <v>0</v>
      </c>
      <c r="BB132" s="76" t="b">
        <v>1</v>
      </c>
      <c r="BC132" s="76" t="b">
        <v>1</v>
      </c>
      <c r="BD132" s="76" t="b">
        <v>0</v>
      </c>
      <c r="BE132" s="76" t="b">
        <v>0</v>
      </c>
      <c r="BF132" s="76" t="b">
        <v>0</v>
      </c>
      <c r="BG132" s="76" t="b">
        <v>0</v>
      </c>
      <c r="BH132" s="83" t="str">
        <f>HYPERLINK("https://pbs.twimg.com/profile_banners/1654049027120418830/1685280840")</f>
        <v>https://pbs.twimg.com/profile_banners/1654049027120418830/1685280840</v>
      </c>
      <c r="BI132" s="76"/>
      <c r="BJ132" s="76" t="s">
        <v>6360</v>
      </c>
      <c r="BK132" s="76" t="b">
        <v>0</v>
      </c>
      <c r="BL132" s="76"/>
      <c r="BM132" s="76" t="s">
        <v>66</v>
      </c>
      <c r="BN132" s="76" t="s">
        <v>6362</v>
      </c>
      <c r="BO132" s="83" t="str">
        <f>HYPERLINK("https://twitter.com/financaslucra")</f>
        <v>https://twitter.com/financaslucra</v>
      </c>
      <c r="BP132" s="2"/>
    </row>
    <row r="133" spans="1:68" x14ac:dyDescent="0.25">
      <c r="A133" s="62" t="s">
        <v>341</v>
      </c>
      <c r="B133" s="63"/>
      <c r="C133" s="63"/>
      <c r="D133" s="64"/>
      <c r="E133" s="66"/>
      <c r="F133" s="102" t="str">
        <f>HYPERLINK("https://pbs.twimg.com/profile_images/1108562049829879808/lzMX_Y8h_normal.jpg")</f>
        <v>https://pbs.twimg.com/profile_images/1108562049829879808/lzMX_Y8h_normal.jpg</v>
      </c>
      <c r="G133" s="63"/>
      <c r="H133" s="67"/>
      <c r="I133" s="68"/>
      <c r="J133" s="68"/>
      <c r="K133" s="67" t="s">
        <v>6492</v>
      </c>
      <c r="L133" s="71"/>
      <c r="M133" s="72"/>
      <c r="N133" s="72"/>
      <c r="O133" s="73"/>
      <c r="P133" s="74"/>
      <c r="Q133" s="74"/>
      <c r="R133" s="86"/>
      <c r="S133" s="86"/>
      <c r="T133" s="86"/>
      <c r="U133" s="86"/>
      <c r="V133" s="48"/>
      <c r="W133" s="48"/>
      <c r="X133" s="48"/>
      <c r="Y133" s="48"/>
      <c r="Z133" s="47"/>
      <c r="AA133" s="69">
        <v>133</v>
      </c>
      <c r="AB133" s="69"/>
      <c r="AC133" s="70"/>
      <c r="AD133" s="76" t="s">
        <v>5455</v>
      </c>
      <c r="AE133" s="81" t="s">
        <v>5677</v>
      </c>
      <c r="AF133" s="76">
        <v>614</v>
      </c>
      <c r="AG133" s="76">
        <v>1533</v>
      </c>
      <c r="AH133" s="76">
        <v>6718</v>
      </c>
      <c r="AI133" s="76">
        <v>3</v>
      </c>
      <c r="AJ133" s="76">
        <v>10967</v>
      </c>
      <c r="AK133" s="76">
        <v>367</v>
      </c>
      <c r="AL133" s="76" t="b">
        <v>0</v>
      </c>
      <c r="AM133" s="78">
        <v>40948.079652777778</v>
      </c>
      <c r="AN133" s="76" t="s">
        <v>5783</v>
      </c>
      <c r="AO133" s="76" t="s">
        <v>5972</v>
      </c>
      <c r="AP133" s="76"/>
      <c r="AQ133" s="76"/>
      <c r="AR133" s="76"/>
      <c r="AS133" s="76"/>
      <c r="AT133" s="76"/>
      <c r="AU133" s="76"/>
      <c r="AV133" s="76">
        <v>1.2668160147356101E+18</v>
      </c>
      <c r="AW133" s="76"/>
      <c r="AX133" s="76" t="b">
        <v>0</v>
      </c>
      <c r="AY133" s="76"/>
      <c r="AZ133" s="76"/>
      <c r="BA133" s="76" t="b">
        <v>1</v>
      </c>
      <c r="BB133" s="76" t="b">
        <v>1</v>
      </c>
      <c r="BC133" s="76" t="b">
        <v>1</v>
      </c>
      <c r="BD133" s="76" t="b">
        <v>0</v>
      </c>
      <c r="BE133" s="76" t="b">
        <v>0</v>
      </c>
      <c r="BF133" s="76" t="b">
        <v>0</v>
      </c>
      <c r="BG133" s="76" t="b">
        <v>0</v>
      </c>
      <c r="BH133" s="83" t="str">
        <f>HYPERLINK("https://pbs.twimg.com/profile_banners/487144994/1547673913")</f>
        <v>https://pbs.twimg.com/profile_banners/487144994/1547673913</v>
      </c>
      <c r="BI133" s="76"/>
      <c r="BJ133" s="76" t="s">
        <v>6360</v>
      </c>
      <c r="BK133" s="76" t="b">
        <v>0</v>
      </c>
      <c r="BL133" s="76"/>
      <c r="BM133" s="76" t="s">
        <v>66</v>
      </c>
      <c r="BN133" s="76" t="s">
        <v>6362</v>
      </c>
      <c r="BO133" s="83" t="str">
        <f>HYPERLINK("https://twitter.com/carlos_domini")</f>
        <v>https://twitter.com/carlos_domini</v>
      </c>
      <c r="BP133" s="2"/>
    </row>
    <row r="134" spans="1:68" x14ac:dyDescent="0.25">
      <c r="A134" s="62" t="s">
        <v>391</v>
      </c>
      <c r="B134" s="63"/>
      <c r="C134" s="63"/>
      <c r="D134" s="64"/>
      <c r="E134" s="66"/>
      <c r="F134" s="102" t="str">
        <f>HYPERLINK("https://pbs.twimg.com/profile_images/1361408613277925379/37fbEmpy_normal.jpg")</f>
        <v>https://pbs.twimg.com/profile_images/1361408613277925379/37fbEmpy_normal.jpg</v>
      </c>
      <c r="G134" s="63"/>
      <c r="H134" s="67"/>
      <c r="I134" s="68"/>
      <c r="J134" s="68"/>
      <c r="K134" s="67" t="s">
        <v>6493</v>
      </c>
      <c r="L134" s="71"/>
      <c r="M134" s="72"/>
      <c r="N134" s="72"/>
      <c r="O134" s="73"/>
      <c r="P134" s="74"/>
      <c r="Q134" s="74"/>
      <c r="R134" s="86"/>
      <c r="S134" s="86"/>
      <c r="T134" s="86"/>
      <c r="U134" s="86"/>
      <c r="V134" s="48"/>
      <c r="W134" s="48"/>
      <c r="X134" s="48"/>
      <c r="Y134" s="48"/>
      <c r="Z134" s="47"/>
      <c r="AA134" s="69">
        <v>134</v>
      </c>
      <c r="AB134" s="69"/>
      <c r="AC134" s="70"/>
      <c r="AD134" s="76" t="s">
        <v>5456</v>
      </c>
      <c r="AE134" s="81" t="s">
        <v>5055</v>
      </c>
      <c r="AF134" s="76">
        <v>227</v>
      </c>
      <c r="AG134" s="76">
        <v>410</v>
      </c>
      <c r="AH134" s="76">
        <v>349</v>
      </c>
      <c r="AI134" s="76">
        <v>1</v>
      </c>
      <c r="AJ134" s="76">
        <v>214</v>
      </c>
      <c r="AK134" s="76">
        <v>25</v>
      </c>
      <c r="AL134" s="76" t="b">
        <v>0</v>
      </c>
      <c r="AM134" s="78">
        <v>44242.843159722222</v>
      </c>
      <c r="AN134" s="76" t="s">
        <v>5783</v>
      </c>
      <c r="AO134" s="76" t="s">
        <v>5973</v>
      </c>
      <c r="AP134" s="83" t="str">
        <f>HYPERLINK("https://t.co/Bt4dy0Xb9X")</f>
        <v>https://t.co/Bt4dy0Xb9X</v>
      </c>
      <c r="AQ134" s="83" t="str">
        <f>HYPERLINK("https://open.spotify.com/show/4Wtfai8gBJnurIosAiKile?si=cal6599rSLq382gW9-zLoQ")</f>
        <v>https://open.spotify.com/show/4Wtfai8gBJnurIosAiKile?si=cal6599rSLq382gW9-zLoQ</v>
      </c>
      <c r="AR134" s="76" t="s">
        <v>6214</v>
      </c>
      <c r="AS134" s="76"/>
      <c r="AT134" s="76"/>
      <c r="AU134" s="76"/>
      <c r="AV134" s="76"/>
      <c r="AW134" s="83" t="str">
        <f>HYPERLINK("https://t.co/Bt4dy0Xb9X")</f>
        <v>https://t.co/Bt4dy0Xb9X</v>
      </c>
      <c r="AX134" s="76" t="b">
        <v>0</v>
      </c>
      <c r="AY134" s="76"/>
      <c r="AZ134" s="76"/>
      <c r="BA134" s="76" t="b">
        <v>0</v>
      </c>
      <c r="BB134" s="76" t="b">
        <v>1</v>
      </c>
      <c r="BC134" s="76" t="b">
        <v>1</v>
      </c>
      <c r="BD134" s="76" t="b">
        <v>0</v>
      </c>
      <c r="BE134" s="76" t="b">
        <v>0</v>
      </c>
      <c r="BF134" s="76" t="b">
        <v>0</v>
      </c>
      <c r="BG134" s="76" t="b">
        <v>0</v>
      </c>
      <c r="BH134" s="83" t="str">
        <f>HYPERLINK("https://pbs.twimg.com/profile_banners/1361408156614729733/1639543726")</f>
        <v>https://pbs.twimg.com/profile_banners/1361408156614729733/1639543726</v>
      </c>
      <c r="BI134" s="76"/>
      <c r="BJ134" s="76" t="s">
        <v>6360</v>
      </c>
      <c r="BK134" s="76" t="b">
        <v>0</v>
      </c>
      <c r="BL134" s="76"/>
      <c r="BM134" s="76" t="s">
        <v>66</v>
      </c>
      <c r="BN134" s="76" t="s">
        <v>6362</v>
      </c>
      <c r="BO134" s="83" t="str">
        <f>HYPERLINK("https://twitter.com/alfainvestidor1")</f>
        <v>https://twitter.com/alfainvestidor1</v>
      </c>
      <c r="BP134" s="2"/>
    </row>
    <row r="135" spans="1:68" x14ac:dyDescent="0.25">
      <c r="A135" s="62" t="s">
        <v>342</v>
      </c>
      <c r="B135" s="63"/>
      <c r="C135" s="63"/>
      <c r="D135" s="64"/>
      <c r="E135" s="66"/>
      <c r="F135" s="102" t="str">
        <f>HYPERLINK("https://pbs.twimg.com/profile_images/1704968750447955968/BR2DmkZK_normal.jpg")</f>
        <v>https://pbs.twimg.com/profile_images/1704968750447955968/BR2DmkZK_normal.jpg</v>
      </c>
      <c r="G135" s="63"/>
      <c r="H135" s="67"/>
      <c r="I135" s="68"/>
      <c r="J135" s="68"/>
      <c r="K135" s="67" t="s">
        <v>6494</v>
      </c>
      <c r="L135" s="71"/>
      <c r="M135" s="72"/>
      <c r="N135" s="72"/>
      <c r="O135" s="73"/>
      <c r="P135" s="74"/>
      <c r="Q135" s="74"/>
      <c r="R135" s="86"/>
      <c r="S135" s="86"/>
      <c r="T135" s="86"/>
      <c r="U135" s="86"/>
      <c r="V135" s="48"/>
      <c r="W135" s="48"/>
      <c r="X135" s="48"/>
      <c r="Y135" s="48"/>
      <c r="Z135" s="47"/>
      <c r="AA135" s="69">
        <v>135</v>
      </c>
      <c r="AB135" s="69"/>
      <c r="AC135" s="70"/>
      <c r="AD135" s="76" t="s">
        <v>5457</v>
      </c>
      <c r="AE135" s="81" t="s">
        <v>5185</v>
      </c>
      <c r="AF135" s="76">
        <v>27</v>
      </c>
      <c r="AG135" s="76">
        <v>86</v>
      </c>
      <c r="AH135" s="76">
        <v>627</v>
      </c>
      <c r="AI135" s="76">
        <v>1</v>
      </c>
      <c r="AJ135" s="76">
        <v>3</v>
      </c>
      <c r="AK135" s="76">
        <v>71</v>
      </c>
      <c r="AL135" s="76" t="b">
        <v>0</v>
      </c>
      <c r="AM135" s="78">
        <v>44361.530497685184</v>
      </c>
      <c r="AN135" s="76"/>
      <c r="AO135" s="76" t="s">
        <v>5974</v>
      </c>
      <c r="AP135" s="83" t="str">
        <f>HYPERLINK("https://t.co/hEDqA5emdU")</f>
        <v>https://t.co/hEDqA5emdU</v>
      </c>
      <c r="AQ135" s="83" t="str">
        <f>HYPERLINK("https://www.perspective.com.br/")</f>
        <v>https://www.perspective.com.br/</v>
      </c>
      <c r="AR135" s="76" t="s">
        <v>6215</v>
      </c>
      <c r="AS135" s="83" t="str">
        <f>HYPERLINK("https://t.co/yIE0EOuhPH")</f>
        <v>https://t.co/yIE0EOuhPH</v>
      </c>
      <c r="AT135" s="83" t="str">
        <f>HYPERLINK("http://linktr.ee/perspectiveinv")</f>
        <v>http://linktr.ee/perspectiveinv</v>
      </c>
      <c r="AU135" s="76" t="s">
        <v>6348</v>
      </c>
      <c r="AV135" s="76"/>
      <c r="AW135" s="83" t="str">
        <f>HYPERLINK("https://t.co/hEDqA5emdU")</f>
        <v>https://t.co/hEDqA5emdU</v>
      </c>
      <c r="AX135" s="76" t="b">
        <v>0</v>
      </c>
      <c r="AY135" s="76"/>
      <c r="AZ135" s="76"/>
      <c r="BA135" s="76" t="b">
        <v>0</v>
      </c>
      <c r="BB135" s="76" t="b">
        <v>1</v>
      </c>
      <c r="BC135" s="76" t="b">
        <v>1</v>
      </c>
      <c r="BD135" s="76" t="b">
        <v>0</v>
      </c>
      <c r="BE135" s="76" t="b">
        <v>0</v>
      </c>
      <c r="BF135" s="76" t="b">
        <v>0</v>
      </c>
      <c r="BG135" s="76" t="b">
        <v>0</v>
      </c>
      <c r="BH135" s="83" t="str">
        <f>HYPERLINK("https://pbs.twimg.com/profile_banners/1404418856425299970/1675083423")</f>
        <v>https://pbs.twimg.com/profile_banners/1404418856425299970/1675083423</v>
      </c>
      <c r="BI135" s="76"/>
      <c r="BJ135" s="76" t="s">
        <v>6360</v>
      </c>
      <c r="BK135" s="76" t="b">
        <v>0</v>
      </c>
      <c r="BL135" s="76"/>
      <c r="BM135" s="76" t="s">
        <v>66</v>
      </c>
      <c r="BN135" s="76" t="s">
        <v>6362</v>
      </c>
      <c r="BO135" s="83" t="str">
        <f>HYPERLINK("https://twitter.com/perspectiveinvs")</f>
        <v>https://twitter.com/perspectiveinvs</v>
      </c>
      <c r="BP135" s="2"/>
    </row>
    <row r="136" spans="1:68" x14ac:dyDescent="0.25">
      <c r="A136" s="62" t="s">
        <v>343</v>
      </c>
      <c r="B136" s="63"/>
      <c r="C136" s="63"/>
      <c r="D136" s="64"/>
      <c r="E136" s="66"/>
      <c r="F136" s="102" t="str">
        <f>HYPERLINK("https://pbs.twimg.com/profile_images/1186680720477036545/_u0W1BQD_normal.jpg")</f>
        <v>https://pbs.twimg.com/profile_images/1186680720477036545/_u0W1BQD_normal.jpg</v>
      </c>
      <c r="G136" s="63"/>
      <c r="H136" s="67"/>
      <c r="I136" s="68"/>
      <c r="J136" s="68"/>
      <c r="K136" s="67" t="s">
        <v>6495</v>
      </c>
      <c r="L136" s="71"/>
      <c r="M136" s="72"/>
      <c r="N136" s="72"/>
      <c r="O136" s="73"/>
      <c r="P136" s="74"/>
      <c r="Q136" s="74"/>
      <c r="R136" s="86"/>
      <c r="S136" s="86"/>
      <c r="T136" s="86"/>
      <c r="U136" s="86"/>
      <c r="V136" s="48"/>
      <c r="W136" s="48"/>
      <c r="X136" s="48"/>
      <c r="Y136" s="48"/>
      <c r="Z136" s="47"/>
      <c r="AA136" s="69">
        <v>136</v>
      </c>
      <c r="AB136" s="69"/>
      <c r="AC136" s="70"/>
      <c r="AD136" s="76" t="s">
        <v>5458</v>
      </c>
      <c r="AE136" s="81" t="s">
        <v>5678</v>
      </c>
      <c r="AF136" s="76">
        <v>3611</v>
      </c>
      <c r="AG136" s="76">
        <v>17</v>
      </c>
      <c r="AH136" s="76">
        <v>973</v>
      </c>
      <c r="AI136" s="76">
        <v>13</v>
      </c>
      <c r="AJ136" s="76">
        <v>9</v>
      </c>
      <c r="AK136" s="76">
        <v>641</v>
      </c>
      <c r="AL136" s="76" t="b">
        <v>0</v>
      </c>
      <c r="AM136" s="78">
        <v>40161.475462962961</v>
      </c>
      <c r="AN136" s="76" t="s">
        <v>3435</v>
      </c>
      <c r="AO136" s="76" t="s">
        <v>5975</v>
      </c>
      <c r="AP136" s="83" t="str">
        <f>HYPERLINK("https://t.co/tTGASZRFdg")</f>
        <v>https://t.co/tTGASZRFdg</v>
      </c>
      <c r="AQ136" s="83" t="str">
        <f>HYPERLINK("https://linktr.ee/orcosecontabilidade")</f>
        <v>https://linktr.ee/orcosecontabilidade</v>
      </c>
      <c r="AR136" s="76" t="s">
        <v>6216</v>
      </c>
      <c r="AS136" s="76"/>
      <c r="AT136" s="76"/>
      <c r="AU136" s="76"/>
      <c r="AV136" s="76"/>
      <c r="AW136" s="83" t="str">
        <f>HYPERLINK("https://t.co/tTGASZRFdg")</f>
        <v>https://t.co/tTGASZRFdg</v>
      </c>
      <c r="AX136" s="76" t="b">
        <v>0</v>
      </c>
      <c r="AY136" s="76"/>
      <c r="AZ136" s="76"/>
      <c r="BA136" s="76" t="b">
        <v>1</v>
      </c>
      <c r="BB136" s="76" t="b">
        <v>1</v>
      </c>
      <c r="BC136" s="76" t="b">
        <v>0</v>
      </c>
      <c r="BD136" s="76" t="b">
        <v>0</v>
      </c>
      <c r="BE136" s="76" t="b">
        <v>0</v>
      </c>
      <c r="BF136" s="76" t="b">
        <v>0</v>
      </c>
      <c r="BG136" s="76" t="b">
        <v>0</v>
      </c>
      <c r="BH136" s="83" t="str">
        <f>HYPERLINK("https://pbs.twimg.com/profile_banners/96743223/1631221620")</f>
        <v>https://pbs.twimg.com/profile_banners/96743223/1631221620</v>
      </c>
      <c r="BI136" s="76"/>
      <c r="BJ136" s="76" t="s">
        <v>6360</v>
      </c>
      <c r="BK136" s="76" t="b">
        <v>0</v>
      </c>
      <c r="BL136" s="76"/>
      <c r="BM136" s="76" t="s">
        <v>66</v>
      </c>
      <c r="BN136" s="76" t="s">
        <v>6362</v>
      </c>
      <c r="BO136" s="83" t="str">
        <f>HYPERLINK("https://twitter.com/orcose")</f>
        <v>https://twitter.com/orcose</v>
      </c>
      <c r="BP136" s="2"/>
    </row>
    <row r="137" spans="1:68" x14ac:dyDescent="0.25">
      <c r="A137" s="62" t="s">
        <v>344</v>
      </c>
      <c r="B137" s="63"/>
      <c r="C137" s="63"/>
      <c r="D137" s="64"/>
      <c r="E137" s="66"/>
      <c r="F137" s="102" t="str">
        <f>HYPERLINK("https://pbs.twimg.com/profile_images/1664838542126620672/bdhsehp6_normal.jpg")</f>
        <v>https://pbs.twimg.com/profile_images/1664838542126620672/bdhsehp6_normal.jpg</v>
      </c>
      <c r="G137" s="63"/>
      <c r="H137" s="67"/>
      <c r="I137" s="68"/>
      <c r="J137" s="68"/>
      <c r="K137" s="67" t="s">
        <v>6496</v>
      </c>
      <c r="L137" s="71"/>
      <c r="M137" s="72"/>
      <c r="N137" s="72"/>
      <c r="O137" s="73"/>
      <c r="P137" s="74"/>
      <c r="Q137" s="74"/>
      <c r="R137" s="86"/>
      <c r="S137" s="86"/>
      <c r="T137" s="86"/>
      <c r="U137" s="86"/>
      <c r="V137" s="48"/>
      <c r="W137" s="48"/>
      <c r="X137" s="48"/>
      <c r="Y137" s="48"/>
      <c r="Z137" s="47"/>
      <c r="AA137" s="69">
        <v>137</v>
      </c>
      <c r="AB137" s="69"/>
      <c r="AC137" s="70"/>
      <c r="AD137" s="76" t="s">
        <v>5459</v>
      </c>
      <c r="AE137" s="81" t="s">
        <v>5679</v>
      </c>
      <c r="AF137" s="76">
        <v>525</v>
      </c>
      <c r="AG137" s="76">
        <v>337</v>
      </c>
      <c r="AH137" s="76">
        <v>7507</v>
      </c>
      <c r="AI137" s="76">
        <v>29</v>
      </c>
      <c r="AJ137" s="76">
        <v>1643</v>
      </c>
      <c r="AK137" s="76">
        <v>417</v>
      </c>
      <c r="AL137" s="76" t="b">
        <v>0</v>
      </c>
      <c r="AM137" s="78">
        <v>40179.014467592591</v>
      </c>
      <c r="AN137" s="76" t="s">
        <v>5784</v>
      </c>
      <c r="AO137" s="83" t="str">
        <f>HYPERLINK("https://t.co/7DHiue6vo1")</f>
        <v>https://t.co/7DHiue6vo1</v>
      </c>
      <c r="AP137" s="76"/>
      <c r="AQ137" s="76"/>
      <c r="AR137" s="76"/>
      <c r="AS137" s="83" t="str">
        <f>HYPERLINK("https://t.co/7DHiue6vo1")</f>
        <v>https://t.co/7DHiue6vo1</v>
      </c>
      <c r="AT137" s="83" t="str">
        <f>HYPERLINK("http://linktr.ee/luizmarjr")</f>
        <v>http://linktr.ee/luizmarjr</v>
      </c>
      <c r="AU137" s="76" t="s">
        <v>6349</v>
      </c>
      <c r="AV137" s="76">
        <v>1.50392181783201E+18</v>
      </c>
      <c r="AW137" s="76"/>
      <c r="AX137" s="76" t="b">
        <v>0</v>
      </c>
      <c r="AY137" s="76"/>
      <c r="AZ137" s="76"/>
      <c r="BA137" s="76" t="b">
        <v>0</v>
      </c>
      <c r="BB137" s="76" t="b">
        <v>1</v>
      </c>
      <c r="BC137" s="76" t="b">
        <v>0</v>
      </c>
      <c r="BD137" s="76" t="b">
        <v>0</v>
      </c>
      <c r="BE137" s="76" t="b">
        <v>1</v>
      </c>
      <c r="BF137" s="76" t="b">
        <v>0</v>
      </c>
      <c r="BG137" s="76" t="b">
        <v>0</v>
      </c>
      <c r="BH137" s="83" t="str">
        <f>HYPERLINK("https://pbs.twimg.com/profile_banners/100868755/1624848200")</f>
        <v>https://pbs.twimg.com/profile_banners/100868755/1624848200</v>
      </c>
      <c r="BI137" s="76"/>
      <c r="BJ137" s="76" t="s">
        <v>6360</v>
      </c>
      <c r="BK137" s="76" t="b">
        <v>0</v>
      </c>
      <c r="BL137" s="76"/>
      <c r="BM137" s="76" t="s">
        <v>66</v>
      </c>
      <c r="BN137" s="76" t="s">
        <v>6362</v>
      </c>
      <c r="BO137" s="83" t="str">
        <f>HYPERLINK("https://twitter.com/luizmarjr")</f>
        <v>https://twitter.com/luizmarjr</v>
      </c>
      <c r="BP137" s="2"/>
    </row>
    <row r="138" spans="1:68" x14ac:dyDescent="0.25">
      <c r="A138" s="62" t="s">
        <v>345</v>
      </c>
      <c r="B138" s="63"/>
      <c r="C138" s="63"/>
      <c r="D138" s="64"/>
      <c r="E138" s="66"/>
      <c r="F138" s="102" t="str">
        <f>HYPERLINK("https://pbs.twimg.com/profile_images/1554487602677530625/Q-wJ1kLb_normal.jpg")</f>
        <v>https://pbs.twimg.com/profile_images/1554487602677530625/Q-wJ1kLb_normal.jpg</v>
      </c>
      <c r="G138" s="63"/>
      <c r="H138" s="67"/>
      <c r="I138" s="68"/>
      <c r="J138" s="68"/>
      <c r="K138" s="67" t="s">
        <v>6497</v>
      </c>
      <c r="L138" s="71"/>
      <c r="M138" s="72"/>
      <c r="N138" s="72"/>
      <c r="O138" s="73"/>
      <c r="P138" s="74"/>
      <c r="Q138" s="74"/>
      <c r="R138" s="86"/>
      <c r="S138" s="86"/>
      <c r="T138" s="86"/>
      <c r="U138" s="86"/>
      <c r="V138" s="48"/>
      <c r="W138" s="48"/>
      <c r="X138" s="48"/>
      <c r="Y138" s="48"/>
      <c r="Z138" s="47"/>
      <c r="AA138" s="69">
        <v>138</v>
      </c>
      <c r="AB138" s="69"/>
      <c r="AC138" s="70"/>
      <c r="AD138" s="76" t="s">
        <v>5460</v>
      </c>
      <c r="AE138" s="81" t="s">
        <v>5680</v>
      </c>
      <c r="AF138" s="76">
        <v>79</v>
      </c>
      <c r="AG138" s="76">
        <v>154</v>
      </c>
      <c r="AH138" s="76">
        <v>1427</v>
      </c>
      <c r="AI138" s="76">
        <v>0</v>
      </c>
      <c r="AJ138" s="76">
        <v>5716</v>
      </c>
      <c r="AK138" s="76">
        <v>76</v>
      </c>
      <c r="AL138" s="76" t="b">
        <v>0</v>
      </c>
      <c r="AM138" s="78">
        <v>40466.182905092595</v>
      </c>
      <c r="AN138" s="76" t="s">
        <v>3415</v>
      </c>
      <c r="AO138" s="76" t="s">
        <v>5976</v>
      </c>
      <c r="AP138" s="83" t="str">
        <f>HYPERLINK("https://t.co/B8SeqLk798")</f>
        <v>https://t.co/B8SeqLk798</v>
      </c>
      <c r="AQ138" s="83" t="str">
        <f>HYPERLINK("https://gaspartrajano.com.br/")</f>
        <v>https://gaspartrajano.com.br/</v>
      </c>
      <c r="AR138" s="76" t="s">
        <v>6217</v>
      </c>
      <c r="AS138" s="76"/>
      <c r="AT138" s="76"/>
      <c r="AU138" s="76"/>
      <c r="AV138" s="76"/>
      <c r="AW138" s="83" t="str">
        <f>HYPERLINK("https://t.co/B8SeqLk798")</f>
        <v>https://t.co/B8SeqLk798</v>
      </c>
      <c r="AX138" s="76" t="b">
        <v>0</v>
      </c>
      <c r="AY138" s="76"/>
      <c r="AZ138" s="76"/>
      <c r="BA138" s="76" t="b">
        <v>1</v>
      </c>
      <c r="BB138" s="76" t="b">
        <v>1</v>
      </c>
      <c r="BC138" s="76" t="b">
        <v>1</v>
      </c>
      <c r="BD138" s="76" t="b">
        <v>0</v>
      </c>
      <c r="BE138" s="76" t="b">
        <v>0</v>
      </c>
      <c r="BF138" s="76" t="b">
        <v>0</v>
      </c>
      <c r="BG138" s="76" t="b">
        <v>0</v>
      </c>
      <c r="BH138" s="83" t="str">
        <f>HYPERLINK("https://pbs.twimg.com/profile_banners/202938333/1592516224")</f>
        <v>https://pbs.twimg.com/profile_banners/202938333/1592516224</v>
      </c>
      <c r="BI138" s="76"/>
      <c r="BJ138" s="76" t="s">
        <v>6360</v>
      </c>
      <c r="BK138" s="76" t="b">
        <v>0</v>
      </c>
      <c r="BL138" s="76"/>
      <c r="BM138" s="76" t="s">
        <v>66</v>
      </c>
      <c r="BN138" s="76" t="s">
        <v>6362</v>
      </c>
      <c r="BO138" s="83" t="str">
        <f>HYPERLINK("https://twitter.com/gtssilveira")</f>
        <v>https://twitter.com/gtssilveira</v>
      </c>
      <c r="BP138" s="2"/>
    </row>
    <row r="139" spans="1:68" x14ac:dyDescent="0.25">
      <c r="A139" s="62" t="s">
        <v>526</v>
      </c>
      <c r="B139" s="63"/>
      <c r="C139" s="63"/>
      <c r="D139" s="64"/>
      <c r="E139" s="66"/>
      <c r="F139" s="102" t="str">
        <f>HYPERLINK("https://abs.twimg.com/sticky/default_profile_images/default_profile_normal.png")</f>
        <v>https://abs.twimg.com/sticky/default_profile_images/default_profile_normal.png</v>
      </c>
      <c r="G139" s="63"/>
      <c r="H139" s="67"/>
      <c r="I139" s="68"/>
      <c r="J139" s="68"/>
      <c r="K139" s="67" t="s">
        <v>6498</v>
      </c>
      <c r="L139" s="71"/>
      <c r="M139" s="72"/>
      <c r="N139" s="72"/>
      <c r="O139" s="73"/>
      <c r="P139" s="74"/>
      <c r="Q139" s="74"/>
      <c r="R139" s="86"/>
      <c r="S139" s="86"/>
      <c r="T139" s="86"/>
      <c r="U139" s="86"/>
      <c r="V139" s="48"/>
      <c r="W139" s="48"/>
      <c r="X139" s="48"/>
      <c r="Y139" s="48"/>
      <c r="Z139" s="47"/>
      <c r="AA139" s="69">
        <v>139</v>
      </c>
      <c r="AB139" s="69"/>
      <c r="AC139" s="70"/>
      <c r="AD139" s="76" t="s">
        <v>5460</v>
      </c>
      <c r="AE139" s="81" t="s">
        <v>5681</v>
      </c>
      <c r="AF139" s="76">
        <v>1</v>
      </c>
      <c r="AG139" s="76">
        <v>0</v>
      </c>
      <c r="AH139" s="76">
        <v>0</v>
      </c>
      <c r="AI139" s="76">
        <v>0</v>
      </c>
      <c r="AJ139" s="76">
        <v>0</v>
      </c>
      <c r="AK139" s="76">
        <v>0</v>
      </c>
      <c r="AL139" s="76" t="b">
        <v>0</v>
      </c>
      <c r="AM139" s="78">
        <v>42531.767511574071</v>
      </c>
      <c r="AN139" s="76"/>
      <c r="AO139" s="76"/>
      <c r="AP139" s="76"/>
      <c r="AQ139" s="76"/>
      <c r="AR139" s="76"/>
      <c r="AS139" s="76"/>
      <c r="AT139" s="76"/>
      <c r="AU139" s="76"/>
      <c r="AV139" s="76"/>
      <c r="AW139" s="76"/>
      <c r="AX139" s="76" t="b">
        <v>0</v>
      </c>
      <c r="AY139" s="76"/>
      <c r="AZ139" s="76"/>
      <c r="BA139" s="76" t="b">
        <v>0</v>
      </c>
      <c r="BB139" s="76" t="b">
        <v>1</v>
      </c>
      <c r="BC139" s="76" t="b">
        <v>1</v>
      </c>
      <c r="BD139" s="76" t="b">
        <v>1</v>
      </c>
      <c r="BE139" s="76" t="b">
        <v>0</v>
      </c>
      <c r="BF139" s="76" t="b">
        <v>0</v>
      </c>
      <c r="BG139" s="76" t="b">
        <v>0</v>
      </c>
      <c r="BH139" s="76"/>
      <c r="BI139" s="76"/>
      <c r="BJ139" s="76" t="s">
        <v>6360</v>
      </c>
      <c r="BK139" s="76" t="b">
        <v>0</v>
      </c>
      <c r="BL139" s="76"/>
      <c r="BM139" s="76" t="s">
        <v>65</v>
      </c>
      <c r="BN139" s="76" t="s">
        <v>6362</v>
      </c>
      <c r="BO139" s="83" t="str">
        <f>HYPERLINK("https://twitter.com/gaspartrajano")</f>
        <v>https://twitter.com/gaspartrajano</v>
      </c>
      <c r="BP139" s="2"/>
    </row>
    <row r="140" spans="1:68" x14ac:dyDescent="0.25">
      <c r="A140" s="62" t="s">
        <v>346</v>
      </c>
      <c r="B140" s="63"/>
      <c r="C140" s="63"/>
      <c r="D140" s="64"/>
      <c r="E140" s="66"/>
      <c r="F140" s="102" t="str">
        <f>HYPERLINK("https://pbs.twimg.com/profile_images/1639344097834983435/vC5Fb0qP_normal.jpg")</f>
        <v>https://pbs.twimg.com/profile_images/1639344097834983435/vC5Fb0qP_normal.jpg</v>
      </c>
      <c r="G140" s="63"/>
      <c r="H140" s="67"/>
      <c r="I140" s="68"/>
      <c r="J140" s="68"/>
      <c r="K140" s="67" t="s">
        <v>6499</v>
      </c>
      <c r="L140" s="71"/>
      <c r="M140" s="72"/>
      <c r="N140" s="72"/>
      <c r="O140" s="73"/>
      <c r="P140" s="74"/>
      <c r="Q140" s="74"/>
      <c r="R140" s="86"/>
      <c r="S140" s="86"/>
      <c r="T140" s="86"/>
      <c r="U140" s="86"/>
      <c r="V140" s="48"/>
      <c r="W140" s="48"/>
      <c r="X140" s="48"/>
      <c r="Y140" s="48"/>
      <c r="Z140" s="47"/>
      <c r="AA140" s="69">
        <v>140</v>
      </c>
      <c r="AB140" s="69"/>
      <c r="AC140" s="70"/>
      <c r="AD140" s="76" t="s">
        <v>5461</v>
      </c>
      <c r="AE140" s="81" t="s">
        <v>5186</v>
      </c>
      <c r="AF140" s="76">
        <v>7</v>
      </c>
      <c r="AG140" s="76">
        <v>0</v>
      </c>
      <c r="AH140" s="76">
        <v>19</v>
      </c>
      <c r="AI140" s="76">
        <v>0</v>
      </c>
      <c r="AJ140" s="76">
        <v>18</v>
      </c>
      <c r="AK140" s="76">
        <v>0</v>
      </c>
      <c r="AL140" s="76" t="b">
        <v>0</v>
      </c>
      <c r="AM140" s="78">
        <v>45008.894965277781</v>
      </c>
      <c r="AN140" s="76"/>
      <c r="AO140" s="76" t="s">
        <v>5977</v>
      </c>
      <c r="AP140" s="76"/>
      <c r="AQ140" s="76"/>
      <c r="AR140" s="76"/>
      <c r="AS140" s="76"/>
      <c r="AT140" s="76"/>
      <c r="AU140" s="76"/>
      <c r="AV140" s="76">
        <v>1.66647911745634E+18</v>
      </c>
      <c r="AW140" s="76"/>
      <c r="AX140" s="76" t="b">
        <v>0</v>
      </c>
      <c r="AY140" s="76"/>
      <c r="AZ140" s="76"/>
      <c r="BA140" s="76" t="b">
        <v>0</v>
      </c>
      <c r="BB140" s="76" t="b">
        <v>1</v>
      </c>
      <c r="BC140" s="76" t="b">
        <v>1</v>
      </c>
      <c r="BD140" s="76" t="b">
        <v>0</v>
      </c>
      <c r="BE140" s="76" t="b">
        <v>0</v>
      </c>
      <c r="BF140" s="76" t="b">
        <v>0</v>
      </c>
      <c r="BG140" s="76" t="b">
        <v>0</v>
      </c>
      <c r="BH140" s="83" t="str">
        <f>HYPERLINK("https://pbs.twimg.com/profile_banners/1639016251438645248/1681870618")</f>
        <v>https://pbs.twimg.com/profile_banners/1639016251438645248/1681870618</v>
      </c>
      <c r="BI140" s="76"/>
      <c r="BJ140" s="76" t="s">
        <v>6360</v>
      </c>
      <c r="BK140" s="76" t="b">
        <v>0</v>
      </c>
      <c r="BL140" s="76"/>
      <c r="BM140" s="76" t="s">
        <v>66</v>
      </c>
      <c r="BN140" s="76" t="s">
        <v>6362</v>
      </c>
      <c r="BO140" s="83" t="str">
        <f>HYPERLINK("https://twitter.com/xzibank")</f>
        <v>https://twitter.com/xzibank</v>
      </c>
      <c r="BP140" s="2"/>
    </row>
    <row r="141" spans="1:68" x14ac:dyDescent="0.25">
      <c r="A141" s="62" t="s">
        <v>347</v>
      </c>
      <c r="B141" s="63"/>
      <c r="C141" s="63"/>
      <c r="D141" s="64"/>
      <c r="E141" s="66"/>
      <c r="F141" s="102" t="str">
        <f>HYPERLINK("https://pbs.twimg.com/profile_images/1630010851519258634/7kE1bchs_normal.jpg")</f>
        <v>https://pbs.twimg.com/profile_images/1630010851519258634/7kE1bchs_normal.jpg</v>
      </c>
      <c r="G141" s="63"/>
      <c r="H141" s="67"/>
      <c r="I141" s="68"/>
      <c r="J141" s="68"/>
      <c r="K141" s="67" t="s">
        <v>6500</v>
      </c>
      <c r="L141" s="71"/>
      <c r="M141" s="72"/>
      <c r="N141" s="72"/>
      <c r="O141" s="73"/>
      <c r="P141" s="74"/>
      <c r="Q141" s="74"/>
      <c r="R141" s="86"/>
      <c r="S141" s="86"/>
      <c r="T141" s="86"/>
      <c r="U141" s="86"/>
      <c r="V141" s="48"/>
      <c r="W141" s="48"/>
      <c r="X141" s="48"/>
      <c r="Y141" s="48"/>
      <c r="Z141" s="47"/>
      <c r="AA141" s="69">
        <v>141</v>
      </c>
      <c r="AB141" s="69"/>
      <c r="AC141" s="70"/>
      <c r="AD141" s="76" t="s">
        <v>5462</v>
      </c>
      <c r="AE141" s="81" t="s">
        <v>5187</v>
      </c>
      <c r="AF141" s="76">
        <v>7</v>
      </c>
      <c r="AG141" s="76">
        <v>76</v>
      </c>
      <c r="AH141" s="76">
        <v>37</v>
      </c>
      <c r="AI141" s="76">
        <v>0</v>
      </c>
      <c r="AJ141" s="76">
        <v>61</v>
      </c>
      <c r="AK141" s="76">
        <v>5</v>
      </c>
      <c r="AL141" s="76" t="b">
        <v>0</v>
      </c>
      <c r="AM141" s="78">
        <v>44226.882002314815</v>
      </c>
      <c r="AN141" s="76" t="s">
        <v>5785</v>
      </c>
      <c r="AO141" s="76" t="s">
        <v>5978</v>
      </c>
      <c r="AP141" s="83" t="str">
        <f>HYPERLINK("https://t.co/NtsIFkQR6t")</f>
        <v>https://t.co/NtsIFkQR6t</v>
      </c>
      <c r="AQ141" s="83" t="str">
        <f>HYPERLINK("http://contabilidade.vercel.app")</f>
        <v>http://contabilidade.vercel.app</v>
      </c>
      <c r="AR141" s="76" t="s">
        <v>6218</v>
      </c>
      <c r="AS141" s="76"/>
      <c r="AT141" s="76"/>
      <c r="AU141" s="76"/>
      <c r="AV141" s="76"/>
      <c r="AW141" s="83" t="str">
        <f>HYPERLINK("https://t.co/NtsIFkQR6t")</f>
        <v>https://t.co/NtsIFkQR6t</v>
      </c>
      <c r="AX141" s="76" t="b">
        <v>0</v>
      </c>
      <c r="AY141" s="76"/>
      <c r="AZ141" s="76"/>
      <c r="BA141" s="76" t="b">
        <v>0</v>
      </c>
      <c r="BB141" s="76" t="b">
        <v>1</v>
      </c>
      <c r="BC141" s="76" t="b">
        <v>1</v>
      </c>
      <c r="BD141" s="76" t="b">
        <v>0</v>
      </c>
      <c r="BE141" s="76" t="b">
        <v>0</v>
      </c>
      <c r="BF141" s="76" t="b">
        <v>0</v>
      </c>
      <c r="BG141" s="76" t="b">
        <v>0</v>
      </c>
      <c r="BH141" s="83" t="str">
        <f>HYPERLINK("https://pbs.twimg.com/profile_banners/1355624301274263553/1677459848")</f>
        <v>https://pbs.twimg.com/profile_banners/1355624301274263553/1677459848</v>
      </c>
      <c r="BI141" s="76"/>
      <c r="BJ141" s="76" t="s">
        <v>6360</v>
      </c>
      <c r="BK141" s="76" t="b">
        <v>0</v>
      </c>
      <c r="BL141" s="76"/>
      <c r="BM141" s="76" t="s">
        <v>66</v>
      </c>
      <c r="BN141" s="76" t="s">
        <v>6362</v>
      </c>
      <c r="BO141" s="83" t="str">
        <f>HYPERLINK("https://twitter.com/contabilidadee4")</f>
        <v>https://twitter.com/contabilidadee4</v>
      </c>
      <c r="BP141" s="2"/>
    </row>
    <row r="142" spans="1:68" x14ac:dyDescent="0.25">
      <c r="A142" s="62" t="s">
        <v>348</v>
      </c>
      <c r="B142" s="63"/>
      <c r="C142" s="63"/>
      <c r="D142" s="64"/>
      <c r="E142" s="66"/>
      <c r="F142" s="102" t="str">
        <f>HYPERLINK("https://pbs.twimg.com/profile_images/1359576707095818241/dHhtu4jw_normal.jpg")</f>
        <v>https://pbs.twimg.com/profile_images/1359576707095818241/dHhtu4jw_normal.jpg</v>
      </c>
      <c r="G142" s="63"/>
      <c r="H142" s="67"/>
      <c r="I142" s="68"/>
      <c r="J142" s="68"/>
      <c r="K142" s="67" t="s">
        <v>6501</v>
      </c>
      <c r="L142" s="71"/>
      <c r="M142" s="72"/>
      <c r="N142" s="72"/>
      <c r="O142" s="73"/>
      <c r="P142" s="74"/>
      <c r="Q142" s="74"/>
      <c r="R142" s="86"/>
      <c r="S142" s="86"/>
      <c r="T142" s="86"/>
      <c r="U142" s="86"/>
      <c r="V142" s="48"/>
      <c r="W142" s="48"/>
      <c r="X142" s="48"/>
      <c r="Y142" s="48"/>
      <c r="Z142" s="47"/>
      <c r="AA142" s="69">
        <v>142</v>
      </c>
      <c r="AB142" s="69"/>
      <c r="AC142" s="70"/>
      <c r="AD142" s="76" t="s">
        <v>5463</v>
      </c>
      <c r="AE142" s="81" t="s">
        <v>5188</v>
      </c>
      <c r="AF142" s="76">
        <v>28</v>
      </c>
      <c r="AG142" s="76">
        <v>274</v>
      </c>
      <c r="AH142" s="76">
        <v>168</v>
      </c>
      <c r="AI142" s="76">
        <v>0</v>
      </c>
      <c r="AJ142" s="76">
        <v>246</v>
      </c>
      <c r="AK142" s="76">
        <v>137</v>
      </c>
      <c r="AL142" s="76" t="b">
        <v>0</v>
      </c>
      <c r="AM142" s="78">
        <v>43633.85496527778</v>
      </c>
      <c r="AN142" s="76" t="s">
        <v>5786</v>
      </c>
      <c r="AO142" s="76" t="s">
        <v>5979</v>
      </c>
      <c r="AP142" s="83" t="str">
        <f>HYPERLINK("https://t.co/9ZZtt8rTwO")</f>
        <v>https://t.co/9ZZtt8rTwO</v>
      </c>
      <c r="AQ142" s="83" t="str">
        <f>HYPERLINK("https://crevalle.com.br/")</f>
        <v>https://crevalle.com.br/</v>
      </c>
      <c r="AR142" s="76" t="s">
        <v>6219</v>
      </c>
      <c r="AS142" s="76"/>
      <c r="AT142" s="76"/>
      <c r="AU142" s="76"/>
      <c r="AV142" s="76"/>
      <c r="AW142" s="83" t="str">
        <f>HYPERLINK("https://t.co/9ZZtt8rTwO")</f>
        <v>https://t.co/9ZZtt8rTwO</v>
      </c>
      <c r="AX142" s="76" t="b">
        <v>0</v>
      </c>
      <c r="AY142" s="76"/>
      <c r="AZ142" s="76"/>
      <c r="BA142" s="76" t="b">
        <v>0</v>
      </c>
      <c r="BB142" s="76" t="b">
        <v>1</v>
      </c>
      <c r="BC142" s="76" t="b">
        <v>0</v>
      </c>
      <c r="BD142" s="76" t="b">
        <v>0</v>
      </c>
      <c r="BE142" s="76" t="b">
        <v>0</v>
      </c>
      <c r="BF142" s="76" t="b">
        <v>0</v>
      </c>
      <c r="BG142" s="76" t="b">
        <v>0</v>
      </c>
      <c r="BH142" s="83" t="str">
        <f>HYPERLINK("https://pbs.twimg.com/profile_banners/1140718543702568968/1612983320")</f>
        <v>https://pbs.twimg.com/profile_banners/1140718543702568968/1612983320</v>
      </c>
      <c r="BI142" s="76"/>
      <c r="BJ142" s="76" t="s">
        <v>6360</v>
      </c>
      <c r="BK142" s="76" t="b">
        <v>0</v>
      </c>
      <c r="BL142" s="76"/>
      <c r="BM142" s="76" t="s">
        <v>66</v>
      </c>
      <c r="BN142" s="76" t="s">
        <v>6362</v>
      </c>
      <c r="BO142" s="83" t="str">
        <f>HYPERLINK("https://twitter.com/crevalleoficial")</f>
        <v>https://twitter.com/crevalleoficial</v>
      </c>
      <c r="BP142" s="2"/>
    </row>
    <row r="143" spans="1:68" x14ac:dyDescent="0.25">
      <c r="A143" s="62" t="s">
        <v>349</v>
      </c>
      <c r="B143" s="63"/>
      <c r="C143" s="63"/>
      <c r="D143" s="64"/>
      <c r="E143" s="66"/>
      <c r="F143" s="102" t="str">
        <f>HYPERLINK("https://pbs.twimg.com/profile_images/1598922012902031361/H_On-qPG_normal.png")</f>
        <v>https://pbs.twimg.com/profile_images/1598922012902031361/H_On-qPG_normal.png</v>
      </c>
      <c r="G143" s="63"/>
      <c r="H143" s="67"/>
      <c r="I143" s="68"/>
      <c r="J143" s="68"/>
      <c r="K143" s="67" t="s">
        <v>6502</v>
      </c>
      <c r="L143" s="71"/>
      <c r="M143" s="72"/>
      <c r="N143" s="72"/>
      <c r="O143" s="73"/>
      <c r="P143" s="74"/>
      <c r="Q143" s="74"/>
      <c r="R143" s="86"/>
      <c r="S143" s="86"/>
      <c r="T143" s="86"/>
      <c r="U143" s="86"/>
      <c r="V143" s="48"/>
      <c r="W143" s="48"/>
      <c r="X143" s="48"/>
      <c r="Y143" s="48"/>
      <c r="Z143" s="47"/>
      <c r="AA143" s="69">
        <v>143</v>
      </c>
      <c r="AB143" s="69"/>
      <c r="AC143" s="70"/>
      <c r="AD143" s="76" t="s">
        <v>5464</v>
      </c>
      <c r="AE143" s="81" t="s">
        <v>5189</v>
      </c>
      <c r="AF143" s="76">
        <v>2</v>
      </c>
      <c r="AG143" s="76">
        <v>40</v>
      </c>
      <c r="AH143" s="76">
        <v>317</v>
      </c>
      <c r="AI143" s="76">
        <v>0</v>
      </c>
      <c r="AJ143" s="76">
        <v>0</v>
      </c>
      <c r="AK143" s="76">
        <v>41</v>
      </c>
      <c r="AL143" s="76" t="b">
        <v>0</v>
      </c>
      <c r="AM143" s="78">
        <v>44898.236504629633</v>
      </c>
      <c r="AN143" s="76" t="s">
        <v>5787</v>
      </c>
      <c r="AO143" s="76" t="s">
        <v>5980</v>
      </c>
      <c r="AP143" s="83" t="str">
        <f>HYPERLINK("https://t.co/MY7NeyMzhh")</f>
        <v>https://t.co/MY7NeyMzhh</v>
      </c>
      <c r="AQ143" s="83" t="str">
        <f>HYPERLINK("https://vegansav.com/")</f>
        <v>https://vegansav.com/</v>
      </c>
      <c r="AR143" s="76" t="s">
        <v>1991</v>
      </c>
      <c r="AS143" s="76"/>
      <c r="AT143" s="76"/>
      <c r="AU143" s="76"/>
      <c r="AV143" s="76"/>
      <c r="AW143" s="83" t="str">
        <f>HYPERLINK("https://t.co/MY7NeyMzhh")</f>
        <v>https://t.co/MY7NeyMzhh</v>
      </c>
      <c r="AX143" s="76" t="b">
        <v>0</v>
      </c>
      <c r="AY143" s="76"/>
      <c r="AZ143" s="76"/>
      <c r="BA143" s="76" t="b">
        <v>0</v>
      </c>
      <c r="BB143" s="76" t="b">
        <v>1</v>
      </c>
      <c r="BC143" s="76" t="b">
        <v>1</v>
      </c>
      <c r="BD143" s="76" t="b">
        <v>0</v>
      </c>
      <c r="BE143" s="76" t="b">
        <v>0</v>
      </c>
      <c r="BF143" s="76" t="b">
        <v>0</v>
      </c>
      <c r="BG143" s="76" t="b">
        <v>0</v>
      </c>
      <c r="BH143" s="83" t="str">
        <f>HYPERLINK("https://pbs.twimg.com/profile_banners/1598914932023521280/1670049487")</f>
        <v>https://pbs.twimg.com/profile_banners/1598914932023521280/1670049487</v>
      </c>
      <c r="BI143" s="76"/>
      <c r="BJ143" s="76" t="s">
        <v>6360</v>
      </c>
      <c r="BK143" s="76" t="b">
        <v>0</v>
      </c>
      <c r="BL143" s="76"/>
      <c r="BM143" s="76" t="s">
        <v>66</v>
      </c>
      <c r="BN143" s="76" t="s">
        <v>6362</v>
      </c>
      <c r="BO143" s="83" t="str">
        <f>HYPERLINK("https://twitter.com/vegansav22")</f>
        <v>https://twitter.com/vegansav22</v>
      </c>
      <c r="BP143" s="2"/>
    </row>
    <row r="144" spans="1:68" x14ac:dyDescent="0.25">
      <c r="A144" s="62" t="s">
        <v>350</v>
      </c>
      <c r="B144" s="63"/>
      <c r="C144" s="63"/>
      <c r="D144" s="64"/>
      <c r="E144" s="66"/>
      <c r="F144" s="102" t="str">
        <f>HYPERLINK("https://pbs.twimg.com/profile_images/1651046412283412480/FjbmpLiW_normal.jpg")</f>
        <v>https://pbs.twimg.com/profile_images/1651046412283412480/FjbmpLiW_normal.jpg</v>
      </c>
      <c r="G144" s="63"/>
      <c r="H144" s="67"/>
      <c r="I144" s="68"/>
      <c r="J144" s="68"/>
      <c r="K144" s="67" t="s">
        <v>6503</v>
      </c>
      <c r="L144" s="71"/>
      <c r="M144" s="72"/>
      <c r="N144" s="72"/>
      <c r="O144" s="73"/>
      <c r="P144" s="74"/>
      <c r="Q144" s="74"/>
      <c r="R144" s="86"/>
      <c r="S144" s="86"/>
      <c r="T144" s="86"/>
      <c r="U144" s="86"/>
      <c r="V144" s="48"/>
      <c r="W144" s="48"/>
      <c r="X144" s="48"/>
      <c r="Y144" s="48"/>
      <c r="Z144" s="47"/>
      <c r="AA144" s="69">
        <v>144</v>
      </c>
      <c r="AB144" s="69"/>
      <c r="AC144" s="70"/>
      <c r="AD144" s="76" t="s">
        <v>5465</v>
      </c>
      <c r="AE144" s="81" t="s">
        <v>5048</v>
      </c>
      <c r="AF144" s="76">
        <v>2</v>
      </c>
      <c r="AG144" s="76">
        <v>2</v>
      </c>
      <c r="AH144" s="76">
        <v>26</v>
      </c>
      <c r="AI144" s="76">
        <v>0</v>
      </c>
      <c r="AJ144" s="76">
        <v>2</v>
      </c>
      <c r="AK144" s="76">
        <v>5</v>
      </c>
      <c r="AL144" s="76" t="b">
        <v>0</v>
      </c>
      <c r="AM144" s="78">
        <v>45022.725613425922</v>
      </c>
      <c r="AN144" s="76"/>
      <c r="AO144" s="76" t="s">
        <v>5981</v>
      </c>
      <c r="AP144" s="83" t="str">
        <f>HYPERLINK("https://t.co/gdmUTwQgK4")</f>
        <v>https://t.co/gdmUTwQgK4</v>
      </c>
      <c r="AQ144" s="83" t="str">
        <f>HYPERLINK("https://capitalizeja.com.br")</f>
        <v>https://capitalizeja.com.br</v>
      </c>
      <c r="AR144" s="76" t="s">
        <v>6220</v>
      </c>
      <c r="AS144" s="76"/>
      <c r="AT144" s="76"/>
      <c r="AU144" s="76"/>
      <c r="AV144" s="76"/>
      <c r="AW144" s="83" t="str">
        <f>HYPERLINK("https://t.co/gdmUTwQgK4")</f>
        <v>https://t.co/gdmUTwQgK4</v>
      </c>
      <c r="AX144" s="76" t="b">
        <v>0</v>
      </c>
      <c r="AY144" s="76"/>
      <c r="AZ144" s="76"/>
      <c r="BA144" s="76" t="b">
        <v>0</v>
      </c>
      <c r="BB144" s="76" t="b">
        <v>1</v>
      </c>
      <c r="BC144" s="76" t="b">
        <v>1</v>
      </c>
      <c r="BD144" s="76" t="b">
        <v>0</v>
      </c>
      <c r="BE144" s="76" t="b">
        <v>0</v>
      </c>
      <c r="BF144" s="76" t="b">
        <v>0</v>
      </c>
      <c r="BG144" s="76" t="b">
        <v>0</v>
      </c>
      <c r="BH144" s="83" t="str">
        <f>HYPERLINK("https://pbs.twimg.com/profile_banners/1644028385784373249/1681929127")</f>
        <v>https://pbs.twimg.com/profile_banners/1644028385784373249/1681929127</v>
      </c>
      <c r="BI144" s="76"/>
      <c r="BJ144" s="76" t="s">
        <v>6360</v>
      </c>
      <c r="BK144" s="76" t="b">
        <v>0</v>
      </c>
      <c r="BL144" s="76"/>
      <c r="BM144" s="76" t="s">
        <v>66</v>
      </c>
      <c r="BN144" s="76" t="s">
        <v>6362</v>
      </c>
      <c r="BO144" s="83" t="str">
        <f>HYPERLINK("https://twitter.com/capitalizeja")</f>
        <v>https://twitter.com/capitalizeja</v>
      </c>
      <c r="BP144" s="2"/>
    </row>
    <row r="145" spans="1:68" x14ac:dyDescent="0.25">
      <c r="A145" s="62" t="s">
        <v>351</v>
      </c>
      <c r="B145" s="63"/>
      <c r="C145" s="63"/>
      <c r="D145" s="64"/>
      <c r="E145" s="66"/>
      <c r="F145" s="102" t="str">
        <f>HYPERLINK("https://pbs.twimg.com/profile_images/1661790216250687500/purhJhH7_normal.jpg")</f>
        <v>https://pbs.twimg.com/profile_images/1661790216250687500/purhJhH7_normal.jpg</v>
      </c>
      <c r="G145" s="63"/>
      <c r="H145" s="67"/>
      <c r="I145" s="68"/>
      <c r="J145" s="68"/>
      <c r="K145" s="67" t="s">
        <v>6504</v>
      </c>
      <c r="L145" s="71"/>
      <c r="M145" s="72"/>
      <c r="N145" s="72"/>
      <c r="O145" s="73"/>
      <c r="P145" s="74"/>
      <c r="Q145" s="74"/>
      <c r="R145" s="86"/>
      <c r="S145" s="86"/>
      <c r="T145" s="86"/>
      <c r="U145" s="86"/>
      <c r="V145" s="48"/>
      <c r="W145" s="48"/>
      <c r="X145" s="48"/>
      <c r="Y145" s="48"/>
      <c r="Z145" s="47"/>
      <c r="AA145" s="69">
        <v>145</v>
      </c>
      <c r="AB145" s="69"/>
      <c r="AC145" s="70"/>
      <c r="AD145" s="76" t="s">
        <v>5466</v>
      </c>
      <c r="AE145" s="81" t="s">
        <v>5190</v>
      </c>
      <c r="AF145" s="76">
        <v>6</v>
      </c>
      <c r="AG145" s="76">
        <v>0</v>
      </c>
      <c r="AH145" s="76">
        <v>263</v>
      </c>
      <c r="AI145" s="76">
        <v>0</v>
      </c>
      <c r="AJ145" s="76">
        <v>0</v>
      </c>
      <c r="AK145" s="76">
        <v>0</v>
      </c>
      <c r="AL145" s="76" t="b">
        <v>0</v>
      </c>
      <c r="AM145" s="78">
        <v>45071.738726851851</v>
      </c>
      <c r="AN145" s="76" t="s">
        <v>3435</v>
      </c>
      <c r="AO145" s="76" t="s">
        <v>5982</v>
      </c>
      <c r="AP145" s="76"/>
      <c r="AQ145" s="76"/>
      <c r="AR145" s="76"/>
      <c r="AS145" s="76" t="s">
        <v>6338</v>
      </c>
      <c r="AT145" s="76" t="s">
        <v>6342</v>
      </c>
      <c r="AU145" s="76" t="s">
        <v>6350</v>
      </c>
      <c r="AV145" s="76"/>
      <c r="AW145" s="76"/>
      <c r="AX145" s="76" t="b">
        <v>0</v>
      </c>
      <c r="AY145" s="76"/>
      <c r="AZ145" s="76"/>
      <c r="BA145" s="76" t="b">
        <v>0</v>
      </c>
      <c r="BB145" s="76" t="b">
        <v>1</v>
      </c>
      <c r="BC145" s="76" t="b">
        <v>1</v>
      </c>
      <c r="BD145" s="76" t="b">
        <v>0</v>
      </c>
      <c r="BE145" s="76" t="b">
        <v>0</v>
      </c>
      <c r="BF145" s="76" t="b">
        <v>0</v>
      </c>
      <c r="BG145" s="76" t="b">
        <v>0</v>
      </c>
      <c r="BH145" s="83" t="str">
        <f>HYPERLINK("https://pbs.twimg.com/profile_banners/1661790129126604801/1685148746")</f>
        <v>https://pbs.twimg.com/profile_banners/1661790129126604801/1685148746</v>
      </c>
      <c r="BI145" s="76"/>
      <c r="BJ145" s="76" t="s">
        <v>6360</v>
      </c>
      <c r="BK145" s="76" t="b">
        <v>0</v>
      </c>
      <c r="BL145" s="76"/>
      <c r="BM145" s="76" t="s">
        <v>66</v>
      </c>
      <c r="BN145" s="76" t="s">
        <v>6362</v>
      </c>
      <c r="BO145" s="83" t="str">
        <f>HYPERLINK("https://twitter.com/aleatoriando_o")</f>
        <v>https://twitter.com/aleatoriando_o</v>
      </c>
      <c r="BP145" s="2"/>
    </row>
    <row r="146" spans="1:68" x14ac:dyDescent="0.25">
      <c r="A146" s="62" t="s">
        <v>352</v>
      </c>
      <c r="B146" s="63"/>
      <c r="C146" s="63"/>
      <c r="D146" s="64"/>
      <c r="E146" s="66"/>
      <c r="F146" s="102" t="str">
        <f>HYPERLINK("https://pbs.twimg.com/profile_images/751768700802523136/wNlyU48D_normal.jpg")</f>
        <v>https://pbs.twimg.com/profile_images/751768700802523136/wNlyU48D_normal.jpg</v>
      </c>
      <c r="G146" s="63"/>
      <c r="H146" s="67"/>
      <c r="I146" s="68"/>
      <c r="J146" s="68"/>
      <c r="K146" s="67" t="s">
        <v>6505</v>
      </c>
      <c r="L146" s="71"/>
      <c r="M146" s="72"/>
      <c r="N146" s="72"/>
      <c r="O146" s="73"/>
      <c r="P146" s="74"/>
      <c r="Q146" s="74"/>
      <c r="R146" s="86"/>
      <c r="S146" s="86"/>
      <c r="T146" s="86"/>
      <c r="U146" s="86"/>
      <c r="V146" s="48"/>
      <c r="W146" s="48"/>
      <c r="X146" s="48"/>
      <c r="Y146" s="48"/>
      <c r="Z146" s="47"/>
      <c r="AA146" s="69">
        <v>146</v>
      </c>
      <c r="AB146" s="69"/>
      <c r="AC146" s="70"/>
      <c r="AD146" s="76" t="s">
        <v>5467</v>
      </c>
      <c r="AE146" s="81" t="s">
        <v>5682</v>
      </c>
      <c r="AF146" s="76">
        <v>238</v>
      </c>
      <c r="AG146" s="76">
        <v>521</v>
      </c>
      <c r="AH146" s="76">
        <v>15984</v>
      </c>
      <c r="AI146" s="76">
        <v>0</v>
      </c>
      <c r="AJ146" s="76">
        <v>37</v>
      </c>
      <c r="AK146" s="76">
        <v>3113</v>
      </c>
      <c r="AL146" s="76" t="b">
        <v>0</v>
      </c>
      <c r="AM146" s="78">
        <v>42316.645486111112</v>
      </c>
      <c r="AN146" s="76"/>
      <c r="AO146" s="76" t="s">
        <v>5983</v>
      </c>
      <c r="AP146" s="83" t="str">
        <f>HYPERLINK("https://t.co/q4DQJFiaF6")</f>
        <v>https://t.co/q4DQJFiaF6</v>
      </c>
      <c r="AQ146" s="83" t="str">
        <f>HYPERLINK("http://www.autodestaque.net.br")</f>
        <v>http://www.autodestaque.net.br</v>
      </c>
      <c r="AR146" s="76" t="s">
        <v>6221</v>
      </c>
      <c r="AS146" s="76"/>
      <c r="AT146" s="76"/>
      <c r="AU146" s="76"/>
      <c r="AV146" s="76"/>
      <c r="AW146" s="83" t="str">
        <f>HYPERLINK("https://t.co/q4DQJFiaF6")</f>
        <v>https://t.co/q4DQJFiaF6</v>
      </c>
      <c r="AX146" s="76" t="b">
        <v>0</v>
      </c>
      <c r="AY146" s="76"/>
      <c r="AZ146" s="76"/>
      <c r="BA146" s="76" t="b">
        <v>0</v>
      </c>
      <c r="BB146" s="76" t="b">
        <v>1</v>
      </c>
      <c r="BC146" s="76" t="b">
        <v>1</v>
      </c>
      <c r="BD146" s="76" t="b">
        <v>0</v>
      </c>
      <c r="BE146" s="76" t="b">
        <v>0</v>
      </c>
      <c r="BF146" s="76" t="b">
        <v>0</v>
      </c>
      <c r="BG146" s="76" t="b">
        <v>0</v>
      </c>
      <c r="BH146" s="83" t="str">
        <f>HYPERLINK("https://pbs.twimg.com/profile_banners/4142639176/1468259990")</f>
        <v>https://pbs.twimg.com/profile_banners/4142639176/1468259990</v>
      </c>
      <c r="BI146" s="76"/>
      <c r="BJ146" s="76" t="s">
        <v>6360</v>
      </c>
      <c r="BK146" s="76" t="b">
        <v>0</v>
      </c>
      <c r="BL146" s="76"/>
      <c r="BM146" s="76" t="s">
        <v>66</v>
      </c>
      <c r="BN146" s="76" t="s">
        <v>6362</v>
      </c>
      <c r="BO146" s="83" t="str">
        <f>HYPERLINK("https://twitter.com/autodestaque")</f>
        <v>https://twitter.com/autodestaque</v>
      </c>
      <c r="BP146" s="2"/>
    </row>
    <row r="147" spans="1:68" x14ac:dyDescent="0.25">
      <c r="A147" s="62" t="s">
        <v>353</v>
      </c>
      <c r="B147" s="63"/>
      <c r="C147" s="63"/>
      <c r="D147" s="64"/>
      <c r="E147" s="66"/>
      <c r="F147" s="102" t="str">
        <f>HYPERLINK("https://pbs.twimg.com/profile_images/1603457830371135493/a-Gn_l-c_normal.jpg")</f>
        <v>https://pbs.twimg.com/profile_images/1603457830371135493/a-Gn_l-c_normal.jpg</v>
      </c>
      <c r="G147" s="63"/>
      <c r="H147" s="67"/>
      <c r="I147" s="68"/>
      <c r="J147" s="68"/>
      <c r="K147" s="67" t="s">
        <v>6506</v>
      </c>
      <c r="L147" s="71"/>
      <c r="M147" s="72"/>
      <c r="N147" s="72"/>
      <c r="O147" s="73"/>
      <c r="P147" s="74"/>
      <c r="Q147" s="74"/>
      <c r="R147" s="86"/>
      <c r="S147" s="86"/>
      <c r="T147" s="86"/>
      <c r="U147" s="86"/>
      <c r="V147" s="48"/>
      <c r="W147" s="48"/>
      <c r="X147" s="48"/>
      <c r="Y147" s="48"/>
      <c r="Z147" s="47"/>
      <c r="AA147" s="69">
        <v>147</v>
      </c>
      <c r="AB147" s="69"/>
      <c r="AC147" s="70"/>
      <c r="AD147" s="76" t="s">
        <v>5468</v>
      </c>
      <c r="AE147" s="81" t="s">
        <v>5683</v>
      </c>
      <c r="AF147" s="76">
        <v>380</v>
      </c>
      <c r="AG147" s="76">
        <v>146</v>
      </c>
      <c r="AH147" s="76">
        <v>881</v>
      </c>
      <c r="AI147" s="76">
        <v>7</v>
      </c>
      <c r="AJ147" s="76">
        <v>35</v>
      </c>
      <c r="AK147" s="76">
        <v>630</v>
      </c>
      <c r="AL147" s="76" t="b">
        <v>0</v>
      </c>
      <c r="AM147" s="78">
        <v>40021.829270833332</v>
      </c>
      <c r="AN147" s="76" t="s">
        <v>5788</v>
      </c>
      <c r="AO147" s="76" t="s">
        <v>5984</v>
      </c>
      <c r="AP147" s="83" t="str">
        <f>HYPERLINK("https://t.co/mfq7oyvB3s")</f>
        <v>https://t.co/mfq7oyvB3s</v>
      </c>
      <c r="AQ147" s="83" t="str">
        <f>HYPERLINK("http://www.junqueirasampaio.com.br")</f>
        <v>http://www.junqueirasampaio.com.br</v>
      </c>
      <c r="AR147" s="76" t="s">
        <v>6222</v>
      </c>
      <c r="AS147" s="76"/>
      <c r="AT147" s="76"/>
      <c r="AU147" s="76"/>
      <c r="AV147" s="76"/>
      <c r="AW147" s="83" t="str">
        <f>HYPERLINK("https://t.co/mfq7oyvB3s")</f>
        <v>https://t.co/mfq7oyvB3s</v>
      </c>
      <c r="AX147" s="76" t="b">
        <v>0</v>
      </c>
      <c r="AY147" s="76"/>
      <c r="AZ147" s="76"/>
      <c r="BA147" s="76" t="b">
        <v>0</v>
      </c>
      <c r="BB147" s="76" t="b">
        <v>1</v>
      </c>
      <c r="BC147" s="76" t="b">
        <v>1</v>
      </c>
      <c r="BD147" s="76" t="b">
        <v>0</v>
      </c>
      <c r="BE147" s="76" t="b">
        <v>0</v>
      </c>
      <c r="BF147" s="76" t="b">
        <v>0</v>
      </c>
      <c r="BG147" s="76" t="b">
        <v>0</v>
      </c>
      <c r="BH147" s="83" t="str">
        <f>HYPERLINK("https://pbs.twimg.com/profile_banners/60692388/1644463469")</f>
        <v>https://pbs.twimg.com/profile_banners/60692388/1644463469</v>
      </c>
      <c r="BI147" s="76"/>
      <c r="BJ147" s="76" t="s">
        <v>6360</v>
      </c>
      <c r="BK147" s="76" t="b">
        <v>0</v>
      </c>
      <c r="BL147" s="76"/>
      <c r="BM147" s="76" t="s">
        <v>66</v>
      </c>
      <c r="BN147" s="76" t="s">
        <v>6362</v>
      </c>
      <c r="BO147" s="83" t="str">
        <f>HYPERLINK("https://twitter.com/junqueiradenis")</f>
        <v>https://twitter.com/junqueiradenis</v>
      </c>
      <c r="BP147" s="2"/>
    </row>
    <row r="148" spans="1:68" x14ac:dyDescent="0.25">
      <c r="A148" s="62" t="s">
        <v>354</v>
      </c>
      <c r="B148" s="63"/>
      <c r="C148" s="63"/>
      <c r="D148" s="64"/>
      <c r="E148" s="66"/>
      <c r="F148" s="102" t="str">
        <f>HYPERLINK("https://pbs.twimg.com/profile_images/1678451321693773835/NASBuXkw_normal.jpg")</f>
        <v>https://pbs.twimg.com/profile_images/1678451321693773835/NASBuXkw_normal.jpg</v>
      </c>
      <c r="G148" s="63"/>
      <c r="H148" s="67"/>
      <c r="I148" s="68"/>
      <c r="J148" s="68"/>
      <c r="K148" s="67" t="s">
        <v>6507</v>
      </c>
      <c r="L148" s="71"/>
      <c r="M148" s="72"/>
      <c r="N148" s="72"/>
      <c r="O148" s="73"/>
      <c r="P148" s="74"/>
      <c r="Q148" s="74"/>
      <c r="R148" s="86"/>
      <c r="S148" s="86"/>
      <c r="T148" s="86"/>
      <c r="U148" s="86"/>
      <c r="V148" s="48"/>
      <c r="W148" s="48"/>
      <c r="X148" s="48"/>
      <c r="Y148" s="48"/>
      <c r="Z148" s="47"/>
      <c r="AA148" s="69">
        <v>148</v>
      </c>
      <c r="AB148" s="69"/>
      <c r="AC148" s="70"/>
      <c r="AD148" s="76" t="s">
        <v>5469</v>
      </c>
      <c r="AE148" s="81" t="s">
        <v>5191</v>
      </c>
      <c r="AF148" s="76">
        <v>2</v>
      </c>
      <c r="AG148" s="76">
        <v>4</v>
      </c>
      <c r="AH148" s="76">
        <v>8</v>
      </c>
      <c r="AI148" s="76">
        <v>0</v>
      </c>
      <c r="AJ148" s="76">
        <v>0</v>
      </c>
      <c r="AK148" s="76">
        <v>7</v>
      </c>
      <c r="AL148" s="76" t="b">
        <v>0</v>
      </c>
      <c r="AM148" s="78">
        <v>45113.730300925927</v>
      </c>
      <c r="AN148" s="76" t="s">
        <v>5789</v>
      </c>
      <c r="AO148" s="76" t="s">
        <v>5985</v>
      </c>
      <c r="AP148" s="76"/>
      <c r="AQ148" s="76"/>
      <c r="AR148" s="76"/>
      <c r="AS148" s="76"/>
      <c r="AT148" s="76"/>
      <c r="AU148" s="76"/>
      <c r="AV148" s="76"/>
      <c r="AW148" s="76"/>
      <c r="AX148" s="76" t="b">
        <v>0</v>
      </c>
      <c r="AY148" s="76"/>
      <c r="AZ148" s="76"/>
      <c r="BA148" s="76" t="b">
        <v>0</v>
      </c>
      <c r="BB148" s="76" t="b">
        <v>1</v>
      </c>
      <c r="BC148" s="76" t="b">
        <v>1</v>
      </c>
      <c r="BD148" s="76" t="b">
        <v>0</v>
      </c>
      <c r="BE148" s="76" t="b">
        <v>0</v>
      </c>
      <c r="BF148" s="76" t="b">
        <v>0</v>
      </c>
      <c r="BG148" s="76" t="b">
        <v>0</v>
      </c>
      <c r="BH148" s="83" t="str">
        <f>HYPERLINK("https://pbs.twimg.com/profile_banners/1677007338656391180/1695127539")</f>
        <v>https://pbs.twimg.com/profile_banners/1677007338656391180/1695127539</v>
      </c>
      <c r="BI148" s="76"/>
      <c r="BJ148" s="76" t="s">
        <v>6360</v>
      </c>
      <c r="BK148" s="76" t="b">
        <v>0</v>
      </c>
      <c r="BL148" s="76"/>
      <c r="BM148" s="76" t="s">
        <v>66</v>
      </c>
      <c r="BN148" s="76" t="s">
        <v>6362</v>
      </c>
      <c r="BO148" s="83" t="str">
        <f>HYPERLINK("https://twitter.com/imovelstar")</f>
        <v>https://twitter.com/imovelstar</v>
      </c>
      <c r="BP148" s="2"/>
    </row>
    <row r="149" spans="1:68" x14ac:dyDescent="0.25">
      <c r="A149" s="62" t="s">
        <v>355</v>
      </c>
      <c r="B149" s="63"/>
      <c r="C149" s="63"/>
      <c r="D149" s="64"/>
      <c r="E149" s="66"/>
      <c r="F149" s="102" t="str">
        <f>HYPERLINK("https://pbs.twimg.com/profile_images/1698069367362027520/HouselSP_normal.jpg")</f>
        <v>https://pbs.twimg.com/profile_images/1698069367362027520/HouselSP_normal.jpg</v>
      </c>
      <c r="G149" s="63"/>
      <c r="H149" s="67"/>
      <c r="I149" s="68"/>
      <c r="J149" s="68"/>
      <c r="K149" s="67" t="s">
        <v>6508</v>
      </c>
      <c r="L149" s="71"/>
      <c r="M149" s="72"/>
      <c r="N149" s="72"/>
      <c r="O149" s="73"/>
      <c r="P149" s="74"/>
      <c r="Q149" s="74"/>
      <c r="R149" s="86"/>
      <c r="S149" s="86"/>
      <c r="T149" s="86"/>
      <c r="U149" s="86"/>
      <c r="V149" s="48"/>
      <c r="W149" s="48"/>
      <c r="X149" s="48"/>
      <c r="Y149" s="48"/>
      <c r="Z149" s="47"/>
      <c r="AA149" s="69">
        <v>149</v>
      </c>
      <c r="AB149" s="69"/>
      <c r="AC149" s="70"/>
      <c r="AD149" s="76" t="s">
        <v>5470</v>
      </c>
      <c r="AE149" s="81" t="s">
        <v>5192</v>
      </c>
      <c r="AF149" s="76">
        <v>0</v>
      </c>
      <c r="AG149" s="76">
        <v>6</v>
      </c>
      <c r="AH149" s="76">
        <v>4</v>
      </c>
      <c r="AI149" s="76">
        <v>0</v>
      </c>
      <c r="AJ149" s="76">
        <v>2</v>
      </c>
      <c r="AK149" s="76">
        <v>1</v>
      </c>
      <c r="AL149" s="76" t="b">
        <v>0</v>
      </c>
      <c r="AM149" s="78">
        <v>45171.847534722219</v>
      </c>
      <c r="AN149" s="76" t="s">
        <v>5790</v>
      </c>
      <c r="AO149" s="76" t="s">
        <v>5986</v>
      </c>
      <c r="AP149" s="83" t="str">
        <f>HYPERLINK("https://t.co/u6Hbe99CEd")</f>
        <v>https://t.co/u6Hbe99CEd</v>
      </c>
      <c r="AQ149" s="83" t="str">
        <f>HYPERLINK("https://linktr.ee/tempolimitado")</f>
        <v>https://linktr.ee/tempolimitado</v>
      </c>
      <c r="AR149" s="76" t="s">
        <v>6223</v>
      </c>
      <c r="AS149" s="76"/>
      <c r="AT149" s="76"/>
      <c r="AU149" s="76"/>
      <c r="AV149" s="76"/>
      <c r="AW149" s="83" t="str">
        <f>HYPERLINK("https://t.co/u6Hbe99CEd")</f>
        <v>https://t.co/u6Hbe99CEd</v>
      </c>
      <c r="AX149" s="76" t="b">
        <v>0</v>
      </c>
      <c r="AY149" s="76"/>
      <c r="AZ149" s="76"/>
      <c r="BA149" s="76" t="b">
        <v>0</v>
      </c>
      <c r="BB149" s="76" t="b">
        <v>1</v>
      </c>
      <c r="BC149" s="76" t="b">
        <v>1</v>
      </c>
      <c r="BD149" s="76" t="b">
        <v>0</v>
      </c>
      <c r="BE149" s="76" t="b">
        <v>0</v>
      </c>
      <c r="BF149" s="76" t="b">
        <v>0</v>
      </c>
      <c r="BG149" s="76" t="b">
        <v>0</v>
      </c>
      <c r="BH149" s="83" t="str">
        <f>HYPERLINK("https://pbs.twimg.com/profile_banners/1698068308271013888/1693705478")</f>
        <v>https://pbs.twimg.com/profile_banners/1698068308271013888/1693705478</v>
      </c>
      <c r="BI149" s="76"/>
      <c r="BJ149" s="76" t="s">
        <v>6360</v>
      </c>
      <c r="BK149" s="76" t="b">
        <v>0</v>
      </c>
      <c r="BL149" s="76"/>
      <c r="BM149" s="76" t="s">
        <v>66</v>
      </c>
      <c r="BN149" s="76" t="s">
        <v>6362</v>
      </c>
      <c r="BO149" s="83" t="str">
        <f>HYPERLINK("https://twitter.com/elitemind01")</f>
        <v>https://twitter.com/elitemind01</v>
      </c>
      <c r="BP149" s="2"/>
    </row>
    <row r="150" spans="1:68" x14ac:dyDescent="0.25">
      <c r="A150" s="62" t="s">
        <v>356</v>
      </c>
      <c r="B150" s="63"/>
      <c r="C150" s="63"/>
      <c r="D150" s="64"/>
      <c r="E150" s="66"/>
      <c r="F150" s="102" t="str">
        <f>HYPERLINK("https://pbs.twimg.com/profile_images/1664024456262549505/LEYLe1s-_normal.jpg")</f>
        <v>https://pbs.twimg.com/profile_images/1664024456262549505/LEYLe1s-_normal.jpg</v>
      </c>
      <c r="G150" s="63"/>
      <c r="H150" s="67"/>
      <c r="I150" s="68"/>
      <c r="J150" s="68"/>
      <c r="K150" s="67" t="s">
        <v>6509</v>
      </c>
      <c r="L150" s="71"/>
      <c r="M150" s="72"/>
      <c r="N150" s="72"/>
      <c r="O150" s="73"/>
      <c r="P150" s="74"/>
      <c r="Q150" s="74"/>
      <c r="R150" s="86"/>
      <c r="S150" s="86"/>
      <c r="T150" s="86"/>
      <c r="U150" s="86"/>
      <c r="V150" s="48"/>
      <c r="W150" s="48"/>
      <c r="X150" s="48"/>
      <c r="Y150" s="48"/>
      <c r="Z150" s="47"/>
      <c r="AA150" s="69">
        <v>150</v>
      </c>
      <c r="AB150" s="69"/>
      <c r="AC150" s="70"/>
      <c r="AD150" s="76" t="s">
        <v>5471</v>
      </c>
      <c r="AE150" s="81" t="s">
        <v>5193</v>
      </c>
      <c r="AF150" s="76">
        <v>2</v>
      </c>
      <c r="AG150" s="76">
        <v>33</v>
      </c>
      <c r="AH150" s="76">
        <v>82</v>
      </c>
      <c r="AI150" s="76">
        <v>0</v>
      </c>
      <c r="AJ150" s="76">
        <v>1853</v>
      </c>
      <c r="AK150" s="76">
        <v>5</v>
      </c>
      <c r="AL150" s="76" t="b">
        <v>0</v>
      </c>
      <c r="AM150" s="78">
        <v>44885.700138888889</v>
      </c>
      <c r="AN150" s="76" t="s">
        <v>5776</v>
      </c>
      <c r="AO150" s="76" t="s">
        <v>5987</v>
      </c>
      <c r="AP150" s="83" t="str">
        <f>HYPERLINK("https://t.co/Eyo2nnVkAy")</f>
        <v>https://t.co/Eyo2nnVkAy</v>
      </c>
      <c r="AQ150" s="83" t="str">
        <f>HYPERLINK("http://www.vivendoplenamente.com.br")</f>
        <v>http://www.vivendoplenamente.com.br</v>
      </c>
      <c r="AR150" s="76" t="s">
        <v>6224</v>
      </c>
      <c r="AS150" s="76"/>
      <c r="AT150" s="76"/>
      <c r="AU150" s="76"/>
      <c r="AV150" s="76"/>
      <c r="AW150" s="83" t="str">
        <f>HYPERLINK("https://t.co/Eyo2nnVkAy")</f>
        <v>https://t.co/Eyo2nnVkAy</v>
      </c>
      <c r="AX150" s="76" t="b">
        <v>0</v>
      </c>
      <c r="AY150" s="76"/>
      <c r="AZ150" s="76"/>
      <c r="BA150" s="76" t="b">
        <v>0</v>
      </c>
      <c r="BB150" s="76" t="b">
        <v>0</v>
      </c>
      <c r="BC150" s="76" t="b">
        <v>1</v>
      </c>
      <c r="BD150" s="76" t="b">
        <v>0</v>
      </c>
      <c r="BE150" s="76" t="b">
        <v>1</v>
      </c>
      <c r="BF150" s="76" t="b">
        <v>0</v>
      </c>
      <c r="BG150" s="76" t="b">
        <v>0</v>
      </c>
      <c r="BH150" s="83" t="str">
        <f>HYPERLINK("https://pbs.twimg.com/profile_banners/1594371871763480581/1685569323")</f>
        <v>https://pbs.twimg.com/profile_banners/1594371871763480581/1685569323</v>
      </c>
      <c r="BI150" s="76"/>
      <c r="BJ150" s="76" t="s">
        <v>6360</v>
      </c>
      <c r="BK150" s="76" t="b">
        <v>0</v>
      </c>
      <c r="BL150" s="76"/>
      <c r="BM150" s="76" t="s">
        <v>66</v>
      </c>
      <c r="BN150" s="76" t="s">
        <v>6362</v>
      </c>
      <c r="BO150" s="83" t="str">
        <f>HYPERLINK("https://twitter.com/almepoupa")</f>
        <v>https://twitter.com/almepoupa</v>
      </c>
      <c r="BP150" s="2"/>
    </row>
    <row r="151" spans="1:68" x14ac:dyDescent="0.25">
      <c r="A151" s="62" t="s">
        <v>357</v>
      </c>
      <c r="B151" s="63"/>
      <c r="C151" s="63"/>
      <c r="D151" s="64"/>
      <c r="E151" s="66"/>
      <c r="F151" s="102" t="str">
        <f>HYPERLINK("https://pbs.twimg.com/profile_images/1673694497786540034/Tnj_Sswq_normal.jpg")</f>
        <v>https://pbs.twimg.com/profile_images/1673694497786540034/Tnj_Sswq_normal.jpg</v>
      </c>
      <c r="G151" s="63"/>
      <c r="H151" s="67"/>
      <c r="I151" s="68"/>
      <c r="J151" s="68"/>
      <c r="K151" s="67" t="s">
        <v>6510</v>
      </c>
      <c r="L151" s="71"/>
      <c r="M151" s="72"/>
      <c r="N151" s="72"/>
      <c r="O151" s="73"/>
      <c r="P151" s="74"/>
      <c r="Q151" s="74"/>
      <c r="R151" s="86"/>
      <c r="S151" s="86"/>
      <c r="T151" s="86"/>
      <c r="U151" s="86"/>
      <c r="V151" s="48"/>
      <c r="W151" s="48"/>
      <c r="X151" s="48"/>
      <c r="Y151" s="48"/>
      <c r="Z151" s="47"/>
      <c r="AA151" s="69">
        <v>151</v>
      </c>
      <c r="AB151" s="69"/>
      <c r="AC151" s="70"/>
      <c r="AD151" s="76" t="s">
        <v>5472</v>
      </c>
      <c r="AE151" s="81" t="s">
        <v>5194</v>
      </c>
      <c r="AF151" s="76">
        <v>1</v>
      </c>
      <c r="AG151" s="76">
        <v>1</v>
      </c>
      <c r="AH151" s="76">
        <v>42</v>
      </c>
      <c r="AI151" s="76">
        <v>0</v>
      </c>
      <c r="AJ151" s="76">
        <v>59</v>
      </c>
      <c r="AK151" s="76">
        <v>10</v>
      </c>
      <c r="AL151" s="76" t="b">
        <v>0</v>
      </c>
      <c r="AM151" s="78">
        <v>44446.684351851851</v>
      </c>
      <c r="AN151" s="76"/>
      <c r="AO151" s="76" t="s">
        <v>5988</v>
      </c>
      <c r="AP151" s="83" t="str">
        <f>HYPERLINK("https://t.co/m8d7Q2PSJf")</f>
        <v>https://t.co/m8d7Q2PSJf</v>
      </c>
      <c r="AQ151" s="83" t="str">
        <f>HYPERLINK("https://linkbio.co/suajornadaaqui")</f>
        <v>https://linkbio.co/suajornadaaqui</v>
      </c>
      <c r="AR151" s="76" t="s">
        <v>6225</v>
      </c>
      <c r="AS151" s="76"/>
      <c r="AT151" s="76"/>
      <c r="AU151" s="76"/>
      <c r="AV151" s="76">
        <v>1.6738439622709399E+18</v>
      </c>
      <c r="AW151" s="83" t="str">
        <f>HYPERLINK("https://t.co/m8d7Q2PSJf")</f>
        <v>https://t.co/m8d7Q2PSJf</v>
      </c>
      <c r="AX151" s="76" t="b">
        <v>0</v>
      </c>
      <c r="AY151" s="76"/>
      <c r="AZ151" s="76"/>
      <c r="BA151" s="76" t="b">
        <v>1</v>
      </c>
      <c r="BB151" s="76" t="b">
        <v>1</v>
      </c>
      <c r="BC151" s="76" t="b">
        <v>1</v>
      </c>
      <c r="BD151" s="76" t="b">
        <v>0</v>
      </c>
      <c r="BE151" s="76" t="b">
        <v>0</v>
      </c>
      <c r="BF151" s="76" t="b">
        <v>0</v>
      </c>
      <c r="BG151" s="76" t="b">
        <v>0</v>
      </c>
      <c r="BH151" s="83" t="str">
        <f>HYPERLINK("https://pbs.twimg.com/profile_banners/1435277996047454212/1687647355")</f>
        <v>https://pbs.twimg.com/profile_banners/1435277996047454212/1687647355</v>
      </c>
      <c r="BI151" s="76"/>
      <c r="BJ151" s="76" t="s">
        <v>6360</v>
      </c>
      <c r="BK151" s="76" t="b">
        <v>0</v>
      </c>
      <c r="BL151" s="76"/>
      <c r="BM151" s="76" t="s">
        <v>66</v>
      </c>
      <c r="BN151" s="76" t="s">
        <v>6362</v>
      </c>
      <c r="BO151" s="83" t="str">
        <f>HYPERLINK("https://twitter.com/financasdalari")</f>
        <v>https://twitter.com/financasdalari</v>
      </c>
      <c r="BP151" s="2"/>
    </row>
    <row r="152" spans="1:68" x14ac:dyDescent="0.25">
      <c r="A152" s="62" t="s">
        <v>358</v>
      </c>
      <c r="B152" s="63"/>
      <c r="C152" s="63"/>
      <c r="D152" s="64"/>
      <c r="E152" s="66"/>
      <c r="F152" s="102" t="str">
        <f>HYPERLINK("https://pbs.twimg.com/profile_images/1630048707226763265/beny6FI2_normal.jpg")</f>
        <v>https://pbs.twimg.com/profile_images/1630048707226763265/beny6FI2_normal.jpg</v>
      </c>
      <c r="G152" s="63"/>
      <c r="H152" s="67"/>
      <c r="I152" s="68"/>
      <c r="J152" s="68"/>
      <c r="K152" s="67" t="s">
        <v>6511</v>
      </c>
      <c r="L152" s="71"/>
      <c r="M152" s="72"/>
      <c r="N152" s="72"/>
      <c r="O152" s="73"/>
      <c r="P152" s="74"/>
      <c r="Q152" s="74"/>
      <c r="R152" s="86"/>
      <c r="S152" s="86"/>
      <c r="T152" s="86"/>
      <c r="U152" s="86"/>
      <c r="V152" s="48"/>
      <c r="W152" s="48"/>
      <c r="X152" s="48"/>
      <c r="Y152" s="48"/>
      <c r="Z152" s="47"/>
      <c r="AA152" s="69">
        <v>152</v>
      </c>
      <c r="AB152" s="69"/>
      <c r="AC152" s="70"/>
      <c r="AD152" s="76" t="s">
        <v>5473</v>
      </c>
      <c r="AE152" s="81" t="s">
        <v>5684</v>
      </c>
      <c r="AF152" s="76">
        <v>120</v>
      </c>
      <c r="AG152" s="76">
        <v>786</v>
      </c>
      <c r="AH152" s="76">
        <v>249</v>
      </c>
      <c r="AI152" s="76">
        <v>4</v>
      </c>
      <c r="AJ152" s="76">
        <v>5445</v>
      </c>
      <c r="AK152" s="76">
        <v>9</v>
      </c>
      <c r="AL152" s="76" t="b">
        <v>0</v>
      </c>
      <c r="AM152" s="78">
        <v>40018.650937500002</v>
      </c>
      <c r="AN152" s="76" t="s">
        <v>3435</v>
      </c>
      <c r="AO152" s="76"/>
      <c r="AP152" s="76"/>
      <c r="AQ152" s="76"/>
      <c r="AR152" s="76"/>
      <c r="AS152" s="76"/>
      <c r="AT152" s="76"/>
      <c r="AU152" s="76"/>
      <c r="AV152" s="76"/>
      <c r="AW152" s="76"/>
      <c r="AX152" s="76" t="b">
        <v>0</v>
      </c>
      <c r="AY152" s="76"/>
      <c r="AZ152" s="76"/>
      <c r="BA152" s="76" t="b">
        <v>0</v>
      </c>
      <c r="BB152" s="76" t="b">
        <v>1</v>
      </c>
      <c r="BC152" s="76" t="b">
        <v>1</v>
      </c>
      <c r="BD152" s="76" t="b">
        <v>0</v>
      </c>
      <c r="BE152" s="76" t="b">
        <v>1</v>
      </c>
      <c r="BF152" s="76" t="b">
        <v>0</v>
      </c>
      <c r="BG152" s="76" t="b">
        <v>0</v>
      </c>
      <c r="BH152" s="76"/>
      <c r="BI152" s="76"/>
      <c r="BJ152" s="76" t="s">
        <v>6360</v>
      </c>
      <c r="BK152" s="76" t="b">
        <v>0</v>
      </c>
      <c r="BL152" s="76"/>
      <c r="BM152" s="76" t="s">
        <v>66</v>
      </c>
      <c r="BN152" s="76" t="s">
        <v>6362</v>
      </c>
      <c r="BO152" s="83" t="str">
        <f>HYPERLINK("https://twitter.com/sousadavi")</f>
        <v>https://twitter.com/sousadavi</v>
      </c>
      <c r="BP152" s="2"/>
    </row>
    <row r="153" spans="1:68" x14ac:dyDescent="0.25">
      <c r="A153" s="62" t="s">
        <v>359</v>
      </c>
      <c r="B153" s="63"/>
      <c r="C153" s="63"/>
      <c r="D153" s="64"/>
      <c r="E153" s="66"/>
      <c r="F153" s="102" t="str">
        <f>HYPERLINK("https://pbs.twimg.com/profile_images/1595001270372372480/grQvHbT-_normal.jpg")</f>
        <v>https://pbs.twimg.com/profile_images/1595001270372372480/grQvHbT-_normal.jpg</v>
      </c>
      <c r="G153" s="63"/>
      <c r="H153" s="67"/>
      <c r="I153" s="68"/>
      <c r="J153" s="68"/>
      <c r="K153" s="67" t="s">
        <v>6512</v>
      </c>
      <c r="L153" s="71"/>
      <c r="M153" s="72"/>
      <c r="N153" s="72"/>
      <c r="O153" s="73"/>
      <c r="P153" s="74"/>
      <c r="Q153" s="74"/>
      <c r="R153" s="86"/>
      <c r="S153" s="86"/>
      <c r="T153" s="86"/>
      <c r="U153" s="86"/>
      <c r="V153" s="48"/>
      <c r="W153" s="48"/>
      <c r="X153" s="48"/>
      <c r="Y153" s="48"/>
      <c r="Z153" s="47"/>
      <c r="AA153" s="69">
        <v>153</v>
      </c>
      <c r="AB153" s="69"/>
      <c r="AC153" s="70"/>
      <c r="AD153" s="76" t="s">
        <v>5474</v>
      </c>
      <c r="AE153" s="81" t="s">
        <v>5195</v>
      </c>
      <c r="AF153" s="76">
        <v>10</v>
      </c>
      <c r="AG153" s="76">
        <v>86</v>
      </c>
      <c r="AH153" s="76">
        <v>292</v>
      </c>
      <c r="AI153" s="76">
        <v>1</v>
      </c>
      <c r="AJ153" s="76">
        <v>199</v>
      </c>
      <c r="AK153" s="76">
        <v>30</v>
      </c>
      <c r="AL153" s="76" t="b">
        <v>0</v>
      </c>
      <c r="AM153" s="78">
        <v>44887.435428240744</v>
      </c>
      <c r="AN153" s="76"/>
      <c r="AO153" s="76" t="s">
        <v>5989</v>
      </c>
      <c r="AP153" s="76"/>
      <c r="AQ153" s="76"/>
      <c r="AR153" s="76"/>
      <c r="AS153" s="76"/>
      <c r="AT153" s="76"/>
      <c r="AU153" s="76"/>
      <c r="AV153" s="76"/>
      <c r="AW153" s="76"/>
      <c r="AX153" s="76" t="b">
        <v>0</v>
      </c>
      <c r="AY153" s="76"/>
      <c r="AZ153" s="76"/>
      <c r="BA153" s="76" t="b">
        <v>0</v>
      </c>
      <c r="BB153" s="76" t="b">
        <v>1</v>
      </c>
      <c r="BC153" s="76" t="b">
        <v>1</v>
      </c>
      <c r="BD153" s="76" t="b">
        <v>0</v>
      </c>
      <c r="BE153" s="76" t="b">
        <v>0</v>
      </c>
      <c r="BF153" s="76" t="b">
        <v>0</v>
      </c>
      <c r="BG153" s="76" t="b">
        <v>0</v>
      </c>
      <c r="BH153" s="83" t="str">
        <f>HYPERLINK("https://pbs.twimg.com/profile_banners/1595000808600485889/1669113574")</f>
        <v>https://pbs.twimg.com/profile_banners/1595000808600485889/1669113574</v>
      </c>
      <c r="BI153" s="76"/>
      <c r="BJ153" s="76" t="s">
        <v>6360</v>
      </c>
      <c r="BK153" s="76" t="b">
        <v>0</v>
      </c>
      <c r="BL153" s="76"/>
      <c r="BM153" s="76" t="s">
        <v>66</v>
      </c>
      <c r="BN153" s="76" t="s">
        <v>6362</v>
      </c>
      <c r="BO153" s="83" t="str">
        <f>HYPERLINK("https://twitter.com/giovannesilva22")</f>
        <v>https://twitter.com/giovannesilva22</v>
      </c>
      <c r="BP153" s="2"/>
    </row>
    <row r="154" spans="1:68" x14ac:dyDescent="0.25">
      <c r="A154" s="62" t="s">
        <v>360</v>
      </c>
      <c r="B154" s="63"/>
      <c r="C154" s="63"/>
      <c r="D154" s="64"/>
      <c r="E154" s="66"/>
      <c r="F154" s="102" t="str">
        <f>HYPERLINK("https://pbs.twimg.com/profile_images/1662255358281232384/VCpgqGrM_normal.jpg")</f>
        <v>https://pbs.twimg.com/profile_images/1662255358281232384/VCpgqGrM_normal.jpg</v>
      </c>
      <c r="G154" s="63"/>
      <c r="H154" s="67"/>
      <c r="I154" s="68"/>
      <c r="J154" s="68"/>
      <c r="K154" s="67" t="s">
        <v>6513</v>
      </c>
      <c r="L154" s="71"/>
      <c r="M154" s="72"/>
      <c r="N154" s="72"/>
      <c r="O154" s="73"/>
      <c r="P154" s="74"/>
      <c r="Q154" s="74"/>
      <c r="R154" s="86"/>
      <c r="S154" s="86"/>
      <c r="T154" s="86"/>
      <c r="U154" s="86"/>
      <c r="V154" s="48"/>
      <c r="W154" s="48"/>
      <c r="X154" s="48"/>
      <c r="Y154" s="48"/>
      <c r="Z154" s="47"/>
      <c r="AA154" s="69">
        <v>154</v>
      </c>
      <c r="AB154" s="69"/>
      <c r="AC154" s="70"/>
      <c r="AD154" s="76" t="s">
        <v>5475</v>
      </c>
      <c r="AE154" s="81" t="s">
        <v>5196</v>
      </c>
      <c r="AF154" s="76">
        <v>2</v>
      </c>
      <c r="AG154" s="76">
        <v>0</v>
      </c>
      <c r="AH154" s="76">
        <v>192</v>
      </c>
      <c r="AI154" s="76">
        <v>0</v>
      </c>
      <c r="AJ154" s="76">
        <v>0</v>
      </c>
      <c r="AK154" s="76">
        <v>0</v>
      </c>
      <c r="AL154" s="76" t="b">
        <v>0</v>
      </c>
      <c r="AM154" s="78">
        <v>45073.022210648145</v>
      </c>
      <c r="AN154" s="76"/>
      <c r="AO154" s="76" t="s">
        <v>5990</v>
      </c>
      <c r="AP154" s="83" t="str">
        <f>HYPERLINK("https://t.co/lH4DuljcOx")</f>
        <v>https://t.co/lH4DuljcOx</v>
      </c>
      <c r="AQ154" s="83" t="str">
        <f>HYPERLINK("https://invistafinancas.com.br/")</f>
        <v>https://invistafinancas.com.br/</v>
      </c>
      <c r="AR154" s="76" t="s">
        <v>6226</v>
      </c>
      <c r="AS154" s="76" t="s">
        <v>6339</v>
      </c>
      <c r="AT154" s="76" t="s">
        <v>6343</v>
      </c>
      <c r="AU154" s="76" t="s">
        <v>6351</v>
      </c>
      <c r="AV154" s="76"/>
      <c r="AW154" s="83" t="str">
        <f>HYPERLINK("https://t.co/lH4DuljcOx")</f>
        <v>https://t.co/lH4DuljcOx</v>
      </c>
      <c r="AX154" s="76" t="b">
        <v>0</v>
      </c>
      <c r="AY154" s="76"/>
      <c r="AZ154" s="76"/>
      <c r="BA154" s="76" t="b">
        <v>0</v>
      </c>
      <c r="BB154" s="76" t="b">
        <v>1</v>
      </c>
      <c r="BC154" s="76" t="b">
        <v>1</v>
      </c>
      <c r="BD154" s="76" t="b">
        <v>0</v>
      </c>
      <c r="BE154" s="76" t="b">
        <v>0</v>
      </c>
      <c r="BF154" s="76" t="b">
        <v>0</v>
      </c>
      <c r="BG154" s="76" t="b">
        <v>0</v>
      </c>
      <c r="BH154" s="83" t="str">
        <f>HYPERLINK("https://pbs.twimg.com/profile_banners/1662255263951343617/1685147688")</f>
        <v>https://pbs.twimg.com/profile_banners/1662255263951343617/1685147688</v>
      </c>
      <c r="BI154" s="76"/>
      <c r="BJ154" s="76" t="s">
        <v>6360</v>
      </c>
      <c r="BK154" s="76" t="b">
        <v>0</v>
      </c>
      <c r="BL154" s="76"/>
      <c r="BM154" s="76" t="s">
        <v>66</v>
      </c>
      <c r="BN154" s="76" t="s">
        <v>6362</v>
      </c>
      <c r="BO154" s="83" t="str">
        <f>HYPERLINK("https://twitter.com/invistafinancas")</f>
        <v>https://twitter.com/invistafinancas</v>
      </c>
      <c r="BP154" s="2"/>
    </row>
    <row r="155" spans="1:68" x14ac:dyDescent="0.25">
      <c r="A155" s="62" t="s">
        <v>361</v>
      </c>
      <c r="B155" s="63"/>
      <c r="C155" s="63"/>
      <c r="D155" s="64"/>
      <c r="E155" s="66"/>
      <c r="F155" s="102" t="str">
        <f>HYPERLINK("https://pbs.twimg.com/profile_images/1585206485218467840/kBjO1S7j_normal.jpg")</f>
        <v>https://pbs.twimg.com/profile_images/1585206485218467840/kBjO1S7j_normal.jpg</v>
      </c>
      <c r="G155" s="63"/>
      <c r="H155" s="67"/>
      <c r="I155" s="68"/>
      <c r="J155" s="68"/>
      <c r="K155" s="67" t="s">
        <v>6514</v>
      </c>
      <c r="L155" s="71"/>
      <c r="M155" s="72"/>
      <c r="N155" s="72"/>
      <c r="O155" s="73"/>
      <c r="P155" s="74"/>
      <c r="Q155" s="74"/>
      <c r="R155" s="86"/>
      <c r="S155" s="86"/>
      <c r="T155" s="86"/>
      <c r="U155" s="86"/>
      <c r="V155" s="48"/>
      <c r="W155" s="48"/>
      <c r="X155" s="48"/>
      <c r="Y155" s="48"/>
      <c r="Z155" s="47"/>
      <c r="AA155" s="69">
        <v>155</v>
      </c>
      <c r="AB155" s="69"/>
      <c r="AC155" s="70"/>
      <c r="AD155" s="76" t="s">
        <v>5476</v>
      </c>
      <c r="AE155" s="81" t="s">
        <v>5197</v>
      </c>
      <c r="AF155" s="76">
        <v>64</v>
      </c>
      <c r="AG155" s="76">
        <v>206</v>
      </c>
      <c r="AH155" s="76">
        <v>341</v>
      </c>
      <c r="AI155" s="76">
        <v>0</v>
      </c>
      <c r="AJ155" s="76">
        <v>102</v>
      </c>
      <c r="AK155" s="76">
        <v>54</v>
      </c>
      <c r="AL155" s="76" t="b">
        <v>0</v>
      </c>
      <c r="AM155" s="78">
        <v>44860.405486111114</v>
      </c>
      <c r="AN155" s="76" t="s">
        <v>5791</v>
      </c>
      <c r="AO155" s="76" t="s">
        <v>5991</v>
      </c>
      <c r="AP155" s="83" t="str">
        <f>HYPERLINK("https://t.co/B9aFBcTMNu")</f>
        <v>https://t.co/B9aFBcTMNu</v>
      </c>
      <c r="AQ155" s="83" t="str">
        <f>HYPERLINK("http://investoom.com")</f>
        <v>http://investoom.com</v>
      </c>
      <c r="AR155" s="76" t="s">
        <v>6175</v>
      </c>
      <c r="AS155" s="76"/>
      <c r="AT155" s="76"/>
      <c r="AU155" s="76"/>
      <c r="AV155" s="76"/>
      <c r="AW155" s="83" t="str">
        <f>HYPERLINK("https://t.co/B9aFBcTMNu")</f>
        <v>https://t.co/B9aFBcTMNu</v>
      </c>
      <c r="AX155" s="76" t="b">
        <v>0</v>
      </c>
      <c r="AY155" s="76"/>
      <c r="AZ155" s="76"/>
      <c r="BA155" s="76" t="b">
        <v>0</v>
      </c>
      <c r="BB155" s="76" t="b">
        <v>1</v>
      </c>
      <c r="BC155" s="76" t="b">
        <v>1</v>
      </c>
      <c r="BD155" s="76" t="b">
        <v>0</v>
      </c>
      <c r="BE155" s="76" t="b">
        <v>1</v>
      </c>
      <c r="BF155" s="76" t="b">
        <v>0</v>
      </c>
      <c r="BG155" s="76" t="b">
        <v>0</v>
      </c>
      <c r="BH155" s="76"/>
      <c r="BI155" s="76"/>
      <c r="BJ155" s="76" t="s">
        <v>6360</v>
      </c>
      <c r="BK155" s="76" t="b">
        <v>0</v>
      </c>
      <c r="BL155" s="76"/>
      <c r="BM155" s="76" t="s">
        <v>66</v>
      </c>
      <c r="BN155" s="76" t="s">
        <v>6362</v>
      </c>
      <c r="BO155" s="83" t="str">
        <f>HYPERLINK("https://twitter.com/investoom_com")</f>
        <v>https://twitter.com/investoom_com</v>
      </c>
      <c r="BP155" s="2"/>
    </row>
    <row r="156" spans="1:68" x14ac:dyDescent="0.25">
      <c r="A156" s="62" t="s">
        <v>362</v>
      </c>
      <c r="B156" s="63"/>
      <c r="C156" s="63"/>
      <c r="D156" s="64"/>
      <c r="E156" s="66"/>
      <c r="F156" s="102" t="str">
        <f>HYPERLINK("https://pbs.twimg.com/profile_images/1654470883371565058/UJIlAYCp_normal.jpg")</f>
        <v>https://pbs.twimg.com/profile_images/1654470883371565058/UJIlAYCp_normal.jpg</v>
      </c>
      <c r="G156" s="63"/>
      <c r="H156" s="67"/>
      <c r="I156" s="68"/>
      <c r="J156" s="68"/>
      <c r="K156" s="67" t="s">
        <v>6515</v>
      </c>
      <c r="L156" s="71"/>
      <c r="M156" s="72"/>
      <c r="N156" s="72"/>
      <c r="O156" s="73"/>
      <c r="P156" s="74"/>
      <c r="Q156" s="74"/>
      <c r="R156" s="86"/>
      <c r="S156" s="86"/>
      <c r="T156" s="86"/>
      <c r="U156" s="86"/>
      <c r="V156" s="48"/>
      <c r="W156" s="48"/>
      <c r="X156" s="48"/>
      <c r="Y156" s="48"/>
      <c r="Z156" s="47"/>
      <c r="AA156" s="69">
        <v>156</v>
      </c>
      <c r="AB156" s="69"/>
      <c r="AC156" s="70"/>
      <c r="AD156" s="76" t="s">
        <v>5477</v>
      </c>
      <c r="AE156" s="81" t="s">
        <v>5685</v>
      </c>
      <c r="AF156" s="76">
        <v>4807</v>
      </c>
      <c r="AG156" s="76">
        <v>999</v>
      </c>
      <c r="AH156" s="76">
        <v>8960</v>
      </c>
      <c r="AI156" s="76">
        <v>64</v>
      </c>
      <c r="AJ156" s="76">
        <v>5919</v>
      </c>
      <c r="AK156" s="76">
        <v>2485</v>
      </c>
      <c r="AL156" s="76" t="b">
        <v>0</v>
      </c>
      <c r="AM156" s="78">
        <v>40205.977025462962</v>
      </c>
      <c r="AN156" s="76" t="s">
        <v>5792</v>
      </c>
      <c r="AO156" s="76" t="s">
        <v>5992</v>
      </c>
      <c r="AP156" s="83" t="str">
        <f>HYPERLINK("https://t.co/pdDhAgtQcc")</f>
        <v>https://t.co/pdDhAgtQcc</v>
      </c>
      <c r="AQ156" s="83" t="str">
        <f>HYPERLINK("https://linktr.ee/organizzeme")</f>
        <v>https://linktr.ee/organizzeme</v>
      </c>
      <c r="AR156" s="76" t="s">
        <v>6227</v>
      </c>
      <c r="AS156" s="76"/>
      <c r="AT156" s="76"/>
      <c r="AU156" s="76"/>
      <c r="AV156" s="76"/>
      <c r="AW156" s="83" t="str">
        <f>HYPERLINK("https://t.co/pdDhAgtQcc")</f>
        <v>https://t.co/pdDhAgtQcc</v>
      </c>
      <c r="AX156" s="76" t="b">
        <v>0</v>
      </c>
      <c r="AY156" s="76"/>
      <c r="AZ156" s="76"/>
      <c r="BA156" s="76" t="b">
        <v>1</v>
      </c>
      <c r="BB156" s="76" t="b">
        <v>1</v>
      </c>
      <c r="BC156" s="76" t="b">
        <v>0</v>
      </c>
      <c r="BD156" s="76" t="b">
        <v>0</v>
      </c>
      <c r="BE156" s="76" t="b">
        <v>1</v>
      </c>
      <c r="BF156" s="76" t="b">
        <v>0</v>
      </c>
      <c r="BG156" s="76" t="b">
        <v>0</v>
      </c>
      <c r="BH156" s="83" t="str">
        <f>HYPERLINK("https://pbs.twimg.com/profile_banners/109091764/1693587084")</f>
        <v>https://pbs.twimg.com/profile_banners/109091764/1693587084</v>
      </c>
      <c r="BI156" s="76"/>
      <c r="BJ156" s="76" t="s">
        <v>6360</v>
      </c>
      <c r="BK156" s="76" t="b">
        <v>0</v>
      </c>
      <c r="BL156" s="76"/>
      <c r="BM156" s="76" t="s">
        <v>66</v>
      </c>
      <c r="BN156" s="76" t="s">
        <v>6362</v>
      </c>
      <c r="BO156" s="83" t="str">
        <f>HYPERLINK("https://twitter.com/organizze")</f>
        <v>https://twitter.com/organizze</v>
      </c>
      <c r="BP156" s="2"/>
    </row>
    <row r="157" spans="1:68" x14ac:dyDescent="0.25">
      <c r="A157" s="62" t="s">
        <v>363</v>
      </c>
      <c r="B157" s="63"/>
      <c r="C157" s="63"/>
      <c r="D157" s="64"/>
      <c r="E157" s="66"/>
      <c r="F157" s="102" t="str">
        <f>HYPERLINK("https://pbs.twimg.com/profile_images/1354951174034776067/6ahHaR03_normal.jpg")</f>
        <v>https://pbs.twimg.com/profile_images/1354951174034776067/6ahHaR03_normal.jpg</v>
      </c>
      <c r="G157" s="63"/>
      <c r="H157" s="67"/>
      <c r="I157" s="68"/>
      <c r="J157" s="68"/>
      <c r="K157" s="67" t="s">
        <v>6516</v>
      </c>
      <c r="L157" s="71"/>
      <c r="M157" s="72"/>
      <c r="N157" s="72"/>
      <c r="O157" s="73"/>
      <c r="P157" s="74"/>
      <c r="Q157" s="74"/>
      <c r="R157" s="86"/>
      <c r="S157" s="86"/>
      <c r="T157" s="86"/>
      <c r="U157" s="86"/>
      <c r="V157" s="48"/>
      <c r="W157" s="48"/>
      <c r="X157" s="48"/>
      <c r="Y157" s="48"/>
      <c r="Z157" s="47"/>
      <c r="AA157" s="69">
        <v>157</v>
      </c>
      <c r="AB157" s="69"/>
      <c r="AC157" s="70"/>
      <c r="AD157" s="76" t="s">
        <v>5478</v>
      </c>
      <c r="AE157" s="81" t="s">
        <v>5686</v>
      </c>
      <c r="AF157" s="76">
        <v>586</v>
      </c>
      <c r="AG157" s="76">
        <v>453</v>
      </c>
      <c r="AH157" s="76">
        <v>76857</v>
      </c>
      <c r="AI157" s="76">
        <v>29</v>
      </c>
      <c r="AJ157" s="76">
        <v>706</v>
      </c>
      <c r="AK157" s="76">
        <v>6826</v>
      </c>
      <c r="AL157" s="76" t="b">
        <v>0</v>
      </c>
      <c r="AM157" s="78">
        <v>39919.471759259257</v>
      </c>
      <c r="AN157" s="76" t="s">
        <v>5742</v>
      </c>
      <c r="AO157" s="76" t="s">
        <v>5993</v>
      </c>
      <c r="AP157" s="76"/>
      <c r="AQ157" s="76"/>
      <c r="AR157" s="76"/>
      <c r="AS157" s="76"/>
      <c r="AT157" s="76"/>
      <c r="AU157" s="76"/>
      <c r="AV157" s="76"/>
      <c r="AW157" s="76"/>
      <c r="AX157" s="76" t="b">
        <v>0</v>
      </c>
      <c r="AY157" s="76"/>
      <c r="AZ157" s="76"/>
      <c r="BA157" s="76" t="b">
        <v>0</v>
      </c>
      <c r="BB157" s="76" t="b">
        <v>1</v>
      </c>
      <c r="BC157" s="76" t="b">
        <v>0</v>
      </c>
      <c r="BD157" s="76" t="b">
        <v>0</v>
      </c>
      <c r="BE157" s="76" t="b">
        <v>1</v>
      </c>
      <c r="BF157" s="76" t="b">
        <v>0</v>
      </c>
      <c r="BG157" s="76" t="b">
        <v>0</v>
      </c>
      <c r="BH157" s="83" t="str">
        <f>HYPERLINK("https://pbs.twimg.com/profile_banners/31728843/1673640578")</f>
        <v>https://pbs.twimg.com/profile_banners/31728843/1673640578</v>
      </c>
      <c r="BI157" s="76"/>
      <c r="BJ157" s="76" t="s">
        <v>6361</v>
      </c>
      <c r="BK157" s="76" t="b">
        <v>0</v>
      </c>
      <c r="BL157" s="76"/>
      <c r="BM157" s="76" t="s">
        <v>66</v>
      </c>
      <c r="BN157" s="76" t="s">
        <v>6362</v>
      </c>
      <c r="BO157" s="83" t="str">
        <f>HYPERLINK("https://twitter.com/twetthiago")</f>
        <v>https://twitter.com/twetthiago</v>
      </c>
      <c r="BP157" s="2"/>
    </row>
    <row r="158" spans="1:68" x14ac:dyDescent="0.25">
      <c r="A158" s="62" t="s">
        <v>364</v>
      </c>
      <c r="B158" s="63"/>
      <c r="C158" s="63"/>
      <c r="D158" s="64"/>
      <c r="E158" s="66"/>
      <c r="F158" s="102" t="str">
        <f>HYPERLINK("https://pbs.twimg.com/profile_images/1240403189016469505/sNkpq40K_normal.jpg")</f>
        <v>https://pbs.twimg.com/profile_images/1240403189016469505/sNkpq40K_normal.jpg</v>
      </c>
      <c r="G158" s="63"/>
      <c r="H158" s="67"/>
      <c r="I158" s="68"/>
      <c r="J158" s="68"/>
      <c r="K158" s="67" t="s">
        <v>6517</v>
      </c>
      <c r="L158" s="71"/>
      <c r="M158" s="72"/>
      <c r="N158" s="72"/>
      <c r="O158" s="73"/>
      <c r="P158" s="74"/>
      <c r="Q158" s="74"/>
      <c r="R158" s="86"/>
      <c r="S158" s="86"/>
      <c r="T158" s="86"/>
      <c r="U158" s="86"/>
      <c r="V158" s="48"/>
      <c r="W158" s="48"/>
      <c r="X158" s="48"/>
      <c r="Y158" s="48"/>
      <c r="Z158" s="47"/>
      <c r="AA158" s="69">
        <v>158</v>
      </c>
      <c r="AB158" s="69"/>
      <c r="AC158" s="70"/>
      <c r="AD158" s="76" t="s">
        <v>5479</v>
      </c>
      <c r="AE158" s="81" t="s">
        <v>5687</v>
      </c>
      <c r="AF158" s="76">
        <v>2036</v>
      </c>
      <c r="AG158" s="76">
        <v>4984</v>
      </c>
      <c r="AH158" s="76">
        <v>14437</v>
      </c>
      <c r="AI158" s="76">
        <v>60</v>
      </c>
      <c r="AJ158" s="76">
        <v>8566</v>
      </c>
      <c r="AK158" s="76">
        <v>189</v>
      </c>
      <c r="AL158" s="76" t="b">
        <v>0</v>
      </c>
      <c r="AM158" s="78">
        <v>39650.536099537036</v>
      </c>
      <c r="AN158" s="76" t="s">
        <v>5793</v>
      </c>
      <c r="AO158" s="76" t="s">
        <v>5994</v>
      </c>
      <c r="AP158" s="83" t="str">
        <f>HYPERLINK("https://t.co/DcL5gGMNV6")</f>
        <v>https://t.co/DcL5gGMNV6</v>
      </c>
      <c r="AQ158" s="83" t="str">
        <f>HYPERLINK("http://organizze.com.br")</f>
        <v>http://organizze.com.br</v>
      </c>
      <c r="AR158" s="76" t="s">
        <v>6228</v>
      </c>
      <c r="AS158" s="76"/>
      <c r="AT158" s="76"/>
      <c r="AU158" s="76"/>
      <c r="AV158" s="76"/>
      <c r="AW158" s="83" t="str">
        <f>HYPERLINK("https://t.co/DcL5gGMNV6")</f>
        <v>https://t.co/DcL5gGMNV6</v>
      </c>
      <c r="AX158" s="76" t="b">
        <v>0</v>
      </c>
      <c r="AY158" s="76"/>
      <c r="AZ158" s="76"/>
      <c r="BA158" s="76" t="b">
        <v>0</v>
      </c>
      <c r="BB158" s="76" t="b">
        <v>1</v>
      </c>
      <c r="BC158" s="76" t="b">
        <v>0</v>
      </c>
      <c r="BD158" s="76" t="b">
        <v>0</v>
      </c>
      <c r="BE158" s="76" t="b">
        <v>1</v>
      </c>
      <c r="BF158" s="76" t="b">
        <v>0</v>
      </c>
      <c r="BG158" s="76" t="b">
        <v>0</v>
      </c>
      <c r="BH158" s="83" t="str">
        <f>HYPERLINK("https://pbs.twimg.com/profile_banners/15514372/1584570211")</f>
        <v>https://pbs.twimg.com/profile_banners/15514372/1584570211</v>
      </c>
      <c r="BI158" s="76"/>
      <c r="BJ158" s="76" t="s">
        <v>6360</v>
      </c>
      <c r="BK158" s="76" t="b">
        <v>0</v>
      </c>
      <c r="BL158" s="76"/>
      <c r="BM158" s="76" t="s">
        <v>66</v>
      </c>
      <c r="BN158" s="76" t="s">
        <v>6362</v>
      </c>
      <c r="BO158" s="83" t="str">
        <f>HYPERLINK("https://twitter.com/anderson77i")</f>
        <v>https://twitter.com/anderson77i</v>
      </c>
      <c r="BP158" s="2"/>
    </row>
    <row r="159" spans="1:68" x14ac:dyDescent="0.25">
      <c r="A159" s="62" t="s">
        <v>365</v>
      </c>
      <c r="B159" s="63"/>
      <c r="C159" s="63"/>
      <c r="D159" s="64"/>
      <c r="E159" s="66"/>
      <c r="F159" s="102" t="str">
        <f>HYPERLINK("https://pbs.twimg.com/profile_images/1241147984924082183/gZgx_hL-_normal.jpg")</f>
        <v>https://pbs.twimg.com/profile_images/1241147984924082183/gZgx_hL-_normal.jpg</v>
      </c>
      <c r="G159" s="63"/>
      <c r="H159" s="67"/>
      <c r="I159" s="68"/>
      <c r="J159" s="68"/>
      <c r="K159" s="67" t="s">
        <v>6518</v>
      </c>
      <c r="L159" s="71"/>
      <c r="M159" s="72"/>
      <c r="N159" s="72"/>
      <c r="O159" s="73"/>
      <c r="P159" s="74"/>
      <c r="Q159" s="74"/>
      <c r="R159" s="86"/>
      <c r="S159" s="86"/>
      <c r="T159" s="86"/>
      <c r="U159" s="86"/>
      <c r="V159" s="48"/>
      <c r="W159" s="48"/>
      <c r="X159" s="48"/>
      <c r="Y159" s="48"/>
      <c r="Z159" s="47"/>
      <c r="AA159" s="69">
        <v>159</v>
      </c>
      <c r="AB159" s="69"/>
      <c r="AC159" s="70"/>
      <c r="AD159" s="76" t="s">
        <v>5480</v>
      </c>
      <c r="AE159" s="81" t="s">
        <v>5198</v>
      </c>
      <c r="AF159" s="76">
        <v>71114</v>
      </c>
      <c r="AG159" s="76">
        <v>28</v>
      </c>
      <c r="AH159" s="76">
        <v>28336</v>
      </c>
      <c r="AI159" s="76">
        <v>327</v>
      </c>
      <c r="AJ159" s="76">
        <v>359</v>
      </c>
      <c r="AK159" s="76">
        <v>2629</v>
      </c>
      <c r="AL159" s="76" t="b">
        <v>0</v>
      </c>
      <c r="AM159" s="78">
        <v>43896.790462962963</v>
      </c>
      <c r="AN159" s="76" t="s">
        <v>3410</v>
      </c>
      <c r="AO159" s="76" t="s">
        <v>5995</v>
      </c>
      <c r="AP159" s="83" t="str">
        <f>HYPERLINK("https://t.co/UXpU15u2ux")</f>
        <v>https://t.co/UXpU15u2ux</v>
      </c>
      <c r="AQ159" s="83" t="str">
        <f>HYPERLINK("https://mla.bs/c1acb5b4")</f>
        <v>https://mla.bs/c1acb5b4</v>
      </c>
      <c r="AR159" s="76" t="s">
        <v>6229</v>
      </c>
      <c r="AS159" s="76"/>
      <c r="AT159" s="76"/>
      <c r="AU159" s="76"/>
      <c r="AV159" s="76">
        <v>1.6658505570456499E+18</v>
      </c>
      <c r="AW159" s="83" t="str">
        <f>HYPERLINK("https://t.co/UXpU15u2ux")</f>
        <v>https://t.co/UXpU15u2ux</v>
      </c>
      <c r="AX159" s="76" t="b">
        <v>0</v>
      </c>
      <c r="AY159" s="76"/>
      <c r="AZ159" s="76"/>
      <c r="BA159" s="76" t="b">
        <v>1</v>
      </c>
      <c r="BB159" s="76" t="b">
        <v>1</v>
      </c>
      <c r="BC159" s="76" t="b">
        <v>1</v>
      </c>
      <c r="BD159" s="76" t="b">
        <v>0</v>
      </c>
      <c r="BE159" s="76" t="b">
        <v>1</v>
      </c>
      <c r="BF159" s="76" t="b">
        <v>0</v>
      </c>
      <c r="BG159" s="76" t="b">
        <v>0</v>
      </c>
      <c r="BH159" s="83" t="str">
        <f>HYPERLINK("https://pbs.twimg.com/profile_banners/1236003131244392448/1685619312")</f>
        <v>https://pbs.twimg.com/profile_banners/1236003131244392448/1685619312</v>
      </c>
      <c r="BI159" s="76"/>
      <c r="BJ159" s="76" t="s">
        <v>6360</v>
      </c>
      <c r="BK159" s="76" t="b">
        <v>0</v>
      </c>
      <c r="BL159" s="76"/>
      <c r="BM159" s="76" t="s">
        <v>66</v>
      </c>
      <c r="BN159" s="76" t="s">
        <v>6362</v>
      </c>
      <c r="BO159" s="83" t="str">
        <f>HYPERLINK("https://twitter.com/einvestidor")</f>
        <v>https://twitter.com/einvestidor</v>
      </c>
      <c r="BP159" s="2"/>
    </row>
    <row r="160" spans="1:68" x14ac:dyDescent="0.25">
      <c r="A160" s="62" t="s">
        <v>366</v>
      </c>
      <c r="B160" s="63"/>
      <c r="C160" s="63"/>
      <c r="D160" s="64"/>
      <c r="E160" s="66"/>
      <c r="F160" s="102" t="str">
        <f>HYPERLINK("https://pbs.twimg.com/profile_images/1445121959998676997/3o2fwAA-_normal.jpg")</f>
        <v>https://pbs.twimg.com/profile_images/1445121959998676997/3o2fwAA-_normal.jpg</v>
      </c>
      <c r="G160" s="63"/>
      <c r="H160" s="67"/>
      <c r="I160" s="68"/>
      <c r="J160" s="68"/>
      <c r="K160" s="67" t="s">
        <v>6519</v>
      </c>
      <c r="L160" s="71"/>
      <c r="M160" s="72"/>
      <c r="N160" s="72"/>
      <c r="O160" s="73"/>
      <c r="P160" s="74"/>
      <c r="Q160" s="74"/>
      <c r="R160" s="86"/>
      <c r="S160" s="86"/>
      <c r="T160" s="86"/>
      <c r="U160" s="86"/>
      <c r="V160" s="48"/>
      <c r="W160" s="48"/>
      <c r="X160" s="48"/>
      <c r="Y160" s="48"/>
      <c r="Z160" s="47"/>
      <c r="AA160" s="69">
        <v>160</v>
      </c>
      <c r="AB160" s="69"/>
      <c r="AC160" s="70"/>
      <c r="AD160" s="76" t="s">
        <v>5481</v>
      </c>
      <c r="AE160" s="81" t="s">
        <v>5688</v>
      </c>
      <c r="AF160" s="76">
        <v>64</v>
      </c>
      <c r="AG160" s="76">
        <v>97</v>
      </c>
      <c r="AH160" s="76">
        <v>1131</v>
      </c>
      <c r="AI160" s="76">
        <v>3</v>
      </c>
      <c r="AJ160" s="76">
        <v>100</v>
      </c>
      <c r="AK160" s="76">
        <v>2</v>
      </c>
      <c r="AL160" s="76" t="b">
        <v>0</v>
      </c>
      <c r="AM160" s="78">
        <v>40181.237557870372</v>
      </c>
      <c r="AN160" s="76"/>
      <c r="AO160" s="76" t="s">
        <v>5996</v>
      </c>
      <c r="AP160" s="76"/>
      <c r="AQ160" s="76"/>
      <c r="AR160" s="76"/>
      <c r="AS160" s="76"/>
      <c r="AT160" s="76"/>
      <c r="AU160" s="76"/>
      <c r="AV160" s="76"/>
      <c r="AW160" s="76"/>
      <c r="AX160" s="76" t="b">
        <v>0</v>
      </c>
      <c r="AY160" s="76"/>
      <c r="AZ160" s="76"/>
      <c r="BA160" s="76" t="b">
        <v>0</v>
      </c>
      <c r="BB160" s="76" t="b">
        <v>1</v>
      </c>
      <c r="BC160" s="76" t="b">
        <v>0</v>
      </c>
      <c r="BD160" s="76" t="b">
        <v>0</v>
      </c>
      <c r="BE160" s="76" t="b">
        <v>1</v>
      </c>
      <c r="BF160" s="76" t="b">
        <v>0</v>
      </c>
      <c r="BG160" s="76" t="b">
        <v>0</v>
      </c>
      <c r="BH160" s="76"/>
      <c r="BI160" s="76"/>
      <c r="BJ160" s="76" t="s">
        <v>6360</v>
      </c>
      <c r="BK160" s="76" t="b">
        <v>0</v>
      </c>
      <c r="BL160" s="76"/>
      <c r="BM160" s="76" t="s">
        <v>66</v>
      </c>
      <c r="BN160" s="76" t="s">
        <v>6362</v>
      </c>
      <c r="BO160" s="83" t="str">
        <f>HYPERLINK("https://twitter.com/alanabetioli")</f>
        <v>https://twitter.com/alanabetioli</v>
      </c>
      <c r="BP160" s="2"/>
    </row>
    <row r="161" spans="1:68" x14ac:dyDescent="0.25">
      <c r="A161" s="62" t="s">
        <v>367</v>
      </c>
      <c r="B161" s="63"/>
      <c r="C161" s="63"/>
      <c r="D161" s="64"/>
      <c r="E161" s="66"/>
      <c r="F161" s="102" t="str">
        <f>HYPERLINK("https://pbs.twimg.com/profile_images/1590722620378456066/A4jN7U-Y_normal.jpg")</f>
        <v>https://pbs.twimg.com/profile_images/1590722620378456066/A4jN7U-Y_normal.jpg</v>
      </c>
      <c r="G161" s="63"/>
      <c r="H161" s="67"/>
      <c r="I161" s="68"/>
      <c r="J161" s="68"/>
      <c r="K161" s="67" t="s">
        <v>6520</v>
      </c>
      <c r="L161" s="71"/>
      <c r="M161" s="72"/>
      <c r="N161" s="72"/>
      <c r="O161" s="73"/>
      <c r="P161" s="74"/>
      <c r="Q161" s="74"/>
      <c r="R161" s="86"/>
      <c r="S161" s="86"/>
      <c r="T161" s="86"/>
      <c r="U161" s="86"/>
      <c r="V161" s="48"/>
      <c r="W161" s="48"/>
      <c r="X161" s="48"/>
      <c r="Y161" s="48"/>
      <c r="Z161" s="47"/>
      <c r="AA161" s="69">
        <v>161</v>
      </c>
      <c r="AB161" s="69"/>
      <c r="AC161" s="70"/>
      <c r="AD161" s="76" t="s">
        <v>5482</v>
      </c>
      <c r="AE161" s="81" t="s">
        <v>5199</v>
      </c>
      <c r="AF161" s="76">
        <v>16</v>
      </c>
      <c r="AG161" s="76">
        <v>45</v>
      </c>
      <c r="AH161" s="76">
        <v>788</v>
      </c>
      <c r="AI161" s="76">
        <v>0</v>
      </c>
      <c r="AJ161" s="76">
        <v>54</v>
      </c>
      <c r="AK161" s="76">
        <v>668</v>
      </c>
      <c r="AL161" s="76" t="b">
        <v>0</v>
      </c>
      <c r="AM161" s="78">
        <v>44718.484398148146</v>
      </c>
      <c r="AN161" s="76"/>
      <c r="AO161" s="76" t="s">
        <v>5997</v>
      </c>
      <c r="AP161" s="83" t="str">
        <f>HYPERLINK("https://t.co/wreBr2p6JE")</f>
        <v>https://t.co/wreBr2p6JE</v>
      </c>
      <c r="AQ161" s="83" t="str">
        <f>HYPERLINK("https://www.chatguru.com.br")</f>
        <v>https://www.chatguru.com.br</v>
      </c>
      <c r="AR161" s="76" t="s">
        <v>6230</v>
      </c>
      <c r="AS161" s="76"/>
      <c r="AT161" s="76"/>
      <c r="AU161" s="76"/>
      <c r="AV161" s="76"/>
      <c r="AW161" s="83" t="str">
        <f>HYPERLINK("https://t.co/wreBr2p6JE")</f>
        <v>https://t.co/wreBr2p6JE</v>
      </c>
      <c r="AX161" s="76" t="b">
        <v>0</v>
      </c>
      <c r="AY161" s="76"/>
      <c r="AZ161" s="76"/>
      <c r="BA161" s="76" t="b">
        <v>0</v>
      </c>
      <c r="BB161" s="76" t="b">
        <v>1</v>
      </c>
      <c r="BC161" s="76" t="b">
        <v>1</v>
      </c>
      <c r="BD161" s="76" t="b">
        <v>0</v>
      </c>
      <c r="BE161" s="76" t="b">
        <v>0</v>
      </c>
      <c r="BF161" s="76" t="b">
        <v>0</v>
      </c>
      <c r="BG161" s="76" t="b">
        <v>0</v>
      </c>
      <c r="BH161" s="83" t="str">
        <f>HYPERLINK("https://pbs.twimg.com/profile_banners/1533774887252279297/1679667774")</f>
        <v>https://pbs.twimg.com/profile_banners/1533774887252279297/1679667774</v>
      </c>
      <c r="BI161" s="76"/>
      <c r="BJ161" s="76" t="s">
        <v>6360</v>
      </c>
      <c r="BK161" s="76" t="b">
        <v>0</v>
      </c>
      <c r="BL161" s="76"/>
      <c r="BM161" s="76" t="s">
        <v>66</v>
      </c>
      <c r="BN161" s="76" t="s">
        <v>6362</v>
      </c>
      <c r="BO161" s="83" t="str">
        <f>HYPERLINK("https://twitter.com/chatguruoficial")</f>
        <v>https://twitter.com/chatguruoficial</v>
      </c>
      <c r="BP161" s="2"/>
    </row>
    <row r="162" spans="1:68" x14ac:dyDescent="0.25">
      <c r="A162" s="62" t="s">
        <v>368</v>
      </c>
      <c r="B162" s="63"/>
      <c r="C162" s="63"/>
      <c r="D162" s="64"/>
      <c r="E162" s="66"/>
      <c r="F162" s="102" t="str">
        <f>HYPERLINK("https://pbs.twimg.com/profile_images/1256698403502862336/DHsHV06g_normal.jpg")</f>
        <v>https://pbs.twimg.com/profile_images/1256698403502862336/DHsHV06g_normal.jpg</v>
      </c>
      <c r="G162" s="63"/>
      <c r="H162" s="67"/>
      <c r="I162" s="68"/>
      <c r="J162" s="68"/>
      <c r="K162" s="67" t="s">
        <v>6521</v>
      </c>
      <c r="L162" s="71"/>
      <c r="M162" s="72"/>
      <c r="N162" s="72"/>
      <c r="O162" s="73"/>
      <c r="P162" s="74"/>
      <c r="Q162" s="74"/>
      <c r="R162" s="86"/>
      <c r="S162" s="86"/>
      <c r="T162" s="86"/>
      <c r="U162" s="86"/>
      <c r="V162" s="48"/>
      <c r="W162" s="48"/>
      <c r="X162" s="48"/>
      <c r="Y162" s="48"/>
      <c r="Z162" s="47"/>
      <c r="AA162" s="69">
        <v>162</v>
      </c>
      <c r="AB162" s="69"/>
      <c r="AC162" s="70"/>
      <c r="AD162" s="76" t="s">
        <v>5483</v>
      </c>
      <c r="AE162" s="81" t="s">
        <v>5689</v>
      </c>
      <c r="AF162" s="76">
        <v>147</v>
      </c>
      <c r="AG162" s="76">
        <v>109</v>
      </c>
      <c r="AH162" s="76">
        <v>14</v>
      </c>
      <c r="AI162" s="76">
        <v>2</v>
      </c>
      <c r="AJ162" s="76">
        <v>4</v>
      </c>
      <c r="AK162" s="76">
        <v>0</v>
      </c>
      <c r="AL162" s="76" t="b">
        <v>0</v>
      </c>
      <c r="AM162" s="78">
        <v>39966.174502314818</v>
      </c>
      <c r="AN162" s="76"/>
      <c r="AO162" s="76" t="s">
        <v>5998</v>
      </c>
      <c r="AP162" s="83" t="str">
        <f>HYPERLINK("https://t.co/k7UGnvYyrS")</f>
        <v>https://t.co/k7UGnvYyrS</v>
      </c>
      <c r="AQ162" s="83" t="str">
        <f>HYPERLINK("http://rloureiro.com.br")</f>
        <v>http://rloureiro.com.br</v>
      </c>
      <c r="AR162" s="76" t="s">
        <v>6231</v>
      </c>
      <c r="AS162" s="76"/>
      <c r="AT162" s="76"/>
      <c r="AU162" s="76"/>
      <c r="AV162" s="76"/>
      <c r="AW162" s="83" t="str">
        <f>HYPERLINK("https://t.co/k7UGnvYyrS")</f>
        <v>https://t.co/k7UGnvYyrS</v>
      </c>
      <c r="AX162" s="76" t="b">
        <v>0</v>
      </c>
      <c r="AY162" s="76"/>
      <c r="AZ162" s="76"/>
      <c r="BA162" s="76" t="b">
        <v>0</v>
      </c>
      <c r="BB162" s="76" t="b">
        <v>1</v>
      </c>
      <c r="BC162" s="76" t="b">
        <v>1</v>
      </c>
      <c r="BD162" s="76" t="b">
        <v>0</v>
      </c>
      <c r="BE162" s="76" t="b">
        <v>0</v>
      </c>
      <c r="BF162" s="76" t="b">
        <v>0</v>
      </c>
      <c r="BG162" s="76" t="b">
        <v>0</v>
      </c>
      <c r="BH162" s="76"/>
      <c r="BI162" s="76"/>
      <c r="BJ162" s="76" t="s">
        <v>6360</v>
      </c>
      <c r="BK162" s="76" t="b">
        <v>0</v>
      </c>
      <c r="BL162" s="76"/>
      <c r="BM162" s="76" t="s">
        <v>66</v>
      </c>
      <c r="BN162" s="76" t="s">
        <v>6362</v>
      </c>
      <c r="BO162" s="83" t="str">
        <f>HYPERLINK("https://twitter.com/rsloureiro_")</f>
        <v>https://twitter.com/rsloureiro_</v>
      </c>
      <c r="BP162" s="2"/>
    </row>
    <row r="163" spans="1:68" x14ac:dyDescent="0.25">
      <c r="A163" s="62" t="s">
        <v>369</v>
      </c>
      <c r="B163" s="63"/>
      <c r="C163" s="63"/>
      <c r="D163" s="64"/>
      <c r="E163" s="66"/>
      <c r="F163" s="102" t="str">
        <f>HYPERLINK("https://pbs.twimg.com/profile_images/1298975014939774977/iMbZTqwR_normal.jpg")</f>
        <v>https://pbs.twimg.com/profile_images/1298975014939774977/iMbZTqwR_normal.jpg</v>
      </c>
      <c r="G163" s="63"/>
      <c r="H163" s="67"/>
      <c r="I163" s="68"/>
      <c r="J163" s="68"/>
      <c r="K163" s="67" t="s">
        <v>6522</v>
      </c>
      <c r="L163" s="71"/>
      <c r="M163" s="72"/>
      <c r="N163" s="72"/>
      <c r="O163" s="73"/>
      <c r="P163" s="74"/>
      <c r="Q163" s="74"/>
      <c r="R163" s="86"/>
      <c r="S163" s="86"/>
      <c r="T163" s="86"/>
      <c r="U163" s="86"/>
      <c r="V163" s="48"/>
      <c r="W163" s="48"/>
      <c r="X163" s="48"/>
      <c r="Y163" s="48"/>
      <c r="Z163" s="47"/>
      <c r="AA163" s="69">
        <v>163</v>
      </c>
      <c r="AB163" s="69"/>
      <c r="AC163" s="70"/>
      <c r="AD163" s="76" t="s">
        <v>5484</v>
      </c>
      <c r="AE163" s="81" t="s">
        <v>5049</v>
      </c>
      <c r="AF163" s="76">
        <v>62</v>
      </c>
      <c r="AG163" s="76">
        <v>17</v>
      </c>
      <c r="AH163" s="76">
        <v>1609</v>
      </c>
      <c r="AI163" s="76">
        <v>0</v>
      </c>
      <c r="AJ163" s="76">
        <v>2</v>
      </c>
      <c r="AK163" s="76">
        <v>268</v>
      </c>
      <c r="AL163" s="76" t="b">
        <v>0</v>
      </c>
      <c r="AM163" s="78">
        <v>40480.557488425926</v>
      </c>
      <c r="AN163" s="76" t="s">
        <v>3435</v>
      </c>
      <c r="AO163" s="76" t="s">
        <v>5999</v>
      </c>
      <c r="AP163" s="83" t="str">
        <f>HYPERLINK("https://t.co/mNmsIWnYa2")</f>
        <v>https://t.co/mNmsIWnYa2</v>
      </c>
      <c r="AQ163" s="83" t="str">
        <f>HYPERLINK("http://www.bravacapital.com")</f>
        <v>http://www.bravacapital.com</v>
      </c>
      <c r="AR163" s="76" t="s">
        <v>6232</v>
      </c>
      <c r="AS163" s="76"/>
      <c r="AT163" s="76"/>
      <c r="AU163" s="76"/>
      <c r="AV163" s="76"/>
      <c r="AW163" s="83" t="str">
        <f>HYPERLINK("https://t.co/mNmsIWnYa2")</f>
        <v>https://t.co/mNmsIWnYa2</v>
      </c>
      <c r="AX163" s="76" t="b">
        <v>0</v>
      </c>
      <c r="AY163" s="76"/>
      <c r="AZ163" s="76"/>
      <c r="BA163" s="76" t="b">
        <v>0</v>
      </c>
      <c r="BB163" s="76" t="b">
        <v>1</v>
      </c>
      <c r="BC163" s="76" t="b">
        <v>1</v>
      </c>
      <c r="BD163" s="76" t="b">
        <v>0</v>
      </c>
      <c r="BE163" s="76" t="b">
        <v>0</v>
      </c>
      <c r="BF163" s="76" t="b">
        <v>0</v>
      </c>
      <c r="BG163" s="76" t="b">
        <v>0</v>
      </c>
      <c r="BH163" s="83" t="str">
        <f>HYPERLINK("https://pbs.twimg.com/profile_banners/209578308/1598534641")</f>
        <v>https://pbs.twimg.com/profile_banners/209578308/1598534641</v>
      </c>
      <c r="BI163" s="76"/>
      <c r="BJ163" s="76" t="s">
        <v>6360</v>
      </c>
      <c r="BK163" s="76" t="b">
        <v>0</v>
      </c>
      <c r="BL163" s="76"/>
      <c r="BM163" s="76" t="s">
        <v>66</v>
      </c>
      <c r="BN163" s="76" t="s">
        <v>6362</v>
      </c>
      <c r="BO163" s="83" t="str">
        <f>HYPERLINK("https://twitter.com/bravacapital")</f>
        <v>https://twitter.com/bravacapital</v>
      </c>
      <c r="BP163" s="2"/>
    </row>
    <row r="164" spans="1:68" x14ac:dyDescent="0.25">
      <c r="A164" s="62" t="s">
        <v>370</v>
      </c>
      <c r="B164" s="63"/>
      <c r="C164" s="63"/>
      <c r="D164" s="64"/>
      <c r="E164" s="66"/>
      <c r="F164" s="102" t="str">
        <f>HYPERLINK("https://pbs.twimg.com/profile_images/1665669594776780809/oBKSQn5I_normal.jpg")</f>
        <v>https://pbs.twimg.com/profile_images/1665669594776780809/oBKSQn5I_normal.jpg</v>
      </c>
      <c r="G164" s="63"/>
      <c r="H164" s="67"/>
      <c r="I164" s="68"/>
      <c r="J164" s="68"/>
      <c r="K164" s="67" t="s">
        <v>6523</v>
      </c>
      <c r="L164" s="71"/>
      <c r="M164" s="72"/>
      <c r="N164" s="72"/>
      <c r="O164" s="73"/>
      <c r="P164" s="74"/>
      <c r="Q164" s="74"/>
      <c r="R164" s="86"/>
      <c r="S164" s="86"/>
      <c r="T164" s="86"/>
      <c r="U164" s="86"/>
      <c r="V164" s="48"/>
      <c r="W164" s="48"/>
      <c r="X164" s="48"/>
      <c r="Y164" s="48"/>
      <c r="Z164" s="47"/>
      <c r="AA164" s="69">
        <v>164</v>
      </c>
      <c r="AB164" s="69"/>
      <c r="AC164" s="70"/>
      <c r="AD164" s="76" t="s">
        <v>5485</v>
      </c>
      <c r="AE164" s="81" t="s">
        <v>5200</v>
      </c>
      <c r="AF164" s="76">
        <v>10</v>
      </c>
      <c r="AG164" s="76">
        <v>16</v>
      </c>
      <c r="AH164" s="76">
        <v>53</v>
      </c>
      <c r="AI164" s="76">
        <v>0</v>
      </c>
      <c r="AJ164" s="76">
        <v>450</v>
      </c>
      <c r="AK164" s="76">
        <v>1</v>
      </c>
      <c r="AL164" s="76" t="b">
        <v>0</v>
      </c>
      <c r="AM164" s="78">
        <v>44529.591180555559</v>
      </c>
      <c r="AN164" s="76" t="s">
        <v>5794</v>
      </c>
      <c r="AO164" s="76" t="s">
        <v>6000</v>
      </c>
      <c r="AP164" s="83" t="str">
        <f>HYPERLINK("https://t.co/9bLuTyYIZm")</f>
        <v>https://t.co/9bLuTyYIZm</v>
      </c>
      <c r="AQ164" s="83" t="str">
        <f>HYPERLINK("https://www.instagram.com/andrenegociosbr/")</f>
        <v>https://www.instagram.com/andrenegociosbr/</v>
      </c>
      <c r="AR164" s="76" t="s">
        <v>6233</v>
      </c>
      <c r="AS164" s="76"/>
      <c r="AT164" s="76"/>
      <c r="AU164" s="76"/>
      <c r="AV164" s="76"/>
      <c r="AW164" s="83" t="str">
        <f>HYPERLINK("https://t.co/9bLuTyYIZm")</f>
        <v>https://t.co/9bLuTyYIZm</v>
      </c>
      <c r="AX164" s="76" t="b">
        <v>0</v>
      </c>
      <c r="AY164" s="76"/>
      <c r="AZ164" s="76"/>
      <c r="BA164" s="76" t="b">
        <v>0</v>
      </c>
      <c r="BB164" s="76" t="b">
        <v>1</v>
      </c>
      <c r="BC164" s="76" t="b">
        <v>1</v>
      </c>
      <c r="BD164" s="76" t="b">
        <v>0</v>
      </c>
      <c r="BE164" s="76" t="b">
        <v>0</v>
      </c>
      <c r="BF164" s="76" t="b">
        <v>0</v>
      </c>
      <c r="BG164" s="76" t="b">
        <v>0</v>
      </c>
      <c r="BH164" s="83" t="str">
        <f>HYPERLINK("https://pbs.twimg.com/profile_banners/1465322324043964418/1685961678")</f>
        <v>https://pbs.twimg.com/profile_banners/1465322324043964418/1685961678</v>
      </c>
      <c r="BI164" s="76"/>
      <c r="BJ164" s="76" t="s">
        <v>6360</v>
      </c>
      <c r="BK164" s="76" t="b">
        <v>0</v>
      </c>
      <c r="BL164" s="76"/>
      <c r="BM164" s="76" t="s">
        <v>66</v>
      </c>
      <c r="BN164" s="76" t="s">
        <v>6362</v>
      </c>
      <c r="BO164" s="83" t="str">
        <f>HYPERLINK("https://twitter.com/andrenegociosbr")</f>
        <v>https://twitter.com/andrenegociosbr</v>
      </c>
      <c r="BP164" s="2"/>
    </row>
    <row r="165" spans="1:68" x14ac:dyDescent="0.25">
      <c r="A165" s="62" t="s">
        <v>371</v>
      </c>
      <c r="B165" s="63"/>
      <c r="C165" s="63"/>
      <c r="D165" s="64"/>
      <c r="E165" s="66"/>
      <c r="F165" s="102" t="str">
        <f>HYPERLINK("https://pbs.twimg.com/profile_images/1373717451330969610/0TeJgMsL_normal.jpg")</f>
        <v>https://pbs.twimg.com/profile_images/1373717451330969610/0TeJgMsL_normal.jpg</v>
      </c>
      <c r="G165" s="63"/>
      <c r="H165" s="67"/>
      <c r="I165" s="68"/>
      <c r="J165" s="68"/>
      <c r="K165" s="67" t="s">
        <v>6524</v>
      </c>
      <c r="L165" s="71"/>
      <c r="M165" s="72"/>
      <c r="N165" s="72"/>
      <c r="O165" s="73"/>
      <c r="P165" s="74"/>
      <c r="Q165" s="74"/>
      <c r="R165" s="86"/>
      <c r="S165" s="86"/>
      <c r="T165" s="86"/>
      <c r="U165" s="86"/>
      <c r="V165" s="48"/>
      <c r="W165" s="48"/>
      <c r="X165" s="48"/>
      <c r="Y165" s="48"/>
      <c r="Z165" s="47"/>
      <c r="AA165" s="69">
        <v>165</v>
      </c>
      <c r="AB165" s="69"/>
      <c r="AC165" s="70"/>
      <c r="AD165" s="76" t="s">
        <v>5486</v>
      </c>
      <c r="AE165" s="81" t="s">
        <v>5201</v>
      </c>
      <c r="AF165" s="76">
        <v>42</v>
      </c>
      <c r="AG165" s="76">
        <v>3</v>
      </c>
      <c r="AH165" s="76">
        <v>155</v>
      </c>
      <c r="AI165" s="76">
        <v>0</v>
      </c>
      <c r="AJ165" s="76">
        <v>5</v>
      </c>
      <c r="AK165" s="76">
        <v>45</v>
      </c>
      <c r="AL165" s="76" t="b">
        <v>0</v>
      </c>
      <c r="AM165" s="78">
        <v>44276.808182870373</v>
      </c>
      <c r="AN165" s="76" t="s">
        <v>5795</v>
      </c>
      <c r="AO165" s="76" t="s">
        <v>6001</v>
      </c>
      <c r="AP165" s="83" t="str">
        <f>HYPERLINK("https://t.co/Twh4GmM8xf")</f>
        <v>https://t.co/Twh4GmM8xf</v>
      </c>
      <c r="AQ165" s="83" t="str">
        <f>HYPERLINK("http://kedmus.com")</f>
        <v>http://kedmus.com</v>
      </c>
      <c r="AR165" s="76" t="s">
        <v>6234</v>
      </c>
      <c r="AS165" s="83" t="str">
        <f>HYPERLINK("https://t.co/FY5gUiddu6")</f>
        <v>https://t.co/FY5gUiddu6</v>
      </c>
      <c r="AT165" s="83" t="str">
        <f>HYPERLINK("http://www.kedmus.com")</f>
        <v>http://www.kedmus.com</v>
      </c>
      <c r="AU165" s="76" t="s">
        <v>6234</v>
      </c>
      <c r="AV165" s="76"/>
      <c r="AW165" s="83" t="str">
        <f>HYPERLINK("https://t.co/Twh4GmM8xf")</f>
        <v>https://t.co/Twh4GmM8xf</v>
      </c>
      <c r="AX165" s="76" t="b">
        <v>0</v>
      </c>
      <c r="AY165" s="76"/>
      <c r="AZ165" s="76"/>
      <c r="BA165" s="76" t="b">
        <v>0</v>
      </c>
      <c r="BB165" s="76" t="b">
        <v>1</v>
      </c>
      <c r="BC165" s="76" t="b">
        <v>1</v>
      </c>
      <c r="BD165" s="76" t="b">
        <v>0</v>
      </c>
      <c r="BE165" s="76" t="b">
        <v>0</v>
      </c>
      <c r="BF165" s="76" t="b">
        <v>0</v>
      </c>
      <c r="BG165" s="76" t="b">
        <v>0</v>
      </c>
      <c r="BH165" s="76"/>
      <c r="BI165" s="76"/>
      <c r="BJ165" s="76" t="s">
        <v>6360</v>
      </c>
      <c r="BK165" s="76" t="b">
        <v>0</v>
      </c>
      <c r="BL165" s="76"/>
      <c r="BM165" s="76" t="s">
        <v>66</v>
      </c>
      <c r="BN165" s="76" t="s">
        <v>6362</v>
      </c>
      <c r="BO165" s="83" t="str">
        <f>HYPERLINK("https://twitter.com/kedmus_club")</f>
        <v>https://twitter.com/kedmus_club</v>
      </c>
      <c r="BP165" s="2"/>
    </row>
    <row r="166" spans="1:68" x14ac:dyDescent="0.25">
      <c r="A166" s="62" t="s">
        <v>372</v>
      </c>
      <c r="B166" s="63"/>
      <c r="C166" s="63"/>
      <c r="D166" s="64"/>
      <c r="E166" s="66"/>
      <c r="F166" s="102" t="str">
        <f>HYPERLINK("https://pbs.twimg.com/profile_images/1621996204325277699/phtn6C0w_normal.jpg")</f>
        <v>https://pbs.twimg.com/profile_images/1621996204325277699/phtn6C0w_normal.jpg</v>
      </c>
      <c r="G166" s="63"/>
      <c r="H166" s="67"/>
      <c r="I166" s="68"/>
      <c r="J166" s="68"/>
      <c r="K166" s="67" t="s">
        <v>6525</v>
      </c>
      <c r="L166" s="71"/>
      <c r="M166" s="72"/>
      <c r="N166" s="72"/>
      <c r="O166" s="73"/>
      <c r="P166" s="74"/>
      <c r="Q166" s="74"/>
      <c r="R166" s="86"/>
      <c r="S166" s="86"/>
      <c r="T166" s="86"/>
      <c r="U166" s="86"/>
      <c r="V166" s="48"/>
      <c r="W166" s="48"/>
      <c r="X166" s="48"/>
      <c r="Y166" s="48"/>
      <c r="Z166" s="47"/>
      <c r="AA166" s="69">
        <v>166</v>
      </c>
      <c r="AB166" s="69"/>
      <c r="AC166" s="70"/>
      <c r="AD166" s="76" t="s">
        <v>5487</v>
      </c>
      <c r="AE166" s="81" t="s">
        <v>5690</v>
      </c>
      <c r="AF166" s="76">
        <v>9314</v>
      </c>
      <c r="AG166" s="76">
        <v>1407</v>
      </c>
      <c r="AH166" s="76">
        <v>17305</v>
      </c>
      <c r="AI166" s="76">
        <v>53</v>
      </c>
      <c r="AJ166" s="76">
        <v>51</v>
      </c>
      <c r="AK166" s="76">
        <v>1909</v>
      </c>
      <c r="AL166" s="76" t="b">
        <v>0</v>
      </c>
      <c r="AM166" s="78">
        <v>39936.055451388886</v>
      </c>
      <c r="AN166" s="76" t="s">
        <v>5789</v>
      </c>
      <c r="AO166" s="76" t="s">
        <v>6002</v>
      </c>
      <c r="AP166" s="83" t="str">
        <f>HYPERLINK("https://t.co/6rxkieoB08")</f>
        <v>https://t.co/6rxkieoB08</v>
      </c>
      <c r="AQ166" s="83" t="str">
        <f>HYPERLINK("https://www.aulaplus.com.br")</f>
        <v>https://www.aulaplus.com.br</v>
      </c>
      <c r="AR166" s="76" t="s">
        <v>6235</v>
      </c>
      <c r="AS166" s="83" t="str">
        <f>HYPERLINK("https://t.co/6rxkieoB08")</f>
        <v>https://t.co/6rxkieoB08</v>
      </c>
      <c r="AT166" s="83" t="str">
        <f>HYPERLINK("https://www.aulaplus.com.br")</f>
        <v>https://www.aulaplus.com.br</v>
      </c>
      <c r="AU166" s="76" t="s">
        <v>6235</v>
      </c>
      <c r="AV166" s="76">
        <v>1.6457661618527099E+18</v>
      </c>
      <c r="AW166" s="83" t="str">
        <f>HYPERLINK("https://t.co/6rxkieoB08")</f>
        <v>https://t.co/6rxkieoB08</v>
      </c>
      <c r="AX166" s="76" t="b">
        <v>0</v>
      </c>
      <c r="AY166" s="76"/>
      <c r="AZ166" s="76"/>
      <c r="BA166" s="76" t="b">
        <v>0</v>
      </c>
      <c r="BB166" s="76" t="b">
        <v>0</v>
      </c>
      <c r="BC166" s="76" t="b">
        <v>0</v>
      </c>
      <c r="BD166" s="76" t="b">
        <v>0</v>
      </c>
      <c r="BE166" s="76" t="b">
        <v>1</v>
      </c>
      <c r="BF166" s="76" t="b">
        <v>0</v>
      </c>
      <c r="BG166" s="76" t="b">
        <v>0</v>
      </c>
      <c r="BH166" s="83" t="str">
        <f>HYPERLINK("https://pbs.twimg.com/profile_banners/37329759/1674341536")</f>
        <v>https://pbs.twimg.com/profile_banners/37329759/1674341536</v>
      </c>
      <c r="BI166" s="76"/>
      <c r="BJ166" s="76" t="s">
        <v>6360</v>
      </c>
      <c r="BK166" s="76" t="b">
        <v>0</v>
      </c>
      <c r="BL166" s="76"/>
      <c r="BM166" s="76" t="s">
        <v>66</v>
      </c>
      <c r="BN166" s="76" t="s">
        <v>6362</v>
      </c>
      <c r="BO166" s="83" t="str">
        <f>HYPERLINK("https://twitter.com/aulaplusbr")</f>
        <v>https://twitter.com/aulaplusbr</v>
      </c>
      <c r="BP166" s="2"/>
    </row>
    <row r="167" spans="1:68" x14ac:dyDescent="0.25">
      <c r="A167" s="62" t="s">
        <v>373</v>
      </c>
      <c r="B167" s="63"/>
      <c r="C167" s="63"/>
      <c r="D167" s="64"/>
      <c r="E167" s="66"/>
      <c r="F167" s="102" t="str">
        <f>HYPERLINK("https://pbs.twimg.com/profile_images/1295806876777619458/1-scEtFi_normal.jpg")</f>
        <v>https://pbs.twimg.com/profile_images/1295806876777619458/1-scEtFi_normal.jpg</v>
      </c>
      <c r="G167" s="63"/>
      <c r="H167" s="67"/>
      <c r="I167" s="68"/>
      <c r="J167" s="68"/>
      <c r="K167" s="67" t="s">
        <v>6526</v>
      </c>
      <c r="L167" s="71"/>
      <c r="M167" s="72"/>
      <c r="N167" s="72"/>
      <c r="O167" s="73"/>
      <c r="P167" s="74"/>
      <c r="Q167" s="74"/>
      <c r="R167" s="86"/>
      <c r="S167" s="86"/>
      <c r="T167" s="86"/>
      <c r="U167" s="86"/>
      <c r="V167" s="48"/>
      <c r="W167" s="48"/>
      <c r="X167" s="48"/>
      <c r="Y167" s="48"/>
      <c r="Z167" s="47"/>
      <c r="AA167" s="69">
        <v>167</v>
      </c>
      <c r="AB167" s="69"/>
      <c r="AC167" s="70"/>
      <c r="AD167" s="76" t="s">
        <v>5488</v>
      </c>
      <c r="AE167" s="81" t="s">
        <v>5050</v>
      </c>
      <c r="AF167" s="76">
        <v>13396</v>
      </c>
      <c r="AG167" s="76">
        <v>7463</v>
      </c>
      <c r="AH167" s="76">
        <v>22853</v>
      </c>
      <c r="AI167" s="76">
        <v>22</v>
      </c>
      <c r="AJ167" s="76">
        <v>4845</v>
      </c>
      <c r="AK167" s="76">
        <v>693</v>
      </c>
      <c r="AL167" s="76" t="b">
        <v>0</v>
      </c>
      <c r="AM167" s="78">
        <v>40967.977164351854</v>
      </c>
      <c r="AN167" s="76"/>
      <c r="AO167" s="76" t="s">
        <v>6003</v>
      </c>
      <c r="AP167" s="83" t="str">
        <f>HYPERLINK("https://t.co/sOL0spq1aU")</f>
        <v>https://t.co/sOL0spq1aU</v>
      </c>
      <c r="AQ167" s="83" t="str">
        <f>HYPERLINK("https://sincronizze.com/")</f>
        <v>https://sincronizze.com/</v>
      </c>
      <c r="AR167" s="76" t="s">
        <v>1994</v>
      </c>
      <c r="AS167" s="76"/>
      <c r="AT167" s="76"/>
      <c r="AU167" s="76"/>
      <c r="AV167" s="76"/>
      <c r="AW167" s="83" t="str">
        <f>HYPERLINK("https://t.co/sOL0spq1aU")</f>
        <v>https://t.co/sOL0spq1aU</v>
      </c>
      <c r="AX167" s="76" t="b">
        <v>0</v>
      </c>
      <c r="AY167" s="76"/>
      <c r="AZ167" s="76"/>
      <c r="BA167" s="76" t="b">
        <v>0</v>
      </c>
      <c r="BB167" s="76" t="b">
        <v>1</v>
      </c>
      <c r="BC167" s="76" t="b">
        <v>0</v>
      </c>
      <c r="BD167" s="76" t="b">
        <v>0</v>
      </c>
      <c r="BE167" s="76" t="b">
        <v>0</v>
      </c>
      <c r="BF167" s="76" t="b">
        <v>0</v>
      </c>
      <c r="BG167" s="76" t="b">
        <v>0</v>
      </c>
      <c r="BH167" s="83" t="str">
        <f>HYPERLINK("https://pbs.twimg.com/profile_banners/508075094/1482532534")</f>
        <v>https://pbs.twimg.com/profile_banners/508075094/1482532534</v>
      </c>
      <c r="BI167" s="76"/>
      <c r="BJ167" s="76" t="s">
        <v>6360</v>
      </c>
      <c r="BK167" s="76" t="b">
        <v>0</v>
      </c>
      <c r="BL167" s="76"/>
      <c r="BM167" s="76" t="s">
        <v>66</v>
      </c>
      <c r="BN167" s="76" t="s">
        <v>6362</v>
      </c>
      <c r="BO167" s="83" t="str">
        <f>HYPERLINK("https://twitter.com/tai_follmann")</f>
        <v>https://twitter.com/tai_follmann</v>
      </c>
      <c r="BP167" s="2"/>
    </row>
    <row r="168" spans="1:68" x14ac:dyDescent="0.25">
      <c r="A168" s="62" t="s">
        <v>374</v>
      </c>
      <c r="B168" s="63"/>
      <c r="C168" s="63"/>
      <c r="D168" s="64"/>
      <c r="E168" s="66"/>
      <c r="F168" s="102" t="str">
        <f>HYPERLINK("https://pbs.twimg.com/profile_images/1478344250295296000/-wgYCiTK_normal.png")</f>
        <v>https://pbs.twimg.com/profile_images/1478344250295296000/-wgYCiTK_normal.png</v>
      </c>
      <c r="G168" s="63"/>
      <c r="H168" s="67"/>
      <c r="I168" s="68"/>
      <c r="J168" s="68"/>
      <c r="K168" s="67" t="s">
        <v>6527</v>
      </c>
      <c r="L168" s="71"/>
      <c r="M168" s="72"/>
      <c r="N168" s="72"/>
      <c r="O168" s="73"/>
      <c r="P168" s="74"/>
      <c r="Q168" s="74"/>
      <c r="R168" s="86"/>
      <c r="S168" s="86"/>
      <c r="T168" s="86"/>
      <c r="U168" s="86"/>
      <c r="V168" s="48"/>
      <c r="W168" s="48"/>
      <c r="X168" s="48"/>
      <c r="Y168" s="48"/>
      <c r="Z168" s="47"/>
      <c r="AA168" s="69">
        <v>168</v>
      </c>
      <c r="AB168" s="69"/>
      <c r="AC168" s="70"/>
      <c r="AD168" s="76" t="s">
        <v>5489</v>
      </c>
      <c r="AE168" s="81" t="s">
        <v>5202</v>
      </c>
      <c r="AF168" s="76">
        <v>1</v>
      </c>
      <c r="AG168" s="76">
        <v>55</v>
      </c>
      <c r="AH168" s="76">
        <v>28</v>
      </c>
      <c r="AI168" s="76">
        <v>0</v>
      </c>
      <c r="AJ168" s="76">
        <v>2</v>
      </c>
      <c r="AK168" s="76">
        <v>28</v>
      </c>
      <c r="AL168" s="76" t="b">
        <v>0</v>
      </c>
      <c r="AM168" s="78">
        <v>44238.69840277778</v>
      </c>
      <c r="AN168" s="76" t="s">
        <v>5796</v>
      </c>
      <c r="AO168" s="76" t="s">
        <v>6004</v>
      </c>
      <c r="AP168" s="76"/>
      <c r="AQ168" s="76"/>
      <c r="AR168" s="76"/>
      <c r="AS168" s="76"/>
      <c r="AT168" s="76"/>
      <c r="AU168" s="76"/>
      <c r="AV168" s="76"/>
      <c r="AW168" s="76"/>
      <c r="AX168" s="76" t="b">
        <v>0</v>
      </c>
      <c r="AY168" s="76"/>
      <c r="AZ168" s="76"/>
      <c r="BA168" s="76" t="b">
        <v>0</v>
      </c>
      <c r="BB168" s="76" t="b">
        <v>1</v>
      </c>
      <c r="BC168" s="76" t="b">
        <v>1</v>
      </c>
      <c r="BD168" s="76" t="b">
        <v>0</v>
      </c>
      <c r="BE168" s="76" t="b">
        <v>0</v>
      </c>
      <c r="BF168" s="76" t="b">
        <v>0</v>
      </c>
      <c r="BG168" s="76" t="b">
        <v>0</v>
      </c>
      <c r="BH168" s="83" t="str">
        <f>HYPERLINK("https://pbs.twimg.com/profile_banners/1359906411799576577/1677380045")</f>
        <v>https://pbs.twimg.com/profile_banners/1359906411799576577/1677380045</v>
      </c>
      <c r="BI168" s="76"/>
      <c r="BJ168" s="76" t="s">
        <v>6360</v>
      </c>
      <c r="BK168" s="76" t="b">
        <v>0</v>
      </c>
      <c r="BL168" s="76"/>
      <c r="BM168" s="76" t="s">
        <v>66</v>
      </c>
      <c r="BN168" s="76" t="s">
        <v>6362</v>
      </c>
      <c r="BO168" s="83" t="str">
        <f>HYPERLINK("https://twitter.com/grupodank")</f>
        <v>https://twitter.com/grupodank</v>
      </c>
      <c r="BP168" s="2"/>
    </row>
    <row r="169" spans="1:68" x14ac:dyDescent="0.25">
      <c r="A169" s="62" t="s">
        <v>375</v>
      </c>
      <c r="B169" s="63"/>
      <c r="C169" s="63"/>
      <c r="D169" s="64"/>
      <c r="E169" s="66"/>
      <c r="F169" s="102" t="str">
        <f>HYPERLINK("https://pbs.twimg.com/profile_images/1698703805238390784/jJXHaGT1_normal.jpg")</f>
        <v>https://pbs.twimg.com/profile_images/1698703805238390784/jJXHaGT1_normal.jpg</v>
      </c>
      <c r="G169" s="63"/>
      <c r="H169" s="67"/>
      <c r="I169" s="68"/>
      <c r="J169" s="68"/>
      <c r="K169" s="67" t="s">
        <v>6528</v>
      </c>
      <c r="L169" s="71"/>
      <c r="M169" s="72"/>
      <c r="N169" s="72"/>
      <c r="O169" s="73"/>
      <c r="P169" s="74"/>
      <c r="Q169" s="74"/>
      <c r="R169" s="86"/>
      <c r="S169" s="86"/>
      <c r="T169" s="86"/>
      <c r="U169" s="86"/>
      <c r="V169" s="48"/>
      <c r="W169" s="48"/>
      <c r="X169" s="48"/>
      <c r="Y169" s="48"/>
      <c r="Z169" s="47"/>
      <c r="AA169" s="69">
        <v>169</v>
      </c>
      <c r="AB169" s="69"/>
      <c r="AC169" s="70"/>
      <c r="AD169" s="76" t="s">
        <v>5490</v>
      </c>
      <c r="AE169" s="81" t="s">
        <v>5691</v>
      </c>
      <c r="AF169" s="76">
        <v>3253</v>
      </c>
      <c r="AG169" s="76">
        <v>2943</v>
      </c>
      <c r="AH169" s="76">
        <v>82933</v>
      </c>
      <c r="AI169" s="76">
        <v>167</v>
      </c>
      <c r="AJ169" s="76">
        <v>21279</v>
      </c>
      <c r="AK169" s="76">
        <v>1264</v>
      </c>
      <c r="AL169" s="76" t="b">
        <v>0</v>
      </c>
      <c r="AM169" s="78">
        <v>39986.467719907407</v>
      </c>
      <c r="AN169" s="76" t="s">
        <v>3410</v>
      </c>
      <c r="AO169" s="76" t="s">
        <v>6005</v>
      </c>
      <c r="AP169" s="83" t="str">
        <f>HYPERLINK("https://t.co/m5r50Yofem")</f>
        <v>https://t.co/m5r50Yofem</v>
      </c>
      <c r="AQ169" s="83" t="str">
        <f>HYPERLINK("http://www.cql.com.br/jancom")</f>
        <v>http://www.cql.com.br/jancom</v>
      </c>
      <c r="AR169" s="76" t="s">
        <v>6236</v>
      </c>
      <c r="AS169" s="76"/>
      <c r="AT169" s="76"/>
      <c r="AU169" s="76"/>
      <c r="AV169" s="76">
        <v>1.48638119243378E+18</v>
      </c>
      <c r="AW169" s="83" t="str">
        <f>HYPERLINK("https://t.co/m5r50Yofem")</f>
        <v>https://t.co/m5r50Yofem</v>
      </c>
      <c r="AX169" s="76" t="b">
        <v>0</v>
      </c>
      <c r="AY169" s="76"/>
      <c r="AZ169" s="76"/>
      <c r="BA169" s="76" t="b">
        <v>1</v>
      </c>
      <c r="BB169" s="76" t="b">
        <v>1</v>
      </c>
      <c r="BC169" s="76" t="b">
        <v>0</v>
      </c>
      <c r="BD169" s="76" t="b">
        <v>0</v>
      </c>
      <c r="BE169" s="76" t="b">
        <v>0</v>
      </c>
      <c r="BF169" s="76" t="b">
        <v>0</v>
      </c>
      <c r="BG169" s="76" t="b">
        <v>0</v>
      </c>
      <c r="BH169" s="83" t="str">
        <f>HYPERLINK("https://pbs.twimg.com/profile_banners/49599520/1421944296")</f>
        <v>https://pbs.twimg.com/profile_banners/49599520/1421944296</v>
      </c>
      <c r="BI169" s="76"/>
      <c r="BJ169" s="76" t="s">
        <v>6360</v>
      </c>
      <c r="BK169" s="76" t="b">
        <v>0</v>
      </c>
      <c r="BL169" s="76"/>
      <c r="BM169" s="76" t="s">
        <v>66</v>
      </c>
      <c r="BN169" s="76" t="s">
        <v>6362</v>
      </c>
      <c r="BO169" s="83" t="str">
        <f>HYPERLINK("https://twitter.com/_joseamaral")</f>
        <v>https://twitter.com/_joseamaral</v>
      </c>
      <c r="BP169" s="2"/>
    </row>
    <row r="170" spans="1:68" x14ac:dyDescent="0.25">
      <c r="A170" s="62" t="s">
        <v>376</v>
      </c>
      <c r="B170" s="63"/>
      <c r="C170" s="63"/>
      <c r="D170" s="64"/>
      <c r="E170" s="66"/>
      <c r="F170" s="102" t="str">
        <f>HYPERLINK("https://pbs.twimg.com/profile_images/1537476127857467393/BezZXEf6_normal.jpg")</f>
        <v>https://pbs.twimg.com/profile_images/1537476127857467393/BezZXEf6_normal.jpg</v>
      </c>
      <c r="G170" s="63"/>
      <c r="H170" s="67"/>
      <c r="I170" s="68"/>
      <c r="J170" s="68"/>
      <c r="K170" s="67" t="s">
        <v>6529</v>
      </c>
      <c r="L170" s="71"/>
      <c r="M170" s="72"/>
      <c r="N170" s="72"/>
      <c r="O170" s="73"/>
      <c r="P170" s="74"/>
      <c r="Q170" s="74"/>
      <c r="R170" s="86"/>
      <c r="S170" s="86"/>
      <c r="T170" s="86"/>
      <c r="U170" s="86"/>
      <c r="V170" s="48"/>
      <c r="W170" s="48"/>
      <c r="X170" s="48"/>
      <c r="Y170" s="48"/>
      <c r="Z170" s="47"/>
      <c r="AA170" s="69">
        <v>170</v>
      </c>
      <c r="AB170" s="69"/>
      <c r="AC170" s="70"/>
      <c r="AD170" s="76" t="s">
        <v>5491</v>
      </c>
      <c r="AE170" s="81" t="s">
        <v>5203</v>
      </c>
      <c r="AF170" s="76">
        <v>4</v>
      </c>
      <c r="AG170" s="76">
        <v>1</v>
      </c>
      <c r="AH170" s="76">
        <v>133</v>
      </c>
      <c r="AI170" s="76">
        <v>0</v>
      </c>
      <c r="AJ170" s="76">
        <v>0</v>
      </c>
      <c r="AK170" s="76">
        <v>91</v>
      </c>
      <c r="AL170" s="76" t="b">
        <v>0</v>
      </c>
      <c r="AM170" s="78">
        <v>44341.589479166665</v>
      </c>
      <c r="AN170" s="76"/>
      <c r="AO170" s="76" t="s">
        <v>6006</v>
      </c>
      <c r="AP170" s="83" t="str">
        <f>HYPERLINK("https://t.co/J18vOiP1z1")</f>
        <v>https://t.co/J18vOiP1z1</v>
      </c>
      <c r="AQ170" s="83" t="str">
        <f>HYPERLINK("https://portalfinancaspessoais.com.br/")</f>
        <v>https://portalfinancaspessoais.com.br/</v>
      </c>
      <c r="AR170" s="76" t="s">
        <v>6237</v>
      </c>
      <c r="AS170" s="76"/>
      <c r="AT170" s="76"/>
      <c r="AU170" s="76"/>
      <c r="AV170" s="76"/>
      <c r="AW170" s="83" t="str">
        <f>HYPERLINK("https://t.co/J18vOiP1z1")</f>
        <v>https://t.co/J18vOiP1z1</v>
      </c>
      <c r="AX170" s="76" t="b">
        <v>0</v>
      </c>
      <c r="AY170" s="76"/>
      <c r="AZ170" s="76"/>
      <c r="BA170" s="76" t="b">
        <v>0</v>
      </c>
      <c r="BB170" s="76" t="b">
        <v>1</v>
      </c>
      <c r="BC170" s="76" t="b">
        <v>1</v>
      </c>
      <c r="BD170" s="76" t="b">
        <v>0</v>
      </c>
      <c r="BE170" s="76" t="b">
        <v>0</v>
      </c>
      <c r="BF170" s="76" t="b">
        <v>0</v>
      </c>
      <c r="BG170" s="76" t="b">
        <v>0</v>
      </c>
      <c r="BH170" s="83" t="str">
        <f>HYPERLINK("https://pbs.twimg.com/profile_banners/1397192533403443204/1655397849")</f>
        <v>https://pbs.twimg.com/profile_banners/1397192533403443204/1655397849</v>
      </c>
      <c r="BI170" s="76"/>
      <c r="BJ170" s="76" t="s">
        <v>6360</v>
      </c>
      <c r="BK170" s="76" t="b">
        <v>0</v>
      </c>
      <c r="BL170" s="76"/>
      <c r="BM170" s="76" t="s">
        <v>66</v>
      </c>
      <c r="BN170" s="76" t="s">
        <v>6362</v>
      </c>
      <c r="BO170" s="83" t="str">
        <f>HYPERLINK("https://twitter.com/financasportal")</f>
        <v>https://twitter.com/financasportal</v>
      </c>
      <c r="BP170" s="2"/>
    </row>
    <row r="171" spans="1:68" x14ac:dyDescent="0.25">
      <c r="A171" s="62" t="s">
        <v>377</v>
      </c>
      <c r="B171" s="63"/>
      <c r="C171" s="63"/>
      <c r="D171" s="64"/>
      <c r="E171" s="66"/>
      <c r="F171" s="102" t="str">
        <f>HYPERLINK("https://pbs.twimg.com/profile_images/1670086977113186305/4Vtn0Wux_normal.png")</f>
        <v>https://pbs.twimg.com/profile_images/1670086977113186305/4Vtn0Wux_normal.png</v>
      </c>
      <c r="G171" s="63"/>
      <c r="H171" s="67"/>
      <c r="I171" s="68"/>
      <c r="J171" s="68"/>
      <c r="K171" s="67" t="s">
        <v>6530</v>
      </c>
      <c r="L171" s="71"/>
      <c r="M171" s="72"/>
      <c r="N171" s="72"/>
      <c r="O171" s="73"/>
      <c r="P171" s="74"/>
      <c r="Q171" s="74"/>
      <c r="R171" s="86"/>
      <c r="S171" s="86"/>
      <c r="T171" s="86"/>
      <c r="U171" s="86"/>
      <c r="V171" s="48"/>
      <c r="W171" s="48"/>
      <c r="X171" s="48"/>
      <c r="Y171" s="48"/>
      <c r="Z171" s="47"/>
      <c r="AA171" s="69">
        <v>171</v>
      </c>
      <c r="AB171" s="69"/>
      <c r="AC171" s="70"/>
      <c r="AD171" s="76" t="s">
        <v>377</v>
      </c>
      <c r="AE171" s="81" t="s">
        <v>5204</v>
      </c>
      <c r="AF171" s="76">
        <v>1796</v>
      </c>
      <c r="AG171" s="76">
        <v>2523</v>
      </c>
      <c r="AH171" s="76">
        <v>531</v>
      </c>
      <c r="AI171" s="76">
        <v>0</v>
      </c>
      <c r="AJ171" s="76">
        <v>557</v>
      </c>
      <c r="AK171" s="76">
        <v>241</v>
      </c>
      <c r="AL171" s="76" t="b">
        <v>0</v>
      </c>
      <c r="AM171" s="78">
        <v>45094.63354166667</v>
      </c>
      <c r="AN171" s="76" t="s">
        <v>5797</v>
      </c>
      <c r="AO171" s="76" t="s">
        <v>6007</v>
      </c>
      <c r="AP171" s="83" t="str">
        <f>HYPERLINK("https://t.co/ZQwN0Eptyb")</f>
        <v>https://t.co/ZQwN0Eptyb</v>
      </c>
      <c r="AQ171" s="83" t="str">
        <f>HYPERLINK("https://linktr.ee/workshopdantas")</f>
        <v>https://linktr.ee/workshopdantas</v>
      </c>
      <c r="AR171" s="76" t="s">
        <v>6238</v>
      </c>
      <c r="AS171" s="76"/>
      <c r="AT171" s="76"/>
      <c r="AU171" s="76"/>
      <c r="AV171" s="76">
        <v>1.7059997243507699E+18</v>
      </c>
      <c r="AW171" s="83" t="str">
        <f>HYPERLINK("https://t.co/ZQwN0Eptyb")</f>
        <v>https://t.co/ZQwN0Eptyb</v>
      </c>
      <c r="AX171" s="76" t="b">
        <v>0</v>
      </c>
      <c r="AY171" s="76"/>
      <c r="AZ171" s="76"/>
      <c r="BA171" s="76" t="b">
        <v>1</v>
      </c>
      <c r="BB171" s="76" t="b">
        <v>1</v>
      </c>
      <c r="BC171" s="76" t="b">
        <v>1</v>
      </c>
      <c r="BD171" s="76" t="b">
        <v>0</v>
      </c>
      <c r="BE171" s="76" t="b">
        <v>0</v>
      </c>
      <c r="BF171" s="76" t="b">
        <v>0</v>
      </c>
      <c r="BG171" s="76" t="b">
        <v>0</v>
      </c>
      <c r="BH171" s="83" t="str">
        <f>HYPERLINK("https://pbs.twimg.com/profile_banners/1670086879197233152/1695815333")</f>
        <v>https://pbs.twimg.com/profile_banners/1670086879197233152/1695815333</v>
      </c>
      <c r="BI171" s="76"/>
      <c r="BJ171" s="76" t="s">
        <v>6360</v>
      </c>
      <c r="BK171" s="76" t="b">
        <v>0</v>
      </c>
      <c r="BL171" s="76"/>
      <c r="BM171" s="76" t="s">
        <v>66</v>
      </c>
      <c r="BN171" s="76" t="s">
        <v>6362</v>
      </c>
      <c r="BO171" s="83" t="str">
        <f>HYPERLINK("https://twitter.com/workshopdantas")</f>
        <v>https://twitter.com/workshopdantas</v>
      </c>
      <c r="BP171" s="2"/>
    </row>
    <row r="172" spans="1:68" x14ac:dyDescent="0.25">
      <c r="A172" s="62" t="s">
        <v>527</v>
      </c>
      <c r="B172" s="63"/>
      <c r="C172" s="63"/>
      <c r="D172" s="64"/>
      <c r="E172" s="66"/>
      <c r="F172" s="102" t="str">
        <f>HYPERLINK("https://pbs.twimg.com/profile_images/442744104674660353/zGV7ZcFZ_normal.jpeg")</f>
        <v>https://pbs.twimg.com/profile_images/442744104674660353/zGV7ZcFZ_normal.jpeg</v>
      </c>
      <c r="G172" s="63"/>
      <c r="H172" s="67"/>
      <c r="I172" s="68"/>
      <c r="J172" s="68"/>
      <c r="K172" s="67" t="s">
        <v>6531</v>
      </c>
      <c r="L172" s="71"/>
      <c r="M172" s="72"/>
      <c r="N172" s="72"/>
      <c r="O172" s="73"/>
      <c r="P172" s="74"/>
      <c r="Q172" s="74"/>
      <c r="R172" s="86"/>
      <c r="S172" s="86"/>
      <c r="T172" s="86"/>
      <c r="U172" s="86"/>
      <c r="V172" s="48"/>
      <c r="W172" s="48"/>
      <c r="X172" s="48"/>
      <c r="Y172" s="48"/>
      <c r="Z172" s="47"/>
      <c r="AA172" s="69">
        <v>172</v>
      </c>
      <c r="AB172" s="69"/>
      <c r="AC172" s="70"/>
      <c r="AD172" s="76" t="s">
        <v>5492</v>
      </c>
      <c r="AE172" s="81" t="s">
        <v>5692</v>
      </c>
      <c r="AF172" s="76">
        <v>1480471</v>
      </c>
      <c r="AG172" s="76">
        <v>1077</v>
      </c>
      <c r="AH172" s="76">
        <v>240718</v>
      </c>
      <c r="AI172" s="76">
        <v>2689</v>
      </c>
      <c r="AJ172" s="76">
        <v>548</v>
      </c>
      <c r="AK172" s="76">
        <v>17747</v>
      </c>
      <c r="AL172" s="76" t="b">
        <v>0</v>
      </c>
      <c r="AM172" s="78">
        <v>39782.416909722226</v>
      </c>
      <c r="AN172" s="76" t="s">
        <v>5798</v>
      </c>
      <c r="AO172" s="76" t="s">
        <v>6008</v>
      </c>
      <c r="AP172" s="83" t="str">
        <f>HYPERLINK("https://t.co/SQ4XChxlul")</f>
        <v>https://t.co/SQ4XChxlul</v>
      </c>
      <c r="AQ172" s="83" t="str">
        <f>HYPERLINK("http://about.me/rogermoreira")</f>
        <v>http://about.me/rogermoreira</v>
      </c>
      <c r="AR172" s="76" t="s">
        <v>6239</v>
      </c>
      <c r="AS172" s="76"/>
      <c r="AT172" s="76"/>
      <c r="AU172" s="76"/>
      <c r="AV172" s="76">
        <v>1.01436084217391E+18</v>
      </c>
      <c r="AW172" s="83" t="str">
        <f>HYPERLINK("https://t.co/SQ4XChxlul")</f>
        <v>https://t.co/SQ4XChxlul</v>
      </c>
      <c r="AX172" s="76" t="b">
        <v>1</v>
      </c>
      <c r="AY172" s="76"/>
      <c r="AZ172" s="76"/>
      <c r="BA172" s="76" t="b">
        <v>0</v>
      </c>
      <c r="BB172" s="76" t="b">
        <v>0</v>
      </c>
      <c r="BC172" s="76" t="b">
        <v>0</v>
      </c>
      <c r="BD172" s="76" t="b">
        <v>0</v>
      </c>
      <c r="BE172" s="76" t="b">
        <v>1</v>
      </c>
      <c r="BF172" s="76" t="b">
        <v>0</v>
      </c>
      <c r="BG172" s="76" t="b">
        <v>0</v>
      </c>
      <c r="BH172" s="83" t="str">
        <f>HYPERLINK("https://pbs.twimg.com/profile_banners/17752026/1401135237")</f>
        <v>https://pbs.twimg.com/profile_banners/17752026/1401135237</v>
      </c>
      <c r="BI172" s="76"/>
      <c r="BJ172" s="76" t="s">
        <v>6360</v>
      </c>
      <c r="BK172" s="76" t="b">
        <v>0</v>
      </c>
      <c r="BL172" s="76"/>
      <c r="BM172" s="76" t="s">
        <v>65</v>
      </c>
      <c r="BN172" s="76" t="s">
        <v>6362</v>
      </c>
      <c r="BO172" s="83" t="str">
        <f>HYPERLINK("https://twitter.com/roxmo")</f>
        <v>https://twitter.com/roxmo</v>
      </c>
      <c r="BP172" s="2"/>
    </row>
    <row r="173" spans="1:68" x14ac:dyDescent="0.25">
      <c r="A173" s="62" t="s">
        <v>528</v>
      </c>
      <c r="B173" s="63"/>
      <c r="C173" s="63"/>
      <c r="D173" s="64"/>
      <c r="E173" s="66"/>
      <c r="F173" s="102" t="str">
        <f>HYPERLINK("https://pbs.twimg.com/profile_images/1630217574100213762/SAMK-BnB_normal.jpg")</f>
        <v>https://pbs.twimg.com/profile_images/1630217574100213762/SAMK-BnB_normal.jpg</v>
      </c>
      <c r="G173" s="63"/>
      <c r="H173" s="67"/>
      <c r="I173" s="68"/>
      <c r="J173" s="68"/>
      <c r="K173" s="67" t="s">
        <v>6532</v>
      </c>
      <c r="L173" s="71"/>
      <c r="M173" s="72"/>
      <c r="N173" s="72"/>
      <c r="O173" s="73"/>
      <c r="P173" s="74"/>
      <c r="Q173" s="74"/>
      <c r="R173" s="86"/>
      <c r="S173" s="86"/>
      <c r="T173" s="86"/>
      <c r="U173" s="86"/>
      <c r="V173" s="48"/>
      <c r="W173" s="48"/>
      <c r="X173" s="48"/>
      <c r="Y173" s="48"/>
      <c r="Z173" s="47"/>
      <c r="AA173" s="69">
        <v>173</v>
      </c>
      <c r="AB173" s="69"/>
      <c r="AC173" s="70"/>
      <c r="AD173" s="76" t="s">
        <v>5493</v>
      </c>
      <c r="AE173" s="81" t="s">
        <v>5693</v>
      </c>
      <c r="AF173" s="76">
        <v>8245938</v>
      </c>
      <c r="AG173" s="76">
        <v>2901</v>
      </c>
      <c r="AH173" s="76">
        <v>32053</v>
      </c>
      <c r="AI173" s="76">
        <v>5632</v>
      </c>
      <c r="AJ173" s="76">
        <v>15829</v>
      </c>
      <c r="AK173" s="76">
        <v>6456</v>
      </c>
      <c r="AL173" s="76" t="b">
        <v>0</v>
      </c>
      <c r="AM173" s="78">
        <v>41842.900578703702</v>
      </c>
      <c r="AN173" s="76" t="s">
        <v>5781</v>
      </c>
      <c r="AO173" s="76" t="s">
        <v>6009</v>
      </c>
      <c r="AP173" s="83" t="str">
        <f>HYPERLINK("https://t.co/FWDIwBcWRa")</f>
        <v>https://t.co/FWDIwBcWRa</v>
      </c>
      <c r="AQ173" s="83" t="str">
        <f>HYPERLINK("https://lula.com.br/siga-o-lula/")</f>
        <v>https://lula.com.br/siga-o-lula/</v>
      </c>
      <c r="AR173" s="76" t="s">
        <v>6240</v>
      </c>
      <c r="AS173" s="76"/>
      <c r="AT173" s="76"/>
      <c r="AU173" s="76"/>
      <c r="AV173" s="76">
        <v>1.66105073773486E+18</v>
      </c>
      <c r="AW173" s="83" t="str">
        <f>HYPERLINK("https://t.co/FWDIwBcWRa")</f>
        <v>https://t.co/FWDIwBcWRa</v>
      </c>
      <c r="AX173" s="76" t="b">
        <v>1</v>
      </c>
      <c r="AY173" s="76"/>
      <c r="AZ173" s="76"/>
      <c r="BA173" s="76" t="b">
        <v>0</v>
      </c>
      <c r="BB173" s="76" t="b">
        <v>1</v>
      </c>
      <c r="BC173" s="76" t="b">
        <v>1</v>
      </c>
      <c r="BD173" s="76" t="b">
        <v>0</v>
      </c>
      <c r="BE173" s="76" t="b">
        <v>1</v>
      </c>
      <c r="BF173" s="76" t="b">
        <v>0</v>
      </c>
      <c r="BG173" s="76" t="b">
        <v>0</v>
      </c>
      <c r="BH173" s="83" t="str">
        <f>HYPERLINK("https://pbs.twimg.com/profile_banners/2670726740/1672662238")</f>
        <v>https://pbs.twimg.com/profile_banners/2670726740/1672662238</v>
      </c>
      <c r="BI173" s="76"/>
      <c r="BJ173" s="76" t="s">
        <v>6360</v>
      </c>
      <c r="BK173" s="76" t="b">
        <v>0</v>
      </c>
      <c r="BL173" s="76"/>
      <c r="BM173" s="76" t="s">
        <v>65</v>
      </c>
      <c r="BN173" s="76" t="s">
        <v>6362</v>
      </c>
      <c r="BO173" s="83" t="str">
        <f>HYPERLINK("https://twitter.com/lulaoficial")</f>
        <v>https://twitter.com/lulaoficial</v>
      </c>
      <c r="BP173" s="2"/>
    </row>
    <row r="174" spans="1:68" x14ac:dyDescent="0.25">
      <c r="A174" s="62" t="s">
        <v>529</v>
      </c>
      <c r="B174" s="63"/>
      <c r="C174" s="63"/>
      <c r="D174" s="64"/>
      <c r="E174" s="66"/>
      <c r="F174" s="102" t="str">
        <f>HYPERLINK("https://pbs.twimg.com/profile_images/1595550170577608706/8tInBlku_normal.jpg")</f>
        <v>https://pbs.twimg.com/profile_images/1595550170577608706/8tInBlku_normal.jpg</v>
      </c>
      <c r="G174" s="63"/>
      <c r="H174" s="67"/>
      <c r="I174" s="68"/>
      <c r="J174" s="68"/>
      <c r="K174" s="67" t="s">
        <v>6533</v>
      </c>
      <c r="L174" s="71"/>
      <c r="M174" s="72"/>
      <c r="N174" s="72"/>
      <c r="O174" s="73"/>
      <c r="P174" s="74"/>
      <c r="Q174" s="74"/>
      <c r="R174" s="86"/>
      <c r="S174" s="86"/>
      <c r="T174" s="86"/>
      <c r="U174" s="86"/>
      <c r="V174" s="48"/>
      <c r="W174" s="48"/>
      <c r="X174" s="48"/>
      <c r="Y174" s="48"/>
      <c r="Z174" s="47"/>
      <c r="AA174" s="69">
        <v>174</v>
      </c>
      <c r="AB174" s="69"/>
      <c r="AC174" s="70"/>
      <c r="AD174" s="76" t="s">
        <v>5494</v>
      </c>
      <c r="AE174" s="81" t="s">
        <v>5694</v>
      </c>
      <c r="AF174" s="76">
        <v>993358</v>
      </c>
      <c r="AG174" s="76">
        <v>2745</v>
      </c>
      <c r="AH174" s="76">
        <v>29114</v>
      </c>
      <c r="AI174" s="76">
        <v>866</v>
      </c>
      <c r="AJ174" s="76">
        <v>24611</v>
      </c>
      <c r="AK174" s="76">
        <v>6446</v>
      </c>
      <c r="AL174" s="76" t="b">
        <v>0</v>
      </c>
      <c r="AM174" s="78">
        <v>39922.032187500001</v>
      </c>
      <c r="AN174" s="76" t="s">
        <v>5754</v>
      </c>
      <c r="AO174" s="76" t="s">
        <v>6010</v>
      </c>
      <c r="AP174" s="83" t="str">
        <f>HYPERLINK("https://t.co/ovdHS3VMXG")</f>
        <v>https://t.co/ovdHS3VMXG</v>
      </c>
      <c r="AQ174" s="83" t="str">
        <f>HYPERLINK("https://instagram.com/robertomottaoficial")</f>
        <v>https://instagram.com/robertomottaoficial</v>
      </c>
      <c r="AR174" s="76" t="s">
        <v>6241</v>
      </c>
      <c r="AS174" s="76"/>
      <c r="AT174" s="76"/>
      <c r="AU174" s="76"/>
      <c r="AV174" s="76"/>
      <c r="AW174" s="83" t="str">
        <f>HYPERLINK("https://t.co/ovdHS3VMXG")</f>
        <v>https://t.co/ovdHS3VMXG</v>
      </c>
      <c r="AX174" s="76" t="b">
        <v>1</v>
      </c>
      <c r="AY174" s="76"/>
      <c r="AZ174" s="76"/>
      <c r="BA174" s="76" t="b">
        <v>0</v>
      </c>
      <c r="BB174" s="76" t="b">
        <v>0</v>
      </c>
      <c r="BC174" s="76" t="b">
        <v>1</v>
      </c>
      <c r="BD174" s="76" t="b">
        <v>0</v>
      </c>
      <c r="BE174" s="76" t="b">
        <v>1</v>
      </c>
      <c r="BF174" s="76" t="b">
        <v>0</v>
      </c>
      <c r="BG174" s="76" t="b">
        <v>0</v>
      </c>
      <c r="BH174" s="83" t="str">
        <f>HYPERLINK("https://pbs.twimg.com/profile_banners/33071040/1673989418")</f>
        <v>https://pbs.twimg.com/profile_banners/33071040/1673989418</v>
      </c>
      <c r="BI174" s="76"/>
      <c r="BJ174" s="76" t="s">
        <v>6360</v>
      </c>
      <c r="BK174" s="76" t="b">
        <v>0</v>
      </c>
      <c r="BL174" s="76"/>
      <c r="BM174" s="76" t="s">
        <v>65</v>
      </c>
      <c r="BN174" s="76" t="s">
        <v>6362</v>
      </c>
      <c r="BO174" s="83" t="str">
        <f>HYPERLINK("https://twitter.com/rmotta2")</f>
        <v>https://twitter.com/rmotta2</v>
      </c>
      <c r="BP174" s="2"/>
    </row>
    <row r="175" spans="1:68" x14ac:dyDescent="0.25">
      <c r="A175" s="62" t="s">
        <v>530</v>
      </c>
      <c r="B175" s="63"/>
      <c r="C175" s="63"/>
      <c r="D175" s="64"/>
      <c r="E175" s="66"/>
      <c r="F175" s="102" t="str">
        <f>HYPERLINK("https://pbs.twimg.com/profile_images/1635112637980655623/E9jd1Z4O_normal.jpg")</f>
        <v>https://pbs.twimg.com/profile_images/1635112637980655623/E9jd1Z4O_normal.jpg</v>
      </c>
      <c r="G175" s="63"/>
      <c r="H175" s="67"/>
      <c r="I175" s="68"/>
      <c r="J175" s="68"/>
      <c r="K175" s="67" t="s">
        <v>6534</v>
      </c>
      <c r="L175" s="71"/>
      <c r="M175" s="72"/>
      <c r="N175" s="72"/>
      <c r="O175" s="73"/>
      <c r="P175" s="74"/>
      <c r="Q175" s="74"/>
      <c r="R175" s="86"/>
      <c r="S175" s="86"/>
      <c r="T175" s="86"/>
      <c r="U175" s="86"/>
      <c r="V175" s="48"/>
      <c r="W175" s="48"/>
      <c r="X175" s="48"/>
      <c r="Y175" s="48"/>
      <c r="Z175" s="47"/>
      <c r="AA175" s="69">
        <v>175</v>
      </c>
      <c r="AB175" s="69"/>
      <c r="AC175" s="70"/>
      <c r="AD175" s="76" t="s">
        <v>5495</v>
      </c>
      <c r="AE175" s="81" t="s">
        <v>5695</v>
      </c>
      <c r="AF175" s="76">
        <v>1028592</v>
      </c>
      <c r="AG175" s="76">
        <v>877</v>
      </c>
      <c r="AH175" s="76">
        <v>44321</v>
      </c>
      <c r="AI175" s="76">
        <v>731</v>
      </c>
      <c r="AJ175" s="76">
        <v>123278</v>
      </c>
      <c r="AK175" s="76">
        <v>2064</v>
      </c>
      <c r="AL175" s="76" t="b">
        <v>0</v>
      </c>
      <c r="AM175" s="78">
        <v>43365.901828703703</v>
      </c>
      <c r="AN175" s="76" t="s">
        <v>3415</v>
      </c>
      <c r="AO175" s="76" t="s">
        <v>6011</v>
      </c>
      <c r="AP175" s="83" t="str">
        <f>HYPERLINK("https://t.co/BtRe2H1e4b")</f>
        <v>https://t.co/BtRe2H1e4b</v>
      </c>
      <c r="AQ175" s="83" t="str">
        <f>HYPERLINK("https://www.youtube.com/@Damadeferroofic")</f>
        <v>https://www.youtube.com/@Damadeferroofic</v>
      </c>
      <c r="AR175" s="76" t="s">
        <v>6242</v>
      </c>
      <c r="AS175" s="76"/>
      <c r="AT175" s="76"/>
      <c r="AU175" s="76"/>
      <c r="AV175" s="76">
        <v>1.69914138104898E+18</v>
      </c>
      <c r="AW175" s="83" t="str">
        <f>HYPERLINK("https://t.co/BtRe2H1e4b")</f>
        <v>https://t.co/BtRe2H1e4b</v>
      </c>
      <c r="AX175" s="76" t="b">
        <v>1</v>
      </c>
      <c r="AY175" s="76"/>
      <c r="AZ175" s="76"/>
      <c r="BA175" s="76" t="b">
        <v>1</v>
      </c>
      <c r="BB175" s="76" t="b">
        <v>1</v>
      </c>
      <c r="BC175" s="76" t="b">
        <v>0</v>
      </c>
      <c r="BD175" s="76" t="b">
        <v>0</v>
      </c>
      <c r="BE175" s="76" t="b">
        <v>0</v>
      </c>
      <c r="BF175" s="76" t="b">
        <v>0</v>
      </c>
      <c r="BG175" s="76" t="b">
        <v>0</v>
      </c>
      <c r="BH175" s="83" t="str">
        <f>HYPERLINK("https://pbs.twimg.com/profile_banners/1043615581973499904/1679251866")</f>
        <v>https://pbs.twimg.com/profile_banners/1043615581973499904/1679251866</v>
      </c>
      <c r="BI175" s="76"/>
      <c r="BJ175" s="76" t="s">
        <v>6360</v>
      </c>
      <c r="BK175" s="76" t="b">
        <v>0</v>
      </c>
      <c r="BL175" s="76"/>
      <c r="BM175" s="76" t="s">
        <v>65</v>
      </c>
      <c r="BN175" s="76" t="s">
        <v>6362</v>
      </c>
      <c r="BO175" s="83" t="str">
        <f>HYPERLINK("https://twitter.com/damadeferroofic")</f>
        <v>https://twitter.com/damadeferroofic</v>
      </c>
      <c r="BP175" s="2"/>
    </row>
    <row r="176" spans="1:68" x14ac:dyDescent="0.25">
      <c r="A176" s="62" t="s">
        <v>378</v>
      </c>
      <c r="B176" s="63"/>
      <c r="C176" s="63"/>
      <c r="D176" s="64"/>
      <c r="E176" s="66"/>
      <c r="F176" s="102" t="str">
        <f>HYPERLINK("https://pbs.twimg.com/profile_images/1481657546486296576/InO0jboq_normal.jpg")</f>
        <v>https://pbs.twimg.com/profile_images/1481657546486296576/InO0jboq_normal.jpg</v>
      </c>
      <c r="G176" s="63"/>
      <c r="H176" s="67"/>
      <c r="I176" s="68"/>
      <c r="J176" s="68"/>
      <c r="K176" s="67" t="s">
        <v>6535</v>
      </c>
      <c r="L176" s="71"/>
      <c r="M176" s="72"/>
      <c r="N176" s="72"/>
      <c r="O176" s="73"/>
      <c r="P176" s="74"/>
      <c r="Q176" s="74"/>
      <c r="R176" s="86"/>
      <c r="S176" s="86"/>
      <c r="T176" s="86"/>
      <c r="U176" s="86"/>
      <c r="V176" s="48"/>
      <c r="W176" s="48"/>
      <c r="X176" s="48"/>
      <c r="Y176" s="48"/>
      <c r="Z176" s="47"/>
      <c r="AA176" s="69">
        <v>176</v>
      </c>
      <c r="AB176" s="69"/>
      <c r="AC176" s="70"/>
      <c r="AD176" s="76" t="s">
        <v>5496</v>
      </c>
      <c r="AE176" s="81" t="s">
        <v>5205</v>
      </c>
      <c r="AF176" s="76">
        <v>727</v>
      </c>
      <c r="AG176" s="76">
        <v>89</v>
      </c>
      <c r="AH176" s="76">
        <v>1603</v>
      </c>
      <c r="AI176" s="76">
        <v>1</v>
      </c>
      <c r="AJ176" s="76">
        <v>106</v>
      </c>
      <c r="AK176" s="76">
        <v>983</v>
      </c>
      <c r="AL176" s="76" t="b">
        <v>0</v>
      </c>
      <c r="AM176" s="78">
        <v>42744.732719907406</v>
      </c>
      <c r="AN176" s="76"/>
      <c r="AO176" s="76" t="s">
        <v>6012</v>
      </c>
      <c r="AP176" s="83" t="str">
        <f>HYPERLINK("https://t.co/9trjGnlAYc")</f>
        <v>https://t.co/9trjGnlAYc</v>
      </c>
      <c r="AQ176" s="83" t="str">
        <f>HYPERLINK("https://www.unicred.com.br/home")</f>
        <v>https://www.unicred.com.br/home</v>
      </c>
      <c r="AR176" s="76" t="s">
        <v>6243</v>
      </c>
      <c r="AS176" s="76"/>
      <c r="AT176" s="76"/>
      <c r="AU176" s="76"/>
      <c r="AV176" s="76"/>
      <c r="AW176" s="83" t="str">
        <f>HYPERLINK("https://t.co/9trjGnlAYc")</f>
        <v>https://t.co/9trjGnlAYc</v>
      </c>
      <c r="AX176" s="76" t="b">
        <v>0</v>
      </c>
      <c r="AY176" s="76"/>
      <c r="AZ176" s="76"/>
      <c r="BA176" s="76" t="b">
        <v>0</v>
      </c>
      <c r="BB176" s="76" t="b">
        <v>1</v>
      </c>
      <c r="BC176" s="76" t="b">
        <v>0</v>
      </c>
      <c r="BD176" s="76" t="b">
        <v>0</v>
      </c>
      <c r="BE176" s="76" t="b">
        <v>1</v>
      </c>
      <c r="BF176" s="76" t="b">
        <v>0</v>
      </c>
      <c r="BG176" s="76" t="b">
        <v>0</v>
      </c>
      <c r="BH176" s="83" t="str">
        <f>HYPERLINK("https://pbs.twimg.com/profile_banners/818511431654133760/1694521271")</f>
        <v>https://pbs.twimg.com/profile_banners/818511431654133760/1694521271</v>
      </c>
      <c r="BI176" s="76"/>
      <c r="BJ176" s="76" t="s">
        <v>6360</v>
      </c>
      <c r="BK176" s="76" t="b">
        <v>0</v>
      </c>
      <c r="BL176" s="76"/>
      <c r="BM176" s="76" t="s">
        <v>66</v>
      </c>
      <c r="BN176" s="76" t="s">
        <v>6362</v>
      </c>
      <c r="BO176" s="83" t="str">
        <f>HYPERLINK("https://twitter.com/unicredbrasil")</f>
        <v>https://twitter.com/unicredbrasil</v>
      </c>
      <c r="BP176" s="2"/>
    </row>
    <row r="177" spans="1:68" x14ac:dyDescent="0.25">
      <c r="A177" s="62" t="s">
        <v>379</v>
      </c>
      <c r="B177" s="63"/>
      <c r="C177" s="63"/>
      <c r="D177" s="64"/>
      <c r="E177" s="66"/>
      <c r="F177" s="102" t="str">
        <f>HYPERLINK("https://pbs.twimg.com/profile_images/1633831608603250688/1muc5I3O_normal.jpg")</f>
        <v>https://pbs.twimg.com/profile_images/1633831608603250688/1muc5I3O_normal.jpg</v>
      </c>
      <c r="G177" s="63"/>
      <c r="H177" s="67"/>
      <c r="I177" s="68"/>
      <c r="J177" s="68"/>
      <c r="K177" s="67" t="s">
        <v>6536</v>
      </c>
      <c r="L177" s="71"/>
      <c r="M177" s="72"/>
      <c r="N177" s="72"/>
      <c r="O177" s="73"/>
      <c r="P177" s="74"/>
      <c r="Q177" s="74"/>
      <c r="R177" s="86"/>
      <c r="S177" s="86"/>
      <c r="T177" s="86"/>
      <c r="U177" s="86"/>
      <c r="V177" s="48"/>
      <c r="W177" s="48"/>
      <c r="X177" s="48"/>
      <c r="Y177" s="48"/>
      <c r="Z177" s="47"/>
      <c r="AA177" s="69">
        <v>177</v>
      </c>
      <c r="AB177" s="69"/>
      <c r="AC177" s="70"/>
      <c r="AD177" s="76" t="s">
        <v>5497</v>
      </c>
      <c r="AE177" s="81" t="s">
        <v>5051</v>
      </c>
      <c r="AF177" s="76">
        <v>187</v>
      </c>
      <c r="AG177" s="76">
        <v>18</v>
      </c>
      <c r="AH177" s="76">
        <v>242</v>
      </c>
      <c r="AI177" s="76">
        <v>1</v>
      </c>
      <c r="AJ177" s="76">
        <v>116</v>
      </c>
      <c r="AK177" s="76">
        <v>104</v>
      </c>
      <c r="AL177" s="76" t="b">
        <v>0</v>
      </c>
      <c r="AM177" s="78">
        <v>44991.649756944447</v>
      </c>
      <c r="AN177" s="76" t="s">
        <v>5799</v>
      </c>
      <c r="AO177" s="76" t="s">
        <v>6013</v>
      </c>
      <c r="AP177" s="83" t="str">
        <f>HYPERLINK("https://t.co/55IBGwD9XP")</f>
        <v>https://t.co/55IBGwD9XP</v>
      </c>
      <c r="AQ177" s="83" t="str">
        <f>HYPERLINK("https://linktr.ee/vincoexchange")</f>
        <v>https://linktr.ee/vincoexchange</v>
      </c>
      <c r="AR177" s="76" t="s">
        <v>6244</v>
      </c>
      <c r="AS177" s="76"/>
      <c r="AT177" s="76"/>
      <c r="AU177" s="76"/>
      <c r="AV177" s="76"/>
      <c r="AW177" s="83" t="str">
        <f>HYPERLINK("https://t.co/55IBGwD9XP")</f>
        <v>https://t.co/55IBGwD9XP</v>
      </c>
      <c r="AX177" s="76" t="b">
        <v>1</v>
      </c>
      <c r="AY177" s="76"/>
      <c r="AZ177" s="76"/>
      <c r="BA177" s="76" t="b">
        <v>0</v>
      </c>
      <c r="BB177" s="76" t="b">
        <v>1</v>
      </c>
      <c r="BC177" s="76" t="b">
        <v>1</v>
      </c>
      <c r="BD177" s="76" t="b">
        <v>0</v>
      </c>
      <c r="BE177" s="76" t="b">
        <v>0</v>
      </c>
      <c r="BF177" s="76" t="b">
        <v>0</v>
      </c>
      <c r="BG177" s="76" t="b">
        <v>0</v>
      </c>
      <c r="BH177" s="83" t="str">
        <f>HYPERLINK("https://pbs.twimg.com/profile_banners/1632766845903151106/1678370787")</f>
        <v>https://pbs.twimg.com/profile_banners/1632766845903151106/1678370787</v>
      </c>
      <c r="BI177" s="76"/>
      <c r="BJ177" s="76" t="s">
        <v>6360</v>
      </c>
      <c r="BK177" s="76" t="b">
        <v>0</v>
      </c>
      <c r="BL177" s="76"/>
      <c r="BM177" s="76" t="s">
        <v>66</v>
      </c>
      <c r="BN177" s="76" t="s">
        <v>6362</v>
      </c>
      <c r="BO177" s="83" t="str">
        <f>HYPERLINK("https://twitter.com/vincopontovc")</f>
        <v>https://twitter.com/vincopontovc</v>
      </c>
      <c r="BP177" s="2"/>
    </row>
    <row r="178" spans="1:68" x14ac:dyDescent="0.25">
      <c r="A178" s="62" t="s">
        <v>380</v>
      </c>
      <c r="B178" s="63"/>
      <c r="C178" s="63"/>
      <c r="D178" s="64"/>
      <c r="E178" s="66"/>
      <c r="F178" s="102" t="str">
        <f>HYPERLINK("https://pbs.twimg.com/profile_images/1691870950734635008/ST8HsCf6_normal.jpg")</f>
        <v>https://pbs.twimg.com/profile_images/1691870950734635008/ST8HsCf6_normal.jpg</v>
      </c>
      <c r="G178" s="63"/>
      <c r="H178" s="67"/>
      <c r="I178" s="68"/>
      <c r="J178" s="68"/>
      <c r="K178" s="67" t="s">
        <v>6537</v>
      </c>
      <c r="L178" s="71"/>
      <c r="M178" s="72"/>
      <c r="N178" s="72"/>
      <c r="O178" s="73"/>
      <c r="P178" s="74"/>
      <c r="Q178" s="74"/>
      <c r="R178" s="86"/>
      <c r="S178" s="86"/>
      <c r="T178" s="86"/>
      <c r="U178" s="86"/>
      <c r="V178" s="48"/>
      <c r="W178" s="48"/>
      <c r="X178" s="48"/>
      <c r="Y178" s="48"/>
      <c r="Z178" s="47"/>
      <c r="AA178" s="69">
        <v>178</v>
      </c>
      <c r="AB178" s="69"/>
      <c r="AC178" s="70"/>
      <c r="AD178" s="76" t="s">
        <v>5498</v>
      </c>
      <c r="AE178" s="81" t="s">
        <v>5206</v>
      </c>
      <c r="AF178" s="76">
        <v>193</v>
      </c>
      <c r="AG178" s="76">
        <v>439</v>
      </c>
      <c r="AH178" s="76">
        <v>967</v>
      </c>
      <c r="AI178" s="76">
        <v>0</v>
      </c>
      <c r="AJ178" s="76">
        <v>44</v>
      </c>
      <c r="AK178" s="76">
        <v>733</v>
      </c>
      <c r="AL178" s="76" t="b">
        <v>0</v>
      </c>
      <c r="AM178" s="78">
        <v>42802.639004629629</v>
      </c>
      <c r="AN178" s="76" t="s">
        <v>5800</v>
      </c>
      <c r="AO178" s="76" t="s">
        <v>6014</v>
      </c>
      <c r="AP178" s="83" t="str">
        <f>HYPERLINK("https://t.co/nvQm8eLQCk")</f>
        <v>https://t.co/nvQm8eLQCk</v>
      </c>
      <c r="AQ178" s="83" t="str">
        <f>HYPERLINK("http://www.kakau.co")</f>
        <v>http://www.kakau.co</v>
      </c>
      <c r="AR178" s="76" t="s">
        <v>6245</v>
      </c>
      <c r="AS178" s="83" t="str">
        <f>HYPERLINK("https://t.co/UzTzu9K6rt")</f>
        <v>https://t.co/UzTzu9K6rt</v>
      </c>
      <c r="AT178" s="83" t="str">
        <f>HYPERLINK("http://kakau.co")</f>
        <v>http://kakau.co</v>
      </c>
      <c r="AU178" s="76" t="s">
        <v>6245</v>
      </c>
      <c r="AV178" s="76"/>
      <c r="AW178" s="83" t="str">
        <f>HYPERLINK("https://t.co/nvQm8eLQCk")</f>
        <v>https://t.co/nvQm8eLQCk</v>
      </c>
      <c r="AX178" s="76" t="b">
        <v>0</v>
      </c>
      <c r="AY178" s="76"/>
      <c r="AZ178" s="76"/>
      <c r="BA178" s="76" t="b">
        <v>0</v>
      </c>
      <c r="BB178" s="76" t="b">
        <v>1</v>
      </c>
      <c r="BC178" s="76" t="b">
        <v>0</v>
      </c>
      <c r="BD178" s="76" t="b">
        <v>0</v>
      </c>
      <c r="BE178" s="76" t="b">
        <v>1</v>
      </c>
      <c r="BF178" s="76" t="b">
        <v>0</v>
      </c>
      <c r="BG178" s="76" t="b">
        <v>0</v>
      </c>
      <c r="BH178" s="83" t="str">
        <f>HYPERLINK("https://pbs.twimg.com/profile_banners/839495968366149632/1693592009")</f>
        <v>https://pbs.twimg.com/profile_banners/839495968366149632/1693592009</v>
      </c>
      <c r="BI178" s="76"/>
      <c r="BJ178" s="76" t="s">
        <v>6360</v>
      </c>
      <c r="BK178" s="76" t="b">
        <v>0</v>
      </c>
      <c r="BL178" s="76"/>
      <c r="BM178" s="76" t="s">
        <v>66</v>
      </c>
      <c r="BN178" s="76" t="s">
        <v>6362</v>
      </c>
      <c r="BO178" s="83" t="str">
        <f>HYPERLINK("https://twitter.com/kakau_seguros")</f>
        <v>https://twitter.com/kakau_seguros</v>
      </c>
      <c r="BP178" s="2"/>
    </row>
    <row r="179" spans="1:68" x14ac:dyDescent="0.25">
      <c r="A179" s="62" t="s">
        <v>381</v>
      </c>
      <c r="B179" s="63"/>
      <c r="C179" s="63"/>
      <c r="D179" s="64"/>
      <c r="E179" s="66"/>
      <c r="F179" s="102" t="str">
        <f>HYPERLINK("https://pbs.twimg.com/profile_images/1041725334431952896/uaPtkYSp_normal.jpg")</f>
        <v>https://pbs.twimg.com/profile_images/1041725334431952896/uaPtkYSp_normal.jpg</v>
      </c>
      <c r="G179" s="63"/>
      <c r="H179" s="67"/>
      <c r="I179" s="68"/>
      <c r="J179" s="68"/>
      <c r="K179" s="67" t="s">
        <v>6538</v>
      </c>
      <c r="L179" s="71"/>
      <c r="M179" s="72"/>
      <c r="N179" s="72"/>
      <c r="O179" s="73"/>
      <c r="P179" s="74"/>
      <c r="Q179" s="74"/>
      <c r="R179" s="86"/>
      <c r="S179" s="86"/>
      <c r="T179" s="86"/>
      <c r="U179" s="86"/>
      <c r="V179" s="48"/>
      <c r="W179" s="48"/>
      <c r="X179" s="48"/>
      <c r="Y179" s="48"/>
      <c r="Z179" s="47"/>
      <c r="AA179" s="69">
        <v>179</v>
      </c>
      <c r="AB179" s="69"/>
      <c r="AC179" s="70"/>
      <c r="AD179" s="76" t="s">
        <v>5499</v>
      </c>
      <c r="AE179" s="81" t="s">
        <v>5207</v>
      </c>
      <c r="AF179" s="76">
        <v>13871</v>
      </c>
      <c r="AG179" s="76">
        <v>34</v>
      </c>
      <c r="AH179" s="76">
        <v>24407</v>
      </c>
      <c r="AI179" s="76">
        <v>251</v>
      </c>
      <c r="AJ179" s="76">
        <v>409</v>
      </c>
      <c r="AK179" s="76">
        <v>5791</v>
      </c>
      <c r="AL179" s="76" t="b">
        <v>0</v>
      </c>
      <c r="AM179" s="78">
        <v>43360.684699074074</v>
      </c>
      <c r="AN179" s="76" t="s">
        <v>3415</v>
      </c>
      <c r="AO179" s="76" t="s">
        <v>6015</v>
      </c>
      <c r="AP179" s="83" t="str">
        <f>HYPERLINK("https://t.co/nXFGfCwP7j")</f>
        <v>https://t.co/nXFGfCwP7j</v>
      </c>
      <c r="AQ179" s="83" t="str">
        <f>HYPERLINK("https://www.seudinheiro.com/")</f>
        <v>https://www.seudinheiro.com/</v>
      </c>
      <c r="AR179" s="76" t="s">
        <v>1995</v>
      </c>
      <c r="AS179" s="76"/>
      <c r="AT179" s="76"/>
      <c r="AU179" s="76"/>
      <c r="AV179" s="76"/>
      <c r="AW179" s="83" t="str">
        <f>HYPERLINK("https://t.co/nXFGfCwP7j")</f>
        <v>https://t.co/nXFGfCwP7j</v>
      </c>
      <c r="AX179" s="76" t="b">
        <v>0</v>
      </c>
      <c r="AY179" s="76"/>
      <c r="AZ179" s="76"/>
      <c r="BA179" s="76" t="b">
        <v>0</v>
      </c>
      <c r="BB179" s="76" t="b">
        <v>1</v>
      </c>
      <c r="BC179" s="76" t="b">
        <v>1</v>
      </c>
      <c r="BD179" s="76" t="b">
        <v>0</v>
      </c>
      <c r="BE179" s="76" t="b">
        <v>1</v>
      </c>
      <c r="BF179" s="76" t="b">
        <v>0</v>
      </c>
      <c r="BG179" s="76" t="b">
        <v>0</v>
      </c>
      <c r="BH179" s="83" t="str">
        <f>HYPERLINK("https://pbs.twimg.com/profile_banners/1041724956839698433/1600351810")</f>
        <v>https://pbs.twimg.com/profile_banners/1041724956839698433/1600351810</v>
      </c>
      <c r="BI179" s="76"/>
      <c r="BJ179" s="76" t="s">
        <v>6360</v>
      </c>
      <c r="BK179" s="76" t="b">
        <v>0</v>
      </c>
      <c r="BL179" s="76"/>
      <c r="BM179" s="76" t="s">
        <v>66</v>
      </c>
      <c r="BN179" s="76" t="s">
        <v>6362</v>
      </c>
      <c r="BO179" s="83" t="str">
        <f>HYPERLINK("https://twitter.com/seu_dinheiro_br")</f>
        <v>https://twitter.com/seu_dinheiro_br</v>
      </c>
      <c r="BP179" s="2"/>
    </row>
    <row r="180" spans="1:68" x14ac:dyDescent="0.25">
      <c r="A180" s="62" t="s">
        <v>382</v>
      </c>
      <c r="B180" s="63"/>
      <c r="C180" s="63"/>
      <c r="D180" s="64"/>
      <c r="E180" s="66"/>
      <c r="F180" s="102" t="str">
        <f>HYPERLINK("https://pbs.twimg.com/profile_images/1118938000757534720/zz0CN4jR_normal.png")</f>
        <v>https://pbs.twimg.com/profile_images/1118938000757534720/zz0CN4jR_normal.png</v>
      </c>
      <c r="G180" s="63"/>
      <c r="H180" s="67"/>
      <c r="I180" s="68"/>
      <c r="J180" s="68"/>
      <c r="K180" s="67" t="s">
        <v>6539</v>
      </c>
      <c r="L180" s="71"/>
      <c r="M180" s="72"/>
      <c r="N180" s="72"/>
      <c r="O180" s="73"/>
      <c r="P180" s="74"/>
      <c r="Q180" s="74"/>
      <c r="R180" s="86"/>
      <c r="S180" s="86"/>
      <c r="T180" s="86"/>
      <c r="U180" s="86"/>
      <c r="V180" s="48"/>
      <c r="W180" s="48"/>
      <c r="X180" s="48"/>
      <c r="Y180" s="48"/>
      <c r="Z180" s="47"/>
      <c r="AA180" s="69">
        <v>180</v>
      </c>
      <c r="AB180" s="69"/>
      <c r="AC180" s="70"/>
      <c r="AD180" s="76" t="s">
        <v>5500</v>
      </c>
      <c r="AE180" s="81" t="s">
        <v>5208</v>
      </c>
      <c r="AF180" s="76">
        <v>10</v>
      </c>
      <c r="AG180" s="76">
        <v>100</v>
      </c>
      <c r="AH180" s="76">
        <v>272</v>
      </c>
      <c r="AI180" s="76">
        <v>0</v>
      </c>
      <c r="AJ180" s="76">
        <v>43</v>
      </c>
      <c r="AK180" s="76">
        <v>82</v>
      </c>
      <c r="AL180" s="76" t="b">
        <v>0</v>
      </c>
      <c r="AM180" s="78">
        <v>43013.664004629631</v>
      </c>
      <c r="AN180" s="76" t="s">
        <v>3415</v>
      </c>
      <c r="AO180" s="76" t="s">
        <v>6016</v>
      </c>
      <c r="AP180" s="83" t="str">
        <f>HYPERLINK("https://t.co/RSabs9XE43")</f>
        <v>https://t.co/RSabs9XE43</v>
      </c>
      <c r="AQ180" s="83" t="str">
        <f>HYPERLINK("http://www.grupoborn.com.br")</f>
        <v>http://www.grupoborn.com.br</v>
      </c>
      <c r="AR180" s="76" t="s">
        <v>6246</v>
      </c>
      <c r="AS180" s="76"/>
      <c r="AT180" s="76"/>
      <c r="AU180" s="76"/>
      <c r="AV180" s="76"/>
      <c r="AW180" s="83" t="str">
        <f>HYPERLINK("https://t.co/RSabs9XE43")</f>
        <v>https://t.co/RSabs9XE43</v>
      </c>
      <c r="AX180" s="76" t="b">
        <v>0</v>
      </c>
      <c r="AY180" s="76"/>
      <c r="AZ180" s="76"/>
      <c r="BA180" s="76" t="b">
        <v>0</v>
      </c>
      <c r="BB180" s="76" t="b">
        <v>1</v>
      </c>
      <c r="BC180" s="76" t="b">
        <v>1</v>
      </c>
      <c r="BD180" s="76" t="b">
        <v>0</v>
      </c>
      <c r="BE180" s="76" t="b">
        <v>0</v>
      </c>
      <c r="BF180" s="76" t="b">
        <v>0</v>
      </c>
      <c r="BG180" s="76" t="b">
        <v>0</v>
      </c>
      <c r="BH180" s="83" t="str">
        <f>HYPERLINK("https://pbs.twimg.com/profile_banners/915968866991394817/1513265462")</f>
        <v>https://pbs.twimg.com/profile_banners/915968866991394817/1513265462</v>
      </c>
      <c r="BI180" s="76"/>
      <c r="BJ180" s="76" t="s">
        <v>6360</v>
      </c>
      <c r="BK180" s="76" t="b">
        <v>0</v>
      </c>
      <c r="BL180" s="76"/>
      <c r="BM180" s="76" t="s">
        <v>66</v>
      </c>
      <c r="BN180" s="76" t="s">
        <v>6362</v>
      </c>
      <c r="BO180" s="83" t="str">
        <f>HYPERLINK("https://twitter.com/grupoborn")</f>
        <v>https://twitter.com/grupoborn</v>
      </c>
      <c r="BP180" s="2"/>
    </row>
    <row r="181" spans="1:68" x14ac:dyDescent="0.25">
      <c r="A181" s="62" t="s">
        <v>383</v>
      </c>
      <c r="B181" s="63"/>
      <c r="C181" s="63"/>
      <c r="D181" s="64"/>
      <c r="E181" s="66"/>
      <c r="F181" s="102" t="str">
        <f>HYPERLINK("https://pbs.twimg.com/profile_images/1584966747832127508/WW83eRij_normal.png")</f>
        <v>https://pbs.twimg.com/profile_images/1584966747832127508/WW83eRij_normal.png</v>
      </c>
      <c r="G181" s="63"/>
      <c r="H181" s="67"/>
      <c r="I181" s="68"/>
      <c r="J181" s="68"/>
      <c r="K181" s="67" t="s">
        <v>6540</v>
      </c>
      <c r="L181" s="71"/>
      <c r="M181" s="72"/>
      <c r="N181" s="72"/>
      <c r="O181" s="73"/>
      <c r="P181" s="74"/>
      <c r="Q181" s="74"/>
      <c r="R181" s="86"/>
      <c r="S181" s="86"/>
      <c r="T181" s="86"/>
      <c r="U181" s="86"/>
      <c r="V181" s="48"/>
      <c r="W181" s="48"/>
      <c r="X181" s="48"/>
      <c r="Y181" s="48"/>
      <c r="Z181" s="47"/>
      <c r="AA181" s="69">
        <v>181</v>
      </c>
      <c r="AB181" s="69"/>
      <c r="AC181" s="70"/>
      <c r="AD181" s="76" t="s">
        <v>5501</v>
      </c>
      <c r="AE181" s="81" t="s">
        <v>5209</v>
      </c>
      <c r="AF181" s="76">
        <v>2</v>
      </c>
      <c r="AG181" s="76">
        <v>3</v>
      </c>
      <c r="AH181" s="76">
        <v>82</v>
      </c>
      <c r="AI181" s="76">
        <v>0</v>
      </c>
      <c r="AJ181" s="76">
        <v>1</v>
      </c>
      <c r="AK181" s="76">
        <v>67</v>
      </c>
      <c r="AL181" s="76" t="b">
        <v>0</v>
      </c>
      <c r="AM181" s="78">
        <v>44859.744895833333</v>
      </c>
      <c r="AN181" s="76"/>
      <c r="AO181" s="76" t="s">
        <v>6017</v>
      </c>
      <c r="AP181" s="83" t="str">
        <f>HYPERLINK("https://t.co/RS0sQq2WHH")</f>
        <v>https://t.co/RS0sQq2WHH</v>
      </c>
      <c r="AQ181" s="83" t="str">
        <f>HYPERLINK("http://plancredi.com.br")</f>
        <v>http://plancredi.com.br</v>
      </c>
      <c r="AR181" s="76" t="s">
        <v>6247</v>
      </c>
      <c r="AS181" s="76"/>
      <c r="AT181" s="76"/>
      <c r="AU181" s="76"/>
      <c r="AV181" s="76"/>
      <c r="AW181" s="83" t="str">
        <f>HYPERLINK("https://t.co/RS0sQq2WHH")</f>
        <v>https://t.co/RS0sQq2WHH</v>
      </c>
      <c r="AX181" s="76" t="b">
        <v>0</v>
      </c>
      <c r="AY181" s="76"/>
      <c r="AZ181" s="76"/>
      <c r="BA181" s="76" t="b">
        <v>0</v>
      </c>
      <c r="BB181" s="76" t="b">
        <v>1</v>
      </c>
      <c r="BC181" s="76" t="b">
        <v>1</v>
      </c>
      <c r="BD181" s="76" t="b">
        <v>0</v>
      </c>
      <c r="BE181" s="76" t="b">
        <v>0</v>
      </c>
      <c r="BF181" s="76" t="b">
        <v>0</v>
      </c>
      <c r="BG181" s="76" t="b">
        <v>0</v>
      </c>
      <c r="BH181" s="83" t="str">
        <f>HYPERLINK("https://pbs.twimg.com/profile_banners/1584966128396369921/1684443960")</f>
        <v>https://pbs.twimg.com/profile_banners/1584966128396369921/1684443960</v>
      </c>
      <c r="BI181" s="76"/>
      <c r="BJ181" s="76" t="s">
        <v>6360</v>
      </c>
      <c r="BK181" s="76" t="b">
        <v>0</v>
      </c>
      <c r="BL181" s="76"/>
      <c r="BM181" s="76" t="s">
        <v>66</v>
      </c>
      <c r="BN181" s="76" t="s">
        <v>6362</v>
      </c>
      <c r="BO181" s="83" t="str">
        <f>HYPERLINK("https://twitter.com/plancredi")</f>
        <v>https://twitter.com/plancredi</v>
      </c>
      <c r="BP181" s="2"/>
    </row>
    <row r="182" spans="1:68" x14ac:dyDescent="0.25">
      <c r="A182" s="62" t="s">
        <v>384</v>
      </c>
      <c r="B182" s="63"/>
      <c r="C182" s="63"/>
      <c r="D182" s="64"/>
      <c r="E182" s="66"/>
      <c r="F182" s="102" t="str">
        <f>HYPERLINK("https://pbs.twimg.com/profile_images/1670794809374658565/BXCoXc-G_normal.png")</f>
        <v>https://pbs.twimg.com/profile_images/1670794809374658565/BXCoXc-G_normal.png</v>
      </c>
      <c r="G182" s="63"/>
      <c r="H182" s="67"/>
      <c r="I182" s="68"/>
      <c r="J182" s="68"/>
      <c r="K182" s="67" t="s">
        <v>6541</v>
      </c>
      <c r="L182" s="71"/>
      <c r="M182" s="72"/>
      <c r="N182" s="72"/>
      <c r="O182" s="73"/>
      <c r="P182" s="74"/>
      <c r="Q182" s="74"/>
      <c r="R182" s="86"/>
      <c r="S182" s="86"/>
      <c r="T182" s="86"/>
      <c r="U182" s="86"/>
      <c r="V182" s="48"/>
      <c r="W182" s="48"/>
      <c r="X182" s="48"/>
      <c r="Y182" s="48"/>
      <c r="Z182" s="47"/>
      <c r="AA182" s="69">
        <v>182</v>
      </c>
      <c r="AB182" s="69"/>
      <c r="AC182" s="70"/>
      <c r="AD182" s="76" t="s">
        <v>5502</v>
      </c>
      <c r="AE182" s="81" t="s">
        <v>5210</v>
      </c>
      <c r="AF182" s="76">
        <v>1</v>
      </c>
      <c r="AG182" s="76">
        <v>7</v>
      </c>
      <c r="AH182" s="76">
        <v>16</v>
      </c>
      <c r="AI182" s="76">
        <v>0</v>
      </c>
      <c r="AJ182" s="76">
        <v>0</v>
      </c>
      <c r="AK182" s="76">
        <v>16</v>
      </c>
      <c r="AL182" s="76" t="b">
        <v>0</v>
      </c>
      <c r="AM182" s="78">
        <v>45096.586782407408</v>
      </c>
      <c r="AN182" s="76"/>
      <c r="AO182" s="76" t="s">
        <v>6018</v>
      </c>
      <c r="AP182" s="76"/>
      <c r="AQ182" s="76"/>
      <c r="AR182" s="76"/>
      <c r="AS182" s="76"/>
      <c r="AT182" s="76"/>
      <c r="AU182" s="76"/>
      <c r="AV182" s="76"/>
      <c r="AW182" s="76"/>
      <c r="AX182" s="76" t="b">
        <v>0</v>
      </c>
      <c r="AY182" s="76"/>
      <c r="AZ182" s="76"/>
      <c r="BA182" s="76" t="b">
        <v>0</v>
      </c>
      <c r="BB182" s="76" t="b">
        <v>1</v>
      </c>
      <c r="BC182" s="76" t="b">
        <v>1</v>
      </c>
      <c r="BD182" s="76" t="b">
        <v>0</v>
      </c>
      <c r="BE182" s="76" t="b">
        <v>0</v>
      </c>
      <c r="BF182" s="76" t="b">
        <v>0</v>
      </c>
      <c r="BG182" s="76" t="b">
        <v>0</v>
      </c>
      <c r="BH182" s="76"/>
      <c r="BI182" s="76"/>
      <c r="BJ182" s="76" t="s">
        <v>6360</v>
      </c>
      <c r="BK182" s="76" t="b">
        <v>0</v>
      </c>
      <c r="BL182" s="76"/>
      <c r="BM182" s="76" t="s">
        <v>66</v>
      </c>
      <c r="BN182" s="76" t="s">
        <v>6362</v>
      </c>
      <c r="BO182" s="83" t="str">
        <f>HYPERLINK("https://twitter.com/metalogsoft")</f>
        <v>https://twitter.com/metalogsoft</v>
      </c>
      <c r="BP182" s="2"/>
    </row>
    <row r="183" spans="1:68" x14ac:dyDescent="0.25">
      <c r="A183" s="62" t="s">
        <v>385</v>
      </c>
      <c r="B183" s="63"/>
      <c r="C183" s="63"/>
      <c r="D183" s="64"/>
      <c r="E183" s="66"/>
      <c r="F183" s="102" t="str">
        <f>HYPERLINK("https://pbs.twimg.com/profile_images/1275430696362917889/UAotlIGo_normal.jpg")</f>
        <v>https://pbs.twimg.com/profile_images/1275430696362917889/UAotlIGo_normal.jpg</v>
      </c>
      <c r="G183" s="63"/>
      <c r="H183" s="67"/>
      <c r="I183" s="68"/>
      <c r="J183" s="68"/>
      <c r="K183" s="67" t="s">
        <v>6542</v>
      </c>
      <c r="L183" s="71"/>
      <c r="M183" s="72"/>
      <c r="N183" s="72"/>
      <c r="O183" s="73"/>
      <c r="P183" s="74"/>
      <c r="Q183" s="74"/>
      <c r="R183" s="86"/>
      <c r="S183" s="86"/>
      <c r="T183" s="86"/>
      <c r="U183" s="86"/>
      <c r="V183" s="48"/>
      <c r="W183" s="48"/>
      <c r="X183" s="48"/>
      <c r="Y183" s="48"/>
      <c r="Z183" s="47"/>
      <c r="AA183" s="69">
        <v>183</v>
      </c>
      <c r="AB183" s="69"/>
      <c r="AC183" s="70"/>
      <c r="AD183" s="76" t="s">
        <v>5503</v>
      </c>
      <c r="AE183" s="81" t="s">
        <v>5696</v>
      </c>
      <c r="AF183" s="76">
        <v>172</v>
      </c>
      <c r="AG183" s="76">
        <v>341</v>
      </c>
      <c r="AH183" s="76">
        <v>3247</v>
      </c>
      <c r="AI183" s="76">
        <v>1</v>
      </c>
      <c r="AJ183" s="76">
        <v>7</v>
      </c>
      <c r="AK183" s="76">
        <v>1335</v>
      </c>
      <c r="AL183" s="76" t="b">
        <v>0</v>
      </c>
      <c r="AM183" s="78">
        <v>41346.777581018519</v>
      </c>
      <c r="AN183" s="76" t="s">
        <v>5801</v>
      </c>
      <c r="AO183" s="76" t="s">
        <v>6019</v>
      </c>
      <c r="AP183" s="83" t="str">
        <f>HYPERLINK("https://t.co/BNhYXfKsXZ")</f>
        <v>https://t.co/BNhYXfKsXZ</v>
      </c>
      <c r="AQ183" s="83" t="str">
        <f>HYPERLINK("https://linktr.ee/advjus.net")</f>
        <v>https://linktr.ee/advjus.net</v>
      </c>
      <c r="AR183" s="76" t="s">
        <v>6248</v>
      </c>
      <c r="AS183" s="76"/>
      <c r="AT183" s="76"/>
      <c r="AU183" s="76"/>
      <c r="AV183" s="76">
        <v>1.2755050691574799E+18</v>
      </c>
      <c r="AW183" s="83" t="str">
        <f>HYPERLINK("https://t.co/BNhYXfKsXZ")</f>
        <v>https://t.co/BNhYXfKsXZ</v>
      </c>
      <c r="AX183" s="76" t="b">
        <v>0</v>
      </c>
      <c r="AY183" s="76"/>
      <c r="AZ183" s="76"/>
      <c r="BA183" s="76" t="b">
        <v>0</v>
      </c>
      <c r="BB183" s="76" t="b">
        <v>1</v>
      </c>
      <c r="BC183" s="76" t="b">
        <v>0</v>
      </c>
      <c r="BD183" s="76" t="b">
        <v>0</v>
      </c>
      <c r="BE183" s="76" t="b">
        <v>0</v>
      </c>
      <c r="BF183" s="76" t="b">
        <v>0</v>
      </c>
      <c r="BG183" s="76" t="b">
        <v>0</v>
      </c>
      <c r="BH183" s="83" t="str">
        <f>HYPERLINK("https://pbs.twimg.com/profile_banners/1265158207/1645708790")</f>
        <v>https://pbs.twimg.com/profile_banners/1265158207/1645708790</v>
      </c>
      <c r="BI183" s="76"/>
      <c r="BJ183" s="76" t="s">
        <v>6360</v>
      </c>
      <c r="BK183" s="76" t="b">
        <v>0</v>
      </c>
      <c r="BL183" s="76"/>
      <c r="BM183" s="76" t="s">
        <v>66</v>
      </c>
      <c r="BN183" s="76" t="s">
        <v>6362</v>
      </c>
      <c r="BO183" s="83" t="str">
        <f>HYPERLINK("https://twitter.com/advjusnet")</f>
        <v>https://twitter.com/advjusnet</v>
      </c>
      <c r="BP183" s="2"/>
    </row>
    <row r="184" spans="1:68" x14ac:dyDescent="0.25">
      <c r="A184" s="62" t="s">
        <v>386</v>
      </c>
      <c r="B184" s="63"/>
      <c r="C184" s="63"/>
      <c r="D184" s="64"/>
      <c r="E184" s="66"/>
      <c r="F184" s="102" t="str">
        <f>HYPERLINK("https://pbs.twimg.com/profile_images/1684162716930281472/WgZEbaxH_normal.jpg")</f>
        <v>https://pbs.twimg.com/profile_images/1684162716930281472/WgZEbaxH_normal.jpg</v>
      </c>
      <c r="G184" s="63"/>
      <c r="H184" s="67"/>
      <c r="I184" s="68"/>
      <c r="J184" s="68"/>
      <c r="K184" s="67" t="s">
        <v>6543</v>
      </c>
      <c r="L184" s="71"/>
      <c r="M184" s="72"/>
      <c r="N184" s="72"/>
      <c r="O184" s="73"/>
      <c r="P184" s="74"/>
      <c r="Q184" s="74"/>
      <c r="R184" s="86"/>
      <c r="S184" s="86"/>
      <c r="T184" s="86"/>
      <c r="U184" s="86"/>
      <c r="V184" s="48"/>
      <c r="W184" s="48"/>
      <c r="X184" s="48"/>
      <c r="Y184" s="48"/>
      <c r="Z184" s="47"/>
      <c r="AA184" s="69">
        <v>184</v>
      </c>
      <c r="AB184" s="69"/>
      <c r="AC184" s="70"/>
      <c r="AD184" s="76" t="s">
        <v>5504</v>
      </c>
      <c r="AE184" s="81" t="s">
        <v>5697</v>
      </c>
      <c r="AF184" s="76">
        <v>2168</v>
      </c>
      <c r="AG184" s="76">
        <v>3453</v>
      </c>
      <c r="AH184" s="76">
        <v>9708</v>
      </c>
      <c r="AI184" s="76">
        <v>7</v>
      </c>
      <c r="AJ184" s="76">
        <v>414</v>
      </c>
      <c r="AK184" s="76">
        <v>2176</v>
      </c>
      <c r="AL184" s="76" t="b">
        <v>0</v>
      </c>
      <c r="AM184" s="78">
        <v>42192.77002314815</v>
      </c>
      <c r="AN184" s="76" t="s">
        <v>3415</v>
      </c>
      <c r="AO184" s="76" t="s">
        <v>6020</v>
      </c>
      <c r="AP184" s="83" t="str">
        <f>HYPERLINK("https://t.co/0ZsSFO87nr")</f>
        <v>https://t.co/0ZsSFO87nr</v>
      </c>
      <c r="AQ184" s="83" t="str">
        <f>HYPERLINK("https://linktr.ee/newsshd")</f>
        <v>https://linktr.ee/newsshd</v>
      </c>
      <c r="AR184" s="76" t="s">
        <v>6249</v>
      </c>
      <c r="AS184" s="76"/>
      <c r="AT184" s="76"/>
      <c r="AU184" s="76"/>
      <c r="AV184" s="76"/>
      <c r="AW184" s="83" t="str">
        <f>HYPERLINK("https://t.co/0ZsSFO87nr")</f>
        <v>https://t.co/0ZsSFO87nr</v>
      </c>
      <c r="AX184" s="76" t="b">
        <v>0</v>
      </c>
      <c r="AY184" s="76"/>
      <c r="AZ184" s="76"/>
      <c r="BA184" s="76" t="b">
        <v>0</v>
      </c>
      <c r="BB184" s="76" t="b">
        <v>1</v>
      </c>
      <c r="BC184" s="76" t="b">
        <v>0</v>
      </c>
      <c r="BD184" s="76" t="b">
        <v>0</v>
      </c>
      <c r="BE184" s="76" t="b">
        <v>0</v>
      </c>
      <c r="BF184" s="76" t="b">
        <v>0</v>
      </c>
      <c r="BG184" s="76" t="b">
        <v>0</v>
      </c>
      <c r="BH184" s="83" t="str">
        <f>HYPERLINK("https://pbs.twimg.com/profile_banners/3364562657/1670857943")</f>
        <v>https://pbs.twimg.com/profile_banners/3364562657/1670857943</v>
      </c>
      <c r="BI184" s="76"/>
      <c r="BJ184" s="76" t="s">
        <v>6360</v>
      </c>
      <c r="BK184" s="76" t="b">
        <v>0</v>
      </c>
      <c r="BL184" s="76"/>
      <c r="BM184" s="76" t="s">
        <v>66</v>
      </c>
      <c r="BN184" s="76" t="s">
        <v>6362</v>
      </c>
      <c r="BO184" s="83" t="str">
        <f>HYPERLINK("https://twitter.com/newsshd")</f>
        <v>https://twitter.com/newsshd</v>
      </c>
      <c r="BP184" s="2"/>
    </row>
    <row r="185" spans="1:68" x14ac:dyDescent="0.25">
      <c r="A185" s="62" t="s">
        <v>387</v>
      </c>
      <c r="B185" s="63"/>
      <c r="C185" s="63"/>
      <c r="D185" s="64"/>
      <c r="E185" s="66"/>
      <c r="F185" s="102" t="str">
        <f>HYPERLINK("https://pbs.twimg.com/profile_images/1706855970830159872/nlR4kJ0I_normal.jpg")</f>
        <v>https://pbs.twimg.com/profile_images/1706855970830159872/nlR4kJ0I_normal.jpg</v>
      </c>
      <c r="G185" s="63"/>
      <c r="H185" s="67"/>
      <c r="I185" s="68"/>
      <c r="J185" s="68"/>
      <c r="K185" s="67" t="s">
        <v>6544</v>
      </c>
      <c r="L185" s="71"/>
      <c r="M185" s="72"/>
      <c r="N185" s="72"/>
      <c r="O185" s="73"/>
      <c r="P185" s="74"/>
      <c r="Q185" s="74"/>
      <c r="R185" s="86"/>
      <c r="S185" s="86"/>
      <c r="T185" s="86"/>
      <c r="U185" s="86"/>
      <c r="V185" s="48"/>
      <c r="W185" s="48"/>
      <c r="X185" s="48"/>
      <c r="Y185" s="48"/>
      <c r="Z185" s="47"/>
      <c r="AA185" s="69">
        <v>185</v>
      </c>
      <c r="AB185" s="69"/>
      <c r="AC185" s="70"/>
      <c r="AD185" s="76" t="s">
        <v>5505</v>
      </c>
      <c r="AE185" s="81" t="s">
        <v>5052</v>
      </c>
      <c r="AF185" s="76">
        <v>593</v>
      </c>
      <c r="AG185" s="76">
        <v>658</v>
      </c>
      <c r="AH185" s="76">
        <v>9258</v>
      </c>
      <c r="AI185" s="76">
        <v>0</v>
      </c>
      <c r="AJ185" s="76">
        <v>6809</v>
      </c>
      <c r="AK185" s="76">
        <v>1062</v>
      </c>
      <c r="AL185" s="76" t="b">
        <v>0</v>
      </c>
      <c r="AM185" s="78">
        <v>39930.684178240743</v>
      </c>
      <c r="AN185" s="76" t="s">
        <v>3415</v>
      </c>
      <c r="AO185" s="76" t="s">
        <v>6021</v>
      </c>
      <c r="AP185" s="76"/>
      <c r="AQ185" s="76"/>
      <c r="AR185" s="76"/>
      <c r="AS185" s="76"/>
      <c r="AT185" s="76"/>
      <c r="AU185" s="76"/>
      <c r="AV185" s="76"/>
      <c r="AW185" s="76"/>
      <c r="AX185" s="76" t="b">
        <v>0</v>
      </c>
      <c r="AY185" s="76"/>
      <c r="AZ185" s="76"/>
      <c r="BA185" s="76" t="b">
        <v>0</v>
      </c>
      <c r="BB185" s="76" t="b">
        <v>1</v>
      </c>
      <c r="BC185" s="76" t="b">
        <v>1</v>
      </c>
      <c r="BD185" s="76" t="b">
        <v>0</v>
      </c>
      <c r="BE185" s="76" t="b">
        <v>1</v>
      </c>
      <c r="BF185" s="76" t="b">
        <v>0</v>
      </c>
      <c r="BG185" s="76" t="b">
        <v>1</v>
      </c>
      <c r="BH185" s="83" t="str">
        <f>HYPERLINK("https://pbs.twimg.com/profile_banners/35784267/1695781161")</f>
        <v>https://pbs.twimg.com/profile_banners/35784267/1695781161</v>
      </c>
      <c r="BI185" s="76"/>
      <c r="BJ185" s="76" t="s">
        <v>6360</v>
      </c>
      <c r="BK185" s="76" t="b">
        <v>0</v>
      </c>
      <c r="BL185" s="76"/>
      <c r="BM185" s="76" t="s">
        <v>66</v>
      </c>
      <c r="BN185" s="76" t="s">
        <v>6362</v>
      </c>
      <c r="BO185" s="83" t="str">
        <f>HYPERLINK("https://twitter.com/sshiroma_")</f>
        <v>https://twitter.com/sshiroma_</v>
      </c>
      <c r="BP185" s="2"/>
    </row>
    <row r="186" spans="1:68" x14ac:dyDescent="0.25">
      <c r="A186" s="62" t="s">
        <v>388</v>
      </c>
      <c r="B186" s="63"/>
      <c r="C186" s="63"/>
      <c r="D186" s="64"/>
      <c r="E186" s="66"/>
      <c r="F186" s="102" t="str">
        <f>HYPERLINK("https://pbs.twimg.com/profile_images/1632325316768145408/nt6F2o4Z_normal.jpg")</f>
        <v>https://pbs.twimg.com/profile_images/1632325316768145408/nt6F2o4Z_normal.jpg</v>
      </c>
      <c r="G186" s="63"/>
      <c r="H186" s="67"/>
      <c r="I186" s="68"/>
      <c r="J186" s="68"/>
      <c r="K186" s="67" t="s">
        <v>6545</v>
      </c>
      <c r="L186" s="71"/>
      <c r="M186" s="72"/>
      <c r="N186" s="72"/>
      <c r="O186" s="73"/>
      <c r="P186" s="74"/>
      <c r="Q186" s="74"/>
      <c r="R186" s="86"/>
      <c r="S186" s="86"/>
      <c r="T186" s="86"/>
      <c r="U186" s="86"/>
      <c r="V186" s="48"/>
      <c r="W186" s="48"/>
      <c r="X186" s="48"/>
      <c r="Y186" s="48"/>
      <c r="Z186" s="47"/>
      <c r="AA186" s="69">
        <v>186</v>
      </c>
      <c r="AB186" s="69"/>
      <c r="AC186" s="70"/>
      <c r="AD186" s="76" t="s">
        <v>5506</v>
      </c>
      <c r="AE186" s="81" t="s">
        <v>5211</v>
      </c>
      <c r="AF186" s="76">
        <v>4</v>
      </c>
      <c r="AG186" s="76">
        <v>159</v>
      </c>
      <c r="AH186" s="76">
        <v>102</v>
      </c>
      <c r="AI186" s="76">
        <v>0</v>
      </c>
      <c r="AJ186" s="76">
        <v>2568</v>
      </c>
      <c r="AK186" s="76">
        <v>6</v>
      </c>
      <c r="AL186" s="76" t="b">
        <v>0</v>
      </c>
      <c r="AM186" s="78">
        <v>44491.823761574073</v>
      </c>
      <c r="AN186" s="76"/>
      <c r="AO186" s="76" t="s">
        <v>6022</v>
      </c>
      <c r="AP186" s="83" t="str">
        <f>HYPERLINK("https://t.co/cfzfLaVEop")</f>
        <v>https://t.co/cfzfLaVEop</v>
      </c>
      <c r="AQ186" s="83" t="str">
        <f>HYPERLINK("https://odysee.com/@contab_invest:c")</f>
        <v>https://odysee.com/@contab_invest:c</v>
      </c>
      <c r="AR186" s="76" t="s">
        <v>6250</v>
      </c>
      <c r="AS186" s="76"/>
      <c r="AT186" s="76"/>
      <c r="AU186" s="76"/>
      <c r="AV186" s="76"/>
      <c r="AW186" s="83" t="str">
        <f>HYPERLINK("https://t.co/cfzfLaVEop")</f>
        <v>https://t.co/cfzfLaVEop</v>
      </c>
      <c r="AX186" s="76" t="b">
        <v>0</v>
      </c>
      <c r="AY186" s="76"/>
      <c r="AZ186" s="76"/>
      <c r="BA186" s="76" t="b">
        <v>0</v>
      </c>
      <c r="BB186" s="76" t="b">
        <v>1</v>
      </c>
      <c r="BC186" s="76" t="b">
        <v>1</v>
      </c>
      <c r="BD186" s="76" t="b">
        <v>0</v>
      </c>
      <c r="BE186" s="76" t="b">
        <v>1</v>
      </c>
      <c r="BF186" s="76" t="b">
        <v>0</v>
      </c>
      <c r="BG186" s="76" t="b">
        <v>0</v>
      </c>
      <c r="BH186" s="83" t="str">
        <f>HYPERLINK("https://pbs.twimg.com/profile_banners/1451635932172533764/1670100719")</f>
        <v>https://pbs.twimg.com/profile_banners/1451635932172533764/1670100719</v>
      </c>
      <c r="BI186" s="76"/>
      <c r="BJ186" s="76" t="s">
        <v>6360</v>
      </c>
      <c r="BK186" s="76" t="b">
        <v>0</v>
      </c>
      <c r="BL186" s="76"/>
      <c r="BM186" s="76" t="s">
        <v>66</v>
      </c>
      <c r="BN186" s="76" t="s">
        <v>6362</v>
      </c>
      <c r="BO186" s="83" t="str">
        <f>HYPERLINK("https://twitter.com/axcrestfall")</f>
        <v>https://twitter.com/axcrestfall</v>
      </c>
      <c r="BP186" s="2"/>
    </row>
    <row r="187" spans="1:68" x14ac:dyDescent="0.25">
      <c r="A187" s="62" t="s">
        <v>389</v>
      </c>
      <c r="B187" s="63"/>
      <c r="C187" s="63"/>
      <c r="D187" s="64"/>
      <c r="E187" s="66"/>
      <c r="F187" s="102" t="str">
        <f>HYPERLINK("https://pbs.twimg.com/profile_images/1597988315076206593/-8ElZOze_normal.png")</f>
        <v>https://pbs.twimg.com/profile_images/1597988315076206593/-8ElZOze_normal.png</v>
      </c>
      <c r="G187" s="63"/>
      <c r="H187" s="67"/>
      <c r="I187" s="68"/>
      <c r="J187" s="68"/>
      <c r="K187" s="67" t="s">
        <v>6546</v>
      </c>
      <c r="L187" s="71"/>
      <c r="M187" s="72"/>
      <c r="N187" s="72"/>
      <c r="O187" s="73"/>
      <c r="P187" s="74"/>
      <c r="Q187" s="74"/>
      <c r="R187" s="86"/>
      <c r="S187" s="86"/>
      <c r="T187" s="86"/>
      <c r="U187" s="86"/>
      <c r="V187" s="48"/>
      <c r="W187" s="48"/>
      <c r="X187" s="48"/>
      <c r="Y187" s="48"/>
      <c r="Z187" s="47"/>
      <c r="AA187" s="69">
        <v>187</v>
      </c>
      <c r="AB187" s="69"/>
      <c r="AC187" s="70"/>
      <c r="AD187" s="76" t="s">
        <v>5507</v>
      </c>
      <c r="AE187" s="81" t="s">
        <v>5053</v>
      </c>
      <c r="AF187" s="76">
        <v>544</v>
      </c>
      <c r="AG187" s="76">
        <v>333</v>
      </c>
      <c r="AH187" s="76">
        <v>1909</v>
      </c>
      <c r="AI187" s="76">
        <v>1</v>
      </c>
      <c r="AJ187" s="76">
        <v>121</v>
      </c>
      <c r="AK187" s="76">
        <v>1046</v>
      </c>
      <c r="AL187" s="76" t="b">
        <v>0</v>
      </c>
      <c r="AM187" s="78">
        <v>41480.636979166666</v>
      </c>
      <c r="AN187" s="76" t="s">
        <v>3434</v>
      </c>
      <c r="AO187" s="76" t="s">
        <v>6023</v>
      </c>
      <c r="AP187" s="83" t="str">
        <f>HYPERLINK("https://t.co/wKO8tUxQTB")</f>
        <v>https://t.co/wKO8tUxQTB</v>
      </c>
      <c r="AQ187" s="83" t="str">
        <f>HYPERLINK("http://www.oabprev-rs.org.br")</f>
        <v>http://www.oabprev-rs.org.br</v>
      </c>
      <c r="AR187" s="76" t="s">
        <v>6251</v>
      </c>
      <c r="AS187" s="76"/>
      <c r="AT187" s="76"/>
      <c r="AU187" s="76"/>
      <c r="AV187" s="76"/>
      <c r="AW187" s="83" t="str">
        <f>HYPERLINK("https://t.co/wKO8tUxQTB")</f>
        <v>https://t.co/wKO8tUxQTB</v>
      </c>
      <c r="AX187" s="76" t="b">
        <v>0</v>
      </c>
      <c r="AY187" s="76"/>
      <c r="AZ187" s="76"/>
      <c r="BA187" s="76" t="b">
        <v>0</v>
      </c>
      <c r="BB187" s="76" t="b">
        <v>1</v>
      </c>
      <c r="BC187" s="76" t="b">
        <v>0</v>
      </c>
      <c r="BD187" s="76" t="b">
        <v>0</v>
      </c>
      <c r="BE187" s="76" t="b">
        <v>1</v>
      </c>
      <c r="BF187" s="76" t="b">
        <v>0</v>
      </c>
      <c r="BG187" s="76" t="b">
        <v>0</v>
      </c>
      <c r="BH187" s="83" t="str">
        <f>HYPERLINK("https://pbs.twimg.com/profile_banners/1620631531/1688168082")</f>
        <v>https://pbs.twimg.com/profile_banners/1620631531/1688168082</v>
      </c>
      <c r="BI187" s="76"/>
      <c r="BJ187" s="76" t="s">
        <v>6360</v>
      </c>
      <c r="BK187" s="76" t="b">
        <v>0</v>
      </c>
      <c r="BL187" s="76"/>
      <c r="BM187" s="76" t="s">
        <v>66</v>
      </c>
      <c r="BN187" s="76" t="s">
        <v>6362</v>
      </c>
      <c r="BO187" s="83" t="str">
        <f>HYPERLINK("https://twitter.com/oabprevrs")</f>
        <v>https://twitter.com/oabprevrs</v>
      </c>
      <c r="BP187" s="2"/>
    </row>
    <row r="188" spans="1:68" x14ac:dyDescent="0.25">
      <c r="A188" s="62" t="s">
        <v>390</v>
      </c>
      <c r="B188" s="63"/>
      <c r="C188" s="63"/>
      <c r="D188" s="64"/>
      <c r="E188" s="66"/>
      <c r="F188" s="102" t="str">
        <f>HYPERLINK("https://pbs.twimg.com/profile_images/1691897282763829249/soOsHi3A_normal.jpg")</f>
        <v>https://pbs.twimg.com/profile_images/1691897282763829249/soOsHi3A_normal.jpg</v>
      </c>
      <c r="G188" s="63"/>
      <c r="H188" s="67"/>
      <c r="I188" s="68"/>
      <c r="J188" s="68"/>
      <c r="K188" s="67" t="s">
        <v>6547</v>
      </c>
      <c r="L188" s="71"/>
      <c r="M188" s="72"/>
      <c r="N188" s="72"/>
      <c r="O188" s="73"/>
      <c r="P188" s="74"/>
      <c r="Q188" s="74"/>
      <c r="R188" s="86"/>
      <c r="S188" s="86"/>
      <c r="T188" s="86"/>
      <c r="U188" s="86"/>
      <c r="V188" s="48"/>
      <c r="W188" s="48"/>
      <c r="X188" s="48"/>
      <c r="Y188" s="48"/>
      <c r="Z188" s="47"/>
      <c r="AA188" s="69">
        <v>188</v>
      </c>
      <c r="AB188" s="69"/>
      <c r="AC188" s="70"/>
      <c r="AD188" s="76" t="s">
        <v>5508</v>
      </c>
      <c r="AE188" s="81" t="s">
        <v>5698</v>
      </c>
      <c r="AF188" s="76">
        <v>251</v>
      </c>
      <c r="AG188" s="76">
        <v>79</v>
      </c>
      <c r="AH188" s="76">
        <v>7679</v>
      </c>
      <c r="AI188" s="76">
        <v>3</v>
      </c>
      <c r="AJ188" s="76">
        <v>26017</v>
      </c>
      <c r="AK188" s="76">
        <v>687</v>
      </c>
      <c r="AL188" s="76" t="b">
        <v>0</v>
      </c>
      <c r="AM188" s="78">
        <v>39948.941932870373</v>
      </c>
      <c r="AN188" s="76" t="s">
        <v>5802</v>
      </c>
      <c r="AO188" s="76" t="s">
        <v>6024</v>
      </c>
      <c r="AP188" s="83" t="str">
        <f>HYPERLINK("https://t.co/pq0A7rXiNE")</f>
        <v>https://t.co/pq0A7rXiNE</v>
      </c>
      <c r="AQ188" s="83" t="str">
        <f>HYPERLINK("http://blog.danilomazaia.com")</f>
        <v>http://blog.danilomazaia.com</v>
      </c>
      <c r="AR188" s="76" t="s">
        <v>6252</v>
      </c>
      <c r="AS188" s="76"/>
      <c r="AT188" s="76"/>
      <c r="AU188" s="76"/>
      <c r="AV188" s="76"/>
      <c r="AW188" s="83" t="str">
        <f>HYPERLINK("https://t.co/pq0A7rXiNE")</f>
        <v>https://t.co/pq0A7rXiNE</v>
      </c>
      <c r="AX188" s="76" t="b">
        <v>0</v>
      </c>
      <c r="AY188" s="76"/>
      <c r="AZ188" s="76"/>
      <c r="BA188" s="76" t="b">
        <v>1</v>
      </c>
      <c r="BB188" s="76" t="b">
        <v>0</v>
      </c>
      <c r="BC188" s="76" t="b">
        <v>0</v>
      </c>
      <c r="BD188" s="76" t="b">
        <v>0</v>
      </c>
      <c r="BE188" s="76" t="b">
        <v>1</v>
      </c>
      <c r="BF188" s="76" t="b">
        <v>0</v>
      </c>
      <c r="BG188" s="76" t="b">
        <v>0</v>
      </c>
      <c r="BH188" s="83" t="str">
        <f>HYPERLINK("https://pbs.twimg.com/profile_banners/40351417/1691286758")</f>
        <v>https://pbs.twimg.com/profile_banners/40351417/1691286758</v>
      </c>
      <c r="BI188" s="76"/>
      <c r="BJ188" s="76" t="s">
        <v>6360</v>
      </c>
      <c r="BK188" s="76" t="b">
        <v>0</v>
      </c>
      <c r="BL188" s="76"/>
      <c r="BM188" s="76" t="s">
        <v>66</v>
      </c>
      <c r="BN188" s="76" t="s">
        <v>6362</v>
      </c>
      <c r="BO188" s="83" t="str">
        <f>HYPERLINK("https://twitter.com/dannmazz")</f>
        <v>https://twitter.com/dannmazz</v>
      </c>
      <c r="BP188" s="2"/>
    </row>
    <row r="189" spans="1:68" x14ac:dyDescent="0.25">
      <c r="A189" s="62" t="s">
        <v>531</v>
      </c>
      <c r="B189" s="63"/>
      <c r="C189" s="63"/>
      <c r="D189" s="64"/>
      <c r="E189" s="66"/>
      <c r="F189" s="102" t="str">
        <f>HYPERLINK("https://pbs.twimg.com/profile_images/1700699845940404224/WnEw3r6W_normal.jpg")</f>
        <v>https://pbs.twimg.com/profile_images/1700699845940404224/WnEw3r6W_normal.jpg</v>
      </c>
      <c r="G189" s="63"/>
      <c r="H189" s="67"/>
      <c r="I189" s="68"/>
      <c r="J189" s="68"/>
      <c r="K189" s="67" t="s">
        <v>6548</v>
      </c>
      <c r="L189" s="71"/>
      <c r="M189" s="72"/>
      <c r="N189" s="72"/>
      <c r="O189" s="73"/>
      <c r="P189" s="74"/>
      <c r="Q189" s="74"/>
      <c r="R189" s="86"/>
      <c r="S189" s="86"/>
      <c r="T189" s="86"/>
      <c r="U189" s="86"/>
      <c r="V189" s="48"/>
      <c r="W189" s="48"/>
      <c r="X189" s="48"/>
      <c r="Y189" s="48"/>
      <c r="Z189" s="47"/>
      <c r="AA189" s="69">
        <v>189</v>
      </c>
      <c r="AB189" s="69"/>
      <c r="AC189" s="70"/>
      <c r="AD189" s="76" t="s">
        <v>5509</v>
      </c>
      <c r="AE189" s="81" t="s">
        <v>5054</v>
      </c>
      <c r="AF189" s="76">
        <v>123</v>
      </c>
      <c r="AG189" s="76">
        <v>527</v>
      </c>
      <c r="AH189" s="76">
        <v>8516</v>
      </c>
      <c r="AI189" s="76">
        <v>0</v>
      </c>
      <c r="AJ189" s="76">
        <v>12450</v>
      </c>
      <c r="AK189" s="76">
        <v>607</v>
      </c>
      <c r="AL189" s="76" t="b">
        <v>0</v>
      </c>
      <c r="AM189" s="78">
        <v>44321.629351851851</v>
      </c>
      <c r="AN189" s="76" t="s">
        <v>5803</v>
      </c>
      <c r="AO189" s="76" t="s">
        <v>6025</v>
      </c>
      <c r="AP189" s="83" t="str">
        <f>HYPERLINK("https://t.co/obuFp7KQCn")</f>
        <v>https://t.co/obuFp7KQCn</v>
      </c>
      <c r="AQ189" s="83" t="str">
        <f>HYPERLINK("https://instagram.com/imisaelsilva?igshid=MzNlNGNkZWQ4Mg==")</f>
        <v>https://instagram.com/imisaelsilva?igshid=MzNlNGNkZWQ4Mg==</v>
      </c>
      <c r="AR189" s="76" t="s">
        <v>6253</v>
      </c>
      <c r="AS189" s="76"/>
      <c r="AT189" s="76"/>
      <c r="AU189" s="76"/>
      <c r="AV189" s="76"/>
      <c r="AW189" s="83" t="str">
        <f>HYPERLINK("https://t.co/obuFp7KQCn")</f>
        <v>https://t.co/obuFp7KQCn</v>
      </c>
      <c r="AX189" s="76" t="b">
        <v>0</v>
      </c>
      <c r="AY189" s="76"/>
      <c r="AZ189" s="76"/>
      <c r="BA189" s="76" t="b">
        <v>0</v>
      </c>
      <c r="BB189" s="76" t="b">
        <v>1</v>
      </c>
      <c r="BC189" s="76" t="b">
        <v>1</v>
      </c>
      <c r="BD189" s="76" t="b">
        <v>0</v>
      </c>
      <c r="BE189" s="76" t="b">
        <v>1</v>
      </c>
      <c r="BF189" s="76" t="b">
        <v>0</v>
      </c>
      <c r="BG189" s="76" t="b">
        <v>0</v>
      </c>
      <c r="BH189" s="83" t="str">
        <f>HYPERLINK("https://pbs.twimg.com/profile_banners/1389959591748898817/1694313328")</f>
        <v>https://pbs.twimg.com/profile_banners/1389959591748898817/1694313328</v>
      </c>
      <c r="BI189" s="76"/>
      <c r="BJ189" s="76" t="s">
        <v>6360</v>
      </c>
      <c r="BK189" s="76" t="b">
        <v>0</v>
      </c>
      <c r="BL189" s="76"/>
      <c r="BM189" s="76" t="s">
        <v>65</v>
      </c>
      <c r="BN189" s="76" t="s">
        <v>6362</v>
      </c>
      <c r="BO189" s="83" t="str">
        <f>HYPERLINK("https://twitter.com/misael_silvao1")</f>
        <v>https://twitter.com/misael_silvao1</v>
      </c>
      <c r="BP189" s="2"/>
    </row>
    <row r="190" spans="1:68" x14ac:dyDescent="0.25">
      <c r="A190" s="62" t="s">
        <v>392</v>
      </c>
      <c r="B190" s="63"/>
      <c r="C190" s="63"/>
      <c r="D190" s="64"/>
      <c r="E190" s="66"/>
      <c r="F190" s="102" t="str">
        <f>HYPERLINK("https://pbs.twimg.com/profile_images/990307202396192768/LU6a3jVG_normal.jpg")</f>
        <v>https://pbs.twimg.com/profile_images/990307202396192768/LU6a3jVG_normal.jpg</v>
      </c>
      <c r="G190" s="63"/>
      <c r="H190" s="67"/>
      <c r="I190" s="68"/>
      <c r="J190" s="68"/>
      <c r="K190" s="67" t="s">
        <v>6549</v>
      </c>
      <c r="L190" s="71"/>
      <c r="M190" s="72"/>
      <c r="N190" s="72"/>
      <c r="O190" s="73"/>
      <c r="P190" s="74"/>
      <c r="Q190" s="74"/>
      <c r="R190" s="86"/>
      <c r="S190" s="86"/>
      <c r="T190" s="86"/>
      <c r="U190" s="86"/>
      <c r="V190" s="48"/>
      <c r="W190" s="48"/>
      <c r="X190" s="48"/>
      <c r="Y190" s="48"/>
      <c r="Z190" s="47"/>
      <c r="AA190" s="69">
        <v>190</v>
      </c>
      <c r="AB190" s="69"/>
      <c r="AC190" s="70"/>
      <c r="AD190" s="76" t="s">
        <v>5510</v>
      </c>
      <c r="AE190" s="81" t="s">
        <v>5212</v>
      </c>
      <c r="AF190" s="76">
        <v>10</v>
      </c>
      <c r="AG190" s="76">
        <v>157</v>
      </c>
      <c r="AH190" s="76">
        <v>56</v>
      </c>
      <c r="AI190" s="76">
        <v>1</v>
      </c>
      <c r="AJ190" s="76">
        <v>612</v>
      </c>
      <c r="AK190" s="76">
        <v>9</v>
      </c>
      <c r="AL190" s="76" t="b">
        <v>0</v>
      </c>
      <c r="AM190" s="78">
        <v>43218.796712962961</v>
      </c>
      <c r="AN190" s="76"/>
      <c r="AO190" s="76" t="s">
        <v>6026</v>
      </c>
      <c r="AP190" s="83" t="str">
        <f>HYPERLINK("https://t.co/RM3KXw4wE3")</f>
        <v>https://t.co/RM3KXw4wE3</v>
      </c>
      <c r="AQ190" s="83" t="str">
        <f>HYPERLINK("https://shor.by/Qwtq")</f>
        <v>https://shor.by/Qwtq</v>
      </c>
      <c r="AR190" s="76" t="s">
        <v>6254</v>
      </c>
      <c r="AS190" s="76"/>
      <c r="AT190" s="76"/>
      <c r="AU190" s="76"/>
      <c r="AV190" s="76"/>
      <c r="AW190" s="83" t="str">
        <f>HYPERLINK("https://t.co/RM3KXw4wE3")</f>
        <v>https://t.co/RM3KXw4wE3</v>
      </c>
      <c r="AX190" s="76" t="b">
        <v>0</v>
      </c>
      <c r="AY190" s="76"/>
      <c r="AZ190" s="76"/>
      <c r="BA190" s="76" t="b">
        <v>1</v>
      </c>
      <c r="BB190" s="76" t="b">
        <v>1</v>
      </c>
      <c r="BC190" s="76" t="b">
        <v>1</v>
      </c>
      <c r="BD190" s="76" t="b">
        <v>0</v>
      </c>
      <c r="BE190" s="76" t="b">
        <v>0</v>
      </c>
      <c r="BF190" s="76" t="b">
        <v>0</v>
      </c>
      <c r="BG190" s="76" t="b">
        <v>0</v>
      </c>
      <c r="BH190" s="83" t="str">
        <f>HYPERLINK("https://pbs.twimg.com/profile_banners/990306472633479168/1688655835")</f>
        <v>https://pbs.twimg.com/profile_banners/990306472633479168/1688655835</v>
      </c>
      <c r="BI190" s="76"/>
      <c r="BJ190" s="76" t="s">
        <v>6360</v>
      </c>
      <c r="BK190" s="76" t="b">
        <v>0</v>
      </c>
      <c r="BL190" s="76"/>
      <c r="BM190" s="76" t="s">
        <v>66</v>
      </c>
      <c r="BN190" s="76" t="s">
        <v>6362</v>
      </c>
      <c r="BO190" s="83" t="str">
        <f>HYPERLINK("https://twitter.com/silvio54043984")</f>
        <v>https://twitter.com/silvio54043984</v>
      </c>
      <c r="BP190" s="2"/>
    </row>
    <row r="191" spans="1:68" x14ac:dyDescent="0.25">
      <c r="A191" s="62" t="s">
        <v>393</v>
      </c>
      <c r="B191" s="63"/>
      <c r="C191" s="63"/>
      <c r="D191" s="64"/>
      <c r="E191" s="66"/>
      <c r="F191" s="102" t="str">
        <f>HYPERLINK("https://pbs.twimg.com/profile_images/1638555528002404354/zYyRgIoe_normal.jpg")</f>
        <v>https://pbs.twimg.com/profile_images/1638555528002404354/zYyRgIoe_normal.jpg</v>
      </c>
      <c r="G191" s="63"/>
      <c r="H191" s="67"/>
      <c r="I191" s="68"/>
      <c r="J191" s="68"/>
      <c r="K191" s="67" t="s">
        <v>6550</v>
      </c>
      <c r="L191" s="71"/>
      <c r="M191" s="72"/>
      <c r="N191" s="72"/>
      <c r="O191" s="73"/>
      <c r="P191" s="74"/>
      <c r="Q191" s="74"/>
      <c r="R191" s="86"/>
      <c r="S191" s="86"/>
      <c r="T191" s="86"/>
      <c r="U191" s="86"/>
      <c r="V191" s="48"/>
      <c r="W191" s="48"/>
      <c r="X191" s="48"/>
      <c r="Y191" s="48"/>
      <c r="Z191" s="47"/>
      <c r="AA191" s="69">
        <v>191</v>
      </c>
      <c r="AB191" s="69"/>
      <c r="AC191" s="70"/>
      <c r="AD191" s="76" t="s">
        <v>5511</v>
      </c>
      <c r="AE191" s="81" t="s">
        <v>5699</v>
      </c>
      <c r="AF191" s="76">
        <v>11</v>
      </c>
      <c r="AG191" s="76">
        <v>26</v>
      </c>
      <c r="AH191" s="76">
        <v>273</v>
      </c>
      <c r="AI191" s="76">
        <v>0</v>
      </c>
      <c r="AJ191" s="76">
        <v>255</v>
      </c>
      <c r="AK191" s="76">
        <v>17</v>
      </c>
      <c r="AL191" s="76" t="b">
        <v>0</v>
      </c>
      <c r="AM191" s="78">
        <v>42341.149282407408</v>
      </c>
      <c r="AN191" s="76"/>
      <c r="AO191" s="76" t="s">
        <v>6027</v>
      </c>
      <c r="AP191" s="83" t="str">
        <f>HYPERLINK("https://t.co/RbT4Uq5IaZ")</f>
        <v>https://t.co/RbT4Uq5IaZ</v>
      </c>
      <c r="AQ191" s="83" t="str">
        <f>HYPERLINK("http://www.instagram.com/juliocrf")</f>
        <v>http://www.instagram.com/juliocrf</v>
      </c>
      <c r="AR191" s="76" t="s">
        <v>6255</v>
      </c>
      <c r="AS191" s="83" t="str">
        <f>HYPERLINK("https://t.co/RybOcmM84M")</f>
        <v>https://t.co/RybOcmM84M</v>
      </c>
      <c r="AT191" s="83" t="str">
        <f>HYPERLINK("http://linktr.ee/juliocrf")</f>
        <v>http://linktr.ee/juliocrf</v>
      </c>
      <c r="AU191" s="76" t="s">
        <v>6352</v>
      </c>
      <c r="AV191" s="76">
        <v>1.58964701036977E+18</v>
      </c>
      <c r="AW191" s="83" t="str">
        <f>HYPERLINK("https://t.co/RbT4Uq5IaZ")</f>
        <v>https://t.co/RbT4Uq5IaZ</v>
      </c>
      <c r="AX191" s="76" t="b">
        <v>0</v>
      </c>
      <c r="AY191" s="76"/>
      <c r="AZ191" s="76"/>
      <c r="BA191" s="76" t="b">
        <v>0</v>
      </c>
      <c r="BB191" s="76" t="b">
        <v>0</v>
      </c>
      <c r="BC191" s="76" t="b">
        <v>1</v>
      </c>
      <c r="BD191" s="76" t="b">
        <v>0</v>
      </c>
      <c r="BE191" s="76" t="b">
        <v>0</v>
      </c>
      <c r="BF191" s="76" t="b">
        <v>0</v>
      </c>
      <c r="BG191" s="76" t="b">
        <v>0</v>
      </c>
      <c r="BH191" s="83" t="str">
        <f>HYPERLINK("https://pbs.twimg.com/profile_banners/4357245737/1677883008")</f>
        <v>https://pbs.twimg.com/profile_banners/4357245737/1677883008</v>
      </c>
      <c r="BI191" s="76"/>
      <c r="BJ191" s="76" t="s">
        <v>6360</v>
      </c>
      <c r="BK191" s="76" t="b">
        <v>0</v>
      </c>
      <c r="BL191" s="76"/>
      <c r="BM191" s="76" t="s">
        <v>66</v>
      </c>
      <c r="BN191" s="76" t="s">
        <v>6362</v>
      </c>
      <c r="BO191" s="83" t="str">
        <f>HYPERLINK("https://twitter.com/juliocrrf")</f>
        <v>https://twitter.com/juliocrrf</v>
      </c>
      <c r="BP191" s="2"/>
    </row>
    <row r="192" spans="1:68" x14ac:dyDescent="0.25">
      <c r="A192" s="62" t="s">
        <v>394</v>
      </c>
      <c r="B192" s="63"/>
      <c r="C192" s="63"/>
      <c r="D192" s="64"/>
      <c r="E192" s="66"/>
      <c r="F192" s="102" t="str">
        <f>HYPERLINK("https://pbs.twimg.com/profile_images/1644479379425165313/kETmmLIo_normal.jpg")</f>
        <v>https://pbs.twimg.com/profile_images/1644479379425165313/kETmmLIo_normal.jpg</v>
      </c>
      <c r="G192" s="63"/>
      <c r="H192" s="67"/>
      <c r="I192" s="68"/>
      <c r="J192" s="68"/>
      <c r="K192" s="67" t="s">
        <v>6551</v>
      </c>
      <c r="L192" s="71"/>
      <c r="M192" s="72"/>
      <c r="N192" s="72"/>
      <c r="O192" s="73"/>
      <c r="P192" s="74"/>
      <c r="Q192" s="74"/>
      <c r="R192" s="86"/>
      <c r="S192" s="86"/>
      <c r="T192" s="86"/>
      <c r="U192" s="86"/>
      <c r="V192" s="48"/>
      <c r="W192" s="48"/>
      <c r="X192" s="48"/>
      <c r="Y192" s="48"/>
      <c r="Z192" s="47"/>
      <c r="AA192" s="69">
        <v>192</v>
      </c>
      <c r="AB192" s="69"/>
      <c r="AC192" s="70"/>
      <c r="AD192" s="76" t="s">
        <v>5512</v>
      </c>
      <c r="AE192" s="81" t="s">
        <v>5213</v>
      </c>
      <c r="AF192" s="76">
        <v>7</v>
      </c>
      <c r="AG192" s="76">
        <v>90</v>
      </c>
      <c r="AH192" s="76">
        <v>17</v>
      </c>
      <c r="AI192" s="76">
        <v>3</v>
      </c>
      <c r="AJ192" s="76">
        <v>125</v>
      </c>
      <c r="AK192" s="76">
        <v>13</v>
      </c>
      <c r="AL192" s="76" t="b">
        <v>0</v>
      </c>
      <c r="AM192" s="78">
        <v>43930.008032407408</v>
      </c>
      <c r="AN192" s="76" t="s">
        <v>5753</v>
      </c>
      <c r="AO192" s="76" t="s">
        <v>6028</v>
      </c>
      <c r="AP192" s="76"/>
      <c r="AQ192" s="76"/>
      <c r="AR192" s="76"/>
      <c r="AS192" s="76"/>
      <c r="AT192" s="76"/>
      <c r="AU192" s="76"/>
      <c r="AV192" s="76"/>
      <c r="AW192" s="76"/>
      <c r="AX192" s="76" t="b">
        <v>0</v>
      </c>
      <c r="AY192" s="76"/>
      <c r="AZ192" s="76"/>
      <c r="BA192" s="76" t="b">
        <v>0</v>
      </c>
      <c r="BB192" s="76" t="b">
        <v>1</v>
      </c>
      <c r="BC192" s="76" t="b">
        <v>1</v>
      </c>
      <c r="BD192" s="76" t="b">
        <v>0</v>
      </c>
      <c r="BE192" s="76" t="b">
        <v>1</v>
      </c>
      <c r="BF192" s="76" t="b">
        <v>0</v>
      </c>
      <c r="BG192" s="76" t="b">
        <v>0</v>
      </c>
      <c r="BH192" s="83" t="str">
        <f>HYPERLINK("https://pbs.twimg.com/profile_banners/1248040760009789445/1624311606")</f>
        <v>https://pbs.twimg.com/profile_banners/1248040760009789445/1624311606</v>
      </c>
      <c r="BI192" s="76"/>
      <c r="BJ192" s="76" t="s">
        <v>6360</v>
      </c>
      <c r="BK192" s="76" t="b">
        <v>0</v>
      </c>
      <c r="BL192" s="76"/>
      <c r="BM192" s="76" t="s">
        <v>66</v>
      </c>
      <c r="BN192" s="76" t="s">
        <v>6362</v>
      </c>
      <c r="BO192" s="83" t="str">
        <f>HYPERLINK("https://twitter.com/beatrizdiascc")</f>
        <v>https://twitter.com/beatrizdiascc</v>
      </c>
      <c r="BP192" s="2"/>
    </row>
    <row r="193" spans="1:68" x14ac:dyDescent="0.25">
      <c r="A193" s="62" t="s">
        <v>395</v>
      </c>
      <c r="B193" s="63"/>
      <c r="C193" s="63"/>
      <c r="D193" s="64"/>
      <c r="E193" s="66"/>
      <c r="F193" s="102" t="str">
        <f>HYPERLINK("https://pbs.twimg.com/profile_images/1117743023675379712/5xMWA9-j_normal.png")</f>
        <v>https://pbs.twimg.com/profile_images/1117743023675379712/5xMWA9-j_normal.png</v>
      </c>
      <c r="G193" s="63"/>
      <c r="H193" s="67"/>
      <c r="I193" s="68"/>
      <c r="J193" s="68"/>
      <c r="K193" s="67" t="s">
        <v>6552</v>
      </c>
      <c r="L193" s="71"/>
      <c r="M193" s="72"/>
      <c r="N193" s="72"/>
      <c r="O193" s="73"/>
      <c r="P193" s="74"/>
      <c r="Q193" s="74"/>
      <c r="R193" s="86"/>
      <c r="S193" s="86"/>
      <c r="T193" s="86"/>
      <c r="U193" s="86"/>
      <c r="V193" s="48"/>
      <c r="W193" s="48"/>
      <c r="X193" s="48"/>
      <c r="Y193" s="48"/>
      <c r="Z193" s="47"/>
      <c r="AA193" s="69">
        <v>193</v>
      </c>
      <c r="AB193" s="69"/>
      <c r="AC193" s="70"/>
      <c r="AD193" s="76" t="s">
        <v>5513</v>
      </c>
      <c r="AE193" s="81" t="s">
        <v>5214</v>
      </c>
      <c r="AF193" s="76">
        <v>71600</v>
      </c>
      <c r="AG193" s="76">
        <v>111</v>
      </c>
      <c r="AH193" s="76">
        <v>77245</v>
      </c>
      <c r="AI193" s="76">
        <v>808</v>
      </c>
      <c r="AJ193" s="76">
        <v>447</v>
      </c>
      <c r="AK193" s="76">
        <v>892</v>
      </c>
      <c r="AL193" s="76" t="b">
        <v>0</v>
      </c>
      <c r="AM193" s="78">
        <v>43558.838819444441</v>
      </c>
      <c r="AN193" s="76" t="s">
        <v>3415</v>
      </c>
      <c r="AO193" s="76" t="s">
        <v>6029</v>
      </c>
      <c r="AP193" s="83" t="str">
        <f>HYPERLINK("https://t.co/XBjwNC600O")</f>
        <v>https://t.co/XBjwNC600O</v>
      </c>
      <c r="AQ193" s="83" t="str">
        <f>HYPERLINK("https://bit.ly/3deLmRM")</f>
        <v>https://bit.ly/3deLmRM</v>
      </c>
      <c r="AR193" s="76" t="s">
        <v>6256</v>
      </c>
      <c r="AS193" s="76"/>
      <c r="AT193" s="76"/>
      <c r="AU193" s="76"/>
      <c r="AV193" s="76">
        <v>1.7020304951423401E+18</v>
      </c>
      <c r="AW193" s="83" t="str">
        <f>HYPERLINK("https://t.co/XBjwNC600O")</f>
        <v>https://t.co/XBjwNC600O</v>
      </c>
      <c r="AX193" s="76" t="b">
        <v>0</v>
      </c>
      <c r="AY193" s="76"/>
      <c r="AZ193" s="76"/>
      <c r="BA193" s="76" t="b">
        <v>0</v>
      </c>
      <c r="BB193" s="76" t="b">
        <v>1</v>
      </c>
      <c r="BC193" s="76" t="b">
        <v>1</v>
      </c>
      <c r="BD193" s="76" t="b">
        <v>0</v>
      </c>
      <c r="BE193" s="76" t="b">
        <v>0</v>
      </c>
      <c r="BF193" s="76" t="b">
        <v>0</v>
      </c>
      <c r="BG193" s="76" t="b">
        <v>0</v>
      </c>
      <c r="BH193" s="83" t="str">
        <f>HYPERLINK("https://pbs.twimg.com/profile_banners/1113533606247436289/1556547334")</f>
        <v>https://pbs.twimg.com/profile_banners/1113533606247436289/1556547334</v>
      </c>
      <c r="BI193" s="76"/>
      <c r="BJ193" s="76" t="s">
        <v>6360</v>
      </c>
      <c r="BK193" s="76" t="b">
        <v>0</v>
      </c>
      <c r="BL193" s="76"/>
      <c r="BM193" s="76" t="s">
        <v>66</v>
      </c>
      <c r="BN193" s="76" t="s">
        <v>6362</v>
      </c>
      <c r="BO193" s="83" t="str">
        <f>HYPERLINK("https://twitter.com/valorinveste")</f>
        <v>https://twitter.com/valorinveste</v>
      </c>
      <c r="BP193" s="2"/>
    </row>
    <row r="194" spans="1:68" x14ac:dyDescent="0.25">
      <c r="A194" s="62" t="s">
        <v>396</v>
      </c>
      <c r="B194" s="63"/>
      <c r="C194" s="63"/>
      <c r="D194" s="64"/>
      <c r="E194" s="66"/>
      <c r="F194" s="102" t="str">
        <f>HYPERLINK("https://pbs.twimg.com/profile_images/1656722766538604565/hXR10T55_normal.jpg")</f>
        <v>https://pbs.twimg.com/profile_images/1656722766538604565/hXR10T55_normal.jpg</v>
      </c>
      <c r="G194" s="63"/>
      <c r="H194" s="67"/>
      <c r="I194" s="68"/>
      <c r="J194" s="68"/>
      <c r="K194" s="67" t="s">
        <v>6553</v>
      </c>
      <c r="L194" s="71"/>
      <c r="M194" s="72"/>
      <c r="N194" s="72"/>
      <c r="O194" s="73"/>
      <c r="P194" s="74"/>
      <c r="Q194" s="74"/>
      <c r="R194" s="86"/>
      <c r="S194" s="86"/>
      <c r="T194" s="86"/>
      <c r="U194" s="86"/>
      <c r="V194" s="48"/>
      <c r="W194" s="48"/>
      <c r="X194" s="48"/>
      <c r="Y194" s="48"/>
      <c r="Z194" s="47"/>
      <c r="AA194" s="69">
        <v>194</v>
      </c>
      <c r="AB194" s="69"/>
      <c r="AC194" s="70"/>
      <c r="AD194" s="76" t="s">
        <v>5514</v>
      </c>
      <c r="AE194" s="81" t="s">
        <v>5700</v>
      </c>
      <c r="AF194" s="76">
        <v>79</v>
      </c>
      <c r="AG194" s="76">
        <v>84</v>
      </c>
      <c r="AH194" s="76">
        <v>211</v>
      </c>
      <c r="AI194" s="76">
        <v>0</v>
      </c>
      <c r="AJ194" s="76">
        <v>714</v>
      </c>
      <c r="AK194" s="76">
        <v>7</v>
      </c>
      <c r="AL194" s="76" t="b">
        <v>0</v>
      </c>
      <c r="AM194" s="78">
        <v>39994.486481481479</v>
      </c>
      <c r="AN194" s="76" t="s">
        <v>3410</v>
      </c>
      <c r="AO194" s="76" t="s">
        <v>6030</v>
      </c>
      <c r="AP194" s="76"/>
      <c r="AQ194" s="76"/>
      <c r="AR194" s="76"/>
      <c r="AS194" s="76"/>
      <c r="AT194" s="76"/>
      <c r="AU194" s="76"/>
      <c r="AV194" s="76"/>
      <c r="AW194" s="76"/>
      <c r="AX194" s="76" t="b">
        <v>0</v>
      </c>
      <c r="AY194" s="76"/>
      <c r="AZ194" s="76"/>
      <c r="BA194" s="76" t="b">
        <v>0</v>
      </c>
      <c r="BB194" s="76" t="b">
        <v>1</v>
      </c>
      <c r="BC194" s="76" t="b">
        <v>1</v>
      </c>
      <c r="BD194" s="76" t="b">
        <v>0</v>
      </c>
      <c r="BE194" s="76" t="b">
        <v>1</v>
      </c>
      <c r="BF194" s="76" t="b">
        <v>0</v>
      </c>
      <c r="BG194" s="76" t="b">
        <v>0</v>
      </c>
      <c r="BH194" s="83" t="str">
        <f>HYPERLINK("https://pbs.twimg.com/profile_banners/52371933/1683565572")</f>
        <v>https://pbs.twimg.com/profile_banners/52371933/1683565572</v>
      </c>
      <c r="BI194" s="76"/>
      <c r="BJ194" s="76" t="s">
        <v>6360</v>
      </c>
      <c r="BK194" s="76" t="b">
        <v>0</v>
      </c>
      <c r="BL194" s="76"/>
      <c r="BM194" s="76" t="s">
        <v>66</v>
      </c>
      <c r="BN194" s="76" t="s">
        <v>6362</v>
      </c>
      <c r="BO194" s="83" t="str">
        <f>HYPERLINK("https://twitter.com/fernandodutra_")</f>
        <v>https://twitter.com/fernandodutra_</v>
      </c>
      <c r="BP194" s="2"/>
    </row>
    <row r="195" spans="1:68" x14ac:dyDescent="0.25">
      <c r="A195" s="62" t="s">
        <v>397</v>
      </c>
      <c r="B195" s="63"/>
      <c r="C195" s="63"/>
      <c r="D195" s="64"/>
      <c r="E195" s="66"/>
      <c r="F195" s="102" t="str">
        <f>HYPERLINK("https://pbs.twimg.com/profile_images/1604856653727371264/C4dpo19k_normal.jpg")</f>
        <v>https://pbs.twimg.com/profile_images/1604856653727371264/C4dpo19k_normal.jpg</v>
      </c>
      <c r="G195" s="63"/>
      <c r="H195" s="67"/>
      <c r="I195" s="68"/>
      <c r="J195" s="68"/>
      <c r="K195" s="67" t="s">
        <v>6554</v>
      </c>
      <c r="L195" s="71"/>
      <c r="M195" s="72"/>
      <c r="N195" s="72"/>
      <c r="O195" s="73"/>
      <c r="P195" s="74"/>
      <c r="Q195" s="74"/>
      <c r="R195" s="86"/>
      <c r="S195" s="86"/>
      <c r="T195" s="86"/>
      <c r="U195" s="86"/>
      <c r="V195" s="48"/>
      <c r="W195" s="48"/>
      <c r="X195" s="48"/>
      <c r="Y195" s="48"/>
      <c r="Z195" s="47"/>
      <c r="AA195" s="69">
        <v>195</v>
      </c>
      <c r="AB195" s="69"/>
      <c r="AC195" s="70"/>
      <c r="AD195" s="76" t="s">
        <v>5515</v>
      </c>
      <c r="AE195" s="81" t="s">
        <v>5701</v>
      </c>
      <c r="AF195" s="76">
        <v>4729</v>
      </c>
      <c r="AG195" s="76">
        <v>195</v>
      </c>
      <c r="AH195" s="76">
        <v>4190</v>
      </c>
      <c r="AI195" s="76">
        <v>45</v>
      </c>
      <c r="AJ195" s="76">
        <v>167</v>
      </c>
      <c r="AK195" s="76">
        <v>3000</v>
      </c>
      <c r="AL195" s="76" t="b">
        <v>0</v>
      </c>
      <c r="AM195" s="78">
        <v>40045.685706018521</v>
      </c>
      <c r="AN195" s="76"/>
      <c r="AO195" s="76" t="s">
        <v>6031</v>
      </c>
      <c r="AP195" s="83" t="str">
        <f>HYPERLINK("https://t.co/uJ8DmEph5B")</f>
        <v>https://t.co/uJ8DmEph5B</v>
      </c>
      <c r="AQ195" s="83" t="str">
        <f>HYPERLINK("https://www.vivalocal.com/blog")</f>
        <v>https://www.vivalocal.com/blog</v>
      </c>
      <c r="AR195" s="76" t="s">
        <v>6257</v>
      </c>
      <c r="AS195" s="76"/>
      <c r="AT195" s="76"/>
      <c r="AU195" s="76"/>
      <c r="AV195" s="76">
        <v>1.6972052106978701E+18</v>
      </c>
      <c r="AW195" s="83" t="str">
        <f>HYPERLINK("https://t.co/uJ8DmEph5B")</f>
        <v>https://t.co/uJ8DmEph5B</v>
      </c>
      <c r="AX195" s="76" t="b">
        <v>1</v>
      </c>
      <c r="AY195" s="76"/>
      <c r="AZ195" s="76"/>
      <c r="BA195" s="76" t="b">
        <v>1</v>
      </c>
      <c r="BB195" s="76" t="b">
        <v>0</v>
      </c>
      <c r="BC195" s="76" t="b">
        <v>0</v>
      </c>
      <c r="BD195" s="76" t="b">
        <v>0</v>
      </c>
      <c r="BE195" s="76" t="b">
        <v>1</v>
      </c>
      <c r="BF195" s="76" t="b">
        <v>0</v>
      </c>
      <c r="BG195" s="76" t="b">
        <v>0</v>
      </c>
      <c r="BH195" s="83" t="str">
        <f>HYPERLINK("https://pbs.twimg.com/profile_banners/67352317/1690885767")</f>
        <v>https://pbs.twimg.com/profile_banners/67352317/1690885767</v>
      </c>
      <c r="BI195" s="76"/>
      <c r="BJ195" s="76" t="s">
        <v>6360</v>
      </c>
      <c r="BK195" s="76" t="b">
        <v>0</v>
      </c>
      <c r="BL195" s="76"/>
      <c r="BM195" s="76" t="s">
        <v>66</v>
      </c>
      <c r="BN195" s="76" t="s">
        <v>6362</v>
      </c>
      <c r="BO195" s="83" t="str">
        <f>HYPERLINK("https://twitter.com/vivalocal")</f>
        <v>https://twitter.com/vivalocal</v>
      </c>
      <c r="BP195" s="2"/>
    </row>
    <row r="196" spans="1:68" x14ac:dyDescent="0.25">
      <c r="A196" s="62" t="s">
        <v>398</v>
      </c>
      <c r="B196" s="63"/>
      <c r="C196" s="63"/>
      <c r="D196" s="64"/>
      <c r="E196" s="66"/>
      <c r="F196" s="102" t="str">
        <f>HYPERLINK("https://pbs.twimg.com/profile_images/1670967220602585089/LU6rb28W_normal.jpg")</f>
        <v>https://pbs.twimg.com/profile_images/1670967220602585089/LU6rb28W_normal.jpg</v>
      </c>
      <c r="G196" s="63"/>
      <c r="H196" s="67"/>
      <c r="I196" s="68"/>
      <c r="J196" s="68"/>
      <c r="K196" s="67" t="s">
        <v>6555</v>
      </c>
      <c r="L196" s="71"/>
      <c r="M196" s="72"/>
      <c r="N196" s="72"/>
      <c r="O196" s="73"/>
      <c r="P196" s="74"/>
      <c r="Q196" s="74"/>
      <c r="R196" s="86"/>
      <c r="S196" s="86"/>
      <c r="T196" s="86"/>
      <c r="U196" s="86"/>
      <c r="V196" s="48"/>
      <c r="W196" s="48"/>
      <c r="X196" s="48"/>
      <c r="Y196" s="48"/>
      <c r="Z196" s="47"/>
      <c r="AA196" s="69">
        <v>196</v>
      </c>
      <c r="AB196" s="69"/>
      <c r="AC196" s="70"/>
      <c r="AD196" s="76" t="s">
        <v>5516</v>
      </c>
      <c r="AE196" s="81" t="s">
        <v>5215</v>
      </c>
      <c r="AF196" s="76">
        <v>1</v>
      </c>
      <c r="AG196" s="76">
        <v>5</v>
      </c>
      <c r="AH196" s="76">
        <v>9</v>
      </c>
      <c r="AI196" s="76">
        <v>0</v>
      </c>
      <c r="AJ196" s="76">
        <v>0</v>
      </c>
      <c r="AK196" s="76">
        <v>0</v>
      </c>
      <c r="AL196" s="76" t="b">
        <v>0</v>
      </c>
      <c r="AM196" s="78">
        <v>45089.516701388886</v>
      </c>
      <c r="AN196" s="76"/>
      <c r="AO196" s="76" t="s">
        <v>6032</v>
      </c>
      <c r="AP196" s="76"/>
      <c r="AQ196" s="76"/>
      <c r="AR196" s="76"/>
      <c r="AS196" s="76"/>
      <c r="AT196" s="76"/>
      <c r="AU196" s="76"/>
      <c r="AV196" s="76"/>
      <c r="AW196" s="76"/>
      <c r="AX196" s="76" t="b">
        <v>0</v>
      </c>
      <c r="AY196" s="76"/>
      <c r="AZ196" s="76"/>
      <c r="BA196" s="76" t="b">
        <v>0</v>
      </c>
      <c r="BB196" s="76" t="b">
        <v>1</v>
      </c>
      <c r="BC196" s="76" t="b">
        <v>1</v>
      </c>
      <c r="BD196" s="76" t="b">
        <v>0</v>
      </c>
      <c r="BE196" s="76" t="b">
        <v>0</v>
      </c>
      <c r="BF196" s="76" t="b">
        <v>0</v>
      </c>
      <c r="BG196" s="76" t="b">
        <v>0</v>
      </c>
      <c r="BH196" s="83" t="str">
        <f>HYPERLINK("https://pbs.twimg.com/profile_banners/1668232633933787137/1687228493")</f>
        <v>https://pbs.twimg.com/profile_banners/1668232633933787137/1687228493</v>
      </c>
      <c r="BI196" s="76"/>
      <c r="BJ196" s="76" t="s">
        <v>6360</v>
      </c>
      <c r="BK196" s="76" t="b">
        <v>0</v>
      </c>
      <c r="BL196" s="76"/>
      <c r="BM196" s="76" t="s">
        <v>66</v>
      </c>
      <c r="BN196" s="76" t="s">
        <v>6362</v>
      </c>
      <c r="BO196" s="83" t="str">
        <f>HYPERLINK("https://twitter.com/mundo_consorcio")</f>
        <v>https://twitter.com/mundo_consorcio</v>
      </c>
      <c r="BP196" s="2"/>
    </row>
    <row r="197" spans="1:68" x14ac:dyDescent="0.25">
      <c r="A197" s="62" t="s">
        <v>399</v>
      </c>
      <c r="B197" s="63"/>
      <c r="C197" s="63"/>
      <c r="D197" s="64"/>
      <c r="E197" s="66"/>
      <c r="F197" s="102" t="str">
        <f>HYPERLINK("https://pbs.twimg.com/profile_images/1627801468081258497/RWr4RAif_normal.png")</f>
        <v>https://pbs.twimg.com/profile_images/1627801468081258497/RWr4RAif_normal.png</v>
      </c>
      <c r="G197" s="63"/>
      <c r="H197" s="67"/>
      <c r="I197" s="68"/>
      <c r="J197" s="68"/>
      <c r="K197" s="67" t="s">
        <v>6556</v>
      </c>
      <c r="L197" s="71"/>
      <c r="M197" s="72"/>
      <c r="N197" s="72"/>
      <c r="O197" s="73"/>
      <c r="P197" s="74"/>
      <c r="Q197" s="74"/>
      <c r="R197" s="86"/>
      <c r="S197" s="86"/>
      <c r="T197" s="86"/>
      <c r="U197" s="86"/>
      <c r="V197" s="48"/>
      <c r="W197" s="48"/>
      <c r="X197" s="48"/>
      <c r="Y197" s="48"/>
      <c r="Z197" s="47"/>
      <c r="AA197" s="69">
        <v>197</v>
      </c>
      <c r="AB197" s="69"/>
      <c r="AC197" s="70"/>
      <c r="AD197" s="76" t="s">
        <v>5517</v>
      </c>
      <c r="AE197" s="81" t="s">
        <v>5216</v>
      </c>
      <c r="AF197" s="76">
        <v>2</v>
      </c>
      <c r="AG197" s="76">
        <v>19</v>
      </c>
      <c r="AH197" s="76">
        <v>91</v>
      </c>
      <c r="AI197" s="76">
        <v>0</v>
      </c>
      <c r="AJ197" s="76">
        <v>0</v>
      </c>
      <c r="AK197" s="76">
        <v>24</v>
      </c>
      <c r="AL197" s="76" t="b">
        <v>0</v>
      </c>
      <c r="AM197" s="78">
        <v>44977.947766203702</v>
      </c>
      <c r="AN197" s="76" t="s">
        <v>3410</v>
      </c>
      <c r="AO197" s="76" t="s">
        <v>6033</v>
      </c>
      <c r="AP197" s="83" t="str">
        <f>HYPERLINK("https://t.co/heLEFIX215")</f>
        <v>https://t.co/heLEFIX215</v>
      </c>
      <c r="AQ197" s="83" t="str">
        <f>HYPERLINK("https://jornaldigital360.com.br/")</f>
        <v>https://jornaldigital360.com.br/</v>
      </c>
      <c r="AR197" s="76" t="s">
        <v>6258</v>
      </c>
      <c r="AS197" s="76"/>
      <c r="AT197" s="76"/>
      <c r="AU197" s="76"/>
      <c r="AV197" s="76"/>
      <c r="AW197" s="83" t="str">
        <f>HYPERLINK("https://t.co/heLEFIX215")</f>
        <v>https://t.co/heLEFIX215</v>
      </c>
      <c r="AX197" s="76" t="b">
        <v>0</v>
      </c>
      <c r="AY197" s="76"/>
      <c r="AZ197" s="76"/>
      <c r="BA197" s="76" t="b">
        <v>0</v>
      </c>
      <c r="BB197" s="76" t="b">
        <v>1</v>
      </c>
      <c r="BC197" s="76" t="b">
        <v>1</v>
      </c>
      <c r="BD197" s="76" t="b">
        <v>0</v>
      </c>
      <c r="BE197" s="76" t="b">
        <v>0</v>
      </c>
      <c r="BF197" s="76" t="b">
        <v>0</v>
      </c>
      <c r="BG197" s="76" t="b">
        <v>0</v>
      </c>
      <c r="BH197" s="83" t="str">
        <f>HYPERLINK("https://pbs.twimg.com/profile_banners/1627801313814749192/1677200612")</f>
        <v>https://pbs.twimg.com/profile_banners/1627801313814749192/1677200612</v>
      </c>
      <c r="BI197" s="76"/>
      <c r="BJ197" s="76" t="s">
        <v>6360</v>
      </c>
      <c r="BK197" s="76" t="b">
        <v>0</v>
      </c>
      <c r="BL197" s="76"/>
      <c r="BM197" s="76" t="s">
        <v>66</v>
      </c>
      <c r="BN197" s="76" t="s">
        <v>6362</v>
      </c>
      <c r="BO197" s="83" t="str">
        <f>HYPERLINK("https://twitter.com/newsdigital360")</f>
        <v>https://twitter.com/newsdigital360</v>
      </c>
      <c r="BP197" s="2"/>
    </row>
    <row r="198" spans="1:68" x14ac:dyDescent="0.25">
      <c r="A198" s="62" t="s">
        <v>400</v>
      </c>
      <c r="B198" s="63"/>
      <c r="C198" s="63"/>
      <c r="D198" s="64"/>
      <c r="E198" s="66"/>
      <c r="F198" s="102" t="str">
        <f>HYPERLINK("https://pbs.twimg.com/profile_images/1682392388562567170/Lwu2LFnV_normal.jpg")</f>
        <v>https://pbs.twimg.com/profile_images/1682392388562567170/Lwu2LFnV_normal.jpg</v>
      </c>
      <c r="G198" s="63"/>
      <c r="H198" s="67"/>
      <c r="I198" s="68"/>
      <c r="J198" s="68"/>
      <c r="K198" s="67" t="s">
        <v>6557</v>
      </c>
      <c r="L198" s="71"/>
      <c r="M198" s="72"/>
      <c r="N198" s="72"/>
      <c r="O198" s="73"/>
      <c r="P198" s="74"/>
      <c r="Q198" s="74"/>
      <c r="R198" s="86"/>
      <c r="S198" s="86"/>
      <c r="T198" s="86"/>
      <c r="U198" s="86"/>
      <c r="V198" s="48"/>
      <c r="W198" s="48"/>
      <c r="X198" s="48"/>
      <c r="Y198" s="48"/>
      <c r="Z198" s="47"/>
      <c r="AA198" s="69">
        <v>198</v>
      </c>
      <c r="AB198" s="69"/>
      <c r="AC198" s="70"/>
      <c r="AD198" s="76" t="s">
        <v>5518</v>
      </c>
      <c r="AE198" s="81" t="s">
        <v>5217</v>
      </c>
      <c r="AF198" s="76">
        <v>174</v>
      </c>
      <c r="AG198" s="76">
        <v>62</v>
      </c>
      <c r="AH198" s="76">
        <v>172</v>
      </c>
      <c r="AI198" s="76">
        <v>0</v>
      </c>
      <c r="AJ198" s="76">
        <v>77</v>
      </c>
      <c r="AK198" s="76">
        <v>125</v>
      </c>
      <c r="AL198" s="76" t="b">
        <v>0</v>
      </c>
      <c r="AM198" s="78">
        <v>45100.565104166664</v>
      </c>
      <c r="AN198" s="76" t="s">
        <v>5804</v>
      </c>
      <c r="AO198" s="76" t="s">
        <v>6034</v>
      </c>
      <c r="AP198" s="76"/>
      <c r="AQ198" s="76"/>
      <c r="AR198" s="76"/>
      <c r="AS198" s="76"/>
      <c r="AT198" s="76"/>
      <c r="AU198" s="76"/>
      <c r="AV198" s="76"/>
      <c r="AW198" s="76"/>
      <c r="AX198" s="76" t="b">
        <v>0</v>
      </c>
      <c r="AY198" s="76"/>
      <c r="AZ198" s="76"/>
      <c r="BA198" s="76" t="b">
        <v>0</v>
      </c>
      <c r="BB198" s="76" t="b">
        <v>1</v>
      </c>
      <c r="BC198" s="76" t="b">
        <v>1</v>
      </c>
      <c r="BD198" s="76" t="b">
        <v>0</v>
      </c>
      <c r="BE198" s="76" t="b">
        <v>0</v>
      </c>
      <c r="BF198" s="76" t="b">
        <v>0</v>
      </c>
      <c r="BG198" s="76" t="b">
        <v>0</v>
      </c>
      <c r="BH198" s="83" t="str">
        <f>HYPERLINK("https://pbs.twimg.com/profile_banners/1672236167167725568/1687529086")</f>
        <v>https://pbs.twimg.com/profile_banners/1672236167167725568/1687529086</v>
      </c>
      <c r="BI198" s="76"/>
      <c r="BJ198" s="76" t="s">
        <v>6360</v>
      </c>
      <c r="BK198" s="76" t="b">
        <v>0</v>
      </c>
      <c r="BL198" s="76"/>
      <c r="BM198" s="76" t="s">
        <v>66</v>
      </c>
      <c r="BN198" s="76" t="s">
        <v>6362</v>
      </c>
      <c r="BO198" s="83" t="str">
        <f>HYPERLINK("https://twitter.com/drancelmoramos")</f>
        <v>https://twitter.com/drancelmoramos</v>
      </c>
      <c r="BP198" s="2"/>
    </row>
    <row r="199" spans="1:68" x14ac:dyDescent="0.25">
      <c r="A199" s="62" t="s">
        <v>402</v>
      </c>
      <c r="B199" s="63"/>
      <c r="C199" s="63"/>
      <c r="D199" s="64"/>
      <c r="E199" s="66"/>
      <c r="F199" s="102" t="str">
        <f>HYPERLINK("https://pbs.twimg.com/profile_images/1363668439487942658/XW4o2Cyu_normal.jpg")</f>
        <v>https://pbs.twimg.com/profile_images/1363668439487942658/XW4o2Cyu_normal.jpg</v>
      </c>
      <c r="G199" s="63"/>
      <c r="H199" s="67"/>
      <c r="I199" s="68"/>
      <c r="J199" s="68"/>
      <c r="K199" s="67" t="s">
        <v>6558</v>
      </c>
      <c r="L199" s="71"/>
      <c r="M199" s="72"/>
      <c r="N199" s="72"/>
      <c r="O199" s="73"/>
      <c r="P199" s="74"/>
      <c r="Q199" s="74"/>
      <c r="R199" s="86"/>
      <c r="S199" s="86"/>
      <c r="T199" s="86"/>
      <c r="U199" s="86"/>
      <c r="V199" s="48"/>
      <c r="W199" s="48"/>
      <c r="X199" s="48"/>
      <c r="Y199" s="48"/>
      <c r="Z199" s="47"/>
      <c r="AA199" s="69">
        <v>199</v>
      </c>
      <c r="AB199" s="69"/>
      <c r="AC199" s="70"/>
      <c r="AD199" s="76" t="s">
        <v>5519</v>
      </c>
      <c r="AE199" s="81" t="s">
        <v>5702</v>
      </c>
      <c r="AF199" s="76">
        <v>891</v>
      </c>
      <c r="AG199" s="76">
        <v>797</v>
      </c>
      <c r="AH199" s="76">
        <v>12204</v>
      </c>
      <c r="AI199" s="76">
        <v>3</v>
      </c>
      <c r="AJ199" s="76">
        <v>13424</v>
      </c>
      <c r="AK199" s="76">
        <v>2164</v>
      </c>
      <c r="AL199" s="76" t="b">
        <v>0</v>
      </c>
      <c r="AM199" s="78">
        <v>39934.014918981484</v>
      </c>
      <c r="AN199" s="76" t="s">
        <v>5805</v>
      </c>
      <c r="AO199" s="76" t="s">
        <v>6035</v>
      </c>
      <c r="AP199" s="76"/>
      <c r="AQ199" s="76"/>
      <c r="AR199" s="76"/>
      <c r="AS199" s="76"/>
      <c r="AT199" s="76"/>
      <c r="AU199" s="76"/>
      <c r="AV199" s="76"/>
      <c r="AW199" s="76"/>
      <c r="AX199" s="76" t="b">
        <v>1</v>
      </c>
      <c r="AY199" s="76"/>
      <c r="AZ199" s="76"/>
      <c r="BA199" s="76" t="b">
        <v>0</v>
      </c>
      <c r="BB199" s="76" t="b">
        <v>0</v>
      </c>
      <c r="BC199" s="76" t="b">
        <v>1</v>
      </c>
      <c r="BD199" s="76" t="b">
        <v>0</v>
      </c>
      <c r="BE199" s="76" t="b">
        <v>1</v>
      </c>
      <c r="BF199" s="76" t="b">
        <v>0</v>
      </c>
      <c r="BG199" s="76" t="b">
        <v>0</v>
      </c>
      <c r="BH199" s="83" t="str">
        <f>HYPERLINK("https://pbs.twimg.com/profile_banners/36825083/1577705953")</f>
        <v>https://pbs.twimg.com/profile_banners/36825083/1577705953</v>
      </c>
      <c r="BI199" s="76"/>
      <c r="BJ199" s="76" t="s">
        <v>6360</v>
      </c>
      <c r="BK199" s="76" t="b">
        <v>0</v>
      </c>
      <c r="BL199" s="76"/>
      <c r="BM199" s="76" t="s">
        <v>66</v>
      </c>
      <c r="BN199" s="76" t="s">
        <v>6362</v>
      </c>
      <c r="BO199" s="83" t="str">
        <f>HYPERLINK("https://twitter.com/edujbarbalho")</f>
        <v>https://twitter.com/edujbarbalho</v>
      </c>
      <c r="BP199" s="2"/>
    </row>
    <row r="200" spans="1:68" x14ac:dyDescent="0.25">
      <c r="A200" s="62" t="s">
        <v>403</v>
      </c>
      <c r="B200" s="63"/>
      <c r="C200" s="63"/>
      <c r="D200" s="64"/>
      <c r="E200" s="66"/>
      <c r="F200" s="102" t="str">
        <f>HYPERLINK("https://pbs.twimg.com/profile_images/1661395877150294016/LJyIv-B6_normal.png")</f>
        <v>https://pbs.twimg.com/profile_images/1661395877150294016/LJyIv-B6_normal.png</v>
      </c>
      <c r="G200" s="63"/>
      <c r="H200" s="67"/>
      <c r="I200" s="68"/>
      <c r="J200" s="68"/>
      <c r="K200" s="67" t="s">
        <v>6559</v>
      </c>
      <c r="L200" s="71"/>
      <c r="M200" s="72"/>
      <c r="N200" s="72"/>
      <c r="O200" s="73"/>
      <c r="P200" s="74"/>
      <c r="Q200" s="74"/>
      <c r="R200" s="86"/>
      <c r="S200" s="86"/>
      <c r="T200" s="86"/>
      <c r="U200" s="86"/>
      <c r="V200" s="48"/>
      <c r="W200" s="48"/>
      <c r="X200" s="48"/>
      <c r="Y200" s="48"/>
      <c r="Z200" s="47"/>
      <c r="AA200" s="69">
        <v>200</v>
      </c>
      <c r="AB200" s="69"/>
      <c r="AC200" s="70"/>
      <c r="AD200" s="76" t="s">
        <v>5520</v>
      </c>
      <c r="AE200" s="81" t="s">
        <v>5218</v>
      </c>
      <c r="AF200" s="76">
        <v>10</v>
      </c>
      <c r="AG200" s="76">
        <v>10</v>
      </c>
      <c r="AH200" s="76">
        <v>239</v>
      </c>
      <c r="AI200" s="76">
        <v>0</v>
      </c>
      <c r="AJ200" s="76">
        <v>0</v>
      </c>
      <c r="AK200" s="76">
        <v>231</v>
      </c>
      <c r="AL200" s="76" t="b">
        <v>0</v>
      </c>
      <c r="AM200" s="78">
        <v>43617.039641203701</v>
      </c>
      <c r="AN200" s="76" t="s">
        <v>3410</v>
      </c>
      <c r="AO200" s="76" t="s">
        <v>6036</v>
      </c>
      <c r="AP200" s="83" t="str">
        <f>HYPERLINK("https://t.co/VswFg2L0uT")</f>
        <v>https://t.co/VswFg2L0uT</v>
      </c>
      <c r="AQ200" s="83" t="str">
        <f>HYPERLINK("https://luhao.com.br/")</f>
        <v>https://luhao.com.br/</v>
      </c>
      <c r="AR200" s="76" t="s">
        <v>6259</v>
      </c>
      <c r="AS200" s="76"/>
      <c r="AT200" s="76"/>
      <c r="AU200" s="76"/>
      <c r="AV200" s="76"/>
      <c r="AW200" s="83" t="str">
        <f>HYPERLINK("https://t.co/VswFg2L0uT")</f>
        <v>https://t.co/VswFg2L0uT</v>
      </c>
      <c r="AX200" s="76" t="b">
        <v>0</v>
      </c>
      <c r="AY200" s="76"/>
      <c r="AZ200" s="76"/>
      <c r="BA200" s="76" t="b">
        <v>0</v>
      </c>
      <c r="BB200" s="76" t="b">
        <v>1</v>
      </c>
      <c r="BC200" s="76" t="b">
        <v>1</v>
      </c>
      <c r="BD200" s="76" t="b">
        <v>0</v>
      </c>
      <c r="BE200" s="76" t="b">
        <v>0</v>
      </c>
      <c r="BF200" s="76" t="b">
        <v>0</v>
      </c>
      <c r="BG200" s="76" t="b">
        <v>0</v>
      </c>
      <c r="BH200" s="83" t="str">
        <f>HYPERLINK("https://pbs.twimg.com/profile_banners/1134624874817904642/1690987597")</f>
        <v>https://pbs.twimg.com/profile_banners/1134624874817904642/1690987597</v>
      </c>
      <c r="BI200" s="76"/>
      <c r="BJ200" s="76" t="s">
        <v>6360</v>
      </c>
      <c r="BK200" s="76" t="b">
        <v>0</v>
      </c>
      <c r="BL200" s="76"/>
      <c r="BM200" s="76" t="s">
        <v>66</v>
      </c>
      <c r="BN200" s="76" t="s">
        <v>6362</v>
      </c>
      <c r="BO200" s="83" t="str">
        <f>HYPERLINK("https://twitter.com/luhaoshop")</f>
        <v>https://twitter.com/luhaoshop</v>
      </c>
      <c r="BP200" s="2"/>
    </row>
    <row r="201" spans="1:68" x14ac:dyDescent="0.25">
      <c r="A201" s="62" t="s">
        <v>404</v>
      </c>
      <c r="B201" s="63"/>
      <c r="C201" s="63"/>
      <c r="D201" s="64"/>
      <c r="E201" s="66"/>
      <c r="F201" s="102" t="str">
        <f>HYPERLINK("https://pbs.twimg.com/profile_images/1645831886533476353/XaFU2cRF_normal.jpg")</f>
        <v>https://pbs.twimg.com/profile_images/1645831886533476353/XaFU2cRF_normal.jpg</v>
      </c>
      <c r="G201" s="63"/>
      <c r="H201" s="67"/>
      <c r="I201" s="68"/>
      <c r="J201" s="68"/>
      <c r="K201" s="67" t="s">
        <v>6560</v>
      </c>
      <c r="L201" s="71"/>
      <c r="M201" s="72"/>
      <c r="N201" s="72"/>
      <c r="O201" s="73"/>
      <c r="P201" s="74"/>
      <c r="Q201" s="74"/>
      <c r="R201" s="86"/>
      <c r="S201" s="86"/>
      <c r="T201" s="86"/>
      <c r="U201" s="86"/>
      <c r="V201" s="48"/>
      <c r="W201" s="48"/>
      <c r="X201" s="48"/>
      <c r="Y201" s="48"/>
      <c r="Z201" s="47"/>
      <c r="AA201" s="69">
        <v>201</v>
      </c>
      <c r="AB201" s="69"/>
      <c r="AC201" s="70"/>
      <c r="AD201" s="76" t="s">
        <v>5521</v>
      </c>
      <c r="AE201" s="81" t="s">
        <v>5056</v>
      </c>
      <c r="AF201" s="76">
        <v>39</v>
      </c>
      <c r="AG201" s="76">
        <v>156</v>
      </c>
      <c r="AH201" s="76">
        <v>993</v>
      </c>
      <c r="AI201" s="76">
        <v>4</v>
      </c>
      <c r="AJ201" s="76">
        <v>449</v>
      </c>
      <c r="AK201" s="76">
        <v>173</v>
      </c>
      <c r="AL201" s="76" t="b">
        <v>0</v>
      </c>
      <c r="AM201" s="78">
        <v>44518.688009259262</v>
      </c>
      <c r="AN201" s="76" t="s">
        <v>3417</v>
      </c>
      <c r="AO201" s="76" t="s">
        <v>6037</v>
      </c>
      <c r="AP201" s="76"/>
      <c r="AQ201" s="76"/>
      <c r="AR201" s="76"/>
      <c r="AS201" s="76"/>
      <c r="AT201" s="76"/>
      <c r="AU201" s="76"/>
      <c r="AV201" s="76"/>
      <c r="AW201" s="76"/>
      <c r="AX201" s="76" t="b">
        <v>0</v>
      </c>
      <c r="AY201" s="76"/>
      <c r="AZ201" s="76"/>
      <c r="BA201" s="76" t="b">
        <v>1</v>
      </c>
      <c r="BB201" s="76" t="b">
        <v>1</v>
      </c>
      <c r="BC201" s="76" t="b">
        <v>1</v>
      </c>
      <c r="BD201" s="76" t="b">
        <v>0</v>
      </c>
      <c r="BE201" s="76" t="b">
        <v>1</v>
      </c>
      <c r="BF201" s="76" t="b">
        <v>0</v>
      </c>
      <c r="BG201" s="76" t="b">
        <v>0</v>
      </c>
      <c r="BH201" s="83" t="str">
        <f>HYPERLINK("https://pbs.twimg.com/profile_banners/1461371216632201222/1683317911")</f>
        <v>https://pbs.twimg.com/profile_banners/1461371216632201222/1683317911</v>
      </c>
      <c r="BI201" s="76"/>
      <c r="BJ201" s="76" t="s">
        <v>6360</v>
      </c>
      <c r="BK201" s="76" t="b">
        <v>0</v>
      </c>
      <c r="BL201" s="76"/>
      <c r="BM201" s="76" t="s">
        <v>66</v>
      </c>
      <c r="BN201" s="76" t="s">
        <v>6362</v>
      </c>
      <c r="BO201" s="83" t="str">
        <f>HYPERLINK("https://twitter.com/ismaelguerreir6")</f>
        <v>https://twitter.com/ismaelguerreir6</v>
      </c>
      <c r="BP201" s="2"/>
    </row>
    <row r="202" spans="1:68" x14ac:dyDescent="0.25">
      <c r="A202" s="62" t="s">
        <v>405</v>
      </c>
      <c r="B202" s="63"/>
      <c r="C202" s="63"/>
      <c r="D202" s="64"/>
      <c r="E202" s="66"/>
      <c r="F202" s="102" t="str">
        <f>HYPERLINK("https://pbs.twimg.com/profile_images/1614499804918210561/YK0HYrBW_normal.jpg")</f>
        <v>https://pbs.twimg.com/profile_images/1614499804918210561/YK0HYrBW_normal.jpg</v>
      </c>
      <c r="G202" s="63"/>
      <c r="H202" s="67"/>
      <c r="I202" s="68"/>
      <c r="J202" s="68"/>
      <c r="K202" s="67" t="s">
        <v>6561</v>
      </c>
      <c r="L202" s="71"/>
      <c r="M202" s="72"/>
      <c r="N202" s="72"/>
      <c r="O202" s="73"/>
      <c r="P202" s="74"/>
      <c r="Q202" s="74"/>
      <c r="R202" s="86"/>
      <c r="S202" s="86"/>
      <c r="T202" s="86"/>
      <c r="U202" s="86"/>
      <c r="V202" s="48"/>
      <c r="W202" s="48"/>
      <c r="X202" s="48"/>
      <c r="Y202" s="48"/>
      <c r="Z202" s="47"/>
      <c r="AA202" s="69">
        <v>202</v>
      </c>
      <c r="AB202" s="69"/>
      <c r="AC202" s="70"/>
      <c r="AD202" s="76" t="s">
        <v>5522</v>
      </c>
      <c r="AE202" s="81" t="s">
        <v>5219</v>
      </c>
      <c r="AF202" s="76">
        <v>2</v>
      </c>
      <c r="AG202" s="76">
        <v>4</v>
      </c>
      <c r="AH202" s="76">
        <v>21</v>
      </c>
      <c r="AI202" s="76">
        <v>0</v>
      </c>
      <c r="AJ202" s="76">
        <v>17</v>
      </c>
      <c r="AK202" s="76">
        <v>16</v>
      </c>
      <c r="AL202" s="76" t="b">
        <v>0</v>
      </c>
      <c r="AM202" s="78">
        <v>44941.176458333335</v>
      </c>
      <c r="AN202" s="76"/>
      <c r="AO202" s="76" t="s">
        <v>6038</v>
      </c>
      <c r="AP202" s="83" t="str">
        <f>HYPERLINK("https://t.co/BPDzPwKW2Y")</f>
        <v>https://t.co/BPDzPwKW2Y</v>
      </c>
      <c r="AQ202" s="83" t="str">
        <f>HYPERLINK("https://beacons.ai/aposentandonovo")</f>
        <v>https://beacons.ai/aposentandonovo</v>
      </c>
      <c r="AR202" s="76" t="s">
        <v>6260</v>
      </c>
      <c r="AS202" s="76"/>
      <c r="AT202" s="76"/>
      <c r="AU202" s="76"/>
      <c r="AV202" s="76"/>
      <c r="AW202" s="83" t="str">
        <f>HYPERLINK("https://t.co/BPDzPwKW2Y")</f>
        <v>https://t.co/BPDzPwKW2Y</v>
      </c>
      <c r="AX202" s="76" t="b">
        <v>0</v>
      </c>
      <c r="AY202" s="76"/>
      <c r="AZ202" s="76"/>
      <c r="BA202" s="76" t="b">
        <v>0</v>
      </c>
      <c r="BB202" s="76" t="b">
        <v>1</v>
      </c>
      <c r="BC202" s="76" t="b">
        <v>1</v>
      </c>
      <c r="BD202" s="76" t="b">
        <v>0</v>
      </c>
      <c r="BE202" s="76" t="b">
        <v>0</v>
      </c>
      <c r="BF202" s="76" t="b">
        <v>0</v>
      </c>
      <c r="BG202" s="76" t="b">
        <v>0</v>
      </c>
      <c r="BH202" s="83" t="str">
        <f>HYPERLINK("https://pbs.twimg.com/profile_banners/1614475928825888768/1673761738")</f>
        <v>https://pbs.twimg.com/profile_banners/1614475928825888768/1673761738</v>
      </c>
      <c r="BI202" s="76"/>
      <c r="BJ202" s="76" t="s">
        <v>6360</v>
      </c>
      <c r="BK202" s="76" t="b">
        <v>0</v>
      </c>
      <c r="BL202" s="76"/>
      <c r="BM202" s="76" t="s">
        <v>66</v>
      </c>
      <c r="BN202" s="76" t="s">
        <v>6362</v>
      </c>
      <c r="BO202" s="83" t="str">
        <f>HYPERLINK("https://twitter.com/aposentandonovo")</f>
        <v>https://twitter.com/aposentandonovo</v>
      </c>
      <c r="BP202" s="2"/>
    </row>
    <row r="203" spans="1:68" x14ac:dyDescent="0.25">
      <c r="A203" s="62" t="s">
        <v>406</v>
      </c>
      <c r="B203" s="63"/>
      <c r="C203" s="63"/>
      <c r="D203" s="64"/>
      <c r="E203" s="66"/>
      <c r="F203" s="102" t="str">
        <f>HYPERLINK("https://pbs.twimg.com/profile_images/1451336986506244102/bbO8dxzF_normal.jpg")</f>
        <v>https://pbs.twimg.com/profile_images/1451336986506244102/bbO8dxzF_normal.jpg</v>
      </c>
      <c r="G203" s="63"/>
      <c r="H203" s="67"/>
      <c r="I203" s="68"/>
      <c r="J203" s="68"/>
      <c r="K203" s="67" t="s">
        <v>6562</v>
      </c>
      <c r="L203" s="71"/>
      <c r="M203" s="72"/>
      <c r="N203" s="72"/>
      <c r="O203" s="73"/>
      <c r="P203" s="74"/>
      <c r="Q203" s="74"/>
      <c r="R203" s="86"/>
      <c r="S203" s="86"/>
      <c r="T203" s="86"/>
      <c r="U203" s="86"/>
      <c r="V203" s="48"/>
      <c r="W203" s="48"/>
      <c r="X203" s="48"/>
      <c r="Y203" s="48"/>
      <c r="Z203" s="47"/>
      <c r="AA203" s="69">
        <v>203</v>
      </c>
      <c r="AB203" s="69"/>
      <c r="AC203" s="70"/>
      <c r="AD203" s="76" t="s">
        <v>5523</v>
      </c>
      <c r="AE203" s="81" t="s">
        <v>5057</v>
      </c>
      <c r="AF203" s="76">
        <v>1143</v>
      </c>
      <c r="AG203" s="76">
        <v>1687</v>
      </c>
      <c r="AH203" s="76">
        <v>13822</v>
      </c>
      <c r="AI203" s="76">
        <v>4</v>
      </c>
      <c r="AJ203" s="76">
        <v>22393</v>
      </c>
      <c r="AK203" s="76">
        <v>529</v>
      </c>
      <c r="AL203" s="76" t="b">
        <v>0</v>
      </c>
      <c r="AM203" s="78">
        <v>44490.998391203706</v>
      </c>
      <c r="AN203" s="76" t="s">
        <v>5806</v>
      </c>
      <c r="AO203" s="76" t="s">
        <v>6039</v>
      </c>
      <c r="AP203" s="76"/>
      <c r="AQ203" s="76"/>
      <c r="AR203" s="76"/>
      <c r="AS203" s="76"/>
      <c r="AT203" s="76"/>
      <c r="AU203" s="76"/>
      <c r="AV203" s="76">
        <v>1.6966974639674501E+18</v>
      </c>
      <c r="AW203" s="76"/>
      <c r="AX203" s="76" t="b">
        <v>0</v>
      </c>
      <c r="AY203" s="76"/>
      <c r="AZ203" s="76"/>
      <c r="BA203" s="76" t="b">
        <v>0</v>
      </c>
      <c r="BB203" s="76" t="b">
        <v>1</v>
      </c>
      <c r="BC203" s="76" t="b">
        <v>1</v>
      </c>
      <c r="BD203" s="76" t="b">
        <v>0</v>
      </c>
      <c r="BE203" s="76" t="b">
        <v>0</v>
      </c>
      <c r="BF203" s="76" t="b">
        <v>0</v>
      </c>
      <c r="BG203" s="76" t="b">
        <v>0</v>
      </c>
      <c r="BH203" s="83" t="str">
        <f>HYPERLINK("https://pbs.twimg.com/profile_banners/1451336811700228099/1672164112")</f>
        <v>https://pbs.twimg.com/profile_banners/1451336811700228099/1672164112</v>
      </c>
      <c r="BI203" s="76"/>
      <c r="BJ203" s="76" t="s">
        <v>6360</v>
      </c>
      <c r="BK203" s="76" t="b">
        <v>0</v>
      </c>
      <c r="BL203" s="76"/>
      <c r="BM203" s="76" t="s">
        <v>66</v>
      </c>
      <c r="BN203" s="76" t="s">
        <v>6362</v>
      </c>
      <c r="BO203" s="83" t="str">
        <f>HYPERLINK("https://twitter.com/economia_cafe")</f>
        <v>https://twitter.com/economia_cafe</v>
      </c>
      <c r="BP203" s="2"/>
    </row>
    <row r="204" spans="1:68" x14ac:dyDescent="0.25">
      <c r="A204" s="62" t="s">
        <v>407</v>
      </c>
      <c r="B204" s="63"/>
      <c r="C204" s="63"/>
      <c r="D204" s="64"/>
      <c r="E204" s="66"/>
      <c r="F204" s="102" t="str">
        <f>HYPERLINK("https://pbs.twimg.com/profile_images/1518751479728951297/_oNhLPt3_normal.jpg")</f>
        <v>https://pbs.twimg.com/profile_images/1518751479728951297/_oNhLPt3_normal.jpg</v>
      </c>
      <c r="G204" s="63"/>
      <c r="H204" s="67"/>
      <c r="I204" s="68"/>
      <c r="J204" s="68"/>
      <c r="K204" s="67" t="s">
        <v>6563</v>
      </c>
      <c r="L204" s="71"/>
      <c r="M204" s="72"/>
      <c r="N204" s="72"/>
      <c r="O204" s="73"/>
      <c r="P204" s="74"/>
      <c r="Q204" s="74"/>
      <c r="R204" s="86"/>
      <c r="S204" s="86"/>
      <c r="T204" s="86"/>
      <c r="U204" s="86"/>
      <c r="V204" s="48"/>
      <c r="W204" s="48"/>
      <c r="X204" s="48"/>
      <c r="Y204" s="48"/>
      <c r="Z204" s="47"/>
      <c r="AA204" s="69">
        <v>204</v>
      </c>
      <c r="AB204" s="69"/>
      <c r="AC204" s="70"/>
      <c r="AD204" s="76" t="s">
        <v>5524</v>
      </c>
      <c r="AE204" s="81" t="s">
        <v>5220</v>
      </c>
      <c r="AF204" s="76">
        <v>20</v>
      </c>
      <c r="AG204" s="76">
        <v>274</v>
      </c>
      <c r="AH204" s="76">
        <v>90</v>
      </c>
      <c r="AI204" s="76">
        <v>0</v>
      </c>
      <c r="AJ204" s="76">
        <v>101</v>
      </c>
      <c r="AK204" s="76">
        <v>87</v>
      </c>
      <c r="AL204" s="76" t="b">
        <v>0</v>
      </c>
      <c r="AM204" s="78">
        <v>43946.935636574075</v>
      </c>
      <c r="AN204" s="76"/>
      <c r="AO204" s="76" t="s">
        <v>6040</v>
      </c>
      <c r="AP204" s="76"/>
      <c r="AQ204" s="76"/>
      <c r="AR204" s="76"/>
      <c r="AS204" s="76"/>
      <c r="AT204" s="76"/>
      <c r="AU204" s="76"/>
      <c r="AV204" s="76"/>
      <c r="AW204" s="76"/>
      <c r="AX204" s="76" t="b">
        <v>0</v>
      </c>
      <c r="AY204" s="76"/>
      <c r="AZ204" s="76"/>
      <c r="BA204" s="76" t="b">
        <v>1</v>
      </c>
      <c r="BB204" s="76" t="b">
        <v>1</v>
      </c>
      <c r="BC204" s="76" t="b">
        <v>1</v>
      </c>
      <c r="BD204" s="76" t="b">
        <v>0</v>
      </c>
      <c r="BE204" s="76" t="b">
        <v>0</v>
      </c>
      <c r="BF204" s="76" t="b">
        <v>0</v>
      </c>
      <c r="BG204" s="76" t="b">
        <v>0</v>
      </c>
      <c r="BH204" s="83" t="str">
        <f>HYPERLINK("https://pbs.twimg.com/profile_banners/1254175068550311943/1650933555")</f>
        <v>https://pbs.twimg.com/profile_banners/1254175068550311943/1650933555</v>
      </c>
      <c r="BI204" s="76"/>
      <c r="BJ204" s="76" t="s">
        <v>6360</v>
      </c>
      <c r="BK204" s="76" t="b">
        <v>0</v>
      </c>
      <c r="BL204" s="76"/>
      <c r="BM204" s="76" t="s">
        <v>66</v>
      </c>
      <c r="BN204" s="76" t="s">
        <v>6362</v>
      </c>
      <c r="BO204" s="83" t="str">
        <f>HYPERLINK("https://twitter.com/herbstflavio")</f>
        <v>https://twitter.com/herbstflavio</v>
      </c>
      <c r="BP204" s="2"/>
    </row>
    <row r="205" spans="1:68" x14ac:dyDescent="0.25">
      <c r="A205" s="62" t="s">
        <v>408</v>
      </c>
      <c r="B205" s="63"/>
      <c r="C205" s="63"/>
      <c r="D205" s="64"/>
      <c r="E205" s="66"/>
      <c r="F205" s="102" t="str">
        <f>HYPERLINK("https://pbs.twimg.com/profile_images/1701803456984666112/8AMNlLIm_normal.jpg")</f>
        <v>https://pbs.twimg.com/profile_images/1701803456984666112/8AMNlLIm_normal.jpg</v>
      </c>
      <c r="G205" s="63"/>
      <c r="H205" s="67"/>
      <c r="I205" s="68"/>
      <c r="J205" s="68"/>
      <c r="K205" s="67" t="s">
        <v>6564</v>
      </c>
      <c r="L205" s="71"/>
      <c r="M205" s="72"/>
      <c r="N205" s="72"/>
      <c r="O205" s="73"/>
      <c r="P205" s="74"/>
      <c r="Q205" s="74"/>
      <c r="R205" s="86"/>
      <c r="S205" s="86"/>
      <c r="T205" s="86"/>
      <c r="U205" s="86"/>
      <c r="V205" s="48"/>
      <c r="W205" s="48"/>
      <c r="X205" s="48"/>
      <c r="Y205" s="48"/>
      <c r="Z205" s="47"/>
      <c r="AA205" s="69">
        <v>205</v>
      </c>
      <c r="AB205" s="69"/>
      <c r="AC205" s="70"/>
      <c r="AD205" s="76" t="s">
        <v>5525</v>
      </c>
      <c r="AE205" s="81" t="s">
        <v>5221</v>
      </c>
      <c r="AF205" s="76">
        <v>0</v>
      </c>
      <c r="AG205" s="76">
        <v>14</v>
      </c>
      <c r="AH205" s="76">
        <v>7</v>
      </c>
      <c r="AI205" s="76">
        <v>0</v>
      </c>
      <c r="AJ205" s="76">
        <v>1</v>
      </c>
      <c r="AK205" s="76">
        <v>7</v>
      </c>
      <c r="AL205" s="76" t="b">
        <v>0</v>
      </c>
      <c r="AM205" s="78">
        <v>45182.154097222221</v>
      </c>
      <c r="AN205" s="76"/>
      <c r="AO205" s="76" t="s">
        <v>6041</v>
      </c>
      <c r="AP205" s="83" t="str">
        <f>HYPERLINK("https://t.co/X2O8tdisEc")</f>
        <v>https://t.co/X2O8tdisEc</v>
      </c>
      <c r="AQ205" s="83" t="str">
        <f>HYPERLINK("https://youtube.com/@financeinfohindi?si=mgJyzpuue-SvxIU7")</f>
        <v>https://youtube.com/@financeinfohindi?si=mgJyzpuue-SvxIU7</v>
      </c>
      <c r="AR205" s="76" t="s">
        <v>6261</v>
      </c>
      <c r="AS205" s="76"/>
      <c r="AT205" s="76"/>
      <c r="AU205" s="76"/>
      <c r="AV205" s="76"/>
      <c r="AW205" s="83" t="str">
        <f>HYPERLINK("https://t.co/X2O8tdisEc")</f>
        <v>https://t.co/X2O8tdisEc</v>
      </c>
      <c r="AX205" s="76" t="b">
        <v>0</v>
      </c>
      <c r="AY205" s="76"/>
      <c r="AZ205" s="76"/>
      <c r="BA205" s="76" t="b">
        <v>0</v>
      </c>
      <c r="BB205" s="76" t="b">
        <v>1</v>
      </c>
      <c r="BC205" s="76" t="b">
        <v>1</v>
      </c>
      <c r="BD205" s="76" t="b">
        <v>0</v>
      </c>
      <c r="BE205" s="76" t="b">
        <v>0</v>
      </c>
      <c r="BF205" s="76" t="b">
        <v>0</v>
      </c>
      <c r="BG205" s="76" t="b">
        <v>0</v>
      </c>
      <c r="BH205" s="76"/>
      <c r="BI205" s="76"/>
      <c r="BJ205" s="76" t="s">
        <v>6360</v>
      </c>
      <c r="BK205" s="76" t="b">
        <v>0</v>
      </c>
      <c r="BL205" s="76"/>
      <c r="BM205" s="76" t="s">
        <v>66</v>
      </c>
      <c r="BN205" s="76" t="s">
        <v>6362</v>
      </c>
      <c r="BO205" s="83" t="str">
        <f>HYPERLINK("https://twitter.com/infohindi009")</f>
        <v>https://twitter.com/infohindi009</v>
      </c>
      <c r="BP205" s="2"/>
    </row>
    <row r="206" spans="1:68" x14ac:dyDescent="0.25">
      <c r="A206" s="62" t="s">
        <v>409</v>
      </c>
      <c r="B206" s="63"/>
      <c r="C206" s="63"/>
      <c r="D206" s="64"/>
      <c r="E206" s="66"/>
      <c r="F206" s="102" t="str">
        <f>HYPERLINK("https://pbs.twimg.com/profile_images/1650210353412808706/p4NDzKym_normal.jpg")</f>
        <v>https://pbs.twimg.com/profile_images/1650210353412808706/p4NDzKym_normal.jpg</v>
      </c>
      <c r="G206" s="63"/>
      <c r="H206" s="67"/>
      <c r="I206" s="68"/>
      <c r="J206" s="68"/>
      <c r="K206" s="67" t="s">
        <v>6565</v>
      </c>
      <c r="L206" s="71"/>
      <c r="M206" s="72"/>
      <c r="N206" s="72"/>
      <c r="O206" s="73"/>
      <c r="P206" s="74"/>
      <c r="Q206" s="74"/>
      <c r="R206" s="86"/>
      <c r="S206" s="86"/>
      <c r="T206" s="86"/>
      <c r="U206" s="86"/>
      <c r="V206" s="48"/>
      <c r="W206" s="48"/>
      <c r="X206" s="48"/>
      <c r="Y206" s="48"/>
      <c r="Z206" s="47"/>
      <c r="AA206" s="69">
        <v>206</v>
      </c>
      <c r="AB206" s="69"/>
      <c r="AC206" s="70"/>
      <c r="AD206" s="76" t="s">
        <v>5526</v>
      </c>
      <c r="AE206" s="81" t="s">
        <v>5058</v>
      </c>
      <c r="AF206" s="76">
        <v>50</v>
      </c>
      <c r="AG206" s="76">
        <v>23</v>
      </c>
      <c r="AH206" s="76">
        <v>2207</v>
      </c>
      <c r="AI206" s="76">
        <v>1</v>
      </c>
      <c r="AJ206" s="76">
        <v>941</v>
      </c>
      <c r="AK206" s="76">
        <v>397</v>
      </c>
      <c r="AL206" s="76" t="b">
        <v>0</v>
      </c>
      <c r="AM206" s="78">
        <v>44551.734837962962</v>
      </c>
      <c r="AN206" s="76" t="s">
        <v>3410</v>
      </c>
      <c r="AO206" s="76" t="s">
        <v>6042</v>
      </c>
      <c r="AP206" s="76"/>
      <c r="AQ206" s="76"/>
      <c r="AR206" s="76"/>
      <c r="AS206" s="76"/>
      <c r="AT206" s="76"/>
      <c r="AU206" s="76"/>
      <c r="AV206" s="76">
        <v>1.60564349922687E+18</v>
      </c>
      <c r="AW206" s="76"/>
      <c r="AX206" s="76" t="b">
        <v>0</v>
      </c>
      <c r="AY206" s="76"/>
      <c r="AZ206" s="76"/>
      <c r="BA206" s="76" t="b">
        <v>1</v>
      </c>
      <c r="BB206" s="76" t="b">
        <v>0</v>
      </c>
      <c r="BC206" s="76" t="b">
        <v>1</v>
      </c>
      <c r="BD206" s="76" t="b">
        <v>0</v>
      </c>
      <c r="BE206" s="76" t="b">
        <v>0</v>
      </c>
      <c r="BF206" s="76" t="b">
        <v>0</v>
      </c>
      <c r="BG206" s="76" t="b">
        <v>0</v>
      </c>
      <c r="BH206" s="83" t="str">
        <f>HYPERLINK("https://pbs.twimg.com/profile_banners/1473346616904011776/1640109696")</f>
        <v>https://pbs.twimg.com/profile_banners/1473346616904011776/1640109696</v>
      </c>
      <c r="BI206" s="76"/>
      <c r="BJ206" s="76" t="s">
        <v>6360</v>
      </c>
      <c r="BK206" s="76" t="b">
        <v>0</v>
      </c>
      <c r="BL206" s="76"/>
      <c r="BM206" s="76" t="s">
        <v>66</v>
      </c>
      <c r="BN206" s="76" t="s">
        <v>6362</v>
      </c>
      <c r="BO206" s="83" t="str">
        <f>HYPERLINK("https://twitter.com/oeunetto")</f>
        <v>https://twitter.com/oeunetto</v>
      </c>
      <c r="BP206" s="2"/>
    </row>
    <row r="207" spans="1:68" x14ac:dyDescent="0.25">
      <c r="A207" s="62" t="s">
        <v>410</v>
      </c>
      <c r="B207" s="63"/>
      <c r="C207" s="63"/>
      <c r="D207" s="64"/>
      <c r="E207" s="66"/>
      <c r="F207" s="102" t="str">
        <f>HYPERLINK("https://pbs.twimg.com/profile_images/1640242529332338690/3teOU1-R_normal.jpg")</f>
        <v>https://pbs.twimg.com/profile_images/1640242529332338690/3teOU1-R_normal.jpg</v>
      </c>
      <c r="G207" s="63"/>
      <c r="H207" s="67"/>
      <c r="I207" s="68"/>
      <c r="J207" s="68"/>
      <c r="K207" s="67" t="s">
        <v>6566</v>
      </c>
      <c r="L207" s="71"/>
      <c r="M207" s="72"/>
      <c r="N207" s="72"/>
      <c r="O207" s="73"/>
      <c r="P207" s="74"/>
      <c r="Q207" s="74"/>
      <c r="R207" s="86"/>
      <c r="S207" s="86"/>
      <c r="T207" s="86"/>
      <c r="U207" s="86"/>
      <c r="V207" s="48"/>
      <c r="W207" s="48"/>
      <c r="X207" s="48"/>
      <c r="Y207" s="48"/>
      <c r="Z207" s="47"/>
      <c r="AA207" s="69">
        <v>207</v>
      </c>
      <c r="AB207" s="69"/>
      <c r="AC207" s="70"/>
      <c r="AD207" s="76" t="s">
        <v>5527</v>
      </c>
      <c r="AE207" s="81" t="s">
        <v>5222</v>
      </c>
      <c r="AF207" s="76">
        <v>0</v>
      </c>
      <c r="AG207" s="76">
        <v>3</v>
      </c>
      <c r="AH207" s="76">
        <v>64</v>
      </c>
      <c r="AI207" s="76">
        <v>0</v>
      </c>
      <c r="AJ207" s="76">
        <v>0</v>
      </c>
      <c r="AK207" s="76">
        <v>64</v>
      </c>
      <c r="AL207" s="76" t="b">
        <v>0</v>
      </c>
      <c r="AM207" s="78">
        <v>45009.835393518515</v>
      </c>
      <c r="AN207" s="76" t="s">
        <v>3415</v>
      </c>
      <c r="AO207" s="76" t="s">
        <v>6043</v>
      </c>
      <c r="AP207" s="83" t="str">
        <f>HYPERLINK("https://t.co/7rS3Oef6US")</f>
        <v>https://t.co/7rS3Oef6US</v>
      </c>
      <c r="AQ207" s="83" t="str">
        <f>HYPERLINK("http://www.vippi.com.br")</f>
        <v>http://www.vippi.com.br</v>
      </c>
      <c r="AR207" s="76" t="s">
        <v>6262</v>
      </c>
      <c r="AS207" s="76"/>
      <c r="AT207" s="76"/>
      <c r="AU207" s="76"/>
      <c r="AV207" s="76"/>
      <c r="AW207" s="83" t="str">
        <f>HYPERLINK("https://t.co/7rS3Oef6US")</f>
        <v>https://t.co/7rS3Oef6US</v>
      </c>
      <c r="AX207" s="76" t="b">
        <v>0</v>
      </c>
      <c r="AY207" s="76"/>
      <c r="AZ207" s="76"/>
      <c r="BA207" s="76" t="b">
        <v>0</v>
      </c>
      <c r="BB207" s="76" t="b">
        <v>1</v>
      </c>
      <c r="BC207" s="76" t="b">
        <v>1</v>
      </c>
      <c r="BD207" s="76" t="b">
        <v>0</v>
      </c>
      <c r="BE207" s="76" t="b">
        <v>0</v>
      </c>
      <c r="BF207" s="76" t="b">
        <v>0</v>
      </c>
      <c r="BG207" s="76" t="b">
        <v>0</v>
      </c>
      <c r="BH207" s="83" t="str">
        <f>HYPERLINK("https://pbs.twimg.com/profile_banners/1639357093789458450/1691579735")</f>
        <v>https://pbs.twimg.com/profile_banners/1639357093789458450/1691579735</v>
      </c>
      <c r="BI207" s="76"/>
      <c r="BJ207" s="76" t="s">
        <v>6360</v>
      </c>
      <c r="BK207" s="76" t="b">
        <v>0</v>
      </c>
      <c r="BL207" s="76"/>
      <c r="BM207" s="76" t="s">
        <v>66</v>
      </c>
      <c r="BN207" s="76" t="s">
        <v>6362</v>
      </c>
      <c r="BO207" s="83" t="str">
        <f>HYPERLINK("https://twitter.com/vippibpo")</f>
        <v>https://twitter.com/vippibpo</v>
      </c>
      <c r="BP207" s="2"/>
    </row>
    <row r="208" spans="1:68" x14ac:dyDescent="0.25">
      <c r="A208" s="62" t="s">
        <v>411</v>
      </c>
      <c r="B208" s="63"/>
      <c r="C208" s="63"/>
      <c r="D208" s="64"/>
      <c r="E208" s="66"/>
      <c r="F208" s="102" t="str">
        <f>HYPERLINK("https://pbs.twimg.com/profile_images/1630626532208115714/lgXQgTyE_normal.jpg")</f>
        <v>https://pbs.twimg.com/profile_images/1630626532208115714/lgXQgTyE_normal.jpg</v>
      </c>
      <c r="G208" s="63"/>
      <c r="H208" s="67"/>
      <c r="I208" s="68"/>
      <c r="J208" s="68"/>
      <c r="K208" s="67" t="s">
        <v>6567</v>
      </c>
      <c r="L208" s="71"/>
      <c r="M208" s="72"/>
      <c r="N208" s="72"/>
      <c r="O208" s="73"/>
      <c r="P208" s="74"/>
      <c r="Q208" s="74"/>
      <c r="R208" s="86"/>
      <c r="S208" s="86"/>
      <c r="T208" s="86"/>
      <c r="U208" s="86"/>
      <c r="V208" s="48"/>
      <c r="W208" s="48"/>
      <c r="X208" s="48"/>
      <c r="Y208" s="48"/>
      <c r="Z208" s="47"/>
      <c r="AA208" s="69">
        <v>208</v>
      </c>
      <c r="AB208" s="69"/>
      <c r="AC208" s="70"/>
      <c r="AD208" s="76" t="s">
        <v>5528</v>
      </c>
      <c r="AE208" s="81" t="s">
        <v>5059</v>
      </c>
      <c r="AF208" s="76">
        <v>14</v>
      </c>
      <c r="AG208" s="76">
        <v>202</v>
      </c>
      <c r="AH208" s="76">
        <v>313</v>
      </c>
      <c r="AI208" s="76">
        <v>0</v>
      </c>
      <c r="AJ208" s="76">
        <v>1225</v>
      </c>
      <c r="AK208" s="76">
        <v>32</v>
      </c>
      <c r="AL208" s="76" t="b">
        <v>0</v>
      </c>
      <c r="AM208" s="78">
        <v>43863.944965277777</v>
      </c>
      <c r="AN208" s="76" t="s">
        <v>5807</v>
      </c>
      <c r="AO208" s="83" t="str">
        <f>HYPERLINK("https://t.co/xK88EwvkJO")</f>
        <v>https://t.co/xK88EwvkJO</v>
      </c>
      <c r="AP208" s="83" t="str">
        <f>HYPERLINK("https://t.co/ZwqvstAPfM")</f>
        <v>https://t.co/ZwqvstAPfM</v>
      </c>
      <c r="AQ208" s="83" t="str">
        <f>HYPERLINK("https://bit.ly/3aWwiqr")</f>
        <v>https://bit.ly/3aWwiqr</v>
      </c>
      <c r="AR208" s="76" t="s">
        <v>6263</v>
      </c>
      <c r="AS208" s="83" t="str">
        <f>HYPERLINK("https://t.co/xK88EwvkJO")</f>
        <v>https://t.co/xK88EwvkJO</v>
      </c>
      <c r="AT208" s="83" t="str">
        <f>HYPERLINK("http://t.me/tonysgropup")</f>
        <v>http://t.me/tonysgropup</v>
      </c>
      <c r="AU208" s="76" t="s">
        <v>6353</v>
      </c>
      <c r="AV208" s="76"/>
      <c r="AW208" s="83" t="str">
        <f>HYPERLINK("https://t.co/ZwqvstAPfM")</f>
        <v>https://t.co/ZwqvstAPfM</v>
      </c>
      <c r="AX208" s="76" t="b">
        <v>0</v>
      </c>
      <c r="AY208" s="76"/>
      <c r="AZ208" s="76"/>
      <c r="BA208" s="76" t="b">
        <v>0</v>
      </c>
      <c r="BB208" s="76" t="b">
        <v>1</v>
      </c>
      <c r="BC208" s="76" t="b">
        <v>1</v>
      </c>
      <c r="BD208" s="76" t="b">
        <v>0</v>
      </c>
      <c r="BE208" s="76" t="b">
        <v>1</v>
      </c>
      <c r="BF208" s="76" t="b">
        <v>0</v>
      </c>
      <c r="BG208" s="76" t="b">
        <v>0</v>
      </c>
      <c r="BH208" s="83" t="str">
        <f>HYPERLINK("https://pbs.twimg.com/profile_banners/1224100329978986498/1651064124")</f>
        <v>https://pbs.twimg.com/profile_banners/1224100329978986498/1651064124</v>
      </c>
      <c r="BI208" s="76"/>
      <c r="BJ208" s="76" t="s">
        <v>6360</v>
      </c>
      <c r="BK208" s="76" t="b">
        <v>0</v>
      </c>
      <c r="BL208" s="76"/>
      <c r="BM208" s="76" t="s">
        <v>66</v>
      </c>
      <c r="BN208" s="76" t="s">
        <v>6362</v>
      </c>
      <c r="BO208" s="83" t="str">
        <f>HYPERLINK("https://twitter.com/tonys_group")</f>
        <v>https://twitter.com/tonys_group</v>
      </c>
      <c r="BP208" s="2"/>
    </row>
    <row r="209" spans="1:68" x14ac:dyDescent="0.25">
      <c r="A209" s="62" t="s">
        <v>412</v>
      </c>
      <c r="B209" s="63"/>
      <c r="C209" s="63"/>
      <c r="D209" s="64"/>
      <c r="E209" s="66"/>
      <c r="F209" s="102" t="str">
        <f>HYPERLINK("https://pbs.twimg.com/profile_images/1643223789348560900/tt-bOrIp_normal.jpg")</f>
        <v>https://pbs.twimg.com/profile_images/1643223789348560900/tt-bOrIp_normal.jpg</v>
      </c>
      <c r="G209" s="63"/>
      <c r="H209" s="67"/>
      <c r="I209" s="68"/>
      <c r="J209" s="68"/>
      <c r="K209" s="67" t="s">
        <v>6568</v>
      </c>
      <c r="L209" s="71"/>
      <c r="M209" s="72"/>
      <c r="N209" s="72"/>
      <c r="O209" s="73"/>
      <c r="P209" s="74"/>
      <c r="Q209" s="74"/>
      <c r="R209" s="86"/>
      <c r="S209" s="86"/>
      <c r="T209" s="86"/>
      <c r="U209" s="86"/>
      <c r="V209" s="48"/>
      <c r="W209" s="48"/>
      <c r="X209" s="48"/>
      <c r="Y209" s="48"/>
      <c r="Z209" s="47"/>
      <c r="AA209" s="69">
        <v>209</v>
      </c>
      <c r="AB209" s="69"/>
      <c r="AC209" s="70"/>
      <c r="AD209" s="76" t="s">
        <v>5529</v>
      </c>
      <c r="AE209" s="81" t="s">
        <v>5223</v>
      </c>
      <c r="AF209" s="76">
        <v>2</v>
      </c>
      <c r="AG209" s="76">
        <v>41</v>
      </c>
      <c r="AH209" s="76">
        <v>47</v>
      </c>
      <c r="AI209" s="76">
        <v>0</v>
      </c>
      <c r="AJ209" s="76">
        <v>3</v>
      </c>
      <c r="AK209" s="76">
        <v>16</v>
      </c>
      <c r="AL209" s="76" t="b">
        <v>0</v>
      </c>
      <c r="AM209" s="78">
        <v>45020.50068287037</v>
      </c>
      <c r="AN209" s="76"/>
      <c r="AO209" s="76" t="s">
        <v>6044</v>
      </c>
      <c r="AP209" s="83" t="str">
        <f>HYPERLINK("https://t.co/SJxLJP7l7J")</f>
        <v>https://t.co/SJxLJP7l7J</v>
      </c>
      <c r="AQ209" s="83" t="str">
        <f>HYPERLINK("https://zoomdinheiro.com.br/")</f>
        <v>https://zoomdinheiro.com.br/</v>
      </c>
      <c r="AR209" s="76" t="s">
        <v>6264</v>
      </c>
      <c r="AS209" s="76"/>
      <c r="AT209" s="76"/>
      <c r="AU209" s="76"/>
      <c r="AV209" s="76">
        <v>1.6471849078467899E+18</v>
      </c>
      <c r="AW209" s="83" t="str">
        <f>HYPERLINK("https://t.co/SJxLJP7l7J")</f>
        <v>https://t.co/SJxLJP7l7J</v>
      </c>
      <c r="AX209" s="76" t="b">
        <v>0</v>
      </c>
      <c r="AY209" s="76"/>
      <c r="AZ209" s="76"/>
      <c r="BA209" s="76" t="b">
        <v>0</v>
      </c>
      <c r="BB209" s="76" t="b">
        <v>1</v>
      </c>
      <c r="BC209" s="76" t="b">
        <v>1</v>
      </c>
      <c r="BD209" s="76" t="b">
        <v>0</v>
      </c>
      <c r="BE209" s="76" t="b">
        <v>0</v>
      </c>
      <c r="BF209" s="76" t="b">
        <v>0</v>
      </c>
      <c r="BG209" s="76" t="b">
        <v>0</v>
      </c>
      <c r="BH209" s="83" t="str">
        <f>HYPERLINK("https://pbs.twimg.com/profile_banners/1643222049127628801/1680610089")</f>
        <v>https://pbs.twimg.com/profile_banners/1643222049127628801/1680610089</v>
      </c>
      <c r="BI209" s="76"/>
      <c r="BJ209" s="76" t="s">
        <v>6360</v>
      </c>
      <c r="BK209" s="76" t="b">
        <v>0</v>
      </c>
      <c r="BL209" s="76"/>
      <c r="BM209" s="76" t="s">
        <v>66</v>
      </c>
      <c r="BN209" s="76" t="s">
        <v>6362</v>
      </c>
      <c r="BO209" s="83" t="str">
        <f>HYPERLINK("https://twitter.com/zoomdinheiro")</f>
        <v>https://twitter.com/zoomdinheiro</v>
      </c>
      <c r="BP209" s="2"/>
    </row>
    <row r="210" spans="1:68" x14ac:dyDescent="0.25">
      <c r="A210" s="62" t="s">
        <v>413</v>
      </c>
      <c r="B210" s="63"/>
      <c r="C210" s="63"/>
      <c r="D210" s="64"/>
      <c r="E210" s="66"/>
      <c r="F210" s="102" t="str">
        <f>HYPERLINK("https://pbs.twimg.com/profile_images/1651600072566534144/j5Vpd-tH_normal.jpg")</f>
        <v>https://pbs.twimg.com/profile_images/1651600072566534144/j5Vpd-tH_normal.jpg</v>
      </c>
      <c r="G210" s="63"/>
      <c r="H210" s="67"/>
      <c r="I210" s="68"/>
      <c r="J210" s="68"/>
      <c r="K210" s="67" t="s">
        <v>6569</v>
      </c>
      <c r="L210" s="71"/>
      <c r="M210" s="72"/>
      <c r="N210" s="72"/>
      <c r="O210" s="73"/>
      <c r="P210" s="74"/>
      <c r="Q210" s="74"/>
      <c r="R210" s="86"/>
      <c r="S210" s="86"/>
      <c r="T210" s="86"/>
      <c r="U210" s="86"/>
      <c r="V210" s="48"/>
      <c r="W210" s="48"/>
      <c r="X210" s="48"/>
      <c r="Y210" s="48"/>
      <c r="Z210" s="47"/>
      <c r="AA210" s="69">
        <v>210</v>
      </c>
      <c r="AB210" s="69"/>
      <c r="AC210" s="70"/>
      <c r="AD210" s="76" t="s">
        <v>5530</v>
      </c>
      <c r="AE210" s="81" t="s">
        <v>5224</v>
      </c>
      <c r="AF210" s="76">
        <v>2</v>
      </c>
      <c r="AG210" s="76">
        <v>1</v>
      </c>
      <c r="AH210" s="76">
        <v>248</v>
      </c>
      <c r="AI210" s="76">
        <v>0</v>
      </c>
      <c r="AJ210" s="76">
        <v>61</v>
      </c>
      <c r="AK210" s="76">
        <v>174</v>
      </c>
      <c r="AL210" s="76" t="b">
        <v>0</v>
      </c>
      <c r="AM210" s="78">
        <v>45043.613391203704</v>
      </c>
      <c r="AN210" s="76"/>
      <c r="AO210" s="76" t="s">
        <v>6045</v>
      </c>
      <c r="AP210" s="83" t="str">
        <f>HYPERLINK("https://t.co/iBXR7UhEmi")</f>
        <v>https://t.co/iBXR7UhEmi</v>
      </c>
      <c r="AQ210" s="83" t="str">
        <f>HYPERLINK("https://linktr.ee/gruporecuperabrasil_")</f>
        <v>https://linktr.ee/gruporecuperabrasil_</v>
      </c>
      <c r="AR210" s="76" t="s">
        <v>6265</v>
      </c>
      <c r="AS210" s="76"/>
      <c r="AT210" s="76"/>
      <c r="AU210" s="76"/>
      <c r="AV210" s="76"/>
      <c r="AW210" s="83" t="str">
        <f>HYPERLINK("https://t.co/iBXR7UhEmi")</f>
        <v>https://t.co/iBXR7UhEmi</v>
      </c>
      <c r="AX210" s="76" t="b">
        <v>0</v>
      </c>
      <c r="AY210" s="76"/>
      <c r="AZ210" s="76"/>
      <c r="BA210" s="76" t="b">
        <v>0</v>
      </c>
      <c r="BB210" s="76" t="b">
        <v>1</v>
      </c>
      <c r="BC210" s="76" t="b">
        <v>1</v>
      </c>
      <c r="BD210" s="76" t="b">
        <v>0</v>
      </c>
      <c r="BE210" s="76" t="b">
        <v>0</v>
      </c>
      <c r="BF210" s="76" t="b">
        <v>0</v>
      </c>
      <c r="BG210" s="76" t="b">
        <v>0</v>
      </c>
      <c r="BH210" s="83" t="str">
        <f>HYPERLINK("https://pbs.twimg.com/profile_banners/1651597864420749315/1687874179")</f>
        <v>https://pbs.twimg.com/profile_banners/1651597864420749315/1687874179</v>
      </c>
      <c r="BI210" s="76"/>
      <c r="BJ210" s="76" t="s">
        <v>6360</v>
      </c>
      <c r="BK210" s="76" t="b">
        <v>0</v>
      </c>
      <c r="BL210" s="76"/>
      <c r="BM210" s="76" t="s">
        <v>66</v>
      </c>
      <c r="BN210" s="76" t="s">
        <v>6362</v>
      </c>
      <c r="BO210" s="83" t="str">
        <f>HYPERLINK("https://twitter.com/recuperabrasil_")</f>
        <v>https://twitter.com/recuperabrasil_</v>
      </c>
      <c r="BP210" s="2"/>
    </row>
    <row r="211" spans="1:68" x14ac:dyDescent="0.25">
      <c r="A211" s="62" t="s">
        <v>414</v>
      </c>
      <c r="B211" s="63"/>
      <c r="C211" s="63"/>
      <c r="D211" s="64"/>
      <c r="E211" s="66"/>
      <c r="F211" s="102" t="str">
        <f>HYPERLINK("https://pbs.twimg.com/profile_images/1675876097949331456/XPGkQfUT_normal.jpg")</f>
        <v>https://pbs.twimg.com/profile_images/1675876097949331456/XPGkQfUT_normal.jpg</v>
      </c>
      <c r="G211" s="63"/>
      <c r="H211" s="67"/>
      <c r="I211" s="68"/>
      <c r="J211" s="68"/>
      <c r="K211" s="67" t="s">
        <v>6570</v>
      </c>
      <c r="L211" s="71"/>
      <c r="M211" s="72"/>
      <c r="N211" s="72"/>
      <c r="O211" s="73"/>
      <c r="P211" s="74"/>
      <c r="Q211" s="74"/>
      <c r="R211" s="86"/>
      <c r="S211" s="86"/>
      <c r="T211" s="86"/>
      <c r="U211" s="86"/>
      <c r="V211" s="48"/>
      <c r="W211" s="48"/>
      <c r="X211" s="48"/>
      <c r="Y211" s="48"/>
      <c r="Z211" s="47"/>
      <c r="AA211" s="69">
        <v>211</v>
      </c>
      <c r="AB211" s="69"/>
      <c r="AC211" s="70"/>
      <c r="AD211" s="76" t="s">
        <v>414</v>
      </c>
      <c r="AE211" s="81" t="s">
        <v>5225</v>
      </c>
      <c r="AF211" s="76">
        <v>0</v>
      </c>
      <c r="AG211" s="76">
        <v>16</v>
      </c>
      <c r="AH211" s="76">
        <v>7</v>
      </c>
      <c r="AI211" s="76">
        <v>0</v>
      </c>
      <c r="AJ211" s="76">
        <v>5</v>
      </c>
      <c r="AK211" s="76">
        <v>0</v>
      </c>
      <c r="AL211" s="76" t="b">
        <v>0</v>
      </c>
      <c r="AM211" s="78">
        <v>45110.581782407404</v>
      </c>
      <c r="AN211" s="76" t="s">
        <v>3415</v>
      </c>
      <c r="AO211" s="76" t="s">
        <v>6046</v>
      </c>
      <c r="AP211" s="76"/>
      <c r="AQ211" s="76"/>
      <c r="AR211" s="76"/>
      <c r="AS211" s="76"/>
      <c r="AT211" s="76"/>
      <c r="AU211" s="76"/>
      <c r="AV211" s="76"/>
      <c r="AW211" s="76"/>
      <c r="AX211" s="76" t="b">
        <v>0</v>
      </c>
      <c r="AY211" s="76"/>
      <c r="AZ211" s="76"/>
      <c r="BA211" s="76" t="b">
        <v>0</v>
      </c>
      <c r="BB211" s="76" t="b">
        <v>1</v>
      </c>
      <c r="BC211" s="76" t="b">
        <v>1</v>
      </c>
      <c r="BD211" s="76" t="b">
        <v>0</v>
      </c>
      <c r="BE211" s="76" t="b">
        <v>0</v>
      </c>
      <c r="BF211" s="76" t="b">
        <v>0</v>
      </c>
      <c r="BG211" s="76" t="b">
        <v>0</v>
      </c>
      <c r="BH211" s="83" t="str">
        <f>HYPERLINK("https://pbs.twimg.com/profile_banners/1675866187547156480/1688394989")</f>
        <v>https://pbs.twimg.com/profile_banners/1675866187547156480/1688394989</v>
      </c>
      <c r="BI211" s="76"/>
      <c r="BJ211" s="76" t="s">
        <v>6360</v>
      </c>
      <c r="BK211" s="76" t="b">
        <v>0</v>
      </c>
      <c r="BL211" s="76"/>
      <c r="BM211" s="76" t="s">
        <v>66</v>
      </c>
      <c r="BN211" s="76" t="s">
        <v>6362</v>
      </c>
      <c r="BO211" s="83" t="str">
        <f>HYPERLINK("https://twitter.com/indanna_gestao")</f>
        <v>https://twitter.com/indanna_gestao</v>
      </c>
      <c r="BP211" s="2"/>
    </row>
    <row r="212" spans="1:68" x14ac:dyDescent="0.25">
      <c r="A212" s="62" t="s">
        <v>415</v>
      </c>
      <c r="B212" s="63"/>
      <c r="C212" s="63"/>
      <c r="D212" s="64"/>
      <c r="E212" s="66"/>
      <c r="F212" s="102" t="str">
        <f>HYPERLINK("https://pbs.twimg.com/profile_images/1683687675675508737/qzbMdz2y_normal.jpg")</f>
        <v>https://pbs.twimg.com/profile_images/1683687675675508737/qzbMdz2y_normal.jpg</v>
      </c>
      <c r="G212" s="63"/>
      <c r="H212" s="67"/>
      <c r="I212" s="68"/>
      <c r="J212" s="68"/>
      <c r="K212" s="67" t="s">
        <v>6571</v>
      </c>
      <c r="L212" s="71"/>
      <c r="M212" s="72"/>
      <c r="N212" s="72"/>
      <c r="O212" s="73"/>
      <c r="P212" s="74"/>
      <c r="Q212" s="74"/>
      <c r="R212" s="86"/>
      <c r="S212" s="86"/>
      <c r="T212" s="86"/>
      <c r="U212" s="86"/>
      <c r="V212" s="48"/>
      <c r="W212" s="48"/>
      <c r="X212" s="48"/>
      <c r="Y212" s="48"/>
      <c r="Z212" s="47"/>
      <c r="AA212" s="69">
        <v>212</v>
      </c>
      <c r="AB212" s="69"/>
      <c r="AC212" s="70"/>
      <c r="AD212" s="76" t="s">
        <v>5531</v>
      </c>
      <c r="AE212" s="81" t="s">
        <v>5226</v>
      </c>
      <c r="AF212" s="76">
        <v>30</v>
      </c>
      <c r="AG212" s="76">
        <v>124</v>
      </c>
      <c r="AH212" s="76">
        <v>35</v>
      </c>
      <c r="AI212" s="76">
        <v>0</v>
      </c>
      <c r="AJ212" s="76">
        <v>45</v>
      </c>
      <c r="AK212" s="76">
        <v>7</v>
      </c>
      <c r="AL212" s="76" t="b">
        <v>0</v>
      </c>
      <c r="AM212" s="78">
        <v>44566.146886574075</v>
      </c>
      <c r="AN212" s="76" t="s">
        <v>5808</v>
      </c>
      <c r="AO212" s="76" t="s">
        <v>6047</v>
      </c>
      <c r="AP212" s="76"/>
      <c r="AQ212" s="76"/>
      <c r="AR212" s="76"/>
      <c r="AS212" s="76"/>
      <c r="AT212" s="76"/>
      <c r="AU212" s="76"/>
      <c r="AV212" s="76">
        <v>1.5035500674704699E+18</v>
      </c>
      <c r="AW212" s="76"/>
      <c r="AX212" s="76" t="b">
        <v>0</v>
      </c>
      <c r="AY212" s="76"/>
      <c r="AZ212" s="76"/>
      <c r="BA212" s="76" t="b">
        <v>0</v>
      </c>
      <c r="BB212" s="76" t="b">
        <v>0</v>
      </c>
      <c r="BC212" s="76" t="b">
        <v>1</v>
      </c>
      <c r="BD212" s="76" t="b">
        <v>0</v>
      </c>
      <c r="BE212" s="76" t="b">
        <v>0</v>
      </c>
      <c r="BF212" s="76" t="b">
        <v>0</v>
      </c>
      <c r="BG212" s="76" t="b">
        <v>0</v>
      </c>
      <c r="BH212" s="83" t="str">
        <f>HYPERLINK("https://pbs.twimg.com/profile_banners/1478569766545772548/1691452314")</f>
        <v>https://pbs.twimg.com/profile_banners/1478569766545772548/1691452314</v>
      </c>
      <c r="BI212" s="76"/>
      <c r="BJ212" s="76" t="s">
        <v>6360</v>
      </c>
      <c r="BK212" s="76" t="b">
        <v>0</v>
      </c>
      <c r="BL212" s="76"/>
      <c r="BM212" s="76" t="s">
        <v>66</v>
      </c>
      <c r="BN212" s="76" t="s">
        <v>6362</v>
      </c>
      <c r="BO212" s="83" t="str">
        <f>HYPERLINK("https://twitter.com/biamallet")</f>
        <v>https://twitter.com/biamallet</v>
      </c>
      <c r="BP212" s="2"/>
    </row>
    <row r="213" spans="1:68" x14ac:dyDescent="0.25">
      <c r="A213" s="62" t="s">
        <v>416</v>
      </c>
      <c r="B213" s="63"/>
      <c r="C213" s="63"/>
      <c r="D213" s="64"/>
      <c r="E213" s="66"/>
      <c r="F213" s="102" t="str">
        <f>HYPERLINK("https://pbs.twimg.com/profile_images/1704158991981445120/HWlzSKKC_normal.jpg")</f>
        <v>https://pbs.twimg.com/profile_images/1704158991981445120/HWlzSKKC_normal.jpg</v>
      </c>
      <c r="G213" s="63"/>
      <c r="H213" s="67"/>
      <c r="I213" s="68"/>
      <c r="J213" s="68"/>
      <c r="K213" s="67" t="s">
        <v>6572</v>
      </c>
      <c r="L213" s="71"/>
      <c r="M213" s="72"/>
      <c r="N213" s="72"/>
      <c r="O213" s="73"/>
      <c r="P213" s="74"/>
      <c r="Q213" s="74"/>
      <c r="R213" s="86"/>
      <c r="S213" s="86"/>
      <c r="T213" s="86"/>
      <c r="U213" s="86"/>
      <c r="V213" s="48"/>
      <c r="W213" s="48"/>
      <c r="X213" s="48"/>
      <c r="Y213" s="48"/>
      <c r="Z213" s="47"/>
      <c r="AA213" s="69">
        <v>213</v>
      </c>
      <c r="AB213" s="69"/>
      <c r="AC213" s="70"/>
      <c r="AD213" s="76" t="s">
        <v>5532</v>
      </c>
      <c r="AE213" s="81" t="s">
        <v>5227</v>
      </c>
      <c r="AF213" s="76">
        <v>83</v>
      </c>
      <c r="AG213" s="76">
        <v>66</v>
      </c>
      <c r="AH213" s="76">
        <v>277</v>
      </c>
      <c r="AI213" s="76">
        <v>0</v>
      </c>
      <c r="AJ213" s="76">
        <v>2</v>
      </c>
      <c r="AK213" s="76">
        <v>85</v>
      </c>
      <c r="AL213" s="76" t="b">
        <v>0</v>
      </c>
      <c r="AM213" s="78">
        <v>43893.066458333335</v>
      </c>
      <c r="AN213" s="76"/>
      <c r="AO213" s="76" t="s">
        <v>6048</v>
      </c>
      <c r="AP213" s="83" t="str">
        <f>HYPERLINK("https://t.co/rX7cWG4qkS")</f>
        <v>https://t.co/rX7cWG4qkS</v>
      </c>
      <c r="AQ213" s="83" t="str">
        <f>HYPERLINK("https://lp.financasup.com/plannerfinanceiro")</f>
        <v>https://lp.financasup.com/plannerfinanceiro</v>
      </c>
      <c r="AR213" s="76" t="s">
        <v>6266</v>
      </c>
      <c r="AS213" s="76"/>
      <c r="AT213" s="76"/>
      <c r="AU213" s="76"/>
      <c r="AV213" s="76"/>
      <c r="AW213" s="83" t="str">
        <f>HYPERLINK("https://t.co/rX7cWG4qkS")</f>
        <v>https://t.co/rX7cWG4qkS</v>
      </c>
      <c r="AX213" s="76" t="b">
        <v>0</v>
      </c>
      <c r="AY213" s="76"/>
      <c r="AZ213" s="76"/>
      <c r="BA213" s="76" t="b">
        <v>0</v>
      </c>
      <c r="BB213" s="76" t="b">
        <v>0</v>
      </c>
      <c r="BC213" s="76" t="b">
        <v>1</v>
      </c>
      <c r="BD213" s="76" t="b">
        <v>0</v>
      </c>
      <c r="BE213" s="76" t="b">
        <v>0</v>
      </c>
      <c r="BF213" s="76" t="b">
        <v>0</v>
      </c>
      <c r="BG213" s="76" t="b">
        <v>0</v>
      </c>
      <c r="BH213" s="83" t="str">
        <f>HYPERLINK("https://pbs.twimg.com/profile_banners/1234653612330115072/1602272637")</f>
        <v>https://pbs.twimg.com/profile_banners/1234653612330115072/1602272637</v>
      </c>
      <c r="BI213" s="76"/>
      <c r="BJ213" s="76" t="s">
        <v>6360</v>
      </c>
      <c r="BK213" s="76" t="b">
        <v>0</v>
      </c>
      <c r="BL213" s="76"/>
      <c r="BM213" s="76" t="s">
        <v>66</v>
      </c>
      <c r="BN213" s="76" t="s">
        <v>6362</v>
      </c>
      <c r="BO213" s="83" t="str">
        <f>HYPERLINK("https://twitter.com/financasup")</f>
        <v>https://twitter.com/financasup</v>
      </c>
      <c r="BP213" s="2"/>
    </row>
    <row r="214" spans="1:68" x14ac:dyDescent="0.25">
      <c r="A214" s="62" t="s">
        <v>417</v>
      </c>
      <c r="B214" s="63"/>
      <c r="C214" s="63"/>
      <c r="D214" s="64"/>
      <c r="E214" s="66"/>
      <c r="F214" s="102" t="str">
        <f>HYPERLINK("https://pbs.twimg.com/profile_images/1518973995844001793/t8bsIYGg_normal.jpg")</f>
        <v>https://pbs.twimg.com/profile_images/1518973995844001793/t8bsIYGg_normal.jpg</v>
      </c>
      <c r="G214" s="63"/>
      <c r="H214" s="67"/>
      <c r="I214" s="68"/>
      <c r="J214" s="68"/>
      <c r="K214" s="67" t="s">
        <v>6573</v>
      </c>
      <c r="L214" s="71"/>
      <c r="M214" s="72"/>
      <c r="N214" s="72"/>
      <c r="O214" s="73"/>
      <c r="P214" s="74"/>
      <c r="Q214" s="74"/>
      <c r="R214" s="86"/>
      <c r="S214" s="86"/>
      <c r="T214" s="86"/>
      <c r="U214" s="86"/>
      <c r="V214" s="48"/>
      <c r="W214" s="48"/>
      <c r="X214" s="48"/>
      <c r="Y214" s="48"/>
      <c r="Z214" s="47"/>
      <c r="AA214" s="69">
        <v>214</v>
      </c>
      <c r="AB214" s="69"/>
      <c r="AC214" s="70"/>
      <c r="AD214" s="76" t="s">
        <v>5533</v>
      </c>
      <c r="AE214" s="81" t="s">
        <v>5228</v>
      </c>
      <c r="AF214" s="76">
        <v>3</v>
      </c>
      <c r="AG214" s="76">
        <v>30</v>
      </c>
      <c r="AH214" s="76">
        <v>79</v>
      </c>
      <c r="AI214" s="76">
        <v>1</v>
      </c>
      <c r="AJ214" s="76">
        <v>4</v>
      </c>
      <c r="AK214" s="76">
        <v>78</v>
      </c>
      <c r="AL214" s="76" t="b">
        <v>0</v>
      </c>
      <c r="AM214" s="78">
        <v>44677.640173611115</v>
      </c>
      <c r="AN214" s="76"/>
      <c r="AO214" s="76" t="s">
        <v>6049</v>
      </c>
      <c r="AP214" s="76"/>
      <c r="AQ214" s="76"/>
      <c r="AR214" s="76"/>
      <c r="AS214" s="76"/>
      <c r="AT214" s="76"/>
      <c r="AU214" s="76"/>
      <c r="AV214" s="76"/>
      <c r="AW214" s="76"/>
      <c r="AX214" s="76" t="b">
        <v>0</v>
      </c>
      <c r="AY214" s="76"/>
      <c r="AZ214" s="76"/>
      <c r="BA214" s="76" t="b">
        <v>0</v>
      </c>
      <c r="BB214" s="76" t="b">
        <v>1</v>
      </c>
      <c r="BC214" s="76" t="b">
        <v>1</v>
      </c>
      <c r="BD214" s="76" t="b">
        <v>0</v>
      </c>
      <c r="BE214" s="76" t="b">
        <v>0</v>
      </c>
      <c r="BF214" s="76" t="b">
        <v>0</v>
      </c>
      <c r="BG214" s="76" t="b">
        <v>0</v>
      </c>
      <c r="BH214" s="76"/>
      <c r="BI214" s="76"/>
      <c r="BJ214" s="76" t="s">
        <v>6360</v>
      </c>
      <c r="BK214" s="76" t="b">
        <v>0</v>
      </c>
      <c r="BL214" s="76"/>
      <c r="BM214" s="76" t="s">
        <v>66</v>
      </c>
      <c r="BN214" s="76" t="s">
        <v>6362</v>
      </c>
      <c r="BO214" s="83" t="str">
        <f>HYPERLINK("https://twitter.com/joaonetoupcont")</f>
        <v>https://twitter.com/joaonetoupcont</v>
      </c>
      <c r="BP214" s="2"/>
    </row>
    <row r="215" spans="1:68" x14ac:dyDescent="0.25">
      <c r="A215" s="62" t="s">
        <v>532</v>
      </c>
      <c r="B215" s="63"/>
      <c r="C215" s="63"/>
      <c r="D215" s="64"/>
      <c r="E215" s="66"/>
      <c r="F215" s="102" t="str">
        <f>HYPERLINK("https://pbs.twimg.com/profile_images/1383321633318858759/jM3jYmpb_normal.jpg")</f>
        <v>https://pbs.twimg.com/profile_images/1383321633318858759/jM3jYmpb_normal.jpg</v>
      </c>
      <c r="G215" s="63"/>
      <c r="H215" s="67"/>
      <c r="I215" s="68"/>
      <c r="J215" s="68"/>
      <c r="K215" s="67" t="s">
        <v>6574</v>
      </c>
      <c r="L215" s="71"/>
      <c r="M215" s="72"/>
      <c r="N215" s="72"/>
      <c r="O215" s="73"/>
      <c r="P215" s="74"/>
      <c r="Q215" s="74"/>
      <c r="R215" s="86"/>
      <c r="S215" s="86"/>
      <c r="T215" s="86"/>
      <c r="U215" s="86"/>
      <c r="V215" s="48"/>
      <c r="W215" s="48"/>
      <c r="X215" s="48"/>
      <c r="Y215" s="48"/>
      <c r="Z215" s="47"/>
      <c r="AA215" s="69">
        <v>215</v>
      </c>
      <c r="AB215" s="69"/>
      <c r="AC215" s="70"/>
      <c r="AD215" s="76" t="s">
        <v>5534</v>
      </c>
      <c r="AE215" s="81" t="s">
        <v>5703</v>
      </c>
      <c r="AF215" s="76">
        <v>6111</v>
      </c>
      <c r="AG215" s="76">
        <v>1188</v>
      </c>
      <c r="AH215" s="76">
        <v>6533</v>
      </c>
      <c r="AI215" s="76">
        <v>261</v>
      </c>
      <c r="AJ215" s="76">
        <v>16070</v>
      </c>
      <c r="AK215" s="76">
        <v>199</v>
      </c>
      <c r="AL215" s="76" t="b">
        <v>0</v>
      </c>
      <c r="AM215" s="78">
        <v>39823.032361111109</v>
      </c>
      <c r="AN215" s="76" t="s">
        <v>5809</v>
      </c>
      <c r="AO215" s="76" t="s">
        <v>6050</v>
      </c>
      <c r="AP215" s="83" t="str">
        <f>HYPERLINK("https://t.co/DvoKk63TvL")</f>
        <v>https://t.co/DvoKk63TvL</v>
      </c>
      <c r="AQ215" s="83" t="str">
        <f>HYPERLINK("https://www.getrevue.co/profile/fernandog")</f>
        <v>https://www.getrevue.co/profile/fernandog</v>
      </c>
      <c r="AR215" s="76" t="s">
        <v>6267</v>
      </c>
      <c r="AS215" s="76"/>
      <c r="AT215" s="76"/>
      <c r="AU215" s="76"/>
      <c r="AV215" s="76">
        <v>1.3847854271738801E+18</v>
      </c>
      <c r="AW215" s="83" t="str">
        <f>HYPERLINK("https://t.co/DvoKk63TvL")</f>
        <v>https://t.co/DvoKk63TvL</v>
      </c>
      <c r="AX215" s="76" t="b">
        <v>0</v>
      </c>
      <c r="AY215" s="76"/>
      <c r="AZ215" s="76"/>
      <c r="BA215" s="76" t="b">
        <v>1</v>
      </c>
      <c r="BB215" s="76" t="b">
        <v>1</v>
      </c>
      <c r="BC215" s="76" t="b">
        <v>0</v>
      </c>
      <c r="BD215" s="76" t="b">
        <v>0</v>
      </c>
      <c r="BE215" s="76" t="b">
        <v>1</v>
      </c>
      <c r="BF215" s="76" t="b">
        <v>0</v>
      </c>
      <c r="BG215" s="76" t="b">
        <v>0</v>
      </c>
      <c r="BH215" s="83" t="str">
        <f>HYPERLINK("https://pbs.twimg.com/profile_banners/18822034/1569520781")</f>
        <v>https://pbs.twimg.com/profile_banners/18822034/1569520781</v>
      </c>
      <c r="BI215" s="76"/>
      <c r="BJ215" s="76" t="s">
        <v>6360</v>
      </c>
      <c r="BK215" s="76" t="b">
        <v>0</v>
      </c>
      <c r="BL215" s="76"/>
      <c r="BM215" s="76" t="s">
        <v>65</v>
      </c>
      <c r="BN215" s="76" t="s">
        <v>6362</v>
      </c>
      <c r="BO215" s="83" t="str">
        <f>HYPERLINK("https://twitter.com/fernando")</f>
        <v>https://twitter.com/fernando</v>
      </c>
      <c r="BP215" s="2"/>
    </row>
    <row r="216" spans="1:68" x14ac:dyDescent="0.25">
      <c r="A216" s="62" t="s">
        <v>418</v>
      </c>
      <c r="B216" s="63"/>
      <c r="C216" s="63"/>
      <c r="D216" s="64"/>
      <c r="E216" s="66"/>
      <c r="F216" s="102" t="str">
        <f>HYPERLINK("https://pbs.twimg.com/profile_images/1411753289448931331/4WbSiBSs_normal.jpg")</f>
        <v>https://pbs.twimg.com/profile_images/1411753289448931331/4WbSiBSs_normal.jpg</v>
      </c>
      <c r="G216" s="63"/>
      <c r="H216" s="67"/>
      <c r="I216" s="68"/>
      <c r="J216" s="68"/>
      <c r="K216" s="67" t="s">
        <v>6575</v>
      </c>
      <c r="L216" s="71"/>
      <c r="M216" s="72"/>
      <c r="N216" s="72"/>
      <c r="O216" s="73"/>
      <c r="P216" s="74"/>
      <c r="Q216" s="74"/>
      <c r="R216" s="86"/>
      <c r="S216" s="86"/>
      <c r="T216" s="86"/>
      <c r="U216" s="86"/>
      <c r="V216" s="48"/>
      <c r="W216" s="48"/>
      <c r="X216" s="48"/>
      <c r="Y216" s="48"/>
      <c r="Z216" s="47"/>
      <c r="AA216" s="69">
        <v>216</v>
      </c>
      <c r="AB216" s="69"/>
      <c r="AC216" s="70"/>
      <c r="AD216" s="76" t="s">
        <v>5535</v>
      </c>
      <c r="AE216" s="81" t="s">
        <v>5060</v>
      </c>
      <c r="AF216" s="76">
        <v>16194</v>
      </c>
      <c r="AG216" s="76">
        <v>43</v>
      </c>
      <c r="AH216" s="76">
        <v>5173</v>
      </c>
      <c r="AI216" s="76">
        <v>214</v>
      </c>
      <c r="AJ216" s="76">
        <v>117</v>
      </c>
      <c r="AK216" s="76">
        <v>2698</v>
      </c>
      <c r="AL216" s="76" t="b">
        <v>0</v>
      </c>
      <c r="AM216" s="78">
        <v>40044.589687500003</v>
      </c>
      <c r="AN216" s="76" t="s">
        <v>5776</v>
      </c>
      <c r="AO216" s="76" t="s">
        <v>6051</v>
      </c>
      <c r="AP216" s="83" t="str">
        <f>HYPERLINK("https://t.co/0pOsltarvZ")</f>
        <v>https://t.co/0pOsltarvZ</v>
      </c>
      <c r="AQ216" s="83" t="str">
        <f>HYPERLINK("https://www.gov.br/investidor")</f>
        <v>https://www.gov.br/investidor</v>
      </c>
      <c r="AR216" s="76" t="s">
        <v>6268</v>
      </c>
      <c r="AS216" s="83" t="str">
        <f>HYPERLINK("https://t.co/aDqo0I6UqJ")</f>
        <v>https://t.co/aDqo0I6UqJ</v>
      </c>
      <c r="AT216" s="83" t="str">
        <f>HYPERLINK("http://gov.br/cvm/pt-br")</f>
        <v>http://gov.br/cvm/pt-br</v>
      </c>
      <c r="AU216" s="76" t="s">
        <v>6354</v>
      </c>
      <c r="AV216" s="76"/>
      <c r="AW216" s="83" t="str">
        <f>HYPERLINK("https://t.co/0pOsltarvZ")</f>
        <v>https://t.co/0pOsltarvZ</v>
      </c>
      <c r="AX216" s="76" t="b">
        <v>0</v>
      </c>
      <c r="AY216" s="76"/>
      <c r="AZ216" s="76"/>
      <c r="BA216" s="76" t="b">
        <v>1</v>
      </c>
      <c r="BB216" s="76" t="b">
        <v>0</v>
      </c>
      <c r="BC216" s="76" t="b">
        <v>0</v>
      </c>
      <c r="BD216" s="76" t="b">
        <v>0</v>
      </c>
      <c r="BE216" s="76" t="b">
        <v>1</v>
      </c>
      <c r="BF216" s="76" t="b">
        <v>0</v>
      </c>
      <c r="BG216" s="76" t="b">
        <v>0</v>
      </c>
      <c r="BH216" s="83" t="str">
        <f>HYPERLINK("https://pbs.twimg.com/profile_banners/67008859/1675209712")</f>
        <v>https://pbs.twimg.com/profile_banners/67008859/1675209712</v>
      </c>
      <c r="BI216" s="76"/>
      <c r="BJ216" s="76" t="s">
        <v>6360</v>
      </c>
      <c r="BK216" s="76" t="b">
        <v>0</v>
      </c>
      <c r="BL216" s="76"/>
      <c r="BM216" s="76" t="s">
        <v>66</v>
      </c>
      <c r="BN216" s="76" t="s">
        <v>6362</v>
      </c>
      <c r="BO216" s="83" t="str">
        <f>HYPERLINK("https://twitter.com/cvmeducacional")</f>
        <v>https://twitter.com/cvmeducacional</v>
      </c>
      <c r="BP216" s="2"/>
    </row>
    <row r="217" spans="1:68" x14ac:dyDescent="0.25">
      <c r="A217" s="62" t="s">
        <v>419</v>
      </c>
      <c r="B217" s="63"/>
      <c r="C217" s="63"/>
      <c r="D217" s="64"/>
      <c r="E217" s="66"/>
      <c r="F217" s="102" t="str">
        <f>HYPERLINK("https://pbs.twimg.com/profile_images/1693760425697955840/83PZMCuN_normal.jpg")</f>
        <v>https://pbs.twimg.com/profile_images/1693760425697955840/83PZMCuN_normal.jpg</v>
      </c>
      <c r="G217" s="63"/>
      <c r="H217" s="67"/>
      <c r="I217" s="68"/>
      <c r="J217" s="68"/>
      <c r="K217" s="67" t="s">
        <v>6576</v>
      </c>
      <c r="L217" s="71"/>
      <c r="M217" s="72"/>
      <c r="N217" s="72"/>
      <c r="O217" s="73"/>
      <c r="P217" s="74"/>
      <c r="Q217" s="74"/>
      <c r="R217" s="86"/>
      <c r="S217" s="86"/>
      <c r="T217" s="86"/>
      <c r="U217" s="86"/>
      <c r="V217" s="48"/>
      <c r="W217" s="48"/>
      <c r="X217" s="48"/>
      <c r="Y217" s="48"/>
      <c r="Z217" s="47"/>
      <c r="AA217" s="69">
        <v>217</v>
      </c>
      <c r="AB217" s="69"/>
      <c r="AC217" s="70"/>
      <c r="AD217" s="76" t="s">
        <v>5536</v>
      </c>
      <c r="AE217" s="81" t="s">
        <v>5229</v>
      </c>
      <c r="AF217" s="76">
        <v>41</v>
      </c>
      <c r="AG217" s="76">
        <v>203</v>
      </c>
      <c r="AH217" s="76">
        <v>10497</v>
      </c>
      <c r="AI217" s="76">
        <v>4</v>
      </c>
      <c r="AJ217" s="76">
        <v>10271</v>
      </c>
      <c r="AK217" s="76">
        <v>33</v>
      </c>
      <c r="AL217" s="76" t="b">
        <v>0</v>
      </c>
      <c r="AM217" s="78">
        <v>44490.71707175926</v>
      </c>
      <c r="AN217" s="76" t="s">
        <v>5784</v>
      </c>
      <c r="AO217" s="76" t="s">
        <v>6052</v>
      </c>
      <c r="AP217" s="83" t="str">
        <f>HYPERLINK("https://t.co/uroHtWh8x3")</f>
        <v>https://t.co/uroHtWh8x3</v>
      </c>
      <c r="AQ217" s="83" t="str">
        <f>HYPERLINK("https://www.youtube.com/@AlexSilva-cz7bz/featured")</f>
        <v>https://www.youtube.com/@AlexSilva-cz7bz/featured</v>
      </c>
      <c r="AR217" s="76" t="s">
        <v>6269</v>
      </c>
      <c r="AS217" s="76"/>
      <c r="AT217" s="76"/>
      <c r="AU217" s="76"/>
      <c r="AV217" s="76">
        <v>1.45162476552606E+18</v>
      </c>
      <c r="AW217" s="83" t="str">
        <f>HYPERLINK("https://t.co/uroHtWh8x3")</f>
        <v>https://t.co/uroHtWh8x3</v>
      </c>
      <c r="AX217" s="76" t="b">
        <v>0</v>
      </c>
      <c r="AY217" s="76"/>
      <c r="AZ217" s="76"/>
      <c r="BA217" s="76" t="b">
        <v>1</v>
      </c>
      <c r="BB217" s="76" t="b">
        <v>1</v>
      </c>
      <c r="BC217" s="76" t="b">
        <v>1</v>
      </c>
      <c r="BD217" s="76" t="b">
        <v>0</v>
      </c>
      <c r="BE217" s="76" t="b">
        <v>1</v>
      </c>
      <c r="BF217" s="76" t="b">
        <v>0</v>
      </c>
      <c r="BG217" s="76" t="b">
        <v>0</v>
      </c>
      <c r="BH217" s="83" t="str">
        <f>HYPERLINK("https://pbs.twimg.com/profile_banners/1451233522660913163/1691798283")</f>
        <v>https://pbs.twimg.com/profile_banners/1451233522660913163/1691798283</v>
      </c>
      <c r="BI217" s="76"/>
      <c r="BJ217" s="76" t="s">
        <v>6360</v>
      </c>
      <c r="BK217" s="76" t="b">
        <v>0</v>
      </c>
      <c r="BL217" s="76"/>
      <c r="BM217" s="76" t="s">
        <v>66</v>
      </c>
      <c r="BN217" s="76" t="s">
        <v>6362</v>
      </c>
      <c r="BO217" s="83" t="str">
        <f>HYPERLINK("https://twitter.com/alexandrecs79")</f>
        <v>https://twitter.com/alexandrecs79</v>
      </c>
      <c r="BP217" s="2"/>
    </row>
    <row r="218" spans="1:68" x14ac:dyDescent="0.25">
      <c r="A218" s="62" t="s">
        <v>421</v>
      </c>
      <c r="B218" s="63"/>
      <c r="C218" s="63"/>
      <c r="D218" s="64"/>
      <c r="E218" s="66"/>
      <c r="F218" s="102" t="str">
        <f>HYPERLINK("https://pbs.twimg.com/profile_images/1430706261675417612/p73I6LwH_normal.jpg")</f>
        <v>https://pbs.twimg.com/profile_images/1430706261675417612/p73I6LwH_normal.jpg</v>
      </c>
      <c r="G218" s="63"/>
      <c r="H218" s="67"/>
      <c r="I218" s="68"/>
      <c r="J218" s="68"/>
      <c r="K218" s="67" t="s">
        <v>6577</v>
      </c>
      <c r="L218" s="71"/>
      <c r="M218" s="72"/>
      <c r="N218" s="72"/>
      <c r="O218" s="73"/>
      <c r="P218" s="74"/>
      <c r="Q218" s="74"/>
      <c r="R218" s="86"/>
      <c r="S218" s="86"/>
      <c r="T218" s="86"/>
      <c r="U218" s="86"/>
      <c r="V218" s="48"/>
      <c r="W218" s="48"/>
      <c r="X218" s="48"/>
      <c r="Y218" s="48"/>
      <c r="Z218" s="47"/>
      <c r="AA218" s="69">
        <v>218</v>
      </c>
      <c r="AB218" s="69"/>
      <c r="AC218" s="70"/>
      <c r="AD218" s="76" t="s">
        <v>5537</v>
      </c>
      <c r="AE218" s="81" t="s">
        <v>5230</v>
      </c>
      <c r="AF218" s="76">
        <v>1</v>
      </c>
      <c r="AG218" s="76">
        <v>0</v>
      </c>
      <c r="AH218" s="76">
        <v>102</v>
      </c>
      <c r="AI218" s="76">
        <v>0</v>
      </c>
      <c r="AJ218" s="76">
        <v>0</v>
      </c>
      <c r="AK218" s="76">
        <v>102</v>
      </c>
      <c r="AL218" s="76" t="b">
        <v>0</v>
      </c>
      <c r="AM218" s="78">
        <v>44433.75439814815</v>
      </c>
      <c r="AN218" s="76"/>
      <c r="AO218" s="76" t="s">
        <v>6053</v>
      </c>
      <c r="AP218" s="76"/>
      <c r="AQ218" s="76"/>
      <c r="AR218" s="76"/>
      <c r="AS218" s="76"/>
      <c r="AT218" s="76"/>
      <c r="AU218" s="76"/>
      <c r="AV218" s="76"/>
      <c r="AW218" s="76"/>
      <c r="AX218" s="76" t="b">
        <v>0</v>
      </c>
      <c r="AY218" s="76"/>
      <c r="AZ218" s="76"/>
      <c r="BA218" s="76" t="b">
        <v>0</v>
      </c>
      <c r="BB218" s="76" t="b">
        <v>1</v>
      </c>
      <c r="BC218" s="76" t="b">
        <v>1</v>
      </c>
      <c r="BD218" s="76" t="b">
        <v>0</v>
      </c>
      <c r="BE218" s="76" t="b">
        <v>0</v>
      </c>
      <c r="BF218" s="76" t="b">
        <v>0</v>
      </c>
      <c r="BG218" s="76" t="b">
        <v>0</v>
      </c>
      <c r="BH218" s="83" t="str">
        <f>HYPERLINK("https://pbs.twimg.com/profile_banners/1430592209351553030/1629941931")</f>
        <v>https://pbs.twimg.com/profile_banners/1430592209351553030/1629941931</v>
      </c>
      <c r="BI218" s="76"/>
      <c r="BJ218" s="76" t="s">
        <v>6360</v>
      </c>
      <c r="BK218" s="76" t="b">
        <v>0</v>
      </c>
      <c r="BL218" s="76"/>
      <c r="BM218" s="76" t="s">
        <v>66</v>
      </c>
      <c r="BN218" s="76" t="s">
        <v>6362</v>
      </c>
      <c r="BO218" s="83" t="str">
        <f>HYPERLINK("https://twitter.com/eurofinanceira_")</f>
        <v>https://twitter.com/eurofinanceira_</v>
      </c>
      <c r="BP218" s="2"/>
    </row>
    <row r="219" spans="1:68" x14ac:dyDescent="0.25">
      <c r="A219" s="62" t="s">
        <v>422</v>
      </c>
      <c r="B219" s="63"/>
      <c r="C219" s="63"/>
      <c r="D219" s="64"/>
      <c r="E219" s="66"/>
      <c r="F219" s="102" t="str">
        <f>HYPERLINK("https://pbs.twimg.com/profile_images/1031269592981757952/jq-a1X5A_normal.jpg")</f>
        <v>https://pbs.twimg.com/profile_images/1031269592981757952/jq-a1X5A_normal.jpg</v>
      </c>
      <c r="G219" s="63"/>
      <c r="H219" s="67"/>
      <c r="I219" s="68"/>
      <c r="J219" s="68"/>
      <c r="K219" s="67" t="s">
        <v>6578</v>
      </c>
      <c r="L219" s="71"/>
      <c r="M219" s="72"/>
      <c r="N219" s="72"/>
      <c r="O219" s="73"/>
      <c r="P219" s="74"/>
      <c r="Q219" s="74"/>
      <c r="R219" s="86"/>
      <c r="S219" s="86"/>
      <c r="T219" s="86"/>
      <c r="U219" s="86"/>
      <c r="V219" s="48"/>
      <c r="W219" s="48"/>
      <c r="X219" s="48"/>
      <c r="Y219" s="48"/>
      <c r="Z219" s="47"/>
      <c r="AA219" s="69">
        <v>219</v>
      </c>
      <c r="AB219" s="69"/>
      <c r="AC219" s="70"/>
      <c r="AD219" s="76" t="s">
        <v>5538</v>
      </c>
      <c r="AE219" s="81" t="s">
        <v>5231</v>
      </c>
      <c r="AF219" s="76">
        <v>17</v>
      </c>
      <c r="AG219" s="76">
        <v>703</v>
      </c>
      <c r="AH219" s="76">
        <v>1699</v>
      </c>
      <c r="AI219" s="76">
        <v>0</v>
      </c>
      <c r="AJ219" s="76">
        <v>6304</v>
      </c>
      <c r="AK219" s="76">
        <v>128</v>
      </c>
      <c r="AL219" s="76" t="b">
        <v>0</v>
      </c>
      <c r="AM219" s="78">
        <v>42680.757268518515</v>
      </c>
      <c r="AN219" s="76" t="s">
        <v>5743</v>
      </c>
      <c r="AO219" s="76" t="s">
        <v>6054</v>
      </c>
      <c r="AP219" s="83" t="str">
        <f>HYPERLINK("https://t.co/fKxBS4BlFc")</f>
        <v>https://t.co/fKxBS4BlFc</v>
      </c>
      <c r="AQ219" s="83" t="str">
        <f>HYPERLINK("https://www.mastermaverick.com.br")</f>
        <v>https://www.mastermaverick.com.br</v>
      </c>
      <c r="AR219" s="76" t="s">
        <v>6270</v>
      </c>
      <c r="AS219" s="76"/>
      <c r="AT219" s="76"/>
      <c r="AU219" s="76"/>
      <c r="AV219" s="76"/>
      <c r="AW219" s="83" t="str">
        <f>HYPERLINK("https://t.co/fKxBS4BlFc")</f>
        <v>https://t.co/fKxBS4BlFc</v>
      </c>
      <c r="AX219" s="76" t="b">
        <v>0</v>
      </c>
      <c r="AY219" s="76"/>
      <c r="AZ219" s="76"/>
      <c r="BA219" s="76" t="b">
        <v>0</v>
      </c>
      <c r="BB219" s="76" t="b">
        <v>1</v>
      </c>
      <c r="BC219" s="76" t="b">
        <v>0</v>
      </c>
      <c r="BD219" s="76" t="b">
        <v>0</v>
      </c>
      <c r="BE219" s="76" t="b">
        <v>0</v>
      </c>
      <c r="BF219" s="76" t="b">
        <v>0</v>
      </c>
      <c r="BG219" s="76" t="b">
        <v>0</v>
      </c>
      <c r="BH219" s="83" t="str">
        <f>HYPERLINK("https://pbs.twimg.com/profile_banners/795327504496164864/1629994322")</f>
        <v>https://pbs.twimg.com/profile_banners/795327504496164864/1629994322</v>
      </c>
      <c r="BI219" s="76"/>
      <c r="BJ219" s="76" t="s">
        <v>6360</v>
      </c>
      <c r="BK219" s="76" t="b">
        <v>0</v>
      </c>
      <c r="BL219" s="76"/>
      <c r="BM219" s="76" t="s">
        <v>66</v>
      </c>
      <c r="BN219" s="76" t="s">
        <v>6362</v>
      </c>
      <c r="BO219" s="83" t="str">
        <f>HYPERLINK("https://twitter.com/rafaelr36886877")</f>
        <v>https://twitter.com/rafaelr36886877</v>
      </c>
      <c r="BP219" s="2"/>
    </row>
    <row r="220" spans="1:68" x14ac:dyDescent="0.25">
      <c r="A220" s="62" t="s">
        <v>423</v>
      </c>
      <c r="B220" s="63"/>
      <c r="C220" s="63"/>
      <c r="D220" s="64"/>
      <c r="E220" s="66"/>
      <c r="F220" s="102" t="str">
        <f>HYPERLINK("https://pbs.twimg.com/profile_images/1601675493593341952/5nwvoGdk_normal.jpg")</f>
        <v>https://pbs.twimg.com/profile_images/1601675493593341952/5nwvoGdk_normal.jpg</v>
      </c>
      <c r="G220" s="63"/>
      <c r="H220" s="67"/>
      <c r="I220" s="68"/>
      <c r="J220" s="68"/>
      <c r="K220" s="67" t="s">
        <v>6579</v>
      </c>
      <c r="L220" s="71"/>
      <c r="M220" s="72"/>
      <c r="N220" s="72"/>
      <c r="O220" s="73"/>
      <c r="P220" s="74"/>
      <c r="Q220" s="74"/>
      <c r="R220" s="86"/>
      <c r="S220" s="86"/>
      <c r="T220" s="86"/>
      <c r="U220" s="86"/>
      <c r="V220" s="48"/>
      <c r="W220" s="48"/>
      <c r="X220" s="48"/>
      <c r="Y220" s="48"/>
      <c r="Z220" s="47"/>
      <c r="AA220" s="69">
        <v>220</v>
      </c>
      <c r="AB220" s="69"/>
      <c r="AC220" s="70"/>
      <c r="AD220" s="76" t="s">
        <v>5539</v>
      </c>
      <c r="AE220" s="81" t="s">
        <v>5232</v>
      </c>
      <c r="AF220" s="76">
        <v>0</v>
      </c>
      <c r="AG220" s="76">
        <v>34</v>
      </c>
      <c r="AH220" s="76">
        <v>27</v>
      </c>
      <c r="AI220" s="76">
        <v>0</v>
      </c>
      <c r="AJ220" s="76">
        <v>59</v>
      </c>
      <c r="AK220" s="76">
        <v>2</v>
      </c>
      <c r="AL220" s="76" t="b">
        <v>0</v>
      </c>
      <c r="AM220" s="78">
        <v>44905.852708333332</v>
      </c>
      <c r="AN220" s="76"/>
      <c r="AO220" s="76"/>
      <c r="AP220" s="76"/>
      <c r="AQ220" s="76"/>
      <c r="AR220" s="76"/>
      <c r="AS220" s="76"/>
      <c r="AT220" s="76"/>
      <c r="AU220" s="76"/>
      <c r="AV220" s="76"/>
      <c r="AW220" s="76"/>
      <c r="AX220" s="76" t="b">
        <v>0</v>
      </c>
      <c r="AY220" s="76"/>
      <c r="AZ220" s="76"/>
      <c r="BA220" s="76" t="b">
        <v>0</v>
      </c>
      <c r="BB220" s="76" t="b">
        <v>1</v>
      </c>
      <c r="BC220" s="76" t="b">
        <v>1</v>
      </c>
      <c r="BD220" s="76" t="b">
        <v>0</v>
      </c>
      <c r="BE220" s="76" t="b">
        <v>0</v>
      </c>
      <c r="BF220" s="76" t="b">
        <v>0</v>
      </c>
      <c r="BG220" s="76" t="b">
        <v>0</v>
      </c>
      <c r="BH220" s="76"/>
      <c r="BI220" s="76"/>
      <c r="BJ220" s="76" t="s">
        <v>6360</v>
      </c>
      <c r="BK220" s="76" t="b">
        <v>0</v>
      </c>
      <c r="BL220" s="76"/>
      <c r="BM220" s="76" t="s">
        <v>66</v>
      </c>
      <c r="BN220" s="76" t="s">
        <v>6362</v>
      </c>
      <c r="BO220" s="83" t="str">
        <f>HYPERLINK("https://twitter.com/tiagoam80")</f>
        <v>https://twitter.com/tiagoam80</v>
      </c>
      <c r="BP220" s="2"/>
    </row>
    <row r="221" spans="1:68" x14ac:dyDescent="0.25">
      <c r="A221" s="62" t="s">
        <v>424</v>
      </c>
      <c r="B221" s="63"/>
      <c r="C221" s="63"/>
      <c r="D221" s="64"/>
      <c r="E221" s="66"/>
      <c r="F221" s="102" t="str">
        <f>HYPERLINK("https://pbs.twimg.com/profile_images/1070405945501589504/8lPOTp4Y_normal.jpg")</f>
        <v>https://pbs.twimg.com/profile_images/1070405945501589504/8lPOTp4Y_normal.jpg</v>
      </c>
      <c r="G221" s="63"/>
      <c r="H221" s="67"/>
      <c r="I221" s="68"/>
      <c r="J221" s="68"/>
      <c r="K221" s="67" t="s">
        <v>6580</v>
      </c>
      <c r="L221" s="71"/>
      <c r="M221" s="72"/>
      <c r="N221" s="72"/>
      <c r="O221" s="73"/>
      <c r="P221" s="74"/>
      <c r="Q221" s="74"/>
      <c r="R221" s="86"/>
      <c r="S221" s="86"/>
      <c r="T221" s="86"/>
      <c r="U221" s="86"/>
      <c r="V221" s="48"/>
      <c r="W221" s="48"/>
      <c r="X221" s="48"/>
      <c r="Y221" s="48"/>
      <c r="Z221" s="47"/>
      <c r="AA221" s="69">
        <v>221</v>
      </c>
      <c r="AB221" s="69"/>
      <c r="AC221" s="70"/>
      <c r="AD221" s="76" t="s">
        <v>5540</v>
      </c>
      <c r="AE221" s="81" t="s">
        <v>5233</v>
      </c>
      <c r="AF221" s="76">
        <v>18</v>
      </c>
      <c r="AG221" s="76">
        <v>1</v>
      </c>
      <c r="AH221" s="76">
        <v>954</v>
      </c>
      <c r="AI221" s="76">
        <v>0</v>
      </c>
      <c r="AJ221" s="76">
        <v>17</v>
      </c>
      <c r="AK221" s="76">
        <v>925</v>
      </c>
      <c r="AL221" s="76" t="b">
        <v>0</v>
      </c>
      <c r="AM221" s="78">
        <v>43439.828252314815</v>
      </c>
      <c r="AN221" s="76" t="s">
        <v>5753</v>
      </c>
      <c r="AO221" s="76" t="s">
        <v>6055</v>
      </c>
      <c r="AP221" s="76"/>
      <c r="AQ221" s="76"/>
      <c r="AR221" s="76"/>
      <c r="AS221" s="76"/>
      <c r="AT221" s="76"/>
      <c r="AU221" s="76"/>
      <c r="AV221" s="76"/>
      <c r="AW221" s="76"/>
      <c r="AX221" s="76" t="b">
        <v>0</v>
      </c>
      <c r="AY221" s="76"/>
      <c r="AZ221" s="76"/>
      <c r="BA221" s="76" t="b">
        <v>0</v>
      </c>
      <c r="BB221" s="76" t="b">
        <v>1</v>
      </c>
      <c r="BC221" s="76" t="b">
        <v>1</v>
      </c>
      <c r="BD221" s="76" t="b">
        <v>0</v>
      </c>
      <c r="BE221" s="76" t="b">
        <v>0</v>
      </c>
      <c r="BF221" s="76" t="b">
        <v>0</v>
      </c>
      <c r="BG221" s="76" t="b">
        <v>0</v>
      </c>
      <c r="BH221" s="83" t="str">
        <f>HYPERLINK("https://pbs.twimg.com/profile_banners/1070405618874359809/1544039738")</f>
        <v>https://pbs.twimg.com/profile_banners/1070405618874359809/1544039738</v>
      </c>
      <c r="BI221" s="76"/>
      <c r="BJ221" s="76" t="s">
        <v>6360</v>
      </c>
      <c r="BK221" s="76" t="b">
        <v>0</v>
      </c>
      <c r="BL221" s="76"/>
      <c r="BM221" s="76" t="s">
        <v>66</v>
      </c>
      <c r="BN221" s="76" t="s">
        <v>6362</v>
      </c>
      <c r="BO221" s="83" t="str">
        <f>HYPERLINK("https://twitter.com/metodotdl")</f>
        <v>https://twitter.com/metodotdl</v>
      </c>
      <c r="BP221" s="2"/>
    </row>
    <row r="222" spans="1:68" x14ac:dyDescent="0.25">
      <c r="A222" s="62" t="s">
        <v>425</v>
      </c>
      <c r="B222" s="63"/>
      <c r="C222" s="63"/>
      <c r="D222" s="64"/>
      <c r="E222" s="66"/>
      <c r="F222" s="102" t="str">
        <f>HYPERLINK("https://pbs.twimg.com/profile_images/1677000136701124608/bkma_mNv_normal.jpg")</f>
        <v>https://pbs.twimg.com/profile_images/1677000136701124608/bkma_mNv_normal.jpg</v>
      </c>
      <c r="G222" s="63"/>
      <c r="H222" s="67"/>
      <c r="I222" s="68"/>
      <c r="J222" s="68"/>
      <c r="K222" s="67" t="s">
        <v>6581</v>
      </c>
      <c r="L222" s="71"/>
      <c r="M222" s="72"/>
      <c r="N222" s="72"/>
      <c r="O222" s="73"/>
      <c r="P222" s="74"/>
      <c r="Q222" s="74"/>
      <c r="R222" s="86"/>
      <c r="S222" s="86"/>
      <c r="T222" s="86"/>
      <c r="U222" s="86"/>
      <c r="V222" s="48"/>
      <c r="W222" s="48"/>
      <c r="X222" s="48"/>
      <c r="Y222" s="48"/>
      <c r="Z222" s="47"/>
      <c r="AA222" s="69">
        <v>222</v>
      </c>
      <c r="AB222" s="69"/>
      <c r="AC222" s="70"/>
      <c r="AD222" s="76" t="s">
        <v>5541</v>
      </c>
      <c r="AE222" s="81" t="s">
        <v>5061</v>
      </c>
      <c r="AF222" s="76">
        <v>716</v>
      </c>
      <c r="AG222" s="76">
        <v>459</v>
      </c>
      <c r="AH222" s="76">
        <v>18041</v>
      </c>
      <c r="AI222" s="76">
        <v>9</v>
      </c>
      <c r="AJ222" s="76">
        <v>52299</v>
      </c>
      <c r="AK222" s="76">
        <v>366</v>
      </c>
      <c r="AL222" s="76" t="b">
        <v>0</v>
      </c>
      <c r="AM222" s="78">
        <v>43577.851944444446</v>
      </c>
      <c r="AN222" s="76" t="s">
        <v>5810</v>
      </c>
      <c r="AO222" s="83" t="str">
        <f>HYPERLINK("https://t.co/xIxV1zsRqu")</f>
        <v>https://t.co/xIxV1zsRqu</v>
      </c>
      <c r="AP222" s="76"/>
      <c r="AQ222" s="76"/>
      <c r="AR222" s="76"/>
      <c r="AS222" s="83" t="str">
        <f>HYPERLINK("https://t.co/xIxV1zsRqu")</f>
        <v>https://t.co/xIxV1zsRqu</v>
      </c>
      <c r="AT222" s="83" t="str">
        <f>HYPERLINK("http://dindinsemfim.blogspot.com")</f>
        <v>http://dindinsemfim.blogspot.com</v>
      </c>
      <c r="AU222" s="76" t="s">
        <v>6355</v>
      </c>
      <c r="AV222" s="76">
        <v>1.70688890491648E+18</v>
      </c>
      <c r="AW222" s="76"/>
      <c r="AX222" s="76" t="b">
        <v>1</v>
      </c>
      <c r="AY222" s="76"/>
      <c r="AZ222" s="76"/>
      <c r="BA222" s="76" t="b">
        <v>0</v>
      </c>
      <c r="BB222" s="76" t="b">
        <v>1</v>
      </c>
      <c r="BC222" s="76" t="b">
        <v>1</v>
      </c>
      <c r="BD222" s="76" t="b">
        <v>0</v>
      </c>
      <c r="BE222" s="76" t="b">
        <v>0</v>
      </c>
      <c r="BF222" s="76" t="b">
        <v>0</v>
      </c>
      <c r="BG222" s="76" t="b">
        <v>0</v>
      </c>
      <c r="BH222" s="83" t="str">
        <f>HYPERLINK("https://pbs.twimg.com/profile_banners/1120423731199975425/1567974890")</f>
        <v>https://pbs.twimg.com/profile_banners/1120423731199975425/1567974890</v>
      </c>
      <c r="BI222" s="76"/>
      <c r="BJ222" s="76" t="s">
        <v>6360</v>
      </c>
      <c r="BK222" s="76" t="b">
        <v>0</v>
      </c>
      <c r="BL222" s="76"/>
      <c r="BM222" s="76" t="s">
        <v>66</v>
      </c>
      <c r="BN222" s="76" t="s">
        <v>6362</v>
      </c>
      <c r="BO222" s="83" t="str">
        <f>HYPERLINK("https://twitter.com/realpauloborba")</f>
        <v>https://twitter.com/realpauloborba</v>
      </c>
      <c r="BP222" s="2"/>
    </row>
    <row r="223" spans="1:68" x14ac:dyDescent="0.25">
      <c r="A223" s="62" t="s">
        <v>426</v>
      </c>
      <c r="B223" s="63"/>
      <c r="C223" s="63"/>
      <c r="D223" s="64"/>
      <c r="E223" s="66"/>
      <c r="F223" s="102" t="str">
        <f>HYPERLINK("https://pbs.twimg.com/profile_images/1595057598604124160/bE-hv9lL_normal.jpg")</f>
        <v>https://pbs.twimg.com/profile_images/1595057598604124160/bE-hv9lL_normal.jpg</v>
      </c>
      <c r="G223" s="63"/>
      <c r="H223" s="67"/>
      <c r="I223" s="68"/>
      <c r="J223" s="68"/>
      <c r="K223" s="67" t="s">
        <v>6582</v>
      </c>
      <c r="L223" s="71"/>
      <c r="M223" s="72"/>
      <c r="N223" s="72"/>
      <c r="O223" s="73"/>
      <c r="P223" s="74"/>
      <c r="Q223" s="74"/>
      <c r="R223" s="86"/>
      <c r="S223" s="86"/>
      <c r="T223" s="86"/>
      <c r="U223" s="86"/>
      <c r="V223" s="48"/>
      <c r="W223" s="48"/>
      <c r="X223" s="48"/>
      <c r="Y223" s="48"/>
      <c r="Z223" s="47"/>
      <c r="AA223" s="69">
        <v>223</v>
      </c>
      <c r="AB223" s="69"/>
      <c r="AC223" s="70"/>
      <c r="AD223" s="76" t="s">
        <v>5542</v>
      </c>
      <c r="AE223" s="81" t="s">
        <v>5234</v>
      </c>
      <c r="AF223" s="76">
        <v>2</v>
      </c>
      <c r="AG223" s="76">
        <v>16</v>
      </c>
      <c r="AH223" s="76">
        <v>44</v>
      </c>
      <c r="AI223" s="76">
        <v>0</v>
      </c>
      <c r="AJ223" s="76">
        <v>5</v>
      </c>
      <c r="AK223" s="76">
        <v>36</v>
      </c>
      <c r="AL223" s="76" t="b">
        <v>0</v>
      </c>
      <c r="AM223" s="78">
        <v>44886.834849537037</v>
      </c>
      <c r="AN223" s="76" t="s">
        <v>5811</v>
      </c>
      <c r="AO223" s="76"/>
      <c r="AP223" s="83" t="str">
        <f>HYPERLINK("https://t.co/sbfaqK2jo2")</f>
        <v>https://t.co/sbfaqK2jo2</v>
      </c>
      <c r="AQ223" s="83" t="str">
        <f>HYPERLINK("http://www.fiscco.cnt.br")</f>
        <v>http://www.fiscco.cnt.br</v>
      </c>
      <c r="AR223" s="76" t="s">
        <v>6271</v>
      </c>
      <c r="AS223" s="76"/>
      <c r="AT223" s="76"/>
      <c r="AU223" s="76"/>
      <c r="AV223" s="76"/>
      <c r="AW223" s="83" t="str">
        <f>HYPERLINK("https://t.co/sbfaqK2jo2")</f>
        <v>https://t.co/sbfaqK2jo2</v>
      </c>
      <c r="AX223" s="76" t="b">
        <v>0</v>
      </c>
      <c r="AY223" s="76"/>
      <c r="AZ223" s="76"/>
      <c r="BA223" s="76" t="b">
        <v>0</v>
      </c>
      <c r="BB223" s="76" t="b">
        <v>1</v>
      </c>
      <c r="BC223" s="76" t="b">
        <v>1</v>
      </c>
      <c r="BD223" s="76" t="b">
        <v>0</v>
      </c>
      <c r="BE223" s="76" t="b">
        <v>0</v>
      </c>
      <c r="BF223" s="76" t="b">
        <v>0</v>
      </c>
      <c r="BG223" s="76" t="b">
        <v>0</v>
      </c>
      <c r="BH223" s="83" t="str">
        <f>HYPERLINK("https://pbs.twimg.com/profile_banners/1594783031587442709/1669128177")</f>
        <v>https://pbs.twimg.com/profile_banners/1594783031587442709/1669128177</v>
      </c>
      <c r="BI223" s="76"/>
      <c r="BJ223" s="76" t="s">
        <v>6360</v>
      </c>
      <c r="BK223" s="76" t="b">
        <v>0</v>
      </c>
      <c r="BL223" s="76"/>
      <c r="BM223" s="76" t="s">
        <v>66</v>
      </c>
      <c r="BN223" s="76" t="s">
        <v>6362</v>
      </c>
      <c r="BO223" s="83" t="str">
        <f>HYPERLINK("https://twitter.com/fiscco_cnt")</f>
        <v>https://twitter.com/fiscco_cnt</v>
      </c>
      <c r="BP223" s="2"/>
    </row>
    <row r="224" spans="1:68" x14ac:dyDescent="0.25">
      <c r="A224" s="62" t="s">
        <v>427</v>
      </c>
      <c r="B224" s="63"/>
      <c r="C224" s="63"/>
      <c r="D224" s="64"/>
      <c r="E224" s="66"/>
      <c r="F224" s="102" t="str">
        <f>HYPERLINK("https://pbs.twimg.com/profile_images/1638982532787064835/tHQH37NF_normal.jpg")</f>
        <v>https://pbs.twimg.com/profile_images/1638982532787064835/tHQH37NF_normal.jpg</v>
      </c>
      <c r="G224" s="63"/>
      <c r="H224" s="67"/>
      <c r="I224" s="68"/>
      <c r="J224" s="68"/>
      <c r="K224" s="67" t="s">
        <v>6583</v>
      </c>
      <c r="L224" s="71"/>
      <c r="M224" s="72"/>
      <c r="N224" s="72"/>
      <c r="O224" s="73"/>
      <c r="P224" s="74"/>
      <c r="Q224" s="74"/>
      <c r="R224" s="86"/>
      <c r="S224" s="86"/>
      <c r="T224" s="86"/>
      <c r="U224" s="86"/>
      <c r="V224" s="48"/>
      <c r="W224" s="48"/>
      <c r="X224" s="48"/>
      <c r="Y224" s="48"/>
      <c r="Z224" s="47"/>
      <c r="AA224" s="69">
        <v>224</v>
      </c>
      <c r="AB224" s="69"/>
      <c r="AC224" s="70"/>
      <c r="AD224" s="76" t="s">
        <v>5543</v>
      </c>
      <c r="AE224" s="81" t="s">
        <v>5235</v>
      </c>
      <c r="AF224" s="76">
        <v>2</v>
      </c>
      <c r="AG224" s="76">
        <v>95</v>
      </c>
      <c r="AH224" s="76">
        <v>62</v>
      </c>
      <c r="AI224" s="76">
        <v>0</v>
      </c>
      <c r="AJ224" s="76">
        <v>0</v>
      </c>
      <c r="AK224" s="76">
        <v>62</v>
      </c>
      <c r="AL224" s="76" t="b">
        <v>0</v>
      </c>
      <c r="AM224" s="78">
        <v>45008.801423611112</v>
      </c>
      <c r="AN224" s="76" t="s">
        <v>5812</v>
      </c>
      <c r="AO224" s="76" t="s">
        <v>6056</v>
      </c>
      <c r="AP224" s="83" t="str">
        <f>HYPERLINK("https://t.co/nOeLUjjXJJ")</f>
        <v>https://t.co/nOeLUjjXJJ</v>
      </c>
      <c r="AQ224" s="83" t="str">
        <f>HYPERLINK("https://policorretora.com.br/")</f>
        <v>https://policorretora.com.br/</v>
      </c>
      <c r="AR224" s="76" t="s">
        <v>6272</v>
      </c>
      <c r="AS224" s="76"/>
      <c r="AT224" s="76"/>
      <c r="AU224" s="76"/>
      <c r="AV224" s="76"/>
      <c r="AW224" s="83" t="str">
        <f>HYPERLINK("https://t.co/nOeLUjjXJJ")</f>
        <v>https://t.co/nOeLUjjXJJ</v>
      </c>
      <c r="AX224" s="76" t="b">
        <v>0</v>
      </c>
      <c r="AY224" s="76"/>
      <c r="AZ224" s="76"/>
      <c r="BA224" s="76" t="b">
        <v>0</v>
      </c>
      <c r="BB224" s="76" t="b">
        <v>1</v>
      </c>
      <c r="BC224" s="76" t="b">
        <v>1</v>
      </c>
      <c r="BD224" s="76" t="b">
        <v>0</v>
      </c>
      <c r="BE224" s="76" t="b">
        <v>0</v>
      </c>
      <c r="BF224" s="76" t="b">
        <v>0</v>
      </c>
      <c r="BG224" s="76" t="b">
        <v>0</v>
      </c>
      <c r="BH224" s="83" t="str">
        <f>HYPERLINK("https://pbs.twimg.com/profile_banners/1638982291195084802/1679599089")</f>
        <v>https://pbs.twimg.com/profile_banners/1638982291195084802/1679599089</v>
      </c>
      <c r="BI224" s="76"/>
      <c r="BJ224" s="76" t="s">
        <v>6360</v>
      </c>
      <c r="BK224" s="76" t="b">
        <v>0</v>
      </c>
      <c r="BL224" s="76"/>
      <c r="BM224" s="76" t="s">
        <v>66</v>
      </c>
      <c r="BN224" s="76" t="s">
        <v>6362</v>
      </c>
      <c r="BO224" s="83" t="str">
        <f>HYPERLINK("https://twitter.com/poli_corretora")</f>
        <v>https://twitter.com/poli_corretora</v>
      </c>
      <c r="BP224" s="2"/>
    </row>
    <row r="225" spans="1:68" x14ac:dyDescent="0.25">
      <c r="A225" s="62" t="s">
        <v>428</v>
      </c>
      <c r="B225" s="63"/>
      <c r="C225" s="63"/>
      <c r="D225" s="64"/>
      <c r="E225" s="66"/>
      <c r="F225" s="102" t="str">
        <f>HYPERLINK("https://pbs.twimg.com/profile_images/1652156545273155587/aOna59Bm_normal.jpg")</f>
        <v>https://pbs.twimg.com/profile_images/1652156545273155587/aOna59Bm_normal.jpg</v>
      </c>
      <c r="G225" s="63"/>
      <c r="H225" s="67"/>
      <c r="I225" s="68"/>
      <c r="J225" s="68"/>
      <c r="K225" s="67" t="s">
        <v>6584</v>
      </c>
      <c r="L225" s="71"/>
      <c r="M225" s="72"/>
      <c r="N225" s="72"/>
      <c r="O225" s="73"/>
      <c r="P225" s="74"/>
      <c r="Q225" s="74"/>
      <c r="R225" s="86"/>
      <c r="S225" s="86"/>
      <c r="T225" s="86"/>
      <c r="U225" s="86"/>
      <c r="V225" s="48"/>
      <c r="W225" s="48"/>
      <c r="X225" s="48"/>
      <c r="Y225" s="48"/>
      <c r="Z225" s="47"/>
      <c r="AA225" s="69">
        <v>225</v>
      </c>
      <c r="AB225" s="69"/>
      <c r="AC225" s="70"/>
      <c r="AD225" s="76" t="s">
        <v>5544</v>
      </c>
      <c r="AE225" s="81" t="s">
        <v>5236</v>
      </c>
      <c r="AF225" s="76">
        <v>1</v>
      </c>
      <c r="AG225" s="76">
        <v>29</v>
      </c>
      <c r="AH225" s="76">
        <v>3</v>
      </c>
      <c r="AI225" s="76">
        <v>1</v>
      </c>
      <c r="AJ225" s="76">
        <v>0</v>
      </c>
      <c r="AK225" s="76">
        <v>3</v>
      </c>
      <c r="AL225" s="76" t="b">
        <v>0</v>
      </c>
      <c r="AM225" s="78">
        <v>45016.169062499997</v>
      </c>
      <c r="AN225" s="76"/>
      <c r="AO225" s="76" t="s">
        <v>6057</v>
      </c>
      <c r="AP225" s="83" t="str">
        <f>HYPERLINK("https://t.co/hW4T7DJcQU")</f>
        <v>https://t.co/hW4T7DJcQU</v>
      </c>
      <c r="AQ225" s="83" t="str">
        <f>HYPERLINK("https://pobrepoupa.com.br/")</f>
        <v>https://pobrepoupa.com.br/</v>
      </c>
      <c r="AR225" s="76" t="s">
        <v>6273</v>
      </c>
      <c r="AS225" s="76"/>
      <c r="AT225" s="76"/>
      <c r="AU225" s="76"/>
      <c r="AV225" s="76"/>
      <c r="AW225" s="83" t="str">
        <f>HYPERLINK("https://t.co/hW4T7DJcQU")</f>
        <v>https://t.co/hW4T7DJcQU</v>
      </c>
      <c r="AX225" s="76" t="b">
        <v>0</v>
      </c>
      <c r="AY225" s="76"/>
      <c r="AZ225" s="76"/>
      <c r="BA225" s="76" t="b">
        <v>0</v>
      </c>
      <c r="BB225" s="76" t="b">
        <v>1</v>
      </c>
      <c r="BC225" s="76" t="b">
        <v>1</v>
      </c>
      <c r="BD225" s="76" t="b">
        <v>0</v>
      </c>
      <c r="BE225" s="76" t="b">
        <v>0</v>
      </c>
      <c r="BF225" s="76" t="b">
        <v>0</v>
      </c>
      <c r="BG225" s="76" t="b">
        <v>0</v>
      </c>
      <c r="BH225" s="83" t="str">
        <f>HYPERLINK("https://pbs.twimg.com/profile_banners/1641652164480184321/1682739792")</f>
        <v>https://pbs.twimg.com/profile_banners/1641652164480184321/1682739792</v>
      </c>
      <c r="BI225" s="76"/>
      <c r="BJ225" s="76" t="s">
        <v>6360</v>
      </c>
      <c r="BK225" s="76" t="b">
        <v>0</v>
      </c>
      <c r="BL225" s="76"/>
      <c r="BM225" s="76" t="s">
        <v>66</v>
      </c>
      <c r="BN225" s="76" t="s">
        <v>6362</v>
      </c>
      <c r="BO225" s="83" t="str">
        <f>HYPERLINK("https://twitter.com/pobrepoupa")</f>
        <v>https://twitter.com/pobrepoupa</v>
      </c>
      <c r="BP225" s="2"/>
    </row>
    <row r="226" spans="1:68" x14ac:dyDescent="0.25">
      <c r="A226" s="62" t="s">
        <v>429</v>
      </c>
      <c r="B226" s="63"/>
      <c r="C226" s="63"/>
      <c r="D226" s="64"/>
      <c r="E226" s="66"/>
      <c r="F226" s="102" t="str">
        <f>HYPERLINK("https://pbs.twimg.com/profile_images/2725090237/018522894a55aca0ed6cdbc82f9eb1de_normal.png")</f>
        <v>https://pbs.twimg.com/profile_images/2725090237/018522894a55aca0ed6cdbc82f9eb1de_normal.png</v>
      </c>
      <c r="G226" s="63"/>
      <c r="H226" s="67"/>
      <c r="I226" s="68"/>
      <c r="J226" s="68"/>
      <c r="K226" s="67" t="s">
        <v>6585</v>
      </c>
      <c r="L226" s="71"/>
      <c r="M226" s="72"/>
      <c r="N226" s="72"/>
      <c r="O226" s="73"/>
      <c r="P226" s="74"/>
      <c r="Q226" s="74"/>
      <c r="R226" s="86"/>
      <c r="S226" s="86"/>
      <c r="T226" s="86"/>
      <c r="U226" s="86"/>
      <c r="V226" s="48"/>
      <c r="W226" s="48"/>
      <c r="X226" s="48"/>
      <c r="Y226" s="48"/>
      <c r="Z226" s="47"/>
      <c r="AA226" s="69">
        <v>226</v>
      </c>
      <c r="AB226" s="69"/>
      <c r="AC226" s="70"/>
      <c r="AD226" s="76" t="s">
        <v>5545</v>
      </c>
      <c r="AE226" s="81" t="s">
        <v>5704</v>
      </c>
      <c r="AF226" s="76">
        <v>309</v>
      </c>
      <c r="AG226" s="76">
        <v>871</v>
      </c>
      <c r="AH226" s="76">
        <v>21247</v>
      </c>
      <c r="AI226" s="76">
        <v>2</v>
      </c>
      <c r="AJ226" s="76">
        <v>412</v>
      </c>
      <c r="AK226" s="76">
        <v>385</v>
      </c>
      <c r="AL226" s="76" t="b">
        <v>0</v>
      </c>
      <c r="AM226" s="78">
        <v>40778.588078703702</v>
      </c>
      <c r="AN226" s="76" t="s">
        <v>5813</v>
      </c>
      <c r="AO226" s="76" t="s">
        <v>6058</v>
      </c>
      <c r="AP226" s="76"/>
      <c r="AQ226" s="76"/>
      <c r="AR226" s="76"/>
      <c r="AS226" s="76"/>
      <c r="AT226" s="76"/>
      <c r="AU226" s="76"/>
      <c r="AV226" s="76">
        <v>1.12505539921077E+18</v>
      </c>
      <c r="AW226" s="76"/>
      <c r="AX226" s="76" t="b">
        <v>0</v>
      </c>
      <c r="AY226" s="76"/>
      <c r="AZ226" s="76"/>
      <c r="BA226" s="76" t="b">
        <v>1</v>
      </c>
      <c r="BB226" s="76" t="b">
        <v>1</v>
      </c>
      <c r="BC226" s="76" t="b">
        <v>1</v>
      </c>
      <c r="BD226" s="76" t="b">
        <v>0</v>
      </c>
      <c r="BE226" s="76" t="b">
        <v>1</v>
      </c>
      <c r="BF226" s="76" t="b">
        <v>0</v>
      </c>
      <c r="BG226" s="76" t="b">
        <v>0</v>
      </c>
      <c r="BH226" s="76"/>
      <c r="BI226" s="76"/>
      <c r="BJ226" s="76" t="s">
        <v>6360</v>
      </c>
      <c r="BK226" s="76" t="b">
        <v>0</v>
      </c>
      <c r="BL226" s="76"/>
      <c r="BM226" s="76" t="s">
        <v>66</v>
      </c>
      <c r="BN226" s="76" t="s">
        <v>6362</v>
      </c>
      <c r="BO226" s="83" t="str">
        <f>HYPERLINK("https://twitter.com/correa899")</f>
        <v>https://twitter.com/correa899</v>
      </c>
      <c r="BP226" s="2"/>
    </row>
    <row r="227" spans="1:68" x14ac:dyDescent="0.25">
      <c r="A227" s="62" t="s">
        <v>430</v>
      </c>
      <c r="B227" s="63"/>
      <c r="C227" s="63"/>
      <c r="D227" s="64"/>
      <c r="E227" s="66"/>
      <c r="F227" s="102" t="str">
        <f>HYPERLINK("https://pbs.twimg.com/profile_images/1704850574251048961/AknV3Mfs_normal.jpg")</f>
        <v>https://pbs.twimg.com/profile_images/1704850574251048961/AknV3Mfs_normal.jpg</v>
      </c>
      <c r="G227" s="63"/>
      <c r="H227" s="67"/>
      <c r="I227" s="68"/>
      <c r="J227" s="68"/>
      <c r="K227" s="67" t="s">
        <v>6586</v>
      </c>
      <c r="L227" s="71"/>
      <c r="M227" s="72"/>
      <c r="N227" s="72"/>
      <c r="O227" s="73"/>
      <c r="P227" s="74"/>
      <c r="Q227" s="74"/>
      <c r="R227" s="86"/>
      <c r="S227" s="86"/>
      <c r="T227" s="86"/>
      <c r="U227" s="86"/>
      <c r="V227" s="48"/>
      <c r="W227" s="48"/>
      <c r="X227" s="48"/>
      <c r="Y227" s="48"/>
      <c r="Z227" s="47"/>
      <c r="AA227" s="69">
        <v>227</v>
      </c>
      <c r="AB227" s="69"/>
      <c r="AC227" s="70"/>
      <c r="AD227" s="76" t="s">
        <v>5546</v>
      </c>
      <c r="AE227" s="81" t="s">
        <v>5237</v>
      </c>
      <c r="AF227" s="76">
        <v>12</v>
      </c>
      <c r="AG227" s="76">
        <v>1</v>
      </c>
      <c r="AH227" s="76">
        <v>131</v>
      </c>
      <c r="AI227" s="76">
        <v>0</v>
      </c>
      <c r="AJ227" s="76">
        <v>7</v>
      </c>
      <c r="AK227" s="76">
        <v>131</v>
      </c>
      <c r="AL227" s="76" t="b">
        <v>0</v>
      </c>
      <c r="AM227" s="78">
        <v>44699.774398148147</v>
      </c>
      <c r="AN227" s="76" t="s">
        <v>3415</v>
      </c>
      <c r="AO227" s="76" t="s">
        <v>6059</v>
      </c>
      <c r="AP227" s="83" t="str">
        <f>HYPERLINK("https://t.co/68FGKEQyef")</f>
        <v>https://t.co/68FGKEQyef</v>
      </c>
      <c r="AQ227" s="83" t="str">
        <f>HYPERLINK("http://evoyconsorcios.com.br")</f>
        <v>http://evoyconsorcios.com.br</v>
      </c>
      <c r="AR227" s="76" t="s">
        <v>6274</v>
      </c>
      <c r="AS227" s="76"/>
      <c r="AT227" s="76"/>
      <c r="AU227" s="76"/>
      <c r="AV227" s="76"/>
      <c r="AW227" s="83" t="str">
        <f>HYPERLINK("https://t.co/68FGKEQyef")</f>
        <v>https://t.co/68FGKEQyef</v>
      </c>
      <c r="AX227" s="76" t="b">
        <v>0</v>
      </c>
      <c r="AY227" s="76"/>
      <c r="AZ227" s="76"/>
      <c r="BA227" s="76" t="b">
        <v>0</v>
      </c>
      <c r="BB227" s="76" t="b">
        <v>1</v>
      </c>
      <c r="BC227" s="76" t="b">
        <v>1</v>
      </c>
      <c r="BD227" s="76" t="b">
        <v>0</v>
      </c>
      <c r="BE227" s="76" t="b">
        <v>0</v>
      </c>
      <c r="BF227" s="76" t="b">
        <v>0</v>
      </c>
      <c r="BG227" s="76" t="b">
        <v>0</v>
      </c>
      <c r="BH227" s="83" t="str">
        <f>HYPERLINK("https://pbs.twimg.com/profile_banners/1526994674782814208/1652900117")</f>
        <v>https://pbs.twimg.com/profile_banners/1526994674782814208/1652900117</v>
      </c>
      <c r="BI227" s="76"/>
      <c r="BJ227" s="76" t="s">
        <v>6360</v>
      </c>
      <c r="BK227" s="76" t="b">
        <v>0</v>
      </c>
      <c r="BL227" s="76"/>
      <c r="BM227" s="76" t="s">
        <v>66</v>
      </c>
      <c r="BN227" s="76" t="s">
        <v>6362</v>
      </c>
      <c r="BO227" s="83" t="str">
        <f>HYPERLINK("https://twitter.com/evoyconsorcios")</f>
        <v>https://twitter.com/evoyconsorcios</v>
      </c>
      <c r="BP227" s="2"/>
    </row>
    <row r="228" spans="1:68" x14ac:dyDescent="0.25">
      <c r="A228" s="62" t="s">
        <v>431</v>
      </c>
      <c r="B228" s="63"/>
      <c r="C228" s="63"/>
      <c r="D228" s="64"/>
      <c r="E228" s="66"/>
      <c r="F228" s="102" t="str">
        <f>HYPERLINK("https://pbs.twimg.com/profile_images/1637811671782572039/2HtsA6mn_normal.jpg")</f>
        <v>https://pbs.twimg.com/profile_images/1637811671782572039/2HtsA6mn_normal.jpg</v>
      </c>
      <c r="G228" s="63"/>
      <c r="H228" s="67"/>
      <c r="I228" s="68"/>
      <c r="J228" s="68"/>
      <c r="K228" s="67" t="s">
        <v>6587</v>
      </c>
      <c r="L228" s="71"/>
      <c r="M228" s="72"/>
      <c r="N228" s="72"/>
      <c r="O228" s="73"/>
      <c r="P228" s="74"/>
      <c r="Q228" s="74"/>
      <c r="R228" s="86"/>
      <c r="S228" s="86"/>
      <c r="T228" s="86"/>
      <c r="U228" s="86"/>
      <c r="V228" s="48"/>
      <c r="W228" s="48"/>
      <c r="X228" s="48"/>
      <c r="Y228" s="48"/>
      <c r="Z228" s="47"/>
      <c r="AA228" s="69">
        <v>228</v>
      </c>
      <c r="AB228" s="69"/>
      <c r="AC228" s="70"/>
      <c r="AD228" s="76" t="s">
        <v>5547</v>
      </c>
      <c r="AE228" s="81" t="s">
        <v>5238</v>
      </c>
      <c r="AF228" s="76">
        <v>48</v>
      </c>
      <c r="AG228" s="76">
        <v>2</v>
      </c>
      <c r="AH228" s="76">
        <v>773</v>
      </c>
      <c r="AI228" s="76">
        <v>0</v>
      </c>
      <c r="AJ228" s="76">
        <v>0</v>
      </c>
      <c r="AK228" s="76">
        <v>691</v>
      </c>
      <c r="AL228" s="76" t="b">
        <v>0</v>
      </c>
      <c r="AM228" s="78">
        <v>42905.597083333334</v>
      </c>
      <c r="AN228" s="76" t="s">
        <v>5814</v>
      </c>
      <c r="AO228" s="76" t="s">
        <v>6060</v>
      </c>
      <c r="AP228" s="83" t="str">
        <f>HYPERLINK("https://t.co/XNM9X7Meax")</f>
        <v>https://t.co/XNM9X7Meax</v>
      </c>
      <c r="AQ228" s="83" t="str">
        <f>HYPERLINK("http://www.unicred.com.br")</f>
        <v>http://www.unicred.com.br</v>
      </c>
      <c r="AR228" s="76" t="s">
        <v>6275</v>
      </c>
      <c r="AS228" s="76"/>
      <c r="AT228" s="76"/>
      <c r="AU228" s="76"/>
      <c r="AV228" s="76"/>
      <c r="AW228" s="83" t="str">
        <f>HYPERLINK("https://t.co/XNM9X7Meax")</f>
        <v>https://t.co/XNM9X7Meax</v>
      </c>
      <c r="AX228" s="76" t="b">
        <v>0</v>
      </c>
      <c r="AY228" s="76"/>
      <c r="AZ228" s="76"/>
      <c r="BA228" s="76" t="b">
        <v>0</v>
      </c>
      <c r="BB228" s="76" t="b">
        <v>1</v>
      </c>
      <c r="BC228" s="76" t="b">
        <v>1</v>
      </c>
      <c r="BD228" s="76" t="b">
        <v>0</v>
      </c>
      <c r="BE228" s="76" t="b">
        <v>0</v>
      </c>
      <c r="BF228" s="76" t="b">
        <v>0</v>
      </c>
      <c r="BG228" s="76" t="b">
        <v>0</v>
      </c>
      <c r="BH228" s="83" t="str">
        <f>HYPERLINK("https://pbs.twimg.com/profile_banners/876806725684297728/1679319716")</f>
        <v>https://pbs.twimg.com/profile_banners/876806725684297728/1679319716</v>
      </c>
      <c r="BI228" s="76"/>
      <c r="BJ228" s="76" t="s">
        <v>6360</v>
      </c>
      <c r="BK228" s="76" t="b">
        <v>0</v>
      </c>
      <c r="BL228" s="76"/>
      <c r="BM228" s="76" t="s">
        <v>66</v>
      </c>
      <c r="BN228" s="76" t="s">
        <v>6362</v>
      </c>
      <c r="BO228" s="83" t="str">
        <f>HYPERLINK("https://twitter.com/unicredcentral")</f>
        <v>https://twitter.com/unicredcentral</v>
      </c>
      <c r="BP228" s="2"/>
    </row>
    <row r="229" spans="1:68" x14ac:dyDescent="0.25">
      <c r="A229" s="62" t="s">
        <v>432</v>
      </c>
      <c r="B229" s="63"/>
      <c r="C229" s="63"/>
      <c r="D229" s="64"/>
      <c r="E229" s="66"/>
      <c r="F229" s="102" t="str">
        <f>HYPERLINK("https://pbs.twimg.com/profile_images/1582436644677947397/26YfqVoR_normal.jpg")</f>
        <v>https://pbs.twimg.com/profile_images/1582436644677947397/26YfqVoR_normal.jpg</v>
      </c>
      <c r="G229" s="63"/>
      <c r="H229" s="67"/>
      <c r="I229" s="68"/>
      <c r="J229" s="68"/>
      <c r="K229" s="67" t="s">
        <v>6588</v>
      </c>
      <c r="L229" s="71"/>
      <c r="M229" s="72"/>
      <c r="N229" s="72"/>
      <c r="O229" s="73"/>
      <c r="P229" s="74"/>
      <c r="Q229" s="74"/>
      <c r="R229" s="86"/>
      <c r="S229" s="86"/>
      <c r="T229" s="86"/>
      <c r="U229" s="86"/>
      <c r="V229" s="48"/>
      <c r="W229" s="48"/>
      <c r="X229" s="48"/>
      <c r="Y229" s="48"/>
      <c r="Z229" s="47"/>
      <c r="AA229" s="69">
        <v>229</v>
      </c>
      <c r="AB229" s="69"/>
      <c r="AC229" s="70"/>
      <c r="AD229" s="76" t="s">
        <v>5548</v>
      </c>
      <c r="AE229" s="81" t="s">
        <v>5062</v>
      </c>
      <c r="AF229" s="76">
        <v>332</v>
      </c>
      <c r="AG229" s="76">
        <v>149</v>
      </c>
      <c r="AH229" s="76">
        <v>2793</v>
      </c>
      <c r="AI229" s="76">
        <v>3</v>
      </c>
      <c r="AJ229" s="76">
        <v>470</v>
      </c>
      <c r="AK229" s="76">
        <v>2193</v>
      </c>
      <c r="AL229" s="76" t="b">
        <v>0</v>
      </c>
      <c r="AM229" s="78">
        <v>43002.150173611109</v>
      </c>
      <c r="AN229" s="76"/>
      <c r="AO229" s="76" t="s">
        <v>6061</v>
      </c>
      <c r="AP229" s="83" t="str">
        <f>HYPERLINK("https://t.co/49j5h9wGdk")</f>
        <v>https://t.co/49j5h9wGdk</v>
      </c>
      <c r="AQ229" s="83" t="str">
        <f>HYPERLINK("http://sebrae.ro/bio")</f>
        <v>http://sebrae.ro/bio</v>
      </c>
      <c r="AR229" s="76" t="s">
        <v>6276</v>
      </c>
      <c r="AS229" s="83" t="str">
        <f>HYPERLINK("https://t.co/Rezjedqblv")</f>
        <v>https://t.co/Rezjedqblv</v>
      </c>
      <c r="AT229" s="83" t="str">
        <f>HYPERLINK("http://sebrae.ro")</f>
        <v>http://sebrae.ro</v>
      </c>
      <c r="AU229" s="76" t="s">
        <v>6356</v>
      </c>
      <c r="AV229" s="76"/>
      <c r="AW229" s="83" t="str">
        <f>HYPERLINK("https://t.co/49j5h9wGdk")</f>
        <v>https://t.co/49j5h9wGdk</v>
      </c>
      <c r="AX229" s="76" t="b">
        <v>0</v>
      </c>
      <c r="AY229" s="76"/>
      <c r="AZ229" s="76"/>
      <c r="BA229" s="76" t="b">
        <v>1</v>
      </c>
      <c r="BB229" s="76" t="b">
        <v>1</v>
      </c>
      <c r="BC229" s="76" t="b">
        <v>0</v>
      </c>
      <c r="BD229" s="76" t="b">
        <v>0</v>
      </c>
      <c r="BE229" s="76" t="b">
        <v>0</v>
      </c>
      <c r="BF229" s="76" t="b">
        <v>0</v>
      </c>
      <c r="BG229" s="76" t="b">
        <v>0</v>
      </c>
      <c r="BH229" s="83" t="str">
        <f>HYPERLINK("https://pbs.twimg.com/profile_banners/911796394641559553/1678280598")</f>
        <v>https://pbs.twimg.com/profile_banners/911796394641559553/1678280598</v>
      </c>
      <c r="BI229" s="76"/>
      <c r="BJ229" s="76" t="s">
        <v>6360</v>
      </c>
      <c r="BK229" s="76" t="b">
        <v>0</v>
      </c>
      <c r="BL229" s="76"/>
      <c r="BM229" s="76" t="s">
        <v>66</v>
      </c>
      <c r="BN229" s="76" t="s">
        <v>6362</v>
      </c>
      <c r="BO229" s="83" t="str">
        <f>HYPERLINK("https://twitter.com/sebraero")</f>
        <v>https://twitter.com/sebraero</v>
      </c>
      <c r="BP229" s="2"/>
    </row>
    <row r="230" spans="1:68" x14ac:dyDescent="0.25">
      <c r="A230" s="62" t="s">
        <v>433</v>
      </c>
      <c r="B230" s="63"/>
      <c r="C230" s="63"/>
      <c r="D230" s="64"/>
      <c r="E230" s="66"/>
      <c r="F230" s="102" t="str">
        <f>HYPERLINK("https://pbs.twimg.com/profile_images/1689801054475427840/ZkFb30cE_normal.jpg")</f>
        <v>https://pbs.twimg.com/profile_images/1689801054475427840/ZkFb30cE_normal.jpg</v>
      </c>
      <c r="G230" s="63"/>
      <c r="H230" s="67"/>
      <c r="I230" s="68"/>
      <c r="J230" s="68"/>
      <c r="K230" s="67" t="s">
        <v>6589</v>
      </c>
      <c r="L230" s="71"/>
      <c r="M230" s="72"/>
      <c r="N230" s="72"/>
      <c r="O230" s="73"/>
      <c r="P230" s="74"/>
      <c r="Q230" s="74"/>
      <c r="R230" s="86"/>
      <c r="S230" s="86"/>
      <c r="T230" s="86"/>
      <c r="U230" s="86"/>
      <c r="V230" s="48"/>
      <c r="W230" s="48"/>
      <c r="X230" s="48"/>
      <c r="Y230" s="48"/>
      <c r="Z230" s="47"/>
      <c r="AA230" s="69">
        <v>230</v>
      </c>
      <c r="AB230" s="69"/>
      <c r="AC230" s="70"/>
      <c r="AD230" s="76" t="s">
        <v>5549</v>
      </c>
      <c r="AE230" s="81" t="s">
        <v>5239</v>
      </c>
      <c r="AF230" s="76">
        <v>487</v>
      </c>
      <c r="AG230" s="76">
        <v>173</v>
      </c>
      <c r="AH230" s="76">
        <v>7795</v>
      </c>
      <c r="AI230" s="76">
        <v>0</v>
      </c>
      <c r="AJ230" s="76">
        <v>9226</v>
      </c>
      <c r="AK230" s="76">
        <v>902</v>
      </c>
      <c r="AL230" s="76" t="b">
        <v>0</v>
      </c>
      <c r="AM230" s="78">
        <v>43844.755555555559</v>
      </c>
      <c r="AN230" s="76" t="s">
        <v>3435</v>
      </c>
      <c r="AO230" s="76" t="s">
        <v>6062</v>
      </c>
      <c r="AP230" s="76"/>
      <c r="AQ230" s="76"/>
      <c r="AR230" s="76"/>
      <c r="AS230" s="76"/>
      <c r="AT230" s="76"/>
      <c r="AU230" s="76"/>
      <c r="AV230" s="76">
        <v>1.67986534214992E+18</v>
      </c>
      <c r="AW230" s="76"/>
      <c r="AX230" s="76" t="b">
        <v>0</v>
      </c>
      <c r="AY230" s="76"/>
      <c r="AZ230" s="76"/>
      <c r="BA230" s="76" t="b">
        <v>0</v>
      </c>
      <c r="BB230" s="76" t="b">
        <v>0</v>
      </c>
      <c r="BC230" s="76" t="b">
        <v>1</v>
      </c>
      <c r="BD230" s="76" t="b">
        <v>0</v>
      </c>
      <c r="BE230" s="76" t="b">
        <v>1</v>
      </c>
      <c r="BF230" s="76" t="b">
        <v>0</v>
      </c>
      <c r="BG230" s="76" t="b">
        <v>0</v>
      </c>
      <c r="BH230" s="83" t="str">
        <f>HYPERLINK("https://pbs.twimg.com/profile_banners/1217146338279854082/1641923603")</f>
        <v>https://pbs.twimg.com/profile_banners/1217146338279854082/1641923603</v>
      </c>
      <c r="BI230" s="76"/>
      <c r="BJ230" s="76" t="s">
        <v>6360</v>
      </c>
      <c r="BK230" s="76" t="b">
        <v>0</v>
      </c>
      <c r="BL230" s="76"/>
      <c r="BM230" s="76" t="s">
        <v>66</v>
      </c>
      <c r="BN230" s="76" t="s">
        <v>6362</v>
      </c>
      <c r="BO230" s="83" t="str">
        <f>HYPERLINK("https://twitter.com/feelingmeowmeow")</f>
        <v>https://twitter.com/feelingmeowmeow</v>
      </c>
      <c r="BP230" s="2"/>
    </row>
    <row r="231" spans="1:68" x14ac:dyDescent="0.25">
      <c r="A231" s="62" t="s">
        <v>434</v>
      </c>
      <c r="B231" s="63"/>
      <c r="C231" s="63"/>
      <c r="D231" s="64"/>
      <c r="E231" s="66"/>
      <c r="F231" s="102" t="str">
        <f>HYPERLINK("https://pbs.twimg.com/profile_images/1088414285057966081/4wwcJz7e_normal.jpg")</f>
        <v>https://pbs.twimg.com/profile_images/1088414285057966081/4wwcJz7e_normal.jpg</v>
      </c>
      <c r="G231" s="63"/>
      <c r="H231" s="67"/>
      <c r="I231" s="68"/>
      <c r="J231" s="68"/>
      <c r="K231" s="67" t="s">
        <v>6590</v>
      </c>
      <c r="L231" s="71"/>
      <c r="M231" s="72"/>
      <c r="N231" s="72"/>
      <c r="O231" s="73"/>
      <c r="P231" s="74"/>
      <c r="Q231" s="74"/>
      <c r="R231" s="86"/>
      <c r="S231" s="86"/>
      <c r="T231" s="86"/>
      <c r="U231" s="86"/>
      <c r="V231" s="48"/>
      <c r="W231" s="48"/>
      <c r="X231" s="48"/>
      <c r="Y231" s="48"/>
      <c r="Z231" s="47"/>
      <c r="AA231" s="69">
        <v>231</v>
      </c>
      <c r="AB231" s="69"/>
      <c r="AC231" s="70"/>
      <c r="AD231" s="76" t="s">
        <v>5550</v>
      </c>
      <c r="AE231" s="81" t="s">
        <v>5240</v>
      </c>
      <c r="AF231" s="76">
        <v>9</v>
      </c>
      <c r="AG231" s="76">
        <v>3</v>
      </c>
      <c r="AH231" s="76">
        <v>1007</v>
      </c>
      <c r="AI231" s="76">
        <v>0</v>
      </c>
      <c r="AJ231" s="76">
        <v>39</v>
      </c>
      <c r="AK231" s="76">
        <v>1001</v>
      </c>
      <c r="AL231" s="76" t="b">
        <v>0</v>
      </c>
      <c r="AM231" s="78">
        <v>43489.516574074078</v>
      </c>
      <c r="AN231" s="76" t="s">
        <v>5753</v>
      </c>
      <c r="AO231" s="76" t="s">
        <v>6063</v>
      </c>
      <c r="AP231" s="76"/>
      <c r="AQ231" s="76"/>
      <c r="AR231" s="76"/>
      <c r="AS231" s="76"/>
      <c r="AT231" s="76"/>
      <c r="AU231" s="76"/>
      <c r="AV231" s="76"/>
      <c r="AW231" s="76"/>
      <c r="AX231" s="76" t="b">
        <v>0</v>
      </c>
      <c r="AY231" s="76"/>
      <c r="AZ231" s="76"/>
      <c r="BA231" s="76" t="b">
        <v>0</v>
      </c>
      <c r="BB231" s="76" t="b">
        <v>1</v>
      </c>
      <c r="BC231" s="76" t="b">
        <v>1</v>
      </c>
      <c r="BD231" s="76" t="b">
        <v>0</v>
      </c>
      <c r="BE231" s="76" t="b">
        <v>0</v>
      </c>
      <c r="BF231" s="76" t="b">
        <v>0</v>
      </c>
      <c r="BG231" s="76" t="b">
        <v>0</v>
      </c>
      <c r="BH231" s="83" t="str">
        <f>HYPERLINK("https://pbs.twimg.com/profile_banners/1088412062273941506/1572987987")</f>
        <v>https://pbs.twimg.com/profile_banners/1088412062273941506/1572987987</v>
      </c>
      <c r="BI231" s="76"/>
      <c r="BJ231" s="76" t="s">
        <v>6360</v>
      </c>
      <c r="BK231" s="76" t="b">
        <v>0</v>
      </c>
      <c r="BL231" s="76"/>
      <c r="BM231" s="76" t="s">
        <v>66</v>
      </c>
      <c r="BN231" s="76" t="s">
        <v>6362</v>
      </c>
      <c r="BO231" s="83" t="str">
        <f>HYPERLINK("https://twitter.com/felippe_marcelo")</f>
        <v>https://twitter.com/felippe_marcelo</v>
      </c>
      <c r="BP231" s="2"/>
    </row>
    <row r="232" spans="1:68" x14ac:dyDescent="0.25">
      <c r="A232" s="62" t="s">
        <v>435</v>
      </c>
      <c r="B232" s="63"/>
      <c r="C232" s="63"/>
      <c r="D232" s="64"/>
      <c r="E232" s="66"/>
      <c r="F232" s="102" t="str">
        <f>HYPERLINK("https://pbs.twimg.com/profile_images/1563207830257209344/tTbD2j7N_normal.jpg")</f>
        <v>https://pbs.twimg.com/profile_images/1563207830257209344/tTbD2j7N_normal.jpg</v>
      </c>
      <c r="G232" s="63"/>
      <c r="H232" s="67"/>
      <c r="I232" s="68"/>
      <c r="J232" s="68"/>
      <c r="K232" s="67" t="s">
        <v>6591</v>
      </c>
      <c r="L232" s="71"/>
      <c r="M232" s="72"/>
      <c r="N232" s="72"/>
      <c r="O232" s="73"/>
      <c r="P232" s="74"/>
      <c r="Q232" s="74"/>
      <c r="R232" s="86"/>
      <c r="S232" s="86"/>
      <c r="T232" s="86"/>
      <c r="U232" s="86"/>
      <c r="V232" s="48"/>
      <c r="W232" s="48"/>
      <c r="X232" s="48"/>
      <c r="Y232" s="48"/>
      <c r="Z232" s="47"/>
      <c r="AA232" s="69">
        <v>232</v>
      </c>
      <c r="AB232" s="69"/>
      <c r="AC232" s="70"/>
      <c r="AD232" s="76" t="s">
        <v>5551</v>
      </c>
      <c r="AE232" s="81" t="s">
        <v>5705</v>
      </c>
      <c r="AF232" s="76">
        <v>48</v>
      </c>
      <c r="AG232" s="76">
        <v>28</v>
      </c>
      <c r="AH232" s="76">
        <v>808</v>
      </c>
      <c r="AI232" s="76">
        <v>0</v>
      </c>
      <c r="AJ232" s="76">
        <v>14</v>
      </c>
      <c r="AK232" s="76">
        <v>338</v>
      </c>
      <c r="AL232" s="76" t="b">
        <v>0</v>
      </c>
      <c r="AM232" s="78">
        <v>40413.848564814813</v>
      </c>
      <c r="AN232" s="76" t="s">
        <v>3410</v>
      </c>
      <c r="AO232" s="76" t="s">
        <v>6064</v>
      </c>
      <c r="AP232" s="83" t="str">
        <f>HYPERLINK("https://t.co/lWWT9y98lA")</f>
        <v>https://t.co/lWWT9y98lA</v>
      </c>
      <c r="AQ232" s="83" t="str">
        <f>HYPERLINK("https://linktr.ee/tech6group")</f>
        <v>https://linktr.ee/tech6group</v>
      </c>
      <c r="AR232" s="76" t="s">
        <v>6277</v>
      </c>
      <c r="AS232" s="76"/>
      <c r="AT232" s="76"/>
      <c r="AU232" s="76"/>
      <c r="AV232" s="76"/>
      <c r="AW232" s="83" t="str">
        <f>HYPERLINK("https://t.co/lWWT9y98lA")</f>
        <v>https://t.co/lWWT9y98lA</v>
      </c>
      <c r="AX232" s="76" t="b">
        <v>0</v>
      </c>
      <c r="AY232" s="76"/>
      <c r="AZ232" s="76"/>
      <c r="BA232" s="76" t="b">
        <v>0</v>
      </c>
      <c r="BB232" s="76" t="b">
        <v>1</v>
      </c>
      <c r="BC232" s="76" t="b">
        <v>0</v>
      </c>
      <c r="BD232" s="76" t="b">
        <v>0</v>
      </c>
      <c r="BE232" s="76" t="b">
        <v>0</v>
      </c>
      <c r="BF232" s="76" t="b">
        <v>0</v>
      </c>
      <c r="BG232" s="76" t="b">
        <v>0</v>
      </c>
      <c r="BH232" s="83" t="str">
        <f>HYPERLINK("https://pbs.twimg.com/profile_banners/182091017/1660931135")</f>
        <v>https://pbs.twimg.com/profile_banners/182091017/1660931135</v>
      </c>
      <c r="BI232" s="76"/>
      <c r="BJ232" s="76" t="s">
        <v>6360</v>
      </c>
      <c r="BK232" s="76" t="b">
        <v>0</v>
      </c>
      <c r="BL232" s="76"/>
      <c r="BM232" s="76" t="s">
        <v>66</v>
      </c>
      <c r="BN232" s="76" t="s">
        <v>6362</v>
      </c>
      <c r="BO232" s="83" t="str">
        <f>HYPERLINK("https://twitter.com/tech6group")</f>
        <v>https://twitter.com/tech6group</v>
      </c>
      <c r="BP232" s="2"/>
    </row>
    <row r="233" spans="1:68" x14ac:dyDescent="0.25">
      <c r="A233" s="62" t="s">
        <v>436</v>
      </c>
      <c r="B233" s="63"/>
      <c r="C233" s="63"/>
      <c r="D233" s="64"/>
      <c r="E233" s="66"/>
      <c r="F233" s="102" t="str">
        <f>HYPERLINK("https://pbs.twimg.com/profile_images/708332566198231040/k6IlJtZH_normal.jpg")</f>
        <v>https://pbs.twimg.com/profile_images/708332566198231040/k6IlJtZH_normal.jpg</v>
      </c>
      <c r="G233" s="63"/>
      <c r="H233" s="67"/>
      <c r="I233" s="68"/>
      <c r="J233" s="68"/>
      <c r="K233" s="67" t="s">
        <v>6592</v>
      </c>
      <c r="L233" s="71"/>
      <c r="M233" s="72"/>
      <c r="N233" s="72"/>
      <c r="O233" s="73"/>
      <c r="P233" s="74"/>
      <c r="Q233" s="74"/>
      <c r="R233" s="86"/>
      <c r="S233" s="86"/>
      <c r="T233" s="86"/>
      <c r="U233" s="86"/>
      <c r="V233" s="48"/>
      <c r="W233" s="48"/>
      <c r="X233" s="48"/>
      <c r="Y233" s="48"/>
      <c r="Z233" s="47"/>
      <c r="AA233" s="69">
        <v>233</v>
      </c>
      <c r="AB233" s="69"/>
      <c r="AC233" s="70"/>
      <c r="AD233" s="76" t="s">
        <v>5552</v>
      </c>
      <c r="AE233" s="81" t="s">
        <v>5706</v>
      </c>
      <c r="AF233" s="76">
        <v>54</v>
      </c>
      <c r="AG233" s="76">
        <v>205</v>
      </c>
      <c r="AH233" s="76">
        <v>2738</v>
      </c>
      <c r="AI233" s="76">
        <v>0</v>
      </c>
      <c r="AJ233" s="76">
        <v>2222</v>
      </c>
      <c r="AK233" s="76">
        <v>161</v>
      </c>
      <c r="AL233" s="76" t="b">
        <v>0</v>
      </c>
      <c r="AM233" s="78">
        <v>40086.799988425926</v>
      </c>
      <c r="AN233" s="76" t="s">
        <v>5815</v>
      </c>
      <c r="AO233" s="76" t="s">
        <v>6065</v>
      </c>
      <c r="AP233" s="83" t="str">
        <f>HYPERLINK("https://t.co/8sHvwq4UMp")</f>
        <v>https://t.co/8sHvwq4UMp</v>
      </c>
      <c r="AQ233" s="83" t="str">
        <f>HYPERLINK("http://www.instagram.com/maleme_")</f>
        <v>http://www.instagram.com/maleme_</v>
      </c>
      <c r="AR233" s="76" t="s">
        <v>6278</v>
      </c>
      <c r="AS233" s="76"/>
      <c r="AT233" s="76"/>
      <c r="AU233" s="76"/>
      <c r="AV233" s="76">
        <v>1.3877612170375501E+18</v>
      </c>
      <c r="AW233" s="83" t="str">
        <f>HYPERLINK("https://t.co/8sHvwq4UMp")</f>
        <v>https://t.co/8sHvwq4UMp</v>
      </c>
      <c r="AX233" s="76" t="b">
        <v>0</v>
      </c>
      <c r="AY233" s="76"/>
      <c r="AZ233" s="76"/>
      <c r="BA233" s="76" t="b">
        <v>0</v>
      </c>
      <c r="BB233" s="76" t="b">
        <v>0</v>
      </c>
      <c r="BC233" s="76" t="b">
        <v>0</v>
      </c>
      <c r="BD233" s="76" t="b">
        <v>0</v>
      </c>
      <c r="BE233" s="76" t="b">
        <v>0</v>
      </c>
      <c r="BF233" s="76" t="b">
        <v>0</v>
      </c>
      <c r="BG233" s="76" t="b">
        <v>0</v>
      </c>
      <c r="BH233" s="83" t="str">
        <f>HYPERLINK("https://pbs.twimg.com/profile_banners/78683818/1459204560")</f>
        <v>https://pbs.twimg.com/profile_banners/78683818/1459204560</v>
      </c>
      <c r="BI233" s="76"/>
      <c r="BJ233" s="76" t="s">
        <v>6360</v>
      </c>
      <c r="BK233" s="76" t="b">
        <v>0</v>
      </c>
      <c r="BL233" s="76"/>
      <c r="BM233" s="76" t="s">
        <v>66</v>
      </c>
      <c r="BN233" s="76" t="s">
        <v>6362</v>
      </c>
      <c r="BO233" s="83" t="str">
        <f>HYPERLINK("https://twitter.com/ruivama")</f>
        <v>https://twitter.com/ruivama</v>
      </c>
      <c r="BP233" s="2"/>
    </row>
    <row r="234" spans="1:68" x14ac:dyDescent="0.25">
      <c r="A234" s="62" t="s">
        <v>437</v>
      </c>
      <c r="B234" s="63"/>
      <c r="C234" s="63"/>
      <c r="D234" s="64"/>
      <c r="E234" s="66"/>
      <c r="F234" s="102" t="str">
        <f>HYPERLINK("https://pbs.twimg.com/profile_images/1660480847227625472/-_hXBVZP_normal.jpg")</f>
        <v>https://pbs.twimg.com/profile_images/1660480847227625472/-_hXBVZP_normal.jpg</v>
      </c>
      <c r="G234" s="63"/>
      <c r="H234" s="67"/>
      <c r="I234" s="68"/>
      <c r="J234" s="68"/>
      <c r="K234" s="67" t="s">
        <v>6593</v>
      </c>
      <c r="L234" s="71"/>
      <c r="M234" s="72"/>
      <c r="N234" s="72"/>
      <c r="O234" s="73"/>
      <c r="P234" s="74"/>
      <c r="Q234" s="74"/>
      <c r="R234" s="86"/>
      <c r="S234" s="86"/>
      <c r="T234" s="86"/>
      <c r="U234" s="86"/>
      <c r="V234" s="48"/>
      <c r="W234" s="48"/>
      <c r="X234" s="48"/>
      <c r="Y234" s="48"/>
      <c r="Z234" s="47"/>
      <c r="AA234" s="69">
        <v>234</v>
      </c>
      <c r="AB234" s="69"/>
      <c r="AC234" s="70"/>
      <c r="AD234" s="76" t="s">
        <v>5553</v>
      </c>
      <c r="AE234" s="81" t="s">
        <v>5063</v>
      </c>
      <c r="AF234" s="76">
        <v>3</v>
      </c>
      <c r="AG234" s="76">
        <v>21</v>
      </c>
      <c r="AH234" s="76">
        <v>72</v>
      </c>
      <c r="AI234" s="76">
        <v>0</v>
      </c>
      <c r="AJ234" s="76">
        <v>36</v>
      </c>
      <c r="AK234" s="76">
        <v>25</v>
      </c>
      <c r="AL234" s="76" t="b">
        <v>0</v>
      </c>
      <c r="AM234" s="78">
        <v>44885.907407407409</v>
      </c>
      <c r="AN234" s="76" t="s">
        <v>3410</v>
      </c>
      <c r="AO234" s="76" t="s">
        <v>6066</v>
      </c>
      <c r="AP234" s="83" t="str">
        <f>HYPERLINK("https://t.co/4k9BZnKcQi")</f>
        <v>https://t.co/4k9BZnKcQi</v>
      </c>
      <c r="AQ234" s="83" t="str">
        <f>HYPERLINK("http://gabinetedarma.com.br/")</f>
        <v>http://gabinetedarma.com.br/</v>
      </c>
      <c r="AR234" s="76" t="s">
        <v>6279</v>
      </c>
      <c r="AS234" s="76"/>
      <c r="AT234" s="76"/>
      <c r="AU234" s="76"/>
      <c r="AV234" s="76"/>
      <c r="AW234" s="83" t="str">
        <f>HYPERLINK("https://t.co/4k9BZnKcQi")</f>
        <v>https://t.co/4k9BZnKcQi</v>
      </c>
      <c r="AX234" s="76" t="b">
        <v>0</v>
      </c>
      <c r="AY234" s="76"/>
      <c r="AZ234" s="76"/>
      <c r="BA234" s="76" t="b">
        <v>0</v>
      </c>
      <c r="BB234" s="76" t="b">
        <v>1</v>
      </c>
      <c r="BC234" s="76" t="b">
        <v>1</v>
      </c>
      <c r="BD234" s="76" t="b">
        <v>0</v>
      </c>
      <c r="BE234" s="76" t="b">
        <v>1</v>
      </c>
      <c r="BF234" s="76" t="b">
        <v>0</v>
      </c>
      <c r="BG234" s="76" t="b">
        <v>0</v>
      </c>
      <c r="BH234" s="83" t="str">
        <f>HYPERLINK("https://pbs.twimg.com/profile_banners/1594447087973736448/1683846390")</f>
        <v>https://pbs.twimg.com/profile_banners/1594447087973736448/1683846390</v>
      </c>
      <c r="BI234" s="76"/>
      <c r="BJ234" s="76" t="s">
        <v>6360</v>
      </c>
      <c r="BK234" s="76" t="b">
        <v>0</v>
      </c>
      <c r="BL234" s="76"/>
      <c r="BM234" s="76" t="s">
        <v>66</v>
      </c>
      <c r="BN234" s="76" t="s">
        <v>6362</v>
      </c>
      <c r="BO234" s="83" t="str">
        <f>HYPERLINK("https://twitter.com/gabinetedarma")</f>
        <v>https://twitter.com/gabinetedarma</v>
      </c>
      <c r="BP234" s="2"/>
    </row>
    <row r="235" spans="1:68" x14ac:dyDescent="0.25">
      <c r="A235" s="62" t="s">
        <v>438</v>
      </c>
      <c r="B235" s="63"/>
      <c r="C235" s="63"/>
      <c r="D235" s="64"/>
      <c r="E235" s="66"/>
      <c r="F235" s="102" t="str">
        <f>HYPERLINK("https://pbs.twimg.com/profile_images/1428534845819572228/qG_8zMGg_normal.jpg")</f>
        <v>https://pbs.twimg.com/profile_images/1428534845819572228/qG_8zMGg_normal.jpg</v>
      </c>
      <c r="G235" s="63"/>
      <c r="H235" s="67"/>
      <c r="I235" s="68"/>
      <c r="J235" s="68"/>
      <c r="K235" s="67" t="s">
        <v>6594</v>
      </c>
      <c r="L235" s="71"/>
      <c r="M235" s="72"/>
      <c r="N235" s="72"/>
      <c r="O235" s="73"/>
      <c r="P235" s="74"/>
      <c r="Q235" s="74"/>
      <c r="R235" s="86"/>
      <c r="S235" s="86"/>
      <c r="T235" s="86"/>
      <c r="U235" s="86"/>
      <c r="V235" s="48"/>
      <c r="W235" s="48"/>
      <c r="X235" s="48"/>
      <c r="Y235" s="48"/>
      <c r="Z235" s="47"/>
      <c r="AA235" s="69">
        <v>235</v>
      </c>
      <c r="AB235" s="69"/>
      <c r="AC235" s="70"/>
      <c r="AD235" s="76" t="s">
        <v>5554</v>
      </c>
      <c r="AE235" s="81" t="s">
        <v>5064</v>
      </c>
      <c r="AF235" s="76">
        <v>391</v>
      </c>
      <c r="AG235" s="76">
        <v>523</v>
      </c>
      <c r="AH235" s="76">
        <v>4928</v>
      </c>
      <c r="AI235" s="76">
        <v>5</v>
      </c>
      <c r="AJ235" s="76">
        <v>1776</v>
      </c>
      <c r="AK235" s="76">
        <v>682</v>
      </c>
      <c r="AL235" s="76" t="b">
        <v>0</v>
      </c>
      <c r="AM235" s="78">
        <v>40491.173043981478</v>
      </c>
      <c r="AN235" s="76" t="s">
        <v>5816</v>
      </c>
      <c r="AO235" s="76" t="s">
        <v>6067</v>
      </c>
      <c r="AP235" s="83" t="str">
        <f>HYPERLINK("https://t.co/8bTCYXnm7N")</f>
        <v>https://t.co/8bTCYXnm7N</v>
      </c>
      <c r="AQ235" s="83" t="str">
        <f>HYPERLINK("https://linktr.ee/isleno.invest")</f>
        <v>https://linktr.ee/isleno.invest</v>
      </c>
      <c r="AR235" s="76" t="s">
        <v>6280</v>
      </c>
      <c r="AS235" s="76"/>
      <c r="AT235" s="76"/>
      <c r="AU235" s="76"/>
      <c r="AV235" s="76">
        <v>6.6566867530797005E+17</v>
      </c>
      <c r="AW235" s="83" t="str">
        <f>HYPERLINK("https://t.co/8bTCYXnm7N")</f>
        <v>https://t.co/8bTCYXnm7N</v>
      </c>
      <c r="AX235" s="76" t="b">
        <v>0</v>
      </c>
      <c r="AY235" s="76"/>
      <c r="AZ235" s="76"/>
      <c r="BA235" s="76" t="b">
        <v>0</v>
      </c>
      <c r="BB235" s="76" t="b">
        <v>1</v>
      </c>
      <c r="BC235" s="76" t="b">
        <v>0</v>
      </c>
      <c r="BD235" s="76" t="b">
        <v>0</v>
      </c>
      <c r="BE235" s="76" t="b">
        <v>0</v>
      </c>
      <c r="BF235" s="76" t="b">
        <v>0</v>
      </c>
      <c r="BG235" s="76" t="b">
        <v>0</v>
      </c>
      <c r="BH235" s="83" t="str">
        <f>HYPERLINK("https://pbs.twimg.com/profile_banners/213528305/1584217841")</f>
        <v>https://pbs.twimg.com/profile_banners/213528305/1584217841</v>
      </c>
      <c r="BI235" s="76"/>
      <c r="BJ235" s="76" t="s">
        <v>6360</v>
      </c>
      <c r="BK235" s="76" t="b">
        <v>0</v>
      </c>
      <c r="BL235" s="76"/>
      <c r="BM235" s="76" t="s">
        <v>66</v>
      </c>
      <c r="BN235" s="76" t="s">
        <v>6362</v>
      </c>
      <c r="BO235" s="83" t="str">
        <f>HYPERLINK("https://twitter.com/islenoaraujo")</f>
        <v>https://twitter.com/islenoaraujo</v>
      </c>
      <c r="BP235" s="2"/>
    </row>
    <row r="236" spans="1:68" x14ac:dyDescent="0.25">
      <c r="A236" s="62" t="s">
        <v>439</v>
      </c>
      <c r="B236" s="63"/>
      <c r="C236" s="63"/>
      <c r="D236" s="64"/>
      <c r="E236" s="66"/>
      <c r="F236" s="102" t="str">
        <f>HYPERLINK("https://pbs.twimg.com/profile_images/1687907833109516288/7INM3SmX_normal.png")</f>
        <v>https://pbs.twimg.com/profile_images/1687907833109516288/7INM3SmX_normal.png</v>
      </c>
      <c r="G236" s="63"/>
      <c r="H236" s="67"/>
      <c r="I236" s="68"/>
      <c r="J236" s="68"/>
      <c r="K236" s="67" t="s">
        <v>6595</v>
      </c>
      <c r="L236" s="71"/>
      <c r="M236" s="72"/>
      <c r="N236" s="72"/>
      <c r="O236" s="73"/>
      <c r="P236" s="74"/>
      <c r="Q236" s="74"/>
      <c r="R236" s="86"/>
      <c r="S236" s="86"/>
      <c r="T236" s="86"/>
      <c r="U236" s="86"/>
      <c r="V236" s="48"/>
      <c r="W236" s="48"/>
      <c r="X236" s="48"/>
      <c r="Y236" s="48"/>
      <c r="Z236" s="47"/>
      <c r="AA236" s="69">
        <v>236</v>
      </c>
      <c r="AB236" s="69"/>
      <c r="AC236" s="70"/>
      <c r="AD236" s="76" t="s">
        <v>5555</v>
      </c>
      <c r="AE236" s="81" t="s">
        <v>5241</v>
      </c>
      <c r="AF236" s="76">
        <v>0</v>
      </c>
      <c r="AG236" s="76">
        <v>11</v>
      </c>
      <c r="AH236" s="76">
        <v>33</v>
      </c>
      <c r="AI236" s="76">
        <v>0</v>
      </c>
      <c r="AJ236" s="76">
        <v>3</v>
      </c>
      <c r="AK236" s="76">
        <v>0</v>
      </c>
      <c r="AL236" s="76" t="b">
        <v>0</v>
      </c>
      <c r="AM236" s="78">
        <v>45143.787743055553</v>
      </c>
      <c r="AN236" s="76" t="s">
        <v>3435</v>
      </c>
      <c r="AO236" s="76" t="s">
        <v>6068</v>
      </c>
      <c r="AP236" s="76"/>
      <c r="AQ236" s="76"/>
      <c r="AR236" s="76"/>
      <c r="AS236" s="76"/>
      <c r="AT236" s="76"/>
      <c r="AU236" s="76"/>
      <c r="AV236" s="76"/>
      <c r="AW236" s="76"/>
      <c r="AX236" s="76" t="b">
        <v>0</v>
      </c>
      <c r="AY236" s="76"/>
      <c r="AZ236" s="76"/>
      <c r="BA236" s="76" t="b">
        <v>0</v>
      </c>
      <c r="BB236" s="76" t="b">
        <v>1</v>
      </c>
      <c r="BC236" s="76" t="b">
        <v>1</v>
      </c>
      <c r="BD236" s="76" t="b">
        <v>0</v>
      </c>
      <c r="BE236" s="76" t="b">
        <v>0</v>
      </c>
      <c r="BF236" s="76" t="b">
        <v>0</v>
      </c>
      <c r="BG236" s="76" t="b">
        <v>0</v>
      </c>
      <c r="BH236" s="76"/>
      <c r="BI236" s="76"/>
      <c r="BJ236" s="76" t="s">
        <v>6360</v>
      </c>
      <c r="BK236" s="76" t="b">
        <v>0</v>
      </c>
      <c r="BL236" s="76"/>
      <c r="BM236" s="76" t="s">
        <v>66</v>
      </c>
      <c r="BN236" s="76" t="s">
        <v>6362</v>
      </c>
      <c r="BO236" s="83" t="str">
        <f>HYPERLINK("https://twitter.com/investireviver8")</f>
        <v>https://twitter.com/investireviver8</v>
      </c>
      <c r="BP236" s="2"/>
    </row>
    <row r="237" spans="1:68" x14ac:dyDescent="0.25">
      <c r="A237" s="62" t="s">
        <v>440</v>
      </c>
      <c r="B237" s="63"/>
      <c r="C237" s="63"/>
      <c r="D237" s="64"/>
      <c r="E237" s="66"/>
      <c r="F237" s="102" t="str">
        <f>HYPERLINK("https://pbs.twimg.com/profile_images/1583520258954039318/KcKjYeRx_normal.jpg")</f>
        <v>https://pbs.twimg.com/profile_images/1583520258954039318/KcKjYeRx_normal.jpg</v>
      </c>
      <c r="G237" s="63"/>
      <c r="H237" s="67"/>
      <c r="I237" s="68"/>
      <c r="J237" s="68"/>
      <c r="K237" s="67" t="s">
        <v>6596</v>
      </c>
      <c r="L237" s="71"/>
      <c r="M237" s="72"/>
      <c r="N237" s="72"/>
      <c r="O237" s="73"/>
      <c r="P237" s="74"/>
      <c r="Q237" s="74"/>
      <c r="R237" s="86"/>
      <c r="S237" s="86"/>
      <c r="T237" s="86"/>
      <c r="U237" s="86"/>
      <c r="V237" s="48"/>
      <c r="W237" s="48"/>
      <c r="X237" s="48"/>
      <c r="Y237" s="48"/>
      <c r="Z237" s="47"/>
      <c r="AA237" s="69">
        <v>237</v>
      </c>
      <c r="AB237" s="69"/>
      <c r="AC237" s="70"/>
      <c r="AD237" s="76" t="s">
        <v>5556</v>
      </c>
      <c r="AE237" s="81" t="s">
        <v>5242</v>
      </c>
      <c r="AF237" s="76">
        <v>3</v>
      </c>
      <c r="AG237" s="76">
        <v>0</v>
      </c>
      <c r="AH237" s="76">
        <v>74</v>
      </c>
      <c r="AI237" s="76">
        <v>0</v>
      </c>
      <c r="AJ237" s="76">
        <v>7</v>
      </c>
      <c r="AK237" s="76">
        <v>58</v>
      </c>
      <c r="AL237" s="76" t="b">
        <v>0</v>
      </c>
      <c r="AM237" s="78">
        <v>44743.003263888888</v>
      </c>
      <c r="AN237" s="76" t="s">
        <v>5817</v>
      </c>
      <c r="AO237" s="76" t="s">
        <v>6069</v>
      </c>
      <c r="AP237" s="83" t="str">
        <f>HYPERLINK("https://t.co/y5PneOFBUU")</f>
        <v>https://t.co/y5PneOFBUU</v>
      </c>
      <c r="AQ237" s="83" t="str">
        <f>HYPERLINK("http://www.mantovanicondominios.com.br")</f>
        <v>http://www.mantovanicondominios.com.br</v>
      </c>
      <c r="AR237" s="76" t="s">
        <v>6281</v>
      </c>
      <c r="AS237" s="76"/>
      <c r="AT237" s="76"/>
      <c r="AU237" s="76"/>
      <c r="AV237" s="76"/>
      <c r="AW237" s="83" t="str">
        <f>HYPERLINK("https://t.co/y5PneOFBUU")</f>
        <v>https://t.co/y5PneOFBUU</v>
      </c>
      <c r="AX237" s="76" t="b">
        <v>0</v>
      </c>
      <c r="AY237" s="76"/>
      <c r="AZ237" s="76"/>
      <c r="BA237" s="76" t="b">
        <v>0</v>
      </c>
      <c r="BB237" s="76" t="b">
        <v>1</v>
      </c>
      <c r="BC237" s="76" t="b">
        <v>1</v>
      </c>
      <c r="BD237" s="76" t="b">
        <v>0</v>
      </c>
      <c r="BE237" s="76" t="b">
        <v>0</v>
      </c>
      <c r="BF237" s="76" t="b">
        <v>0</v>
      </c>
      <c r="BG237" s="76" t="b">
        <v>0</v>
      </c>
      <c r="BH237" s="83" t="str">
        <f>HYPERLINK("https://pbs.twimg.com/profile_banners/1542660151483711488/1666385615")</f>
        <v>https://pbs.twimg.com/profile_banners/1542660151483711488/1666385615</v>
      </c>
      <c r="BI237" s="76"/>
      <c r="BJ237" s="76" t="s">
        <v>6360</v>
      </c>
      <c r="BK237" s="76" t="b">
        <v>0</v>
      </c>
      <c r="BL237" s="76"/>
      <c r="BM237" s="76" t="s">
        <v>66</v>
      </c>
      <c r="BN237" s="76" t="s">
        <v>6362</v>
      </c>
      <c r="BO237" s="83" t="str">
        <f>HYPERLINK("https://twitter.com/mantovanicondo1")</f>
        <v>https://twitter.com/mantovanicondo1</v>
      </c>
      <c r="BP237" s="2"/>
    </row>
    <row r="238" spans="1:68" x14ac:dyDescent="0.25">
      <c r="A238" s="62" t="s">
        <v>441</v>
      </c>
      <c r="B238" s="63"/>
      <c r="C238" s="63"/>
      <c r="D238" s="64"/>
      <c r="E238" s="66"/>
      <c r="F238" s="102" t="str">
        <f>HYPERLINK("https://pbs.twimg.com/profile_images/1680928006276038656/TeWfTlis_normal.jpg")</f>
        <v>https://pbs.twimg.com/profile_images/1680928006276038656/TeWfTlis_normal.jpg</v>
      </c>
      <c r="G238" s="63"/>
      <c r="H238" s="67"/>
      <c r="I238" s="68"/>
      <c r="J238" s="68"/>
      <c r="K238" s="67" t="s">
        <v>6597</v>
      </c>
      <c r="L238" s="71"/>
      <c r="M238" s="72"/>
      <c r="N238" s="72"/>
      <c r="O238" s="73"/>
      <c r="P238" s="74"/>
      <c r="Q238" s="74"/>
      <c r="R238" s="86"/>
      <c r="S238" s="86"/>
      <c r="T238" s="86"/>
      <c r="U238" s="86"/>
      <c r="V238" s="48"/>
      <c r="W238" s="48"/>
      <c r="X238" s="48"/>
      <c r="Y238" s="48"/>
      <c r="Z238" s="47"/>
      <c r="AA238" s="69">
        <v>238</v>
      </c>
      <c r="AB238" s="69"/>
      <c r="AC238" s="70"/>
      <c r="AD238" s="76" t="s">
        <v>5557</v>
      </c>
      <c r="AE238" s="81" t="s">
        <v>5065</v>
      </c>
      <c r="AF238" s="76">
        <v>0</v>
      </c>
      <c r="AG238" s="76">
        <v>0</v>
      </c>
      <c r="AH238" s="76">
        <v>17</v>
      </c>
      <c r="AI238" s="76">
        <v>0</v>
      </c>
      <c r="AJ238" s="76">
        <v>0</v>
      </c>
      <c r="AK238" s="76">
        <v>10</v>
      </c>
      <c r="AL238" s="76" t="b">
        <v>0</v>
      </c>
      <c r="AM238" s="78">
        <v>45124.53125</v>
      </c>
      <c r="AN238" s="76" t="s">
        <v>5818</v>
      </c>
      <c r="AO238" s="76" t="s">
        <v>6070</v>
      </c>
      <c r="AP238" s="83" t="str">
        <f>HYPERLINK("https://t.co/DQWpLwz4Up")</f>
        <v>https://t.co/DQWpLwz4Up</v>
      </c>
      <c r="AQ238" s="83" t="str">
        <f>HYPERLINK("http://www.macedocontabilidade.com")</f>
        <v>http://www.macedocontabilidade.com</v>
      </c>
      <c r="AR238" s="76" t="s">
        <v>6282</v>
      </c>
      <c r="AS238" s="76"/>
      <c r="AT238" s="76"/>
      <c r="AU238" s="76"/>
      <c r="AV238" s="76"/>
      <c r="AW238" s="83" t="str">
        <f>HYPERLINK("https://t.co/DQWpLwz4Up")</f>
        <v>https://t.co/DQWpLwz4Up</v>
      </c>
      <c r="AX238" s="76" t="b">
        <v>0</v>
      </c>
      <c r="AY238" s="76"/>
      <c r="AZ238" s="76"/>
      <c r="BA238" s="76" t="b">
        <v>0</v>
      </c>
      <c r="BB238" s="76" t="b">
        <v>1</v>
      </c>
      <c r="BC238" s="76" t="b">
        <v>1</v>
      </c>
      <c r="BD238" s="76" t="b">
        <v>0</v>
      </c>
      <c r="BE238" s="76" t="b">
        <v>0</v>
      </c>
      <c r="BF238" s="76" t="b">
        <v>0</v>
      </c>
      <c r="BG238" s="76" t="b">
        <v>0</v>
      </c>
      <c r="BH238" s="83" t="str">
        <f>HYPERLINK("https://pbs.twimg.com/profile_banners/1680921446392946688/1689599442")</f>
        <v>https://pbs.twimg.com/profile_banners/1680921446392946688/1689599442</v>
      </c>
      <c r="BI238" s="76"/>
      <c r="BJ238" s="76" t="s">
        <v>6360</v>
      </c>
      <c r="BK238" s="76" t="b">
        <v>0</v>
      </c>
      <c r="BL238" s="76"/>
      <c r="BM238" s="76" t="s">
        <v>66</v>
      </c>
      <c r="BN238" s="76" t="s">
        <v>6362</v>
      </c>
      <c r="BO238" s="83" t="str">
        <f>HYPERLINK("https://twitter.com/macedo_contador")</f>
        <v>https://twitter.com/macedo_contador</v>
      </c>
      <c r="BP238" s="2"/>
    </row>
    <row r="239" spans="1:68" x14ac:dyDescent="0.25">
      <c r="A239" s="62" t="s">
        <v>442</v>
      </c>
      <c r="B239" s="63"/>
      <c r="C239" s="63"/>
      <c r="D239" s="64"/>
      <c r="E239" s="66"/>
      <c r="F239" s="102" t="str">
        <f>HYPERLINK("https://pbs.twimg.com/profile_images/1706371043718275072/GvJyIN69_normal.jpg")</f>
        <v>https://pbs.twimg.com/profile_images/1706371043718275072/GvJyIN69_normal.jpg</v>
      </c>
      <c r="G239" s="63"/>
      <c r="H239" s="67"/>
      <c r="I239" s="68"/>
      <c r="J239" s="68"/>
      <c r="K239" s="67" t="s">
        <v>6598</v>
      </c>
      <c r="L239" s="71"/>
      <c r="M239" s="72"/>
      <c r="N239" s="72"/>
      <c r="O239" s="73"/>
      <c r="P239" s="74"/>
      <c r="Q239" s="74"/>
      <c r="R239" s="86"/>
      <c r="S239" s="86"/>
      <c r="T239" s="86"/>
      <c r="U239" s="86"/>
      <c r="V239" s="48"/>
      <c r="W239" s="48"/>
      <c r="X239" s="48"/>
      <c r="Y239" s="48"/>
      <c r="Z239" s="47"/>
      <c r="AA239" s="69">
        <v>239</v>
      </c>
      <c r="AB239" s="69"/>
      <c r="AC239" s="70"/>
      <c r="AD239" s="76" t="s">
        <v>5558</v>
      </c>
      <c r="AE239" s="81" t="s">
        <v>5243</v>
      </c>
      <c r="AF239" s="76">
        <v>6</v>
      </c>
      <c r="AG239" s="76">
        <v>30</v>
      </c>
      <c r="AH239" s="76">
        <v>17</v>
      </c>
      <c r="AI239" s="76">
        <v>0</v>
      </c>
      <c r="AJ239" s="76">
        <v>980</v>
      </c>
      <c r="AK239" s="76">
        <v>1</v>
      </c>
      <c r="AL239" s="76" t="b">
        <v>0</v>
      </c>
      <c r="AM239" s="78">
        <v>44676.637384259258</v>
      </c>
      <c r="AN239" s="76"/>
      <c r="AO239" s="76" t="s">
        <v>6071</v>
      </c>
      <c r="AP239" s="76"/>
      <c r="AQ239" s="76"/>
      <c r="AR239" s="76"/>
      <c r="AS239" s="76"/>
      <c r="AT239" s="76"/>
      <c r="AU239" s="76"/>
      <c r="AV239" s="76"/>
      <c r="AW239" s="76"/>
      <c r="AX239" s="76" t="b">
        <v>0</v>
      </c>
      <c r="AY239" s="76"/>
      <c r="AZ239" s="76"/>
      <c r="BA239" s="76" t="b">
        <v>0</v>
      </c>
      <c r="BB239" s="76" t="b">
        <v>1</v>
      </c>
      <c r="BC239" s="76" t="b">
        <v>1</v>
      </c>
      <c r="BD239" s="76" t="b">
        <v>0</v>
      </c>
      <c r="BE239" s="76" t="b">
        <v>0</v>
      </c>
      <c r="BF239" s="76" t="b">
        <v>0</v>
      </c>
      <c r="BG239" s="76" t="b">
        <v>0</v>
      </c>
      <c r="BH239" s="76"/>
      <c r="BI239" s="76"/>
      <c r="BJ239" s="76" t="s">
        <v>6360</v>
      </c>
      <c r="BK239" s="76" t="b">
        <v>0</v>
      </c>
      <c r="BL239" s="76"/>
      <c r="BM239" s="76" t="s">
        <v>66</v>
      </c>
      <c r="BN239" s="76" t="s">
        <v>6362</v>
      </c>
      <c r="BO239" s="83" t="str">
        <f>HYPERLINK("https://twitter.com/leandromachadoz")</f>
        <v>https://twitter.com/leandromachadoz</v>
      </c>
      <c r="BP239" s="2"/>
    </row>
    <row r="240" spans="1:68" x14ac:dyDescent="0.25">
      <c r="A240" s="62" t="s">
        <v>443</v>
      </c>
      <c r="B240" s="63"/>
      <c r="C240" s="63"/>
      <c r="D240" s="64"/>
      <c r="E240" s="66"/>
      <c r="F240" s="102" t="str">
        <f>HYPERLINK("https://pbs.twimg.com/profile_images/1650821209951485953/B1-WOrna_normal.jpg")</f>
        <v>https://pbs.twimg.com/profile_images/1650821209951485953/B1-WOrna_normal.jpg</v>
      </c>
      <c r="G240" s="63"/>
      <c r="H240" s="67"/>
      <c r="I240" s="68"/>
      <c r="J240" s="68"/>
      <c r="K240" s="67" t="s">
        <v>6599</v>
      </c>
      <c r="L240" s="71"/>
      <c r="M240" s="72"/>
      <c r="N240" s="72"/>
      <c r="O240" s="73"/>
      <c r="P240" s="74"/>
      <c r="Q240" s="74"/>
      <c r="R240" s="86"/>
      <c r="S240" s="86"/>
      <c r="T240" s="86"/>
      <c r="U240" s="86"/>
      <c r="V240" s="48"/>
      <c r="W240" s="48"/>
      <c r="X240" s="48"/>
      <c r="Y240" s="48"/>
      <c r="Z240" s="47"/>
      <c r="AA240" s="69">
        <v>240</v>
      </c>
      <c r="AB240" s="69"/>
      <c r="AC240" s="70"/>
      <c r="AD240" s="76" t="s">
        <v>5559</v>
      </c>
      <c r="AE240" s="81" t="s">
        <v>5707</v>
      </c>
      <c r="AF240" s="76">
        <v>51</v>
      </c>
      <c r="AG240" s="76">
        <v>158</v>
      </c>
      <c r="AH240" s="76">
        <v>95</v>
      </c>
      <c r="AI240" s="76">
        <v>1</v>
      </c>
      <c r="AJ240" s="76">
        <v>137</v>
      </c>
      <c r="AK240" s="76">
        <v>6</v>
      </c>
      <c r="AL240" s="76" t="b">
        <v>0</v>
      </c>
      <c r="AM240" s="78">
        <v>40660.078252314815</v>
      </c>
      <c r="AN240" s="76" t="s">
        <v>3417</v>
      </c>
      <c r="AO240" s="76" t="s">
        <v>6072</v>
      </c>
      <c r="AP240" s="83" t="str">
        <f>HYPERLINK("https://t.co/s2iG9oga7u")</f>
        <v>https://t.co/s2iG9oga7u</v>
      </c>
      <c r="AQ240" s="83" t="str">
        <f>HYPERLINK("http://lifefp.com.br/rogerio-montali")</f>
        <v>http://lifefp.com.br/rogerio-montali</v>
      </c>
      <c r="AR240" s="76" t="s">
        <v>6283</v>
      </c>
      <c r="AS240" s="76"/>
      <c r="AT240" s="76"/>
      <c r="AU240" s="76"/>
      <c r="AV240" s="76">
        <v>1.6607637863560901E+18</v>
      </c>
      <c r="AW240" s="83" t="str">
        <f>HYPERLINK("https://t.co/s2iG9oga7u")</f>
        <v>https://t.co/s2iG9oga7u</v>
      </c>
      <c r="AX240" s="76" t="b">
        <v>0</v>
      </c>
      <c r="AY240" s="76"/>
      <c r="AZ240" s="76"/>
      <c r="BA240" s="76" t="b">
        <v>0</v>
      </c>
      <c r="BB240" s="76" t="b">
        <v>1</v>
      </c>
      <c r="BC240" s="76" t="b">
        <v>0</v>
      </c>
      <c r="BD240" s="76" t="b">
        <v>0</v>
      </c>
      <c r="BE240" s="76" t="b">
        <v>1</v>
      </c>
      <c r="BF240" s="76" t="b">
        <v>0</v>
      </c>
      <c r="BG240" s="76" t="b">
        <v>0</v>
      </c>
      <c r="BH240" s="83" t="str">
        <f>HYPERLINK("https://pbs.twimg.com/profile_banners/288550432/1683117909")</f>
        <v>https://pbs.twimg.com/profile_banners/288550432/1683117909</v>
      </c>
      <c r="BI240" s="76"/>
      <c r="BJ240" s="76" t="s">
        <v>6360</v>
      </c>
      <c r="BK240" s="76" t="b">
        <v>0</v>
      </c>
      <c r="BL240" s="76"/>
      <c r="BM240" s="76" t="s">
        <v>66</v>
      </c>
      <c r="BN240" s="76" t="s">
        <v>6362</v>
      </c>
      <c r="BO240" s="83" t="str">
        <f>HYPERLINK("https://twitter.com/rogeriomontali")</f>
        <v>https://twitter.com/rogeriomontali</v>
      </c>
      <c r="BP240" s="2"/>
    </row>
    <row r="241" spans="1:68" x14ac:dyDescent="0.25">
      <c r="A241" s="62" t="s">
        <v>444</v>
      </c>
      <c r="B241" s="63"/>
      <c r="C241" s="63"/>
      <c r="D241" s="64"/>
      <c r="E241" s="66"/>
      <c r="F241" s="102" t="str">
        <f>HYPERLINK("https://pbs.twimg.com/profile_images/1672324531053010948/ZGQMaENz_normal.jpg")</f>
        <v>https://pbs.twimg.com/profile_images/1672324531053010948/ZGQMaENz_normal.jpg</v>
      </c>
      <c r="G241" s="63"/>
      <c r="H241" s="67"/>
      <c r="I241" s="68"/>
      <c r="J241" s="68"/>
      <c r="K241" s="67" t="s">
        <v>6600</v>
      </c>
      <c r="L241" s="71"/>
      <c r="M241" s="72"/>
      <c r="N241" s="72"/>
      <c r="O241" s="73"/>
      <c r="P241" s="74"/>
      <c r="Q241" s="74"/>
      <c r="R241" s="86"/>
      <c r="S241" s="86"/>
      <c r="T241" s="86"/>
      <c r="U241" s="86"/>
      <c r="V241" s="48"/>
      <c r="W241" s="48"/>
      <c r="X241" s="48"/>
      <c r="Y241" s="48"/>
      <c r="Z241" s="47"/>
      <c r="AA241" s="69">
        <v>241</v>
      </c>
      <c r="AB241" s="69"/>
      <c r="AC241" s="70"/>
      <c r="AD241" s="76" t="s">
        <v>5560</v>
      </c>
      <c r="AE241" s="81" t="s">
        <v>5066</v>
      </c>
      <c r="AF241" s="76">
        <v>2</v>
      </c>
      <c r="AG241" s="76">
        <v>10</v>
      </c>
      <c r="AH241" s="76">
        <v>20</v>
      </c>
      <c r="AI241" s="76">
        <v>0</v>
      </c>
      <c r="AJ241" s="76">
        <v>13</v>
      </c>
      <c r="AK241" s="76">
        <v>4</v>
      </c>
      <c r="AL241" s="76" t="b">
        <v>0</v>
      </c>
      <c r="AM241" s="78">
        <v>44693.187210648146</v>
      </c>
      <c r="AN241" s="76" t="s">
        <v>5753</v>
      </c>
      <c r="AO241" s="76" t="s">
        <v>6073</v>
      </c>
      <c r="AP241" s="83" t="str">
        <f>HYPERLINK("https://t.co/KcJKioqomJ")</f>
        <v>https://t.co/KcJKioqomJ</v>
      </c>
      <c r="AQ241" s="83" t="str">
        <f>HYPERLINK("https://instagram.com/achadosdomarketin?igshid=ZDc4ODBmNjlmNQ==")</f>
        <v>https://instagram.com/achadosdomarketin?igshid=ZDc4ODBmNjlmNQ==</v>
      </c>
      <c r="AR241" s="76" t="s">
        <v>6284</v>
      </c>
      <c r="AS241" s="76"/>
      <c r="AT241" s="76"/>
      <c r="AU241" s="76"/>
      <c r="AV241" s="76">
        <v>1.526341282012E+18</v>
      </c>
      <c r="AW241" s="83" t="str">
        <f>HYPERLINK("https://t.co/KcJKioqomJ")</f>
        <v>https://t.co/KcJKioqomJ</v>
      </c>
      <c r="AX241" s="76" t="b">
        <v>0</v>
      </c>
      <c r="AY241" s="76"/>
      <c r="AZ241" s="76"/>
      <c r="BA241" s="76" t="b">
        <v>0</v>
      </c>
      <c r="BB241" s="76" t="b">
        <v>0</v>
      </c>
      <c r="BC241" s="76" t="b">
        <v>1</v>
      </c>
      <c r="BD241" s="76" t="b">
        <v>0</v>
      </c>
      <c r="BE241" s="76" t="b">
        <v>0</v>
      </c>
      <c r="BF241" s="76" t="b">
        <v>0</v>
      </c>
      <c r="BG241" s="76" t="b">
        <v>0</v>
      </c>
      <c r="BH241" s="83" t="str">
        <f>HYPERLINK("https://pbs.twimg.com/profile_banners/1524607646007021568/1687950246")</f>
        <v>https://pbs.twimg.com/profile_banners/1524607646007021568/1687950246</v>
      </c>
      <c r="BI241" s="76"/>
      <c r="BJ241" s="76" t="s">
        <v>6360</v>
      </c>
      <c r="BK241" s="76" t="b">
        <v>0</v>
      </c>
      <c r="BL241" s="76"/>
      <c r="BM241" s="76" t="s">
        <v>66</v>
      </c>
      <c r="BN241" s="76" t="s">
        <v>6362</v>
      </c>
      <c r="BO241" s="83" t="str">
        <f>HYPERLINK("https://twitter.com/achadosdomark")</f>
        <v>https://twitter.com/achadosdomark</v>
      </c>
      <c r="BP241" s="2"/>
    </row>
    <row r="242" spans="1:68" x14ac:dyDescent="0.25">
      <c r="A242" s="62" t="s">
        <v>445</v>
      </c>
      <c r="B242" s="63"/>
      <c r="C242" s="63"/>
      <c r="D242" s="64"/>
      <c r="E242" s="66"/>
      <c r="F242" s="102" t="str">
        <f>HYPERLINK("https://pbs.twimg.com/profile_images/1694740464530788353/gWG_XsGs_normal.jpg")</f>
        <v>https://pbs.twimg.com/profile_images/1694740464530788353/gWG_XsGs_normal.jpg</v>
      </c>
      <c r="G242" s="63"/>
      <c r="H242" s="67"/>
      <c r="I242" s="68"/>
      <c r="J242" s="68"/>
      <c r="K242" s="67" t="s">
        <v>6601</v>
      </c>
      <c r="L242" s="71"/>
      <c r="M242" s="72"/>
      <c r="N242" s="72"/>
      <c r="O242" s="73"/>
      <c r="P242" s="74"/>
      <c r="Q242" s="74"/>
      <c r="R242" s="86"/>
      <c r="S242" s="86"/>
      <c r="T242" s="86"/>
      <c r="U242" s="86"/>
      <c r="V242" s="48"/>
      <c r="W242" s="48"/>
      <c r="X242" s="48"/>
      <c r="Y242" s="48"/>
      <c r="Z242" s="47"/>
      <c r="AA242" s="69">
        <v>242</v>
      </c>
      <c r="AB242" s="69"/>
      <c r="AC242" s="70"/>
      <c r="AD242" s="76" t="s">
        <v>5561</v>
      </c>
      <c r="AE242" s="81" t="s">
        <v>5067</v>
      </c>
      <c r="AF242" s="76">
        <v>0</v>
      </c>
      <c r="AG242" s="76">
        <v>1</v>
      </c>
      <c r="AH242" s="76">
        <v>130</v>
      </c>
      <c r="AI242" s="76">
        <v>0</v>
      </c>
      <c r="AJ242" s="76">
        <v>70</v>
      </c>
      <c r="AK242" s="76">
        <v>64</v>
      </c>
      <c r="AL242" s="76" t="b">
        <v>0</v>
      </c>
      <c r="AM242" s="78">
        <v>45162.664027777777</v>
      </c>
      <c r="AN242" s="76" t="s">
        <v>5819</v>
      </c>
      <c r="AO242" s="76" t="s">
        <v>6074</v>
      </c>
      <c r="AP242" s="83" t="str">
        <f>HYPERLINK("https://t.co/ZONEoxNfeT")</f>
        <v>https://t.co/ZONEoxNfeT</v>
      </c>
      <c r="AQ242" s="83" t="str">
        <f>HYPERLINK("https://www.saudemaismetodos.com.br")</f>
        <v>https://www.saudemaismetodos.com.br</v>
      </c>
      <c r="AR242" s="76" t="s">
        <v>6285</v>
      </c>
      <c r="AS242" s="76"/>
      <c r="AT242" s="76"/>
      <c r="AU242" s="76"/>
      <c r="AV242" s="76"/>
      <c r="AW242" s="83" t="str">
        <f>HYPERLINK("https://t.co/ZONEoxNfeT")</f>
        <v>https://t.co/ZONEoxNfeT</v>
      </c>
      <c r="AX242" s="76" t="b">
        <v>0</v>
      </c>
      <c r="AY242" s="76"/>
      <c r="AZ242" s="76"/>
      <c r="BA242" s="76" t="b">
        <v>0</v>
      </c>
      <c r="BB242" s="76" t="b">
        <v>1</v>
      </c>
      <c r="BC242" s="76" t="b">
        <v>1</v>
      </c>
      <c r="BD242" s="76" t="b">
        <v>0</v>
      </c>
      <c r="BE242" s="76" t="b">
        <v>0</v>
      </c>
      <c r="BF242" s="76" t="b">
        <v>0</v>
      </c>
      <c r="BG242" s="76" t="b">
        <v>0</v>
      </c>
      <c r="BH242" s="83" t="str">
        <f>HYPERLINK("https://pbs.twimg.com/profile_banners/1694740366778376192/1693058062")</f>
        <v>https://pbs.twimg.com/profile_banners/1694740366778376192/1693058062</v>
      </c>
      <c r="BI242" s="76"/>
      <c r="BJ242" s="76" t="s">
        <v>6360</v>
      </c>
      <c r="BK242" s="76" t="b">
        <v>0</v>
      </c>
      <c r="BL242" s="76"/>
      <c r="BM242" s="76" t="s">
        <v>66</v>
      </c>
      <c r="BN242" s="76" t="s">
        <v>6362</v>
      </c>
      <c r="BO242" s="83" t="str">
        <f>HYPERLINK("https://twitter.com/saudemaismetodo")</f>
        <v>https://twitter.com/saudemaismetodo</v>
      </c>
      <c r="BP242" s="2"/>
    </row>
    <row r="243" spans="1:68" x14ac:dyDescent="0.25">
      <c r="A243" s="62" t="s">
        <v>446</v>
      </c>
      <c r="B243" s="63"/>
      <c r="C243" s="63"/>
      <c r="D243" s="64"/>
      <c r="E243" s="66"/>
      <c r="F243" s="102" t="str">
        <f>HYPERLINK("https://pbs.twimg.com/profile_images/1666864261216256000/OmjCgPM2_normal.jpg")</f>
        <v>https://pbs.twimg.com/profile_images/1666864261216256000/OmjCgPM2_normal.jpg</v>
      </c>
      <c r="G243" s="63"/>
      <c r="H243" s="67"/>
      <c r="I243" s="68"/>
      <c r="J243" s="68"/>
      <c r="K243" s="67" t="s">
        <v>6602</v>
      </c>
      <c r="L243" s="71"/>
      <c r="M243" s="72"/>
      <c r="N243" s="72"/>
      <c r="O243" s="73"/>
      <c r="P243" s="74"/>
      <c r="Q243" s="74"/>
      <c r="R243" s="86"/>
      <c r="S243" s="86"/>
      <c r="T243" s="86"/>
      <c r="U243" s="86"/>
      <c r="V243" s="48"/>
      <c r="W243" s="48"/>
      <c r="X243" s="48"/>
      <c r="Y243" s="48"/>
      <c r="Z243" s="47"/>
      <c r="AA243" s="69">
        <v>243</v>
      </c>
      <c r="AB243" s="69"/>
      <c r="AC243" s="70"/>
      <c r="AD243" s="76" t="s">
        <v>5562</v>
      </c>
      <c r="AE243" s="81" t="s">
        <v>5708</v>
      </c>
      <c r="AF243" s="76">
        <v>550</v>
      </c>
      <c r="AG243" s="76">
        <v>1995</v>
      </c>
      <c r="AH243" s="76">
        <v>2672</v>
      </c>
      <c r="AI243" s="76">
        <v>3</v>
      </c>
      <c r="AJ243" s="76">
        <v>9107</v>
      </c>
      <c r="AK243" s="76">
        <v>128</v>
      </c>
      <c r="AL243" s="76" t="b">
        <v>0</v>
      </c>
      <c r="AM243" s="78">
        <v>39953.98133101852</v>
      </c>
      <c r="AN243" s="76" t="s">
        <v>5820</v>
      </c>
      <c r="AO243" s="76" t="s">
        <v>6075</v>
      </c>
      <c r="AP243" s="83" t="str">
        <f>HYPERLINK("https://t.co/j0Tu1vIG3M")</f>
        <v>https://t.co/j0Tu1vIG3M</v>
      </c>
      <c r="AQ243" s="83" t="str">
        <f>HYPERLINK("https://linktr.ee/positiva.financas")</f>
        <v>https://linktr.ee/positiva.financas</v>
      </c>
      <c r="AR243" s="76" t="s">
        <v>6286</v>
      </c>
      <c r="AS243" s="76"/>
      <c r="AT243" s="76"/>
      <c r="AU243" s="76"/>
      <c r="AV243" s="76"/>
      <c r="AW243" s="83" t="str">
        <f>HYPERLINK("https://t.co/j0Tu1vIG3M")</f>
        <v>https://t.co/j0Tu1vIG3M</v>
      </c>
      <c r="AX243" s="76" t="b">
        <v>0</v>
      </c>
      <c r="AY243" s="76"/>
      <c r="AZ243" s="76"/>
      <c r="BA243" s="76" t="b">
        <v>0</v>
      </c>
      <c r="BB243" s="76" t="b">
        <v>1</v>
      </c>
      <c r="BC243" s="76" t="b">
        <v>0</v>
      </c>
      <c r="BD243" s="76" t="b">
        <v>0</v>
      </c>
      <c r="BE243" s="76" t="b">
        <v>1</v>
      </c>
      <c r="BF243" s="76" t="b">
        <v>0</v>
      </c>
      <c r="BG243" s="76" t="b">
        <v>0</v>
      </c>
      <c r="BH243" s="83" t="str">
        <f>HYPERLINK("https://pbs.twimg.com/profile_banners/41479382/1686246384")</f>
        <v>https://pbs.twimg.com/profile_banners/41479382/1686246384</v>
      </c>
      <c r="BI243" s="76"/>
      <c r="BJ243" s="76" t="s">
        <v>6360</v>
      </c>
      <c r="BK243" s="76" t="b">
        <v>0</v>
      </c>
      <c r="BL243" s="76"/>
      <c r="BM243" s="76" t="s">
        <v>66</v>
      </c>
      <c r="BN243" s="76" t="s">
        <v>6362</v>
      </c>
      <c r="BO243" s="83" t="str">
        <f>HYPERLINK("https://twitter.com/ricgaldino")</f>
        <v>https://twitter.com/ricgaldino</v>
      </c>
      <c r="BP243" s="2"/>
    </row>
    <row r="244" spans="1:68" x14ac:dyDescent="0.25">
      <c r="A244" s="62" t="s">
        <v>447</v>
      </c>
      <c r="B244" s="63"/>
      <c r="C244" s="63"/>
      <c r="D244" s="64"/>
      <c r="E244" s="66"/>
      <c r="F244" s="102" t="str">
        <f>HYPERLINK("https://pbs.twimg.com/profile_images/1686834655801024512/sVEKXAB3_normal.jpg")</f>
        <v>https://pbs.twimg.com/profile_images/1686834655801024512/sVEKXAB3_normal.jpg</v>
      </c>
      <c r="G244" s="63"/>
      <c r="H244" s="67"/>
      <c r="I244" s="68"/>
      <c r="J244" s="68"/>
      <c r="K244" s="67" t="s">
        <v>6603</v>
      </c>
      <c r="L244" s="71"/>
      <c r="M244" s="72"/>
      <c r="N244" s="72"/>
      <c r="O244" s="73"/>
      <c r="P244" s="74"/>
      <c r="Q244" s="74"/>
      <c r="R244" s="86"/>
      <c r="S244" s="86"/>
      <c r="T244" s="86"/>
      <c r="U244" s="86"/>
      <c r="V244" s="48"/>
      <c r="W244" s="48"/>
      <c r="X244" s="48"/>
      <c r="Y244" s="48"/>
      <c r="Z244" s="47"/>
      <c r="AA244" s="69">
        <v>244</v>
      </c>
      <c r="AB244" s="69"/>
      <c r="AC244" s="70"/>
      <c r="AD244" s="76" t="s">
        <v>5563</v>
      </c>
      <c r="AE244" s="81" t="s">
        <v>5709</v>
      </c>
      <c r="AF244" s="76">
        <v>1390</v>
      </c>
      <c r="AG244" s="76">
        <v>698</v>
      </c>
      <c r="AH244" s="76">
        <v>83147</v>
      </c>
      <c r="AI244" s="76">
        <v>6</v>
      </c>
      <c r="AJ244" s="76">
        <v>198</v>
      </c>
      <c r="AK244" s="76">
        <v>155</v>
      </c>
      <c r="AL244" s="76" t="b">
        <v>0</v>
      </c>
      <c r="AM244" s="78">
        <v>41030.754837962966</v>
      </c>
      <c r="AN244" s="76" t="s">
        <v>5821</v>
      </c>
      <c r="AO244" s="76" t="s">
        <v>6076</v>
      </c>
      <c r="AP244" s="83" t="str">
        <f>HYPERLINK("https://t.co/lrtTeHT5T6")</f>
        <v>https://t.co/lrtTeHT5T6</v>
      </c>
      <c r="AQ244" s="83" t="str">
        <f>HYPERLINK("https://blogdojuares.com.br")</f>
        <v>https://blogdojuares.com.br</v>
      </c>
      <c r="AR244" s="76" t="s">
        <v>6287</v>
      </c>
      <c r="AS244" s="76"/>
      <c r="AT244" s="76"/>
      <c r="AU244" s="76"/>
      <c r="AV244" s="76"/>
      <c r="AW244" s="83" t="str">
        <f>HYPERLINK("https://t.co/lrtTeHT5T6")</f>
        <v>https://t.co/lrtTeHT5T6</v>
      </c>
      <c r="AX244" s="76" t="b">
        <v>0</v>
      </c>
      <c r="AY244" s="76"/>
      <c r="AZ244" s="76"/>
      <c r="BA244" s="76" t="b">
        <v>0</v>
      </c>
      <c r="BB244" s="76" t="b">
        <v>1</v>
      </c>
      <c r="BC244" s="76" t="b">
        <v>0</v>
      </c>
      <c r="BD244" s="76" t="b">
        <v>0</v>
      </c>
      <c r="BE244" s="76" t="b">
        <v>0</v>
      </c>
      <c r="BF244" s="76" t="b">
        <v>0</v>
      </c>
      <c r="BG244" s="76" t="b">
        <v>0</v>
      </c>
      <c r="BH244" s="83" t="str">
        <f>HYPERLINK("https://pbs.twimg.com/profile_banners/568494327/1634061488")</f>
        <v>https://pbs.twimg.com/profile_banners/568494327/1634061488</v>
      </c>
      <c r="BI244" s="76"/>
      <c r="BJ244" s="76" t="s">
        <v>6360</v>
      </c>
      <c r="BK244" s="76" t="b">
        <v>0</v>
      </c>
      <c r="BL244" s="76"/>
      <c r="BM244" s="76" t="s">
        <v>66</v>
      </c>
      <c r="BN244" s="76" t="s">
        <v>6362</v>
      </c>
      <c r="BO244" s="83" t="str">
        <f>HYPERLINK("https://twitter.com/blogdojuares")</f>
        <v>https://twitter.com/blogdojuares</v>
      </c>
      <c r="BP244" s="2"/>
    </row>
    <row r="245" spans="1:68" x14ac:dyDescent="0.25">
      <c r="A245" s="62" t="s">
        <v>448</v>
      </c>
      <c r="B245" s="63"/>
      <c r="C245" s="63"/>
      <c r="D245" s="64"/>
      <c r="E245" s="66"/>
      <c r="F245" s="102" t="str">
        <f>HYPERLINK("https://pbs.twimg.com/profile_images/1547322469161336835/OeuRkt9O_normal.jpg")</f>
        <v>https://pbs.twimg.com/profile_images/1547322469161336835/OeuRkt9O_normal.jpg</v>
      </c>
      <c r="G245" s="63"/>
      <c r="H245" s="67"/>
      <c r="I245" s="68"/>
      <c r="J245" s="68"/>
      <c r="K245" s="67" t="s">
        <v>6604</v>
      </c>
      <c r="L245" s="71"/>
      <c r="M245" s="72"/>
      <c r="N245" s="72"/>
      <c r="O245" s="73"/>
      <c r="P245" s="74"/>
      <c r="Q245" s="74"/>
      <c r="R245" s="86"/>
      <c r="S245" s="86"/>
      <c r="T245" s="86"/>
      <c r="U245" s="86"/>
      <c r="V245" s="48"/>
      <c r="W245" s="48"/>
      <c r="X245" s="48"/>
      <c r="Y245" s="48"/>
      <c r="Z245" s="47"/>
      <c r="AA245" s="69">
        <v>245</v>
      </c>
      <c r="AB245" s="69"/>
      <c r="AC245" s="70"/>
      <c r="AD245" s="76" t="s">
        <v>5564</v>
      </c>
      <c r="AE245" s="81" t="s">
        <v>5244</v>
      </c>
      <c r="AF245" s="76">
        <v>11</v>
      </c>
      <c r="AG245" s="76">
        <v>15</v>
      </c>
      <c r="AH245" s="76">
        <v>361</v>
      </c>
      <c r="AI245" s="76">
        <v>0</v>
      </c>
      <c r="AJ245" s="76">
        <v>6</v>
      </c>
      <c r="AK245" s="76">
        <v>360</v>
      </c>
      <c r="AL245" s="76" t="b">
        <v>0</v>
      </c>
      <c r="AM245" s="78">
        <v>44236.66611111111</v>
      </c>
      <c r="AN245" s="76"/>
      <c r="AO245" s="76" t="s">
        <v>6077</v>
      </c>
      <c r="AP245" s="83" t="str">
        <f>HYPERLINK("https://t.co/fh4Z3K2xe1")</f>
        <v>https://t.co/fh4Z3K2xe1</v>
      </c>
      <c r="AQ245" s="83" t="str">
        <f>HYPERLINK("https://linktr.ee/lucianaconsultoriofinanceiro")</f>
        <v>https://linktr.ee/lucianaconsultoriofinanceiro</v>
      </c>
      <c r="AR245" s="76" t="s">
        <v>6288</v>
      </c>
      <c r="AS245" s="76"/>
      <c r="AT245" s="76"/>
      <c r="AU245" s="76"/>
      <c r="AV245" s="76"/>
      <c r="AW245" s="83" t="str">
        <f>HYPERLINK("https://t.co/fh4Z3K2xe1")</f>
        <v>https://t.co/fh4Z3K2xe1</v>
      </c>
      <c r="AX245" s="76" t="b">
        <v>0</v>
      </c>
      <c r="AY245" s="76"/>
      <c r="AZ245" s="76"/>
      <c r="BA245" s="76" t="b">
        <v>0</v>
      </c>
      <c r="BB245" s="76" t="b">
        <v>1</v>
      </c>
      <c r="BC245" s="76" t="b">
        <v>1</v>
      </c>
      <c r="BD245" s="76" t="b">
        <v>0</v>
      </c>
      <c r="BE245" s="76" t="b">
        <v>0</v>
      </c>
      <c r="BF245" s="76" t="b">
        <v>0</v>
      </c>
      <c r="BG245" s="76" t="b">
        <v>0</v>
      </c>
      <c r="BH245" s="83" t="str">
        <f>HYPERLINK("https://pbs.twimg.com/profile_banners/1359169896945508355/1692817604")</f>
        <v>https://pbs.twimg.com/profile_banners/1359169896945508355/1692817604</v>
      </c>
      <c r="BI245" s="76"/>
      <c r="BJ245" s="76" t="s">
        <v>6360</v>
      </c>
      <c r="BK245" s="76" t="b">
        <v>0</v>
      </c>
      <c r="BL245" s="76"/>
      <c r="BM245" s="76" t="s">
        <v>66</v>
      </c>
      <c r="BN245" s="76" t="s">
        <v>6362</v>
      </c>
      <c r="BO245" s="83" t="str">
        <f>HYPERLINK("https://twitter.com/betteroluciana")</f>
        <v>https://twitter.com/betteroluciana</v>
      </c>
      <c r="BP245" s="2"/>
    </row>
    <row r="246" spans="1:68" x14ac:dyDescent="0.25">
      <c r="A246" s="62" t="s">
        <v>449</v>
      </c>
      <c r="B246" s="63"/>
      <c r="C246" s="63"/>
      <c r="D246" s="64"/>
      <c r="E246" s="66"/>
      <c r="F246" s="102" t="str">
        <f>HYPERLINK("https://pbs.twimg.com/profile_images/1662213777511571456/O_3C7KyL_normal.jpg")</f>
        <v>https://pbs.twimg.com/profile_images/1662213777511571456/O_3C7KyL_normal.jpg</v>
      </c>
      <c r="G246" s="63"/>
      <c r="H246" s="67"/>
      <c r="I246" s="68"/>
      <c r="J246" s="68"/>
      <c r="K246" s="67" t="s">
        <v>6605</v>
      </c>
      <c r="L246" s="71"/>
      <c r="M246" s="72"/>
      <c r="N246" s="72"/>
      <c r="O246" s="73"/>
      <c r="P246" s="74"/>
      <c r="Q246" s="74"/>
      <c r="R246" s="86"/>
      <c r="S246" s="86"/>
      <c r="T246" s="86"/>
      <c r="U246" s="86"/>
      <c r="V246" s="48"/>
      <c r="W246" s="48"/>
      <c r="X246" s="48"/>
      <c r="Y246" s="48"/>
      <c r="Z246" s="47"/>
      <c r="AA246" s="69">
        <v>246</v>
      </c>
      <c r="AB246" s="69"/>
      <c r="AC246" s="70"/>
      <c r="AD246" s="76" t="s">
        <v>5565</v>
      </c>
      <c r="AE246" s="81" t="s">
        <v>5068</v>
      </c>
      <c r="AF246" s="76">
        <v>35</v>
      </c>
      <c r="AG246" s="76">
        <v>144</v>
      </c>
      <c r="AH246" s="76">
        <v>3237</v>
      </c>
      <c r="AI246" s="76">
        <v>0</v>
      </c>
      <c r="AJ246" s="76">
        <v>521</v>
      </c>
      <c r="AK246" s="76">
        <v>332</v>
      </c>
      <c r="AL246" s="76" t="b">
        <v>0</v>
      </c>
      <c r="AM246" s="78">
        <v>44670.065787037034</v>
      </c>
      <c r="AN246" s="76" t="s">
        <v>5797</v>
      </c>
      <c r="AO246" s="76" t="s">
        <v>6078</v>
      </c>
      <c r="AP246" s="76"/>
      <c r="AQ246" s="76"/>
      <c r="AR246" s="76"/>
      <c r="AS246" s="76"/>
      <c r="AT246" s="76"/>
      <c r="AU246" s="76"/>
      <c r="AV246" s="76"/>
      <c r="AW246" s="76"/>
      <c r="AX246" s="76" t="b">
        <v>0</v>
      </c>
      <c r="AY246" s="76"/>
      <c r="AZ246" s="76"/>
      <c r="BA246" s="76" t="b">
        <v>1</v>
      </c>
      <c r="BB246" s="76" t="b">
        <v>0</v>
      </c>
      <c r="BC246" s="76" t="b">
        <v>1</v>
      </c>
      <c r="BD246" s="76" t="b">
        <v>0</v>
      </c>
      <c r="BE246" s="76" t="b">
        <v>0</v>
      </c>
      <c r="BF246" s="76" t="b">
        <v>0</v>
      </c>
      <c r="BG246" s="76" t="b">
        <v>0</v>
      </c>
      <c r="BH246" s="83" t="str">
        <f>HYPERLINK("https://pbs.twimg.com/profile_banners/1516228713926512647/1685143091")</f>
        <v>https://pbs.twimg.com/profile_banners/1516228713926512647/1685143091</v>
      </c>
      <c r="BI246" s="76"/>
      <c r="BJ246" s="76" t="s">
        <v>6360</v>
      </c>
      <c r="BK246" s="76" t="b">
        <v>0</v>
      </c>
      <c r="BL246" s="76"/>
      <c r="BM246" s="76" t="s">
        <v>66</v>
      </c>
      <c r="BN246" s="76" t="s">
        <v>6362</v>
      </c>
      <c r="BO246" s="83" t="str">
        <f>HYPERLINK("https://twitter.com/adrianoaragaofc")</f>
        <v>https://twitter.com/adrianoaragaofc</v>
      </c>
      <c r="BP246" s="2"/>
    </row>
    <row r="247" spans="1:68" x14ac:dyDescent="0.25">
      <c r="A247" s="62" t="s">
        <v>450</v>
      </c>
      <c r="B247" s="63"/>
      <c r="C247" s="63"/>
      <c r="D247" s="64"/>
      <c r="E247" s="66"/>
      <c r="F247" s="102" t="str">
        <f>HYPERLINK("https://pbs.twimg.com/profile_images/1689797296597155840/vPpm0iCl_normal.png")</f>
        <v>https://pbs.twimg.com/profile_images/1689797296597155840/vPpm0iCl_normal.png</v>
      </c>
      <c r="G247" s="63"/>
      <c r="H247" s="67"/>
      <c r="I247" s="68"/>
      <c r="J247" s="68"/>
      <c r="K247" s="67" t="s">
        <v>6606</v>
      </c>
      <c r="L247" s="71"/>
      <c r="M247" s="72"/>
      <c r="N247" s="72"/>
      <c r="O247" s="73"/>
      <c r="P247" s="74"/>
      <c r="Q247" s="74"/>
      <c r="R247" s="86"/>
      <c r="S247" s="86"/>
      <c r="T247" s="86"/>
      <c r="U247" s="86"/>
      <c r="V247" s="48"/>
      <c r="W247" s="48"/>
      <c r="X247" s="48"/>
      <c r="Y247" s="48"/>
      <c r="Z247" s="47"/>
      <c r="AA247" s="69">
        <v>247</v>
      </c>
      <c r="AB247" s="69"/>
      <c r="AC247" s="70"/>
      <c r="AD247" s="76" t="s">
        <v>5566</v>
      </c>
      <c r="AE247" s="81" t="s">
        <v>5710</v>
      </c>
      <c r="AF247" s="76">
        <v>103</v>
      </c>
      <c r="AG247" s="76">
        <v>509</v>
      </c>
      <c r="AH247" s="76">
        <v>381</v>
      </c>
      <c r="AI247" s="76">
        <v>0</v>
      </c>
      <c r="AJ247" s="76">
        <v>578</v>
      </c>
      <c r="AK247" s="76">
        <v>46</v>
      </c>
      <c r="AL247" s="76" t="b">
        <v>0</v>
      </c>
      <c r="AM247" s="78">
        <v>40572.975925925923</v>
      </c>
      <c r="AN247" s="76" t="s">
        <v>5822</v>
      </c>
      <c r="AO247" s="76" t="s">
        <v>6079</v>
      </c>
      <c r="AP247" s="83" t="str">
        <f>HYPERLINK("https://t.co/KOhfjLFUv6")</f>
        <v>https://t.co/KOhfjLFUv6</v>
      </c>
      <c r="AQ247" s="83" t="str">
        <f>HYPERLINK("https://duduhrosa13.my.canva.site/")</f>
        <v>https://duduhrosa13.my.canva.site/</v>
      </c>
      <c r="AR247" s="76" t="s">
        <v>6289</v>
      </c>
      <c r="AS247" s="76"/>
      <c r="AT247" s="76"/>
      <c r="AU247" s="76"/>
      <c r="AV247" s="76"/>
      <c r="AW247" s="83" t="str">
        <f>HYPERLINK("https://t.co/KOhfjLFUv6")</f>
        <v>https://t.co/KOhfjLFUv6</v>
      </c>
      <c r="AX247" s="76" t="b">
        <v>0</v>
      </c>
      <c r="AY247" s="76"/>
      <c r="AZ247" s="76"/>
      <c r="BA247" s="76" t="b">
        <v>1</v>
      </c>
      <c r="BB247" s="76" t="b">
        <v>0</v>
      </c>
      <c r="BC247" s="76" t="b">
        <v>0</v>
      </c>
      <c r="BD247" s="76" t="b">
        <v>0</v>
      </c>
      <c r="BE247" s="76" t="b">
        <v>0</v>
      </c>
      <c r="BF247" s="76" t="b">
        <v>0</v>
      </c>
      <c r="BG247" s="76" t="b">
        <v>0</v>
      </c>
      <c r="BH247" s="83" t="str">
        <f>HYPERLINK("https://pbs.twimg.com/profile_banners/244707852/1685298575")</f>
        <v>https://pbs.twimg.com/profile_banners/244707852/1685298575</v>
      </c>
      <c r="BI247" s="76"/>
      <c r="BJ247" s="76" t="s">
        <v>6360</v>
      </c>
      <c r="BK247" s="76" t="b">
        <v>0</v>
      </c>
      <c r="BL247" s="76"/>
      <c r="BM247" s="76" t="s">
        <v>66</v>
      </c>
      <c r="BN247" s="76" t="s">
        <v>6362</v>
      </c>
      <c r="BO247" s="83" t="str">
        <f>HYPERLINK("https://twitter.com/duduhrosa13")</f>
        <v>https://twitter.com/duduhrosa13</v>
      </c>
      <c r="BP247" s="2"/>
    </row>
    <row r="248" spans="1:68" x14ac:dyDescent="0.25">
      <c r="A248" s="62" t="s">
        <v>451</v>
      </c>
      <c r="B248" s="63"/>
      <c r="C248" s="63"/>
      <c r="D248" s="64"/>
      <c r="E248" s="66"/>
      <c r="F248" s="102" t="str">
        <f>HYPERLINK("https://pbs.twimg.com/profile_images/1658616631122186243/ytPOxRv2_normal.jpg")</f>
        <v>https://pbs.twimg.com/profile_images/1658616631122186243/ytPOxRv2_normal.jpg</v>
      </c>
      <c r="G248" s="63"/>
      <c r="H248" s="67"/>
      <c r="I248" s="68"/>
      <c r="J248" s="68"/>
      <c r="K248" s="67" t="s">
        <v>6607</v>
      </c>
      <c r="L248" s="71"/>
      <c r="M248" s="72"/>
      <c r="N248" s="72"/>
      <c r="O248" s="73"/>
      <c r="P248" s="74"/>
      <c r="Q248" s="74"/>
      <c r="R248" s="86"/>
      <c r="S248" s="86"/>
      <c r="T248" s="86"/>
      <c r="U248" s="86"/>
      <c r="V248" s="48"/>
      <c r="W248" s="48"/>
      <c r="X248" s="48"/>
      <c r="Y248" s="48"/>
      <c r="Z248" s="47"/>
      <c r="AA248" s="69">
        <v>248</v>
      </c>
      <c r="AB248" s="69"/>
      <c r="AC248" s="70"/>
      <c r="AD248" s="76" t="s">
        <v>5567</v>
      </c>
      <c r="AE248" s="81" t="s">
        <v>5245</v>
      </c>
      <c r="AF248" s="76">
        <v>11</v>
      </c>
      <c r="AG248" s="76">
        <v>72</v>
      </c>
      <c r="AH248" s="76">
        <v>664</v>
      </c>
      <c r="AI248" s="76">
        <v>0</v>
      </c>
      <c r="AJ248" s="76">
        <v>282</v>
      </c>
      <c r="AK248" s="76">
        <v>432</v>
      </c>
      <c r="AL248" s="76" t="b">
        <v>0</v>
      </c>
      <c r="AM248" s="78">
        <v>44760.612430555557</v>
      </c>
      <c r="AN248" s="76"/>
      <c r="AO248" s="76" t="s">
        <v>6080</v>
      </c>
      <c r="AP248" s="83" t="str">
        <f>HYPERLINK("https://t.co/QI4OGD0Twb")</f>
        <v>https://t.co/QI4OGD0Twb</v>
      </c>
      <c r="AQ248" s="83" t="str">
        <f>HYPERLINK("https://www.youtube.com/channel/UC2qyKLh0Lu59gpJj2_2xRIw")</f>
        <v>https://www.youtube.com/channel/UC2qyKLh0Lu59gpJj2_2xRIw</v>
      </c>
      <c r="AR248" s="76" t="s">
        <v>6290</v>
      </c>
      <c r="AS248" s="76"/>
      <c r="AT248" s="76"/>
      <c r="AU248" s="76"/>
      <c r="AV248" s="76">
        <v>1.6139047656409999E+18</v>
      </c>
      <c r="AW248" s="83" t="str">
        <f>HYPERLINK("https://t.co/QI4OGD0Twb")</f>
        <v>https://t.co/QI4OGD0Twb</v>
      </c>
      <c r="AX248" s="76" t="b">
        <v>0</v>
      </c>
      <c r="AY248" s="76"/>
      <c r="AZ248" s="76"/>
      <c r="BA248" s="76" t="b">
        <v>0</v>
      </c>
      <c r="BB248" s="76" t="b">
        <v>1</v>
      </c>
      <c r="BC248" s="76" t="b">
        <v>1</v>
      </c>
      <c r="BD248" s="76" t="b">
        <v>0</v>
      </c>
      <c r="BE248" s="76" t="b">
        <v>0</v>
      </c>
      <c r="BF248" s="76" t="b">
        <v>0</v>
      </c>
      <c r="BG248" s="76" t="b">
        <v>0</v>
      </c>
      <c r="BH248" s="76"/>
      <c r="BI248" s="76"/>
      <c r="BJ248" s="76" t="s">
        <v>6360</v>
      </c>
      <c r="BK248" s="76" t="b">
        <v>0</v>
      </c>
      <c r="BL248" s="76"/>
      <c r="BM248" s="76" t="s">
        <v>66</v>
      </c>
      <c r="BN248" s="76" t="s">
        <v>6362</v>
      </c>
      <c r="BO248" s="83" t="str">
        <f>HYPERLINK("https://twitter.com/investspace3")</f>
        <v>https://twitter.com/investspace3</v>
      </c>
      <c r="BP248" s="2"/>
    </row>
    <row r="249" spans="1:68" x14ac:dyDescent="0.25">
      <c r="A249" s="62" t="s">
        <v>533</v>
      </c>
      <c r="B249" s="63"/>
      <c r="C249" s="63"/>
      <c r="D249" s="64"/>
      <c r="E249" s="66"/>
      <c r="F249" s="102" t="str">
        <f>HYPERLINK("https://pbs.twimg.com/profile_images/1461333739619983362/l70bt_SN_normal.jpg")</f>
        <v>https://pbs.twimg.com/profile_images/1461333739619983362/l70bt_SN_normal.jpg</v>
      </c>
      <c r="G249" s="63"/>
      <c r="H249" s="67"/>
      <c r="I249" s="68"/>
      <c r="J249" s="68"/>
      <c r="K249" s="67" t="s">
        <v>6608</v>
      </c>
      <c r="L249" s="71"/>
      <c r="M249" s="72"/>
      <c r="N249" s="72"/>
      <c r="O249" s="73"/>
      <c r="P249" s="74"/>
      <c r="Q249" s="74"/>
      <c r="R249" s="86"/>
      <c r="S249" s="86"/>
      <c r="T249" s="86"/>
      <c r="U249" s="86"/>
      <c r="V249" s="48"/>
      <c r="W249" s="48"/>
      <c r="X249" s="48"/>
      <c r="Y249" s="48"/>
      <c r="Z249" s="47"/>
      <c r="AA249" s="69">
        <v>249</v>
      </c>
      <c r="AB249" s="69"/>
      <c r="AC249" s="70"/>
      <c r="AD249" s="76" t="s">
        <v>5568</v>
      </c>
      <c r="AE249" s="81" t="s">
        <v>5711</v>
      </c>
      <c r="AF249" s="76">
        <v>1205</v>
      </c>
      <c r="AG249" s="76">
        <v>237</v>
      </c>
      <c r="AH249" s="76">
        <v>1021</v>
      </c>
      <c r="AI249" s="76">
        <v>56</v>
      </c>
      <c r="AJ249" s="76">
        <v>233</v>
      </c>
      <c r="AK249" s="76">
        <v>106</v>
      </c>
      <c r="AL249" s="76" t="b">
        <v>0</v>
      </c>
      <c r="AM249" s="78">
        <v>40648.321539351855</v>
      </c>
      <c r="AN249" s="76" t="s">
        <v>5823</v>
      </c>
      <c r="AO249" s="76" t="s">
        <v>6081</v>
      </c>
      <c r="AP249" s="83" t="str">
        <f>HYPERLINK("https://t.co/GmsrSiEqM1")</f>
        <v>https://t.co/GmsrSiEqM1</v>
      </c>
      <c r="AQ249" s="83" t="str">
        <f>HYPERLINK("http://www.invest-messe.de/")</f>
        <v>http://www.invest-messe.de/</v>
      </c>
      <c r="AR249" s="76" t="s">
        <v>6291</v>
      </c>
      <c r="AS249" s="76"/>
      <c r="AT249" s="76"/>
      <c r="AU249" s="76"/>
      <c r="AV249" s="76"/>
      <c r="AW249" s="83" t="str">
        <f>HYPERLINK("https://t.co/GmsrSiEqM1")</f>
        <v>https://t.co/GmsrSiEqM1</v>
      </c>
      <c r="AX249" s="76" t="b">
        <v>0</v>
      </c>
      <c r="AY249" s="76"/>
      <c r="AZ249" s="76"/>
      <c r="BA249" s="76" t="b">
        <v>0</v>
      </c>
      <c r="BB249" s="76" t="b">
        <v>1</v>
      </c>
      <c r="BC249" s="76" t="b">
        <v>0</v>
      </c>
      <c r="BD249" s="76" t="b">
        <v>0</v>
      </c>
      <c r="BE249" s="76" t="b">
        <v>0</v>
      </c>
      <c r="BF249" s="76" t="b">
        <v>0</v>
      </c>
      <c r="BG249" s="76" t="b">
        <v>0</v>
      </c>
      <c r="BH249" s="83" t="str">
        <f>HYPERLINK("https://pbs.twimg.com/profile_banners/282458763/1637244029")</f>
        <v>https://pbs.twimg.com/profile_banners/282458763/1637244029</v>
      </c>
      <c r="BI249" s="76"/>
      <c r="BJ249" s="76" t="s">
        <v>6360</v>
      </c>
      <c r="BK249" s="76" t="b">
        <v>0</v>
      </c>
      <c r="BL249" s="76"/>
      <c r="BM249" s="76" t="s">
        <v>65</v>
      </c>
      <c r="BN249" s="76" t="s">
        <v>6362</v>
      </c>
      <c r="BO249" s="83" t="str">
        <f>HYPERLINK("https://twitter.com/invest")</f>
        <v>https://twitter.com/invest</v>
      </c>
      <c r="BP249" s="2"/>
    </row>
    <row r="250" spans="1:68" x14ac:dyDescent="0.25">
      <c r="A250" s="62" t="s">
        <v>452</v>
      </c>
      <c r="B250" s="63"/>
      <c r="C250" s="63"/>
      <c r="D250" s="64"/>
      <c r="E250" s="66"/>
      <c r="F250" s="102" t="str">
        <f>HYPERLINK("https://pbs.twimg.com/profile_images/1674065554863210498/OC7ydwe3_normal.jpg")</f>
        <v>https://pbs.twimg.com/profile_images/1674065554863210498/OC7ydwe3_normal.jpg</v>
      </c>
      <c r="G250" s="63"/>
      <c r="H250" s="67"/>
      <c r="I250" s="68"/>
      <c r="J250" s="68"/>
      <c r="K250" s="67" t="s">
        <v>6609</v>
      </c>
      <c r="L250" s="71"/>
      <c r="M250" s="72"/>
      <c r="N250" s="72"/>
      <c r="O250" s="73"/>
      <c r="P250" s="74"/>
      <c r="Q250" s="74"/>
      <c r="R250" s="86"/>
      <c r="S250" s="86"/>
      <c r="T250" s="86"/>
      <c r="U250" s="86"/>
      <c r="V250" s="48"/>
      <c r="W250" s="48"/>
      <c r="X250" s="48"/>
      <c r="Y250" s="48"/>
      <c r="Z250" s="47"/>
      <c r="AA250" s="69">
        <v>250</v>
      </c>
      <c r="AB250" s="69"/>
      <c r="AC250" s="70"/>
      <c r="AD250" s="76" t="s">
        <v>5569</v>
      </c>
      <c r="AE250" s="81" t="s">
        <v>5246</v>
      </c>
      <c r="AF250" s="76">
        <v>10</v>
      </c>
      <c r="AG250" s="76">
        <v>82</v>
      </c>
      <c r="AH250" s="76">
        <v>10</v>
      </c>
      <c r="AI250" s="76">
        <v>0</v>
      </c>
      <c r="AJ250" s="76">
        <v>12</v>
      </c>
      <c r="AK250" s="76">
        <v>0</v>
      </c>
      <c r="AL250" s="76" t="b">
        <v>0</v>
      </c>
      <c r="AM250" s="78">
        <v>45105.609733796293</v>
      </c>
      <c r="AN250" s="76" t="s">
        <v>5824</v>
      </c>
      <c r="AO250" s="76" t="s">
        <v>6082</v>
      </c>
      <c r="AP250" s="83" t="str">
        <f>HYPERLINK("https://t.co/JhsYdvawhO")</f>
        <v>https://t.co/JhsYdvawhO</v>
      </c>
      <c r="AQ250" s="83" t="str">
        <f>HYPERLINK("http://hamashiaassessoria.com.br")</f>
        <v>http://hamashiaassessoria.com.br</v>
      </c>
      <c r="AR250" s="76" t="s">
        <v>6292</v>
      </c>
      <c r="AS250" s="76"/>
      <c r="AT250" s="76"/>
      <c r="AU250" s="76"/>
      <c r="AV250" s="76"/>
      <c r="AW250" s="83" t="str">
        <f>HYPERLINK("https://t.co/JhsYdvawhO")</f>
        <v>https://t.co/JhsYdvawhO</v>
      </c>
      <c r="AX250" s="76" t="b">
        <v>0</v>
      </c>
      <c r="AY250" s="76"/>
      <c r="AZ250" s="76"/>
      <c r="BA250" s="76" t="b">
        <v>0</v>
      </c>
      <c r="BB250" s="76" t="b">
        <v>1</v>
      </c>
      <c r="BC250" s="76" t="b">
        <v>1</v>
      </c>
      <c r="BD250" s="76" t="b">
        <v>0</v>
      </c>
      <c r="BE250" s="76" t="b">
        <v>0</v>
      </c>
      <c r="BF250" s="76" t="b">
        <v>0</v>
      </c>
      <c r="BG250" s="76" t="b">
        <v>0</v>
      </c>
      <c r="BH250" s="83" t="str">
        <f>HYPERLINK("https://pbs.twimg.com/profile_banners/1674064547617939456/1687963307")</f>
        <v>https://pbs.twimg.com/profile_banners/1674064547617939456/1687963307</v>
      </c>
      <c r="BI250" s="76"/>
      <c r="BJ250" s="76" t="s">
        <v>6360</v>
      </c>
      <c r="BK250" s="76" t="b">
        <v>0</v>
      </c>
      <c r="BL250" s="76"/>
      <c r="BM250" s="76" t="s">
        <v>66</v>
      </c>
      <c r="BN250" s="76" t="s">
        <v>6362</v>
      </c>
      <c r="BO250" s="83" t="str">
        <f>HYPERLINK("https://twitter.com/hamashiaoficial")</f>
        <v>https://twitter.com/hamashiaoficial</v>
      </c>
      <c r="BP250" s="2"/>
    </row>
    <row r="251" spans="1:68" x14ac:dyDescent="0.25">
      <c r="A251" s="62" t="s">
        <v>453</v>
      </c>
      <c r="B251" s="63"/>
      <c r="C251" s="63"/>
      <c r="D251" s="64"/>
      <c r="E251" s="66"/>
      <c r="F251" s="102" t="str">
        <f>HYPERLINK("https://pbs.twimg.com/profile_images/1483046061899923457/aRNxfRz3_normal.jpg")</f>
        <v>https://pbs.twimg.com/profile_images/1483046061899923457/aRNxfRz3_normal.jpg</v>
      </c>
      <c r="G251" s="63"/>
      <c r="H251" s="67"/>
      <c r="I251" s="68"/>
      <c r="J251" s="68"/>
      <c r="K251" s="67" t="s">
        <v>6610</v>
      </c>
      <c r="L251" s="71"/>
      <c r="M251" s="72"/>
      <c r="N251" s="72"/>
      <c r="O251" s="73"/>
      <c r="P251" s="74"/>
      <c r="Q251" s="74"/>
      <c r="R251" s="86"/>
      <c r="S251" s="86"/>
      <c r="T251" s="86"/>
      <c r="U251" s="86"/>
      <c r="V251" s="48"/>
      <c r="W251" s="48"/>
      <c r="X251" s="48"/>
      <c r="Y251" s="48"/>
      <c r="Z251" s="47"/>
      <c r="AA251" s="69">
        <v>251</v>
      </c>
      <c r="AB251" s="69"/>
      <c r="AC251" s="70"/>
      <c r="AD251" s="76" t="s">
        <v>5570</v>
      </c>
      <c r="AE251" s="81" t="s">
        <v>5247</v>
      </c>
      <c r="AF251" s="76">
        <v>4</v>
      </c>
      <c r="AG251" s="76">
        <v>40</v>
      </c>
      <c r="AH251" s="76">
        <v>48</v>
      </c>
      <c r="AI251" s="76">
        <v>2</v>
      </c>
      <c r="AJ251" s="76">
        <v>57</v>
      </c>
      <c r="AK251" s="76">
        <v>1</v>
      </c>
      <c r="AL251" s="76" t="b">
        <v>0</v>
      </c>
      <c r="AM251" s="78">
        <v>44578.495659722219</v>
      </c>
      <c r="AN251" s="76" t="s">
        <v>3410</v>
      </c>
      <c r="AO251" s="76" t="s">
        <v>6083</v>
      </c>
      <c r="AP251" s="83" t="str">
        <f>HYPERLINK("https://t.co/tgXXGASLze")</f>
        <v>https://t.co/tgXXGASLze</v>
      </c>
      <c r="AQ251" s="83" t="str">
        <f>HYPERLINK("http://cdihoje.com")</f>
        <v>http://cdihoje.com</v>
      </c>
      <c r="AR251" s="76" t="s">
        <v>6293</v>
      </c>
      <c r="AS251" s="76"/>
      <c r="AT251" s="76"/>
      <c r="AU251" s="76"/>
      <c r="AV251" s="76"/>
      <c r="AW251" s="83" t="str">
        <f>HYPERLINK("https://t.co/tgXXGASLze")</f>
        <v>https://t.co/tgXXGASLze</v>
      </c>
      <c r="AX251" s="76" t="b">
        <v>0</v>
      </c>
      <c r="AY251" s="76"/>
      <c r="AZ251" s="76"/>
      <c r="BA251" s="76" t="b">
        <v>0</v>
      </c>
      <c r="BB251" s="76" t="b">
        <v>1</v>
      </c>
      <c r="BC251" s="76" t="b">
        <v>1</v>
      </c>
      <c r="BD251" s="76" t="b">
        <v>0</v>
      </c>
      <c r="BE251" s="76" t="b">
        <v>1</v>
      </c>
      <c r="BF251" s="76" t="b">
        <v>0</v>
      </c>
      <c r="BG251" s="76" t="b">
        <v>0</v>
      </c>
      <c r="BH251" s="83" t="str">
        <f>HYPERLINK("https://pbs.twimg.com/profile_banners/1483044688596815881/1642420710")</f>
        <v>https://pbs.twimg.com/profile_banners/1483044688596815881/1642420710</v>
      </c>
      <c r="BI251" s="76"/>
      <c r="BJ251" s="76" t="s">
        <v>6360</v>
      </c>
      <c r="BK251" s="76" t="b">
        <v>0</v>
      </c>
      <c r="BL251" s="76"/>
      <c r="BM251" s="76" t="s">
        <v>66</v>
      </c>
      <c r="BN251" s="76" t="s">
        <v>6362</v>
      </c>
      <c r="BO251" s="83" t="str">
        <f>HYPERLINK("https://twitter.com/cdihoje")</f>
        <v>https://twitter.com/cdihoje</v>
      </c>
      <c r="BP251" s="2"/>
    </row>
    <row r="252" spans="1:68" x14ac:dyDescent="0.25">
      <c r="A252" s="62" t="s">
        <v>454</v>
      </c>
      <c r="B252" s="63"/>
      <c r="C252" s="63"/>
      <c r="D252" s="64"/>
      <c r="E252" s="66"/>
      <c r="F252" s="102" t="str">
        <f>HYPERLINK("https://pbs.twimg.com/profile_images/2300043602/6wqz9csynot17abkvf8y_normal.jpeg")</f>
        <v>https://pbs.twimg.com/profile_images/2300043602/6wqz9csynot17abkvf8y_normal.jpeg</v>
      </c>
      <c r="G252" s="63"/>
      <c r="H252" s="67"/>
      <c r="I252" s="68"/>
      <c r="J252" s="68"/>
      <c r="K252" s="67" t="s">
        <v>6611</v>
      </c>
      <c r="L252" s="71"/>
      <c r="M252" s="72"/>
      <c r="N252" s="72"/>
      <c r="O252" s="73"/>
      <c r="P252" s="74"/>
      <c r="Q252" s="74"/>
      <c r="R252" s="86"/>
      <c r="S252" s="86"/>
      <c r="T252" s="86"/>
      <c r="U252" s="86"/>
      <c r="V252" s="48"/>
      <c r="W252" s="48"/>
      <c r="X252" s="48"/>
      <c r="Y252" s="48"/>
      <c r="Z252" s="47"/>
      <c r="AA252" s="69">
        <v>252</v>
      </c>
      <c r="AB252" s="69"/>
      <c r="AC252" s="70"/>
      <c r="AD252" s="76" t="s">
        <v>5571</v>
      </c>
      <c r="AE252" s="81" t="s">
        <v>5712</v>
      </c>
      <c r="AF252" s="76">
        <v>15</v>
      </c>
      <c r="AG252" s="76">
        <v>134</v>
      </c>
      <c r="AH252" s="76">
        <v>109</v>
      </c>
      <c r="AI252" s="76">
        <v>0</v>
      </c>
      <c r="AJ252" s="76">
        <v>34</v>
      </c>
      <c r="AK252" s="76">
        <v>42</v>
      </c>
      <c r="AL252" s="76" t="b">
        <v>0</v>
      </c>
      <c r="AM252" s="78">
        <v>40791.733356481483</v>
      </c>
      <c r="AN252" s="76" t="s">
        <v>5825</v>
      </c>
      <c r="AO252" s="76"/>
      <c r="AP252" s="76"/>
      <c r="AQ252" s="76"/>
      <c r="AR252" s="76"/>
      <c r="AS252" s="76"/>
      <c r="AT252" s="76"/>
      <c r="AU252" s="76"/>
      <c r="AV252" s="76"/>
      <c r="AW252" s="76"/>
      <c r="AX252" s="76" t="b">
        <v>0</v>
      </c>
      <c r="AY252" s="76"/>
      <c r="AZ252" s="76"/>
      <c r="BA252" s="76" t="b">
        <v>0</v>
      </c>
      <c r="BB252" s="76" t="b">
        <v>0</v>
      </c>
      <c r="BC252" s="76" t="b">
        <v>1</v>
      </c>
      <c r="BD252" s="76" t="b">
        <v>0</v>
      </c>
      <c r="BE252" s="76" t="b">
        <v>0</v>
      </c>
      <c r="BF252" s="76" t="b">
        <v>0</v>
      </c>
      <c r="BG252" s="76" t="b">
        <v>0</v>
      </c>
      <c r="BH252" s="83" t="str">
        <f>HYPERLINK("https://pbs.twimg.com/profile_banners/368459377/1615224416")</f>
        <v>https://pbs.twimg.com/profile_banners/368459377/1615224416</v>
      </c>
      <c r="BI252" s="76"/>
      <c r="BJ252" s="76" t="s">
        <v>6360</v>
      </c>
      <c r="BK252" s="76" t="b">
        <v>0</v>
      </c>
      <c r="BL252" s="76"/>
      <c r="BM252" s="76" t="s">
        <v>66</v>
      </c>
      <c r="BN252" s="76" t="s">
        <v>6362</v>
      </c>
      <c r="BO252" s="83" t="str">
        <f>HYPERLINK("https://twitter.com/marcelobavila")</f>
        <v>https://twitter.com/marcelobavila</v>
      </c>
      <c r="BP252" s="2"/>
    </row>
    <row r="253" spans="1:68" x14ac:dyDescent="0.25">
      <c r="A253" s="62" t="s">
        <v>455</v>
      </c>
      <c r="B253" s="63"/>
      <c r="C253" s="63"/>
      <c r="D253" s="64"/>
      <c r="E253" s="66"/>
      <c r="F253" s="102" t="str">
        <f>HYPERLINK("https://pbs.twimg.com/profile_images/1611736899730677761/4wzt-Gsv_normal.jpg")</f>
        <v>https://pbs.twimg.com/profile_images/1611736899730677761/4wzt-Gsv_normal.jpg</v>
      </c>
      <c r="G253" s="63"/>
      <c r="H253" s="67"/>
      <c r="I253" s="68"/>
      <c r="J253" s="68"/>
      <c r="K253" s="67" t="s">
        <v>6612</v>
      </c>
      <c r="L253" s="71"/>
      <c r="M253" s="72"/>
      <c r="N253" s="72"/>
      <c r="O253" s="73"/>
      <c r="P253" s="74"/>
      <c r="Q253" s="74"/>
      <c r="R253" s="86"/>
      <c r="S253" s="86"/>
      <c r="T253" s="86"/>
      <c r="U253" s="86"/>
      <c r="V253" s="48"/>
      <c r="W253" s="48"/>
      <c r="X253" s="48"/>
      <c r="Y253" s="48"/>
      <c r="Z253" s="47"/>
      <c r="AA253" s="69">
        <v>253</v>
      </c>
      <c r="AB253" s="69"/>
      <c r="AC253" s="70"/>
      <c r="AD253" s="76" t="s">
        <v>5572</v>
      </c>
      <c r="AE253" s="81" t="s">
        <v>5713</v>
      </c>
      <c r="AF253" s="76">
        <v>31</v>
      </c>
      <c r="AG253" s="76">
        <v>423</v>
      </c>
      <c r="AH253" s="76">
        <v>13</v>
      </c>
      <c r="AI253" s="76">
        <v>0</v>
      </c>
      <c r="AJ253" s="76">
        <v>21</v>
      </c>
      <c r="AK253" s="76">
        <v>0</v>
      </c>
      <c r="AL253" s="76" t="b">
        <v>0</v>
      </c>
      <c r="AM253" s="78">
        <v>39898.807013888887</v>
      </c>
      <c r="AN253" s="76" t="s">
        <v>3410</v>
      </c>
      <c r="AO253" s="76" t="s">
        <v>6084</v>
      </c>
      <c r="AP253" s="83" t="str">
        <f>HYPERLINK("https://t.co/jHOrlhyqpt")</f>
        <v>https://t.co/jHOrlhyqpt</v>
      </c>
      <c r="AQ253" s="83" t="str">
        <f>HYPERLINK("http://filipedawson.com")</f>
        <v>http://filipedawson.com</v>
      </c>
      <c r="AR253" s="76" t="s">
        <v>6294</v>
      </c>
      <c r="AS253" s="76"/>
      <c r="AT253" s="76"/>
      <c r="AU253" s="76"/>
      <c r="AV253" s="76"/>
      <c r="AW253" s="83" t="str">
        <f>HYPERLINK("https://t.co/jHOrlhyqpt")</f>
        <v>https://t.co/jHOrlhyqpt</v>
      </c>
      <c r="AX253" s="76" t="b">
        <v>0</v>
      </c>
      <c r="AY253" s="76"/>
      <c r="AZ253" s="76"/>
      <c r="BA253" s="76" t="b">
        <v>0</v>
      </c>
      <c r="BB253" s="76" t="b">
        <v>0</v>
      </c>
      <c r="BC253" s="76" t="b">
        <v>0</v>
      </c>
      <c r="BD253" s="76" t="b">
        <v>0</v>
      </c>
      <c r="BE253" s="76" t="b">
        <v>1</v>
      </c>
      <c r="BF253" s="76" t="b">
        <v>0</v>
      </c>
      <c r="BG253" s="76" t="b">
        <v>0</v>
      </c>
      <c r="BH253" s="76"/>
      <c r="BI253" s="76"/>
      <c r="BJ253" s="76" t="s">
        <v>6360</v>
      </c>
      <c r="BK253" s="76" t="b">
        <v>0</v>
      </c>
      <c r="BL253" s="76"/>
      <c r="BM253" s="76" t="s">
        <v>66</v>
      </c>
      <c r="BN253" s="76" t="s">
        <v>6362</v>
      </c>
      <c r="BO253" s="83" t="str">
        <f>HYPERLINK("https://twitter.com/filipedawson")</f>
        <v>https://twitter.com/filipedawson</v>
      </c>
      <c r="BP253" s="2"/>
    </row>
    <row r="254" spans="1:68" x14ac:dyDescent="0.25">
      <c r="A254" s="62" t="s">
        <v>456</v>
      </c>
      <c r="B254" s="63"/>
      <c r="C254" s="63"/>
      <c r="D254" s="64"/>
      <c r="E254" s="66"/>
      <c r="F254" s="102" t="str">
        <f>HYPERLINK("https://pbs.twimg.com/profile_images/1653893635660808192/ACoFpbyg_normal.jpg")</f>
        <v>https://pbs.twimg.com/profile_images/1653893635660808192/ACoFpbyg_normal.jpg</v>
      </c>
      <c r="G254" s="63"/>
      <c r="H254" s="67"/>
      <c r="I254" s="68"/>
      <c r="J254" s="68"/>
      <c r="K254" s="67" t="s">
        <v>6613</v>
      </c>
      <c r="L254" s="71"/>
      <c r="M254" s="72"/>
      <c r="N254" s="72"/>
      <c r="O254" s="73"/>
      <c r="P254" s="74"/>
      <c r="Q254" s="74"/>
      <c r="R254" s="86"/>
      <c r="S254" s="86"/>
      <c r="T254" s="86"/>
      <c r="U254" s="86"/>
      <c r="V254" s="48"/>
      <c r="W254" s="48"/>
      <c r="X254" s="48"/>
      <c r="Y254" s="48"/>
      <c r="Z254" s="47"/>
      <c r="AA254" s="69">
        <v>254</v>
      </c>
      <c r="AB254" s="69"/>
      <c r="AC254" s="70"/>
      <c r="AD254" s="76" t="s">
        <v>5573</v>
      </c>
      <c r="AE254" s="81" t="s">
        <v>5069</v>
      </c>
      <c r="AF254" s="76">
        <v>2210</v>
      </c>
      <c r="AG254" s="76">
        <v>231</v>
      </c>
      <c r="AH254" s="76">
        <v>2859</v>
      </c>
      <c r="AI254" s="76">
        <v>38</v>
      </c>
      <c r="AJ254" s="76">
        <v>2603</v>
      </c>
      <c r="AK254" s="76">
        <v>311</v>
      </c>
      <c r="AL254" s="76" t="b">
        <v>0</v>
      </c>
      <c r="AM254" s="78">
        <v>40342.599849537037</v>
      </c>
      <c r="AN254" s="76" t="s">
        <v>5826</v>
      </c>
      <c r="AO254" s="76" t="s">
        <v>6085</v>
      </c>
      <c r="AP254" s="83" t="str">
        <f>HYPERLINK("https://t.co/nG139SiWoj")</f>
        <v>https://t.co/nG139SiWoj</v>
      </c>
      <c r="AQ254" s="83" t="str">
        <f>HYPERLINK("http://instagram.com/geraldoburigo")</f>
        <v>http://instagram.com/geraldoburigo</v>
      </c>
      <c r="AR254" s="76" t="s">
        <v>6295</v>
      </c>
      <c r="AS254" s="76"/>
      <c r="AT254" s="76"/>
      <c r="AU254" s="76"/>
      <c r="AV254" s="76">
        <v>1.6142212894382001E+18</v>
      </c>
      <c r="AW254" s="83" t="str">
        <f>HYPERLINK("https://t.co/nG139SiWoj")</f>
        <v>https://t.co/nG139SiWoj</v>
      </c>
      <c r="AX254" s="76" t="b">
        <v>0</v>
      </c>
      <c r="AY254" s="76"/>
      <c r="AZ254" s="76"/>
      <c r="BA254" s="76" t="b">
        <v>1</v>
      </c>
      <c r="BB254" s="76" t="b">
        <v>0</v>
      </c>
      <c r="BC254" s="76" t="b">
        <v>1</v>
      </c>
      <c r="BD254" s="76" t="b">
        <v>0</v>
      </c>
      <c r="BE254" s="76" t="b">
        <v>1</v>
      </c>
      <c r="BF254" s="76" t="b">
        <v>0</v>
      </c>
      <c r="BG254" s="76" t="b">
        <v>0</v>
      </c>
      <c r="BH254" s="83" t="str">
        <f>HYPERLINK("https://pbs.twimg.com/profile_banners/155223834/1650030604")</f>
        <v>https://pbs.twimg.com/profile_banners/155223834/1650030604</v>
      </c>
      <c r="BI254" s="76"/>
      <c r="BJ254" s="76" t="s">
        <v>6360</v>
      </c>
      <c r="BK254" s="76" t="b">
        <v>0</v>
      </c>
      <c r="BL254" s="76"/>
      <c r="BM254" s="76" t="s">
        <v>66</v>
      </c>
      <c r="BN254" s="76" t="s">
        <v>6362</v>
      </c>
      <c r="BO254" s="83" t="str">
        <f>HYPERLINK("https://twitter.com/geraldoburigo")</f>
        <v>https://twitter.com/geraldoburigo</v>
      </c>
      <c r="BP254" s="2"/>
    </row>
    <row r="255" spans="1:68" x14ac:dyDescent="0.25">
      <c r="A255" s="62" t="s">
        <v>457</v>
      </c>
      <c r="B255" s="63"/>
      <c r="C255" s="63"/>
      <c r="D255" s="64"/>
      <c r="E255" s="66"/>
      <c r="F255" s="102" t="str">
        <f>HYPERLINK("https://pbs.twimg.com/profile_images/1645508547994681345/Cu2nWYBA_normal.jpg")</f>
        <v>https://pbs.twimg.com/profile_images/1645508547994681345/Cu2nWYBA_normal.jpg</v>
      </c>
      <c r="G255" s="63"/>
      <c r="H255" s="67"/>
      <c r="I255" s="68"/>
      <c r="J255" s="68"/>
      <c r="K255" s="67" t="s">
        <v>6614</v>
      </c>
      <c r="L255" s="71"/>
      <c r="M255" s="72"/>
      <c r="N255" s="72"/>
      <c r="O255" s="73"/>
      <c r="P255" s="74"/>
      <c r="Q255" s="74"/>
      <c r="R255" s="86"/>
      <c r="S255" s="86"/>
      <c r="T255" s="86"/>
      <c r="U255" s="86"/>
      <c r="V255" s="48"/>
      <c r="W255" s="48"/>
      <c r="X255" s="48"/>
      <c r="Y255" s="48"/>
      <c r="Z255" s="47"/>
      <c r="AA255" s="69">
        <v>255</v>
      </c>
      <c r="AB255" s="69"/>
      <c r="AC255" s="70"/>
      <c r="AD255" s="76" t="s">
        <v>5574</v>
      </c>
      <c r="AE255" s="81" t="s">
        <v>5248</v>
      </c>
      <c r="AF255" s="76">
        <v>10</v>
      </c>
      <c r="AG255" s="76">
        <v>36</v>
      </c>
      <c r="AH255" s="76">
        <v>518</v>
      </c>
      <c r="AI255" s="76">
        <v>0</v>
      </c>
      <c r="AJ255" s="76">
        <v>23</v>
      </c>
      <c r="AK255" s="76">
        <v>308</v>
      </c>
      <c r="AL255" s="76" t="b">
        <v>0</v>
      </c>
      <c r="AM255" s="78">
        <v>44735.674791666665</v>
      </c>
      <c r="AN255" s="76"/>
      <c r="AO255" s="76" t="s">
        <v>6086</v>
      </c>
      <c r="AP255" s="83" t="str">
        <f>HYPERLINK("https://t.co/zpjnsxfFS6")</f>
        <v>https://t.co/zpjnsxfFS6</v>
      </c>
      <c r="AQ255" s="83" t="str">
        <f>HYPERLINK("http://www.keepgrowing.com.br")</f>
        <v>http://www.keepgrowing.com.br</v>
      </c>
      <c r="AR255" s="76" t="s">
        <v>6296</v>
      </c>
      <c r="AS255" s="83" t="str">
        <f>HYPERLINK("https://t.co/c6QGORXc0J")</f>
        <v>https://t.co/c6QGORXc0J</v>
      </c>
      <c r="AT255" s="83" t="str">
        <f>HYPERLINK("http://keepgrowing.com.br")</f>
        <v>http://keepgrowing.com.br</v>
      </c>
      <c r="AU255" s="76" t="s">
        <v>6296</v>
      </c>
      <c r="AV255" s="76"/>
      <c r="AW255" s="83" t="str">
        <f>HYPERLINK("https://t.co/zpjnsxfFS6")</f>
        <v>https://t.co/zpjnsxfFS6</v>
      </c>
      <c r="AX255" s="76" t="b">
        <v>0</v>
      </c>
      <c r="AY255" s="76"/>
      <c r="AZ255" s="76"/>
      <c r="BA255" s="76" t="b">
        <v>0</v>
      </c>
      <c r="BB255" s="76" t="b">
        <v>1</v>
      </c>
      <c r="BC255" s="76" t="b">
        <v>1</v>
      </c>
      <c r="BD255" s="76" t="b">
        <v>0</v>
      </c>
      <c r="BE255" s="76" t="b">
        <v>0</v>
      </c>
      <c r="BF255" s="76" t="b">
        <v>0</v>
      </c>
      <c r="BG255" s="76" t="b">
        <v>0</v>
      </c>
      <c r="BH255" s="83" t="str">
        <f>HYPERLINK("https://pbs.twimg.com/profile_banners/1540004255012102144/1656001105")</f>
        <v>https://pbs.twimg.com/profile_banners/1540004255012102144/1656001105</v>
      </c>
      <c r="BI255" s="76"/>
      <c r="BJ255" s="76" t="s">
        <v>6360</v>
      </c>
      <c r="BK255" s="76" t="b">
        <v>0</v>
      </c>
      <c r="BL255" s="76"/>
      <c r="BM255" s="76" t="s">
        <v>66</v>
      </c>
      <c r="BN255" s="76" t="s">
        <v>6362</v>
      </c>
      <c r="BO255" s="83" t="str">
        <f>HYPERLINK("https://twitter.com/keepgrowing_")</f>
        <v>https://twitter.com/keepgrowing_</v>
      </c>
      <c r="BP255" s="2"/>
    </row>
    <row r="256" spans="1:68" x14ac:dyDescent="0.25">
      <c r="A256" s="62" t="s">
        <v>458</v>
      </c>
      <c r="B256" s="63"/>
      <c r="C256" s="63"/>
      <c r="D256" s="64"/>
      <c r="E256" s="66"/>
      <c r="F256" s="102" t="str">
        <f>HYPERLINK("https://pbs.twimg.com/profile_images/1566616744919285762/xFuORApr_normal.jpg")</f>
        <v>https://pbs.twimg.com/profile_images/1566616744919285762/xFuORApr_normal.jpg</v>
      </c>
      <c r="G256" s="63"/>
      <c r="H256" s="67"/>
      <c r="I256" s="68"/>
      <c r="J256" s="68"/>
      <c r="K256" s="67" t="s">
        <v>6615</v>
      </c>
      <c r="L256" s="71"/>
      <c r="M256" s="72"/>
      <c r="N256" s="72"/>
      <c r="O256" s="73"/>
      <c r="P256" s="74"/>
      <c r="Q256" s="74"/>
      <c r="R256" s="86"/>
      <c r="S256" s="86"/>
      <c r="T256" s="86"/>
      <c r="U256" s="86"/>
      <c r="V256" s="48"/>
      <c r="W256" s="48"/>
      <c r="X256" s="48"/>
      <c r="Y256" s="48"/>
      <c r="Z256" s="47"/>
      <c r="AA256" s="69">
        <v>256</v>
      </c>
      <c r="AB256" s="69"/>
      <c r="AC256" s="70"/>
      <c r="AD256" s="76" t="s">
        <v>5575</v>
      </c>
      <c r="AE256" s="81" t="s">
        <v>5714</v>
      </c>
      <c r="AF256" s="76">
        <v>764</v>
      </c>
      <c r="AG256" s="76">
        <v>981</v>
      </c>
      <c r="AH256" s="76">
        <v>409</v>
      </c>
      <c r="AI256" s="76">
        <v>4</v>
      </c>
      <c r="AJ256" s="76">
        <v>3</v>
      </c>
      <c r="AK256" s="76">
        <v>155</v>
      </c>
      <c r="AL256" s="76" t="b">
        <v>0</v>
      </c>
      <c r="AM256" s="78">
        <v>39965.971921296295</v>
      </c>
      <c r="AN256" s="76" t="s">
        <v>3415</v>
      </c>
      <c r="AO256" s="76" t="s">
        <v>6087</v>
      </c>
      <c r="AP256" s="76"/>
      <c r="AQ256" s="76"/>
      <c r="AR256" s="76"/>
      <c r="AS256" s="76"/>
      <c r="AT256" s="76"/>
      <c r="AU256" s="76"/>
      <c r="AV256" s="76"/>
      <c r="AW256" s="76"/>
      <c r="AX256" s="76" t="b">
        <v>0</v>
      </c>
      <c r="AY256" s="76"/>
      <c r="AZ256" s="76"/>
      <c r="BA256" s="76" t="b">
        <v>1</v>
      </c>
      <c r="BB256" s="76" t="b">
        <v>1</v>
      </c>
      <c r="BC256" s="76" t="b">
        <v>1</v>
      </c>
      <c r="BD256" s="76" t="b">
        <v>0</v>
      </c>
      <c r="BE256" s="76" t="b">
        <v>1</v>
      </c>
      <c r="BF256" s="76" t="b">
        <v>0</v>
      </c>
      <c r="BG256" s="76" t="b">
        <v>0</v>
      </c>
      <c r="BH256" s="83" t="str">
        <f>HYPERLINK("https://pbs.twimg.com/profile_banners/44000594/1662345815")</f>
        <v>https://pbs.twimg.com/profile_banners/44000594/1662345815</v>
      </c>
      <c r="BI256" s="76"/>
      <c r="BJ256" s="76" t="s">
        <v>6360</v>
      </c>
      <c r="BK256" s="76" t="b">
        <v>0</v>
      </c>
      <c r="BL256" s="76"/>
      <c r="BM256" s="76" t="s">
        <v>66</v>
      </c>
      <c r="BN256" s="76" t="s">
        <v>6362</v>
      </c>
      <c r="BO256" s="83" t="str">
        <f>HYPERLINK("https://twitter.com/nossoinss")</f>
        <v>https://twitter.com/nossoinss</v>
      </c>
      <c r="BP256" s="2"/>
    </row>
    <row r="257" spans="1:68" x14ac:dyDescent="0.25">
      <c r="A257" s="62" t="s">
        <v>459</v>
      </c>
      <c r="B257" s="63"/>
      <c r="C257" s="63"/>
      <c r="D257" s="64"/>
      <c r="E257" s="66"/>
      <c r="F257" s="102" t="str">
        <f>HYPERLINK("https://pbs.twimg.com/profile_images/1664560350912565248/YX1gnn53_normal.jpg")</f>
        <v>https://pbs.twimg.com/profile_images/1664560350912565248/YX1gnn53_normal.jpg</v>
      </c>
      <c r="G257" s="63"/>
      <c r="H257" s="67"/>
      <c r="I257" s="68"/>
      <c r="J257" s="68"/>
      <c r="K257" s="67" t="s">
        <v>6616</v>
      </c>
      <c r="L257" s="71"/>
      <c r="M257" s="72"/>
      <c r="N257" s="72"/>
      <c r="O257" s="73"/>
      <c r="P257" s="74"/>
      <c r="Q257" s="74"/>
      <c r="R257" s="86"/>
      <c r="S257" s="86"/>
      <c r="T257" s="86"/>
      <c r="U257" s="86"/>
      <c r="V257" s="48"/>
      <c r="W257" s="48"/>
      <c r="X257" s="48"/>
      <c r="Y257" s="48"/>
      <c r="Z257" s="47"/>
      <c r="AA257" s="69">
        <v>257</v>
      </c>
      <c r="AB257" s="69"/>
      <c r="AC257" s="70"/>
      <c r="AD257" s="76" t="s">
        <v>5576</v>
      </c>
      <c r="AE257" s="81" t="s">
        <v>5070</v>
      </c>
      <c r="AF257" s="76">
        <v>18</v>
      </c>
      <c r="AG257" s="76">
        <v>124</v>
      </c>
      <c r="AH257" s="76">
        <v>149</v>
      </c>
      <c r="AI257" s="76">
        <v>0</v>
      </c>
      <c r="AJ257" s="76">
        <v>483</v>
      </c>
      <c r="AK257" s="76">
        <v>3</v>
      </c>
      <c r="AL257" s="76" t="b">
        <v>0</v>
      </c>
      <c r="AM257" s="78">
        <v>44648.207870370374</v>
      </c>
      <c r="AN257" s="76" t="s">
        <v>3415</v>
      </c>
      <c r="AO257" s="76" t="s">
        <v>6088</v>
      </c>
      <c r="AP257" s="76"/>
      <c r="AQ257" s="76"/>
      <c r="AR257" s="76"/>
      <c r="AS257" s="76"/>
      <c r="AT257" s="76"/>
      <c r="AU257" s="76"/>
      <c r="AV257" s="76"/>
      <c r="AW257" s="76"/>
      <c r="AX257" s="76" t="b">
        <v>0</v>
      </c>
      <c r="AY257" s="76"/>
      <c r="AZ257" s="76"/>
      <c r="BA257" s="76" t="b">
        <v>1</v>
      </c>
      <c r="BB257" s="76" t="b">
        <v>1</v>
      </c>
      <c r="BC257" s="76" t="b">
        <v>1</v>
      </c>
      <c r="BD257" s="76" t="b">
        <v>0</v>
      </c>
      <c r="BE257" s="76" t="b">
        <v>0</v>
      </c>
      <c r="BF257" s="76" t="b">
        <v>0</v>
      </c>
      <c r="BG257" s="76" t="b">
        <v>0</v>
      </c>
      <c r="BH257" s="83" t="str">
        <f>HYPERLINK("https://pbs.twimg.com/profile_banners/1508307675737640972/1648445989")</f>
        <v>https://pbs.twimg.com/profile_banners/1508307675737640972/1648445989</v>
      </c>
      <c r="BI257" s="76"/>
      <c r="BJ257" s="76" t="s">
        <v>6360</v>
      </c>
      <c r="BK257" s="76" t="b">
        <v>0</v>
      </c>
      <c r="BL257" s="76"/>
      <c r="BM257" s="76" t="s">
        <v>66</v>
      </c>
      <c r="BN257" s="76" t="s">
        <v>6362</v>
      </c>
      <c r="BO257" s="83" t="str">
        <f>HYPERLINK("https://twitter.com/debiasethiago")</f>
        <v>https://twitter.com/debiasethiago</v>
      </c>
      <c r="BP257" s="2"/>
    </row>
    <row r="258" spans="1:68" x14ac:dyDescent="0.25">
      <c r="A258" s="62" t="s">
        <v>460</v>
      </c>
      <c r="B258" s="63"/>
      <c r="C258" s="63"/>
      <c r="D258" s="64"/>
      <c r="E258" s="66"/>
      <c r="F258" s="102" t="str">
        <f>HYPERLINK("https://pbs.twimg.com/profile_images/1358844490740609025/rzmM3v6Q_normal.png")</f>
        <v>https://pbs.twimg.com/profile_images/1358844490740609025/rzmM3v6Q_normal.png</v>
      </c>
      <c r="G258" s="63"/>
      <c r="H258" s="67"/>
      <c r="I258" s="68"/>
      <c r="J258" s="68"/>
      <c r="K258" s="67" t="s">
        <v>6617</v>
      </c>
      <c r="L258" s="71"/>
      <c r="M258" s="72"/>
      <c r="N258" s="72"/>
      <c r="O258" s="73"/>
      <c r="P258" s="74"/>
      <c r="Q258" s="74"/>
      <c r="R258" s="86"/>
      <c r="S258" s="86"/>
      <c r="T258" s="86"/>
      <c r="U258" s="86"/>
      <c r="V258" s="48"/>
      <c r="W258" s="48"/>
      <c r="X258" s="48"/>
      <c r="Y258" s="48"/>
      <c r="Z258" s="47"/>
      <c r="AA258" s="69">
        <v>258</v>
      </c>
      <c r="AB258" s="69"/>
      <c r="AC258" s="70"/>
      <c r="AD258" s="76" t="s">
        <v>5577</v>
      </c>
      <c r="AE258" s="81" t="s">
        <v>5715</v>
      </c>
      <c r="AF258" s="76">
        <v>987</v>
      </c>
      <c r="AG258" s="76">
        <v>13</v>
      </c>
      <c r="AH258" s="76">
        <v>1979</v>
      </c>
      <c r="AI258" s="76">
        <v>7</v>
      </c>
      <c r="AJ258" s="76">
        <v>47</v>
      </c>
      <c r="AK258" s="76">
        <v>1874</v>
      </c>
      <c r="AL258" s="76" t="b">
        <v>0</v>
      </c>
      <c r="AM258" s="78">
        <v>40694.056087962963</v>
      </c>
      <c r="AN258" s="76" t="s">
        <v>5740</v>
      </c>
      <c r="AO258" s="76" t="s">
        <v>6089</v>
      </c>
      <c r="AP258" s="83" t="str">
        <f>HYPERLINK("https://t.co/MHGFbmx3fq")</f>
        <v>https://t.co/MHGFbmx3fq</v>
      </c>
      <c r="AQ258" s="83" t="str">
        <f>HYPERLINK("http://www.crasc.org.br")</f>
        <v>http://www.crasc.org.br</v>
      </c>
      <c r="AR258" s="76" t="s">
        <v>6297</v>
      </c>
      <c r="AS258" s="76"/>
      <c r="AT258" s="76"/>
      <c r="AU258" s="76"/>
      <c r="AV258" s="76"/>
      <c r="AW258" s="83" t="str">
        <f>HYPERLINK("https://t.co/MHGFbmx3fq")</f>
        <v>https://t.co/MHGFbmx3fq</v>
      </c>
      <c r="AX258" s="76" t="b">
        <v>0</v>
      </c>
      <c r="AY258" s="76"/>
      <c r="AZ258" s="76"/>
      <c r="BA258" s="76" t="b">
        <v>0</v>
      </c>
      <c r="BB258" s="76" t="b">
        <v>1</v>
      </c>
      <c r="BC258" s="76" t="b">
        <v>0</v>
      </c>
      <c r="BD258" s="76" t="b">
        <v>0</v>
      </c>
      <c r="BE258" s="76" t="b">
        <v>0</v>
      </c>
      <c r="BF258" s="76" t="b">
        <v>0</v>
      </c>
      <c r="BG258" s="76" t="b">
        <v>0</v>
      </c>
      <c r="BH258" s="83" t="str">
        <f>HYPERLINK("https://pbs.twimg.com/profile_banners/308218410/1630506937")</f>
        <v>https://pbs.twimg.com/profile_banners/308218410/1630506937</v>
      </c>
      <c r="BI258" s="76"/>
      <c r="BJ258" s="76" t="s">
        <v>6360</v>
      </c>
      <c r="BK258" s="76" t="b">
        <v>0</v>
      </c>
      <c r="BL258" s="76"/>
      <c r="BM258" s="76" t="s">
        <v>66</v>
      </c>
      <c r="BN258" s="76" t="s">
        <v>6362</v>
      </c>
      <c r="BO258" s="83" t="str">
        <f>HYPERLINK("https://twitter.com/cra__sc")</f>
        <v>https://twitter.com/cra__sc</v>
      </c>
      <c r="BP258" s="2"/>
    </row>
    <row r="259" spans="1:68" x14ac:dyDescent="0.25">
      <c r="A259" s="62" t="s">
        <v>461</v>
      </c>
      <c r="B259" s="63"/>
      <c r="C259" s="63"/>
      <c r="D259" s="64"/>
      <c r="E259" s="66"/>
      <c r="F259" s="102" t="str">
        <f>HYPERLINK("https://pbs.twimg.com/profile_images/1690153678525632512/efma1cyu_normal.jpg")</f>
        <v>https://pbs.twimg.com/profile_images/1690153678525632512/efma1cyu_normal.jpg</v>
      </c>
      <c r="G259" s="63"/>
      <c r="H259" s="67"/>
      <c r="I259" s="68"/>
      <c r="J259" s="68"/>
      <c r="K259" s="67" t="s">
        <v>6618</v>
      </c>
      <c r="L259" s="71"/>
      <c r="M259" s="72"/>
      <c r="N259" s="72"/>
      <c r="O259" s="73"/>
      <c r="P259" s="74"/>
      <c r="Q259" s="74"/>
      <c r="R259" s="86"/>
      <c r="S259" s="86"/>
      <c r="T259" s="86"/>
      <c r="U259" s="86"/>
      <c r="V259" s="48"/>
      <c r="W259" s="48"/>
      <c r="X259" s="48"/>
      <c r="Y259" s="48"/>
      <c r="Z259" s="47"/>
      <c r="AA259" s="69">
        <v>259</v>
      </c>
      <c r="AB259" s="69"/>
      <c r="AC259" s="70"/>
      <c r="AD259" s="76" t="s">
        <v>5578</v>
      </c>
      <c r="AE259" s="81" t="s">
        <v>5249</v>
      </c>
      <c r="AF259" s="76">
        <v>730</v>
      </c>
      <c r="AG259" s="76">
        <v>751</v>
      </c>
      <c r="AH259" s="76">
        <v>9907</v>
      </c>
      <c r="AI259" s="76">
        <v>3</v>
      </c>
      <c r="AJ259" s="76">
        <v>116849</v>
      </c>
      <c r="AK259" s="76">
        <v>67</v>
      </c>
      <c r="AL259" s="76" t="b">
        <v>0</v>
      </c>
      <c r="AM259" s="78">
        <v>42858.074120370373</v>
      </c>
      <c r="AN259" s="76" t="s">
        <v>5743</v>
      </c>
      <c r="AO259" s="76" t="s">
        <v>6090</v>
      </c>
      <c r="AP259" s="76"/>
      <c r="AQ259" s="76"/>
      <c r="AR259" s="76"/>
      <c r="AS259" s="76"/>
      <c r="AT259" s="76"/>
      <c r="AU259" s="76"/>
      <c r="AV259" s="76">
        <v>1.48403206882064E+18</v>
      </c>
      <c r="AW259" s="76"/>
      <c r="AX259" s="76" t="b">
        <v>0</v>
      </c>
      <c r="AY259" s="76"/>
      <c r="AZ259" s="76"/>
      <c r="BA259" s="76" t="b">
        <v>1</v>
      </c>
      <c r="BB259" s="76" t="b">
        <v>0</v>
      </c>
      <c r="BC259" s="76" t="b">
        <v>1</v>
      </c>
      <c r="BD259" s="76" t="b">
        <v>0</v>
      </c>
      <c r="BE259" s="76" t="b">
        <v>1</v>
      </c>
      <c r="BF259" s="76" t="b">
        <v>0</v>
      </c>
      <c r="BG259" s="76" t="b">
        <v>0</v>
      </c>
      <c r="BH259" s="83" t="str">
        <f>HYPERLINK("https://pbs.twimg.com/profile_banners/859584981672316928/1663872638")</f>
        <v>https://pbs.twimg.com/profile_banners/859584981672316928/1663872638</v>
      </c>
      <c r="BI259" s="76"/>
      <c r="BJ259" s="76" t="s">
        <v>6360</v>
      </c>
      <c r="BK259" s="76" t="b">
        <v>0</v>
      </c>
      <c r="BL259" s="76"/>
      <c r="BM259" s="76" t="s">
        <v>66</v>
      </c>
      <c r="BN259" s="76" t="s">
        <v>6362</v>
      </c>
      <c r="BO259" s="83" t="str">
        <f>HYPERLINK("https://twitter.com/camposwealth")</f>
        <v>https://twitter.com/camposwealth</v>
      </c>
      <c r="BP259" s="2"/>
    </row>
    <row r="260" spans="1:68" x14ac:dyDescent="0.25">
      <c r="A260" s="62" t="s">
        <v>462</v>
      </c>
      <c r="B260" s="63"/>
      <c r="C260" s="63"/>
      <c r="D260" s="64"/>
      <c r="E260" s="66"/>
      <c r="F260" s="102" t="str">
        <f>HYPERLINK("https://pbs.twimg.com/profile_images/1658332022614421504/3w3jaRiu_normal.jpg")</f>
        <v>https://pbs.twimg.com/profile_images/1658332022614421504/3w3jaRiu_normal.jpg</v>
      </c>
      <c r="G260" s="63"/>
      <c r="H260" s="67"/>
      <c r="I260" s="68"/>
      <c r="J260" s="68"/>
      <c r="K260" s="67" t="s">
        <v>6619</v>
      </c>
      <c r="L260" s="71"/>
      <c r="M260" s="72"/>
      <c r="N260" s="72"/>
      <c r="O260" s="73"/>
      <c r="P260" s="74"/>
      <c r="Q260" s="74"/>
      <c r="R260" s="86"/>
      <c r="S260" s="86"/>
      <c r="T260" s="86"/>
      <c r="U260" s="86"/>
      <c r="V260" s="48"/>
      <c r="W260" s="48"/>
      <c r="X260" s="48"/>
      <c r="Y260" s="48"/>
      <c r="Z260" s="47"/>
      <c r="AA260" s="69">
        <v>260</v>
      </c>
      <c r="AB260" s="69"/>
      <c r="AC260" s="70"/>
      <c r="AD260" s="76" t="s">
        <v>5579</v>
      </c>
      <c r="AE260" s="81" t="s">
        <v>5716</v>
      </c>
      <c r="AF260" s="76">
        <v>625</v>
      </c>
      <c r="AG260" s="76">
        <v>1973</v>
      </c>
      <c r="AH260" s="76">
        <v>20119</v>
      </c>
      <c r="AI260" s="76">
        <v>3</v>
      </c>
      <c r="AJ260" s="76">
        <v>8513</v>
      </c>
      <c r="AK260" s="76">
        <v>1319</v>
      </c>
      <c r="AL260" s="76" t="b">
        <v>0</v>
      </c>
      <c r="AM260" s="78">
        <v>40075.02076388889</v>
      </c>
      <c r="AN260" s="76" t="s">
        <v>5827</v>
      </c>
      <c r="AO260" s="76" t="s">
        <v>6091</v>
      </c>
      <c r="AP260" s="83" t="str">
        <f>HYPERLINK("https://t.co/20ddh6RyTA")</f>
        <v>https://t.co/20ddh6RyTA</v>
      </c>
      <c r="AQ260" s="83" t="str">
        <f>HYPERLINK("http://www.mbrcontabilidade.com.br")</f>
        <v>http://www.mbrcontabilidade.com.br</v>
      </c>
      <c r="AR260" s="76" t="s">
        <v>6298</v>
      </c>
      <c r="AS260" s="76"/>
      <c r="AT260" s="76"/>
      <c r="AU260" s="76"/>
      <c r="AV260" s="76">
        <v>1.6846507057331699E+18</v>
      </c>
      <c r="AW260" s="83" t="str">
        <f>HYPERLINK("https://t.co/20ddh6RyTA")</f>
        <v>https://t.co/20ddh6RyTA</v>
      </c>
      <c r="AX260" s="76" t="b">
        <v>1</v>
      </c>
      <c r="AY260" s="76"/>
      <c r="AZ260" s="76"/>
      <c r="BA260" s="76" t="b">
        <v>1</v>
      </c>
      <c r="BB260" s="76" t="b">
        <v>1</v>
      </c>
      <c r="BC260" s="76" t="b">
        <v>0</v>
      </c>
      <c r="BD260" s="76" t="b">
        <v>0</v>
      </c>
      <c r="BE260" s="76" t="b">
        <v>1</v>
      </c>
      <c r="BF260" s="76" t="b">
        <v>0</v>
      </c>
      <c r="BG260" s="76" t="b">
        <v>0</v>
      </c>
      <c r="BH260" s="83" t="str">
        <f>HYPERLINK("https://pbs.twimg.com/profile_banners/75428385/1684211271")</f>
        <v>https://pbs.twimg.com/profile_banners/75428385/1684211271</v>
      </c>
      <c r="BI260" s="76"/>
      <c r="BJ260" s="76" t="s">
        <v>6360</v>
      </c>
      <c r="BK260" s="76" t="b">
        <v>0</v>
      </c>
      <c r="BL260" s="76"/>
      <c r="BM260" s="76" t="s">
        <v>66</v>
      </c>
      <c r="BN260" s="76" t="s">
        <v>6362</v>
      </c>
      <c r="BO260" s="83" t="str">
        <f>HYPERLINK("https://twitter.com/brunotsantana")</f>
        <v>https://twitter.com/brunotsantana</v>
      </c>
      <c r="BP260" s="2"/>
    </row>
    <row r="261" spans="1:68" x14ac:dyDescent="0.25">
      <c r="A261" s="62" t="s">
        <v>463</v>
      </c>
      <c r="B261" s="63"/>
      <c r="C261" s="63"/>
      <c r="D261" s="64"/>
      <c r="E261" s="66"/>
      <c r="F261" s="102" t="str">
        <f>HYPERLINK("https://pbs.twimg.com/profile_images/1518149419312451584/K6xRBECc_normal.png")</f>
        <v>https://pbs.twimg.com/profile_images/1518149419312451584/K6xRBECc_normal.png</v>
      </c>
      <c r="G261" s="63"/>
      <c r="H261" s="67"/>
      <c r="I261" s="68"/>
      <c r="J261" s="68"/>
      <c r="K261" s="67" t="s">
        <v>6620</v>
      </c>
      <c r="L261" s="71"/>
      <c r="M261" s="72"/>
      <c r="N261" s="72"/>
      <c r="O261" s="73"/>
      <c r="P261" s="74"/>
      <c r="Q261" s="74"/>
      <c r="R261" s="86"/>
      <c r="S261" s="86"/>
      <c r="T261" s="86"/>
      <c r="U261" s="86"/>
      <c r="V261" s="48"/>
      <c r="W261" s="48"/>
      <c r="X261" s="48"/>
      <c r="Y261" s="48"/>
      <c r="Z261" s="47"/>
      <c r="AA261" s="69">
        <v>261</v>
      </c>
      <c r="AB261" s="69"/>
      <c r="AC261" s="70"/>
      <c r="AD261" s="76" t="s">
        <v>5580</v>
      </c>
      <c r="AE261" s="81" t="s">
        <v>5250</v>
      </c>
      <c r="AF261" s="76">
        <v>5</v>
      </c>
      <c r="AG261" s="76">
        <v>3</v>
      </c>
      <c r="AH261" s="76">
        <v>172</v>
      </c>
      <c r="AI261" s="76">
        <v>0</v>
      </c>
      <c r="AJ261" s="76">
        <v>51</v>
      </c>
      <c r="AK261" s="76">
        <v>163</v>
      </c>
      <c r="AL261" s="76" t="b">
        <v>0</v>
      </c>
      <c r="AM261" s="78">
        <v>44624.503668981481</v>
      </c>
      <c r="AN261" s="76"/>
      <c r="AO261" s="76" t="s">
        <v>6092</v>
      </c>
      <c r="AP261" s="83" t="str">
        <f>HYPERLINK("https://t.co/mIlwOGmHWO")</f>
        <v>https://t.co/mIlwOGmHWO</v>
      </c>
      <c r="AQ261" s="83" t="str">
        <f>HYPERLINK("https://podbrand.design")</f>
        <v>https://podbrand.design</v>
      </c>
      <c r="AR261" s="76" t="s">
        <v>6299</v>
      </c>
      <c r="AS261" s="76"/>
      <c r="AT261" s="76"/>
      <c r="AU261" s="76"/>
      <c r="AV261" s="76"/>
      <c r="AW261" s="83" t="str">
        <f>HYPERLINK("https://t.co/mIlwOGmHWO")</f>
        <v>https://t.co/mIlwOGmHWO</v>
      </c>
      <c r="AX261" s="76" t="b">
        <v>0</v>
      </c>
      <c r="AY261" s="76"/>
      <c r="AZ261" s="76"/>
      <c r="BA261" s="76" t="b">
        <v>0</v>
      </c>
      <c r="BB261" s="76" t="b">
        <v>1</v>
      </c>
      <c r="BC261" s="76" t="b">
        <v>1</v>
      </c>
      <c r="BD261" s="76" t="b">
        <v>0</v>
      </c>
      <c r="BE261" s="76" t="b">
        <v>0</v>
      </c>
      <c r="BF261" s="76" t="b">
        <v>0</v>
      </c>
      <c r="BG261" s="76" t="b">
        <v>0</v>
      </c>
      <c r="BH261" s="83" t="str">
        <f>HYPERLINK("https://pbs.twimg.com/profile_banners/1499717218174603269/1687963034")</f>
        <v>https://pbs.twimg.com/profile_banners/1499717218174603269/1687963034</v>
      </c>
      <c r="BI261" s="76"/>
      <c r="BJ261" s="76" t="s">
        <v>6360</v>
      </c>
      <c r="BK261" s="76" t="b">
        <v>0</v>
      </c>
      <c r="BL261" s="76"/>
      <c r="BM261" s="76" t="s">
        <v>66</v>
      </c>
      <c r="BN261" s="76" t="s">
        <v>6362</v>
      </c>
      <c r="BO261" s="83" t="str">
        <f>HYPERLINK("https://twitter.com/podbrandoficial")</f>
        <v>https://twitter.com/podbrandoficial</v>
      </c>
      <c r="BP261" s="2"/>
    </row>
    <row r="262" spans="1:68" x14ac:dyDescent="0.25">
      <c r="A262" s="62" t="s">
        <v>464</v>
      </c>
      <c r="B262" s="63"/>
      <c r="C262" s="63"/>
      <c r="D262" s="64"/>
      <c r="E262" s="66"/>
      <c r="F262" s="102" t="str">
        <f>HYPERLINK("https://pbs.twimg.com/profile_images/966846260543131648/njN-Kw9z_normal.jpg")</f>
        <v>https://pbs.twimg.com/profile_images/966846260543131648/njN-Kw9z_normal.jpg</v>
      </c>
      <c r="G262" s="63"/>
      <c r="H262" s="67"/>
      <c r="I262" s="68"/>
      <c r="J262" s="68"/>
      <c r="K262" s="67" t="s">
        <v>6621</v>
      </c>
      <c r="L262" s="71"/>
      <c r="M262" s="72"/>
      <c r="N262" s="72"/>
      <c r="O262" s="73"/>
      <c r="P262" s="74"/>
      <c r="Q262" s="74"/>
      <c r="R262" s="86"/>
      <c r="S262" s="86"/>
      <c r="T262" s="86"/>
      <c r="U262" s="86"/>
      <c r="V262" s="48"/>
      <c r="W262" s="48"/>
      <c r="X262" s="48"/>
      <c r="Y262" s="48"/>
      <c r="Z262" s="47"/>
      <c r="AA262" s="69">
        <v>262</v>
      </c>
      <c r="AB262" s="69"/>
      <c r="AC262" s="70"/>
      <c r="AD262" s="76" t="s">
        <v>5581</v>
      </c>
      <c r="AE262" s="81" t="s">
        <v>5251</v>
      </c>
      <c r="AF262" s="76">
        <v>33</v>
      </c>
      <c r="AG262" s="76">
        <v>22</v>
      </c>
      <c r="AH262" s="76">
        <v>1336</v>
      </c>
      <c r="AI262" s="76">
        <v>0</v>
      </c>
      <c r="AJ262" s="76">
        <v>9</v>
      </c>
      <c r="AK262" s="76">
        <v>1334</v>
      </c>
      <c r="AL262" s="76" t="b">
        <v>0</v>
      </c>
      <c r="AM262" s="78">
        <v>43154.057013888887</v>
      </c>
      <c r="AN262" s="76" t="s">
        <v>5828</v>
      </c>
      <c r="AO262" s="76" t="s">
        <v>6093</v>
      </c>
      <c r="AP262" s="83" t="str">
        <f>HYPERLINK("https://t.co/SHKHnsaiV9")</f>
        <v>https://t.co/SHKHnsaiV9</v>
      </c>
      <c r="AQ262" s="83" t="str">
        <f>HYPERLINK("http://barbicontabil.com.br/")</f>
        <v>http://barbicontabil.com.br/</v>
      </c>
      <c r="AR262" s="76" t="s">
        <v>6300</v>
      </c>
      <c r="AS262" s="76"/>
      <c r="AT262" s="76"/>
      <c r="AU262" s="76"/>
      <c r="AV262" s="76"/>
      <c r="AW262" s="83" t="str">
        <f>HYPERLINK("https://t.co/SHKHnsaiV9")</f>
        <v>https://t.co/SHKHnsaiV9</v>
      </c>
      <c r="AX262" s="76" t="b">
        <v>0</v>
      </c>
      <c r="AY262" s="76"/>
      <c r="AZ262" s="76"/>
      <c r="BA262" s="76" t="b">
        <v>0</v>
      </c>
      <c r="BB262" s="76" t="b">
        <v>1</v>
      </c>
      <c r="BC262" s="76" t="b">
        <v>0</v>
      </c>
      <c r="BD262" s="76" t="b">
        <v>0</v>
      </c>
      <c r="BE262" s="76" t="b">
        <v>0</v>
      </c>
      <c r="BF262" s="76" t="b">
        <v>0</v>
      </c>
      <c r="BG262" s="76" t="b">
        <v>0</v>
      </c>
      <c r="BH262" s="83" t="str">
        <f>HYPERLINK("https://pbs.twimg.com/profile_banners/966845588661776389/1519349320")</f>
        <v>https://pbs.twimg.com/profile_banners/966845588661776389/1519349320</v>
      </c>
      <c r="BI262" s="76"/>
      <c r="BJ262" s="76" t="s">
        <v>6360</v>
      </c>
      <c r="BK262" s="76" t="b">
        <v>0</v>
      </c>
      <c r="BL262" s="76"/>
      <c r="BM262" s="76" t="s">
        <v>66</v>
      </c>
      <c r="BN262" s="76" t="s">
        <v>6362</v>
      </c>
      <c r="BO262" s="83" t="str">
        <f>HYPERLINK("https://twitter.com/barbi_contabil")</f>
        <v>https://twitter.com/barbi_contabil</v>
      </c>
      <c r="BP262" s="2"/>
    </row>
    <row r="263" spans="1:68" x14ac:dyDescent="0.25">
      <c r="A263" s="62" t="s">
        <v>465</v>
      </c>
      <c r="B263" s="63"/>
      <c r="C263" s="63"/>
      <c r="D263" s="64"/>
      <c r="E263" s="66"/>
      <c r="F263" s="102" t="str">
        <f>HYPERLINK("https://pbs.twimg.com/profile_images/1661415324963438609/oGmKrDd6_normal.jpg")</f>
        <v>https://pbs.twimg.com/profile_images/1661415324963438609/oGmKrDd6_normal.jpg</v>
      </c>
      <c r="G263" s="63"/>
      <c r="H263" s="67"/>
      <c r="I263" s="68"/>
      <c r="J263" s="68"/>
      <c r="K263" s="67" t="s">
        <v>6622</v>
      </c>
      <c r="L263" s="71"/>
      <c r="M263" s="72"/>
      <c r="N263" s="72"/>
      <c r="O263" s="73"/>
      <c r="P263" s="74"/>
      <c r="Q263" s="74"/>
      <c r="R263" s="86"/>
      <c r="S263" s="86"/>
      <c r="T263" s="86"/>
      <c r="U263" s="86"/>
      <c r="V263" s="48"/>
      <c r="W263" s="48"/>
      <c r="X263" s="48"/>
      <c r="Y263" s="48"/>
      <c r="Z263" s="47"/>
      <c r="AA263" s="69">
        <v>263</v>
      </c>
      <c r="AB263" s="69"/>
      <c r="AC263" s="70"/>
      <c r="AD263" s="76" t="s">
        <v>5582</v>
      </c>
      <c r="AE263" s="81" t="s">
        <v>5071</v>
      </c>
      <c r="AF263" s="76">
        <v>253</v>
      </c>
      <c r="AG263" s="76">
        <v>324</v>
      </c>
      <c r="AH263" s="76">
        <v>5372</v>
      </c>
      <c r="AI263" s="76">
        <v>28</v>
      </c>
      <c r="AJ263" s="76">
        <v>82499</v>
      </c>
      <c r="AK263" s="76">
        <v>236</v>
      </c>
      <c r="AL263" s="76" t="b">
        <v>0</v>
      </c>
      <c r="AM263" s="78">
        <v>42325.734351851854</v>
      </c>
      <c r="AN263" s="76" t="s">
        <v>5829</v>
      </c>
      <c r="AO263" s="76" t="s">
        <v>6094</v>
      </c>
      <c r="AP263" s="76"/>
      <c r="AQ263" s="76"/>
      <c r="AR263" s="76"/>
      <c r="AS263" s="76"/>
      <c r="AT263" s="76"/>
      <c r="AU263" s="76"/>
      <c r="AV263" s="76">
        <v>1.69006771552691E+18</v>
      </c>
      <c r="AW263" s="76"/>
      <c r="AX263" s="76" t="b">
        <v>0</v>
      </c>
      <c r="AY263" s="76"/>
      <c r="AZ263" s="76"/>
      <c r="BA263" s="76" t="b">
        <v>0</v>
      </c>
      <c r="BB263" s="76" t="b">
        <v>0</v>
      </c>
      <c r="BC263" s="76" t="b">
        <v>0</v>
      </c>
      <c r="BD263" s="76" t="b">
        <v>0</v>
      </c>
      <c r="BE263" s="76" t="b">
        <v>1</v>
      </c>
      <c r="BF263" s="76" t="b">
        <v>0</v>
      </c>
      <c r="BG263" s="76" t="b">
        <v>0</v>
      </c>
      <c r="BH263" s="83" t="str">
        <f>HYPERLINK("https://pbs.twimg.com/profile_banners/4211523209/1684947271")</f>
        <v>https://pbs.twimg.com/profile_banners/4211523209/1684947271</v>
      </c>
      <c r="BI263" s="76"/>
      <c r="BJ263" s="76" t="s">
        <v>6360</v>
      </c>
      <c r="BK263" s="76" t="b">
        <v>0</v>
      </c>
      <c r="BL263" s="76"/>
      <c r="BM263" s="76" t="s">
        <v>66</v>
      </c>
      <c r="BN263" s="76" t="s">
        <v>6362</v>
      </c>
      <c r="BO263" s="83" t="str">
        <f>HYPERLINK("https://twitter.com/anderson_crc")</f>
        <v>https://twitter.com/anderson_crc</v>
      </c>
      <c r="BP263" s="2"/>
    </row>
    <row r="264" spans="1:68" x14ac:dyDescent="0.25">
      <c r="A264" s="62" t="s">
        <v>466</v>
      </c>
      <c r="B264" s="63"/>
      <c r="C264" s="63"/>
      <c r="D264" s="64"/>
      <c r="E264" s="66"/>
      <c r="F264" s="102" t="str">
        <f>HYPERLINK("https://pbs.twimg.com/profile_images/1659635333988773889/s2NJOas0_normal.jpg")</f>
        <v>https://pbs.twimg.com/profile_images/1659635333988773889/s2NJOas0_normal.jpg</v>
      </c>
      <c r="G264" s="63"/>
      <c r="H264" s="67"/>
      <c r="I264" s="68"/>
      <c r="J264" s="68"/>
      <c r="K264" s="67" t="s">
        <v>6623</v>
      </c>
      <c r="L264" s="71"/>
      <c r="M264" s="72"/>
      <c r="N264" s="72"/>
      <c r="O264" s="73"/>
      <c r="P264" s="74"/>
      <c r="Q264" s="74"/>
      <c r="R264" s="86"/>
      <c r="S264" s="86"/>
      <c r="T264" s="86"/>
      <c r="U264" s="86"/>
      <c r="V264" s="48"/>
      <c r="W264" s="48"/>
      <c r="X264" s="48"/>
      <c r="Y264" s="48"/>
      <c r="Z264" s="47"/>
      <c r="AA264" s="69">
        <v>264</v>
      </c>
      <c r="AB264" s="69"/>
      <c r="AC264" s="70"/>
      <c r="AD264" s="76" t="s">
        <v>5583</v>
      </c>
      <c r="AE264" s="81" t="s">
        <v>5252</v>
      </c>
      <c r="AF264" s="76">
        <v>10</v>
      </c>
      <c r="AG264" s="76">
        <v>2</v>
      </c>
      <c r="AH264" s="76">
        <v>50</v>
      </c>
      <c r="AI264" s="76">
        <v>0</v>
      </c>
      <c r="AJ264" s="76">
        <v>0</v>
      </c>
      <c r="AK264" s="76">
        <v>50</v>
      </c>
      <c r="AL264" s="76" t="b">
        <v>0</v>
      </c>
      <c r="AM264" s="78">
        <v>45065.790567129632</v>
      </c>
      <c r="AN264" s="76" t="s">
        <v>5830</v>
      </c>
      <c r="AO264" s="76" t="s">
        <v>6095</v>
      </c>
      <c r="AP264" s="83" t="str">
        <f>HYPERLINK("https://t.co/Jl7OUUlVzw")</f>
        <v>https://t.co/Jl7OUUlVzw</v>
      </c>
      <c r="AQ264" s="83" t="str">
        <f>HYPERLINK("https://www.lux.capital/")</f>
        <v>https://www.lux.capital/</v>
      </c>
      <c r="AR264" s="76" t="s">
        <v>6301</v>
      </c>
      <c r="AS264" s="76"/>
      <c r="AT264" s="76"/>
      <c r="AU264" s="76"/>
      <c r="AV264" s="76"/>
      <c r="AW264" s="83" t="str">
        <f>HYPERLINK("https://t.co/Jl7OUUlVzw")</f>
        <v>https://t.co/Jl7OUUlVzw</v>
      </c>
      <c r="AX264" s="76" t="b">
        <v>0</v>
      </c>
      <c r="AY264" s="76"/>
      <c r="AZ264" s="76"/>
      <c r="BA264" s="76" t="b">
        <v>0</v>
      </c>
      <c r="BB264" s="76" t="b">
        <v>1</v>
      </c>
      <c r="BC264" s="76" t="b">
        <v>1</v>
      </c>
      <c r="BD264" s="76" t="b">
        <v>0</v>
      </c>
      <c r="BE264" s="76" t="b">
        <v>0</v>
      </c>
      <c r="BF264" s="76" t="b">
        <v>0</v>
      </c>
      <c r="BG264" s="76" t="b">
        <v>0</v>
      </c>
      <c r="BH264" s="83" t="str">
        <f>HYPERLINK("https://pbs.twimg.com/profile_banners/1659634238411493377/1684523599")</f>
        <v>https://pbs.twimg.com/profile_banners/1659634238411493377/1684523599</v>
      </c>
      <c r="BI264" s="76"/>
      <c r="BJ264" s="76" t="s">
        <v>6360</v>
      </c>
      <c r="BK264" s="76" t="b">
        <v>0</v>
      </c>
      <c r="BL264" s="76"/>
      <c r="BM264" s="76" t="s">
        <v>66</v>
      </c>
      <c r="BN264" s="76" t="s">
        <v>6362</v>
      </c>
      <c r="BO264" s="83" t="str">
        <f>HYPERLINK("https://twitter.com/luxcapital_")</f>
        <v>https://twitter.com/luxcapital_</v>
      </c>
      <c r="BP264" s="2"/>
    </row>
    <row r="265" spans="1:68" x14ac:dyDescent="0.25">
      <c r="A265" s="62" t="s">
        <v>467</v>
      </c>
      <c r="B265" s="63"/>
      <c r="C265" s="63"/>
      <c r="D265" s="64"/>
      <c r="E265" s="66"/>
      <c r="F265" s="102" t="str">
        <f>HYPERLINK("https://pbs.twimg.com/profile_images/1589762716134248456/JjaaWO6z_normal.jpg")</f>
        <v>https://pbs.twimg.com/profile_images/1589762716134248456/JjaaWO6z_normal.jpg</v>
      </c>
      <c r="G265" s="63"/>
      <c r="H265" s="67"/>
      <c r="I265" s="68"/>
      <c r="J265" s="68"/>
      <c r="K265" s="67" t="s">
        <v>6624</v>
      </c>
      <c r="L265" s="71"/>
      <c r="M265" s="72"/>
      <c r="N265" s="72"/>
      <c r="O265" s="73"/>
      <c r="P265" s="74"/>
      <c r="Q265" s="74"/>
      <c r="R265" s="86"/>
      <c r="S265" s="86"/>
      <c r="T265" s="86"/>
      <c r="U265" s="86"/>
      <c r="V265" s="48"/>
      <c r="W265" s="48"/>
      <c r="X265" s="48"/>
      <c r="Y265" s="48"/>
      <c r="Z265" s="47"/>
      <c r="AA265" s="69">
        <v>265</v>
      </c>
      <c r="AB265" s="69"/>
      <c r="AC265" s="70"/>
      <c r="AD265" s="76" t="s">
        <v>5584</v>
      </c>
      <c r="AE265" s="81" t="s">
        <v>5253</v>
      </c>
      <c r="AF265" s="76">
        <v>0</v>
      </c>
      <c r="AG265" s="76">
        <v>8</v>
      </c>
      <c r="AH265" s="76">
        <v>11</v>
      </c>
      <c r="AI265" s="76">
        <v>0</v>
      </c>
      <c r="AJ265" s="76">
        <v>3</v>
      </c>
      <c r="AK265" s="76">
        <v>2</v>
      </c>
      <c r="AL265" s="76" t="b">
        <v>0</v>
      </c>
      <c r="AM265" s="78">
        <v>44872.956932870373</v>
      </c>
      <c r="AN265" s="76" t="s">
        <v>5784</v>
      </c>
      <c r="AO265" s="76" t="s">
        <v>6096</v>
      </c>
      <c r="AP265" s="83" t="str">
        <f>HYPERLINK("https://t.co/et6AStdFHv")</f>
        <v>https://t.co/et6AStdFHv</v>
      </c>
      <c r="AQ265" s="83" t="str">
        <f>HYPERLINK("http://www.inteiramenterico.com.br")</f>
        <v>http://www.inteiramenterico.com.br</v>
      </c>
      <c r="AR265" s="76" t="s">
        <v>6302</v>
      </c>
      <c r="AS265" s="76"/>
      <c r="AT265" s="76"/>
      <c r="AU265" s="76"/>
      <c r="AV265" s="76"/>
      <c r="AW265" s="83" t="str">
        <f>HYPERLINK("https://t.co/et6AStdFHv")</f>
        <v>https://t.co/et6AStdFHv</v>
      </c>
      <c r="AX265" s="76" t="b">
        <v>0</v>
      </c>
      <c r="AY265" s="76"/>
      <c r="AZ265" s="76"/>
      <c r="BA265" s="76" t="b">
        <v>0</v>
      </c>
      <c r="BB265" s="76" t="b">
        <v>1</v>
      </c>
      <c r="BC265" s="76" t="b">
        <v>1</v>
      </c>
      <c r="BD265" s="76" t="b">
        <v>0</v>
      </c>
      <c r="BE265" s="76" t="b">
        <v>0</v>
      </c>
      <c r="BF265" s="76" t="b">
        <v>0</v>
      </c>
      <c r="BG265" s="76" t="b">
        <v>0</v>
      </c>
      <c r="BH265" s="76"/>
      <c r="BI265" s="76"/>
      <c r="BJ265" s="76" t="s">
        <v>6360</v>
      </c>
      <c r="BK265" s="76" t="b">
        <v>0</v>
      </c>
      <c r="BL265" s="76"/>
      <c r="BM265" s="76" t="s">
        <v>66</v>
      </c>
      <c r="BN265" s="76" t="s">
        <v>6362</v>
      </c>
      <c r="BO265" s="83" t="str">
        <f>HYPERLINK("https://twitter.com/inteiramente_r")</f>
        <v>https://twitter.com/inteiramente_r</v>
      </c>
      <c r="BP265" s="2"/>
    </row>
    <row r="266" spans="1:68" x14ac:dyDescent="0.25">
      <c r="A266" s="62" t="s">
        <v>468</v>
      </c>
      <c r="B266" s="63"/>
      <c r="C266" s="63"/>
      <c r="D266" s="64"/>
      <c r="E266" s="66"/>
      <c r="F266" s="102" t="str">
        <f>HYPERLINK("https://pbs.twimg.com/profile_images/1643067339947012096/5ciTbP7o_normal.jpg")</f>
        <v>https://pbs.twimg.com/profile_images/1643067339947012096/5ciTbP7o_normal.jpg</v>
      </c>
      <c r="G266" s="63"/>
      <c r="H266" s="67"/>
      <c r="I266" s="68"/>
      <c r="J266" s="68"/>
      <c r="K266" s="67" t="s">
        <v>6625</v>
      </c>
      <c r="L266" s="71"/>
      <c r="M266" s="72"/>
      <c r="N266" s="72"/>
      <c r="O266" s="73"/>
      <c r="P266" s="74"/>
      <c r="Q266" s="74"/>
      <c r="R266" s="86"/>
      <c r="S266" s="86"/>
      <c r="T266" s="86"/>
      <c r="U266" s="86"/>
      <c r="V266" s="48"/>
      <c r="W266" s="48"/>
      <c r="X266" s="48"/>
      <c r="Y266" s="48"/>
      <c r="Z266" s="47"/>
      <c r="AA266" s="69">
        <v>266</v>
      </c>
      <c r="AB266" s="69"/>
      <c r="AC266" s="70"/>
      <c r="AD266" s="76" t="s">
        <v>5585</v>
      </c>
      <c r="AE266" s="81" t="s">
        <v>5254</v>
      </c>
      <c r="AF266" s="76">
        <v>1</v>
      </c>
      <c r="AG266" s="76">
        <v>22</v>
      </c>
      <c r="AH266" s="76">
        <v>118</v>
      </c>
      <c r="AI266" s="76">
        <v>0</v>
      </c>
      <c r="AJ266" s="76">
        <v>22</v>
      </c>
      <c r="AK266" s="76">
        <v>39</v>
      </c>
      <c r="AL266" s="76" t="b">
        <v>0</v>
      </c>
      <c r="AM266" s="78">
        <v>45020.073541666665</v>
      </c>
      <c r="AN266" s="76"/>
      <c r="AO266" s="76"/>
      <c r="AP266" s="76"/>
      <c r="AQ266" s="76"/>
      <c r="AR266" s="76"/>
      <c r="AS266" s="76"/>
      <c r="AT266" s="76"/>
      <c r="AU266" s="76"/>
      <c r="AV266" s="76">
        <v>1.7044834465029199E+18</v>
      </c>
      <c r="AW266" s="76"/>
      <c r="AX266" s="76" t="b">
        <v>0</v>
      </c>
      <c r="AY266" s="76"/>
      <c r="AZ266" s="76"/>
      <c r="BA266" s="76" t="b">
        <v>0</v>
      </c>
      <c r="BB266" s="76" t="b">
        <v>1</v>
      </c>
      <c r="BC266" s="76" t="b">
        <v>1</v>
      </c>
      <c r="BD266" s="76" t="b">
        <v>0</v>
      </c>
      <c r="BE266" s="76" t="b">
        <v>0</v>
      </c>
      <c r="BF266" s="76" t="b">
        <v>0</v>
      </c>
      <c r="BG266" s="76" t="b">
        <v>0</v>
      </c>
      <c r="BH266" s="83" t="str">
        <f>HYPERLINK("https://pbs.twimg.com/profile_banners/1643067242681073664/1680997204")</f>
        <v>https://pbs.twimg.com/profile_banners/1643067242681073664/1680997204</v>
      </c>
      <c r="BI266" s="76"/>
      <c r="BJ266" s="76" t="s">
        <v>6360</v>
      </c>
      <c r="BK266" s="76" t="b">
        <v>0</v>
      </c>
      <c r="BL266" s="76"/>
      <c r="BM266" s="76" t="s">
        <v>66</v>
      </c>
      <c r="BN266" s="76" t="s">
        <v>6362</v>
      </c>
      <c r="BO266" s="83" t="str">
        <f>HYPERLINK("https://twitter.com/fabiolo14426262")</f>
        <v>https://twitter.com/fabiolo14426262</v>
      </c>
      <c r="BP266" s="2"/>
    </row>
    <row r="267" spans="1:68" x14ac:dyDescent="0.25">
      <c r="A267" s="62" t="s">
        <v>469</v>
      </c>
      <c r="B267" s="63"/>
      <c r="C267" s="63"/>
      <c r="D267" s="64"/>
      <c r="E267" s="66"/>
      <c r="F267" s="102" t="str">
        <f>HYPERLINK("https://pbs.twimg.com/profile_images/1350579875804020737/zuoyQDER_normal.jpg")</f>
        <v>https://pbs.twimg.com/profile_images/1350579875804020737/zuoyQDER_normal.jpg</v>
      </c>
      <c r="G267" s="63"/>
      <c r="H267" s="67"/>
      <c r="I267" s="68"/>
      <c r="J267" s="68"/>
      <c r="K267" s="67" t="s">
        <v>6626</v>
      </c>
      <c r="L267" s="71"/>
      <c r="M267" s="72"/>
      <c r="N267" s="72"/>
      <c r="O267" s="73"/>
      <c r="P267" s="74"/>
      <c r="Q267" s="74"/>
      <c r="R267" s="86"/>
      <c r="S267" s="86"/>
      <c r="T267" s="86"/>
      <c r="U267" s="86"/>
      <c r="V267" s="48"/>
      <c r="W267" s="48"/>
      <c r="X267" s="48"/>
      <c r="Y267" s="48"/>
      <c r="Z267" s="47"/>
      <c r="AA267" s="69">
        <v>267</v>
      </c>
      <c r="AB267" s="69"/>
      <c r="AC267" s="70"/>
      <c r="AD267" s="76" t="s">
        <v>5586</v>
      </c>
      <c r="AE267" s="81" t="s">
        <v>5255</v>
      </c>
      <c r="AF267" s="76">
        <v>28</v>
      </c>
      <c r="AG267" s="76">
        <v>182</v>
      </c>
      <c r="AH267" s="76">
        <v>317</v>
      </c>
      <c r="AI267" s="76">
        <v>0</v>
      </c>
      <c r="AJ267" s="76">
        <v>26</v>
      </c>
      <c r="AK267" s="76">
        <v>296</v>
      </c>
      <c r="AL267" s="76" t="b">
        <v>0</v>
      </c>
      <c r="AM267" s="78">
        <v>44190.962106481478</v>
      </c>
      <c r="AN267" s="76" t="s">
        <v>3415</v>
      </c>
      <c r="AO267" s="76" t="s">
        <v>6097</v>
      </c>
      <c r="AP267" s="83" t="str">
        <f>HYPERLINK("https://t.co/lMrEmeY6ya")</f>
        <v>https://t.co/lMrEmeY6ya</v>
      </c>
      <c r="AQ267" s="83" t="str">
        <f>HYPERLINK("http://www.contadorpj.com")</f>
        <v>http://www.contadorpj.com</v>
      </c>
      <c r="AR267" s="76" t="s">
        <v>6303</v>
      </c>
      <c r="AS267" s="83" t="str">
        <f>HYPERLINK("https://t.co/s26HkfPMjz")</f>
        <v>https://t.co/s26HkfPMjz</v>
      </c>
      <c r="AT267" s="83" t="str">
        <f>HYPERLINK("http://instabio.cc/4020615yCNj2Y")</f>
        <v>http://instabio.cc/4020615yCNj2Y</v>
      </c>
      <c r="AU267" s="76" t="s">
        <v>6357</v>
      </c>
      <c r="AV267" s="76"/>
      <c r="AW267" s="83" t="str">
        <f>HYPERLINK("https://t.co/lMrEmeY6ya")</f>
        <v>https://t.co/lMrEmeY6ya</v>
      </c>
      <c r="AX267" s="76" t="b">
        <v>0</v>
      </c>
      <c r="AY267" s="76"/>
      <c r="AZ267" s="76"/>
      <c r="BA267" s="76" t="b">
        <v>0</v>
      </c>
      <c r="BB267" s="76" t="b">
        <v>1</v>
      </c>
      <c r="BC267" s="76" t="b">
        <v>1</v>
      </c>
      <c r="BD267" s="76" t="b">
        <v>0</v>
      </c>
      <c r="BE267" s="76" t="b">
        <v>0</v>
      </c>
      <c r="BF267" s="76" t="b">
        <v>0</v>
      </c>
      <c r="BG267" s="76" t="b">
        <v>0</v>
      </c>
      <c r="BH267" s="83" t="str">
        <f>HYPERLINK("https://pbs.twimg.com/profile_banners/1342607334116364288/1609348938")</f>
        <v>https://pbs.twimg.com/profile_banners/1342607334116364288/1609348938</v>
      </c>
      <c r="BI267" s="76"/>
      <c r="BJ267" s="76" t="s">
        <v>6360</v>
      </c>
      <c r="BK267" s="76" t="b">
        <v>0</v>
      </c>
      <c r="BL267" s="76"/>
      <c r="BM267" s="76" t="s">
        <v>66</v>
      </c>
      <c r="BN267" s="76" t="s">
        <v>6362</v>
      </c>
      <c r="BO267" s="83" t="str">
        <f>HYPERLINK("https://twitter.com/tarcisiovmiran1")</f>
        <v>https://twitter.com/tarcisiovmiran1</v>
      </c>
      <c r="BP267" s="2"/>
    </row>
    <row r="268" spans="1:68" x14ac:dyDescent="0.25">
      <c r="A268" s="62" t="s">
        <v>470</v>
      </c>
      <c r="B268" s="63"/>
      <c r="C268" s="63"/>
      <c r="D268" s="64"/>
      <c r="E268" s="66"/>
      <c r="F268" s="102" t="str">
        <f>HYPERLINK("https://pbs.twimg.com/profile_images/1590486558171332611/p27vdXl0_normal.jpg")</f>
        <v>https://pbs.twimg.com/profile_images/1590486558171332611/p27vdXl0_normal.jpg</v>
      </c>
      <c r="G268" s="63"/>
      <c r="H268" s="67"/>
      <c r="I268" s="68"/>
      <c r="J268" s="68"/>
      <c r="K268" s="67" t="s">
        <v>6627</v>
      </c>
      <c r="L268" s="71"/>
      <c r="M268" s="72"/>
      <c r="N268" s="72"/>
      <c r="O268" s="73"/>
      <c r="P268" s="74"/>
      <c r="Q268" s="74"/>
      <c r="R268" s="86"/>
      <c r="S268" s="86"/>
      <c r="T268" s="86"/>
      <c r="U268" s="86"/>
      <c r="V268" s="48"/>
      <c r="W268" s="48"/>
      <c r="X268" s="48"/>
      <c r="Y268" s="48"/>
      <c r="Z268" s="47"/>
      <c r="AA268" s="69">
        <v>268</v>
      </c>
      <c r="AB268" s="69"/>
      <c r="AC268" s="70"/>
      <c r="AD268" s="76" t="s">
        <v>5587</v>
      </c>
      <c r="AE268" s="81" t="s">
        <v>5717</v>
      </c>
      <c r="AF268" s="76">
        <v>120</v>
      </c>
      <c r="AG268" s="76">
        <v>873</v>
      </c>
      <c r="AH268" s="76">
        <v>441</v>
      </c>
      <c r="AI268" s="76">
        <v>1</v>
      </c>
      <c r="AJ268" s="76">
        <v>36296</v>
      </c>
      <c r="AK268" s="76">
        <v>56</v>
      </c>
      <c r="AL268" s="76" t="b">
        <v>0</v>
      </c>
      <c r="AM268" s="78">
        <v>40676.024907407409</v>
      </c>
      <c r="AN268" s="76" t="s">
        <v>3419</v>
      </c>
      <c r="AO268" s="76" t="s">
        <v>6098</v>
      </c>
      <c r="AP268" s="83" t="str">
        <f>HYPERLINK("https://t.co/KIt1a9Nl89")</f>
        <v>https://t.co/KIt1a9Nl89</v>
      </c>
      <c r="AQ268" s="83" t="str">
        <f>HYPERLINK("https://linktr.ee/robertogadelha")</f>
        <v>https://linktr.ee/robertogadelha</v>
      </c>
      <c r="AR268" s="76" t="s">
        <v>6304</v>
      </c>
      <c r="AS268" s="76"/>
      <c r="AT268" s="76"/>
      <c r="AU268" s="76"/>
      <c r="AV268" s="76"/>
      <c r="AW268" s="83" t="str">
        <f>HYPERLINK("https://t.co/KIt1a9Nl89")</f>
        <v>https://t.co/KIt1a9Nl89</v>
      </c>
      <c r="AX268" s="76" t="b">
        <v>0</v>
      </c>
      <c r="AY268" s="76"/>
      <c r="AZ268" s="76"/>
      <c r="BA268" s="76" t="b">
        <v>0</v>
      </c>
      <c r="BB268" s="76" t="b">
        <v>1</v>
      </c>
      <c r="BC268" s="76" t="b">
        <v>0</v>
      </c>
      <c r="BD268" s="76" t="b">
        <v>0</v>
      </c>
      <c r="BE268" s="76" t="b">
        <v>0</v>
      </c>
      <c r="BF268" s="76" t="b">
        <v>0</v>
      </c>
      <c r="BG268" s="76" t="b">
        <v>0</v>
      </c>
      <c r="BH268" s="83" t="str">
        <f>HYPERLINK("https://pbs.twimg.com/profile_banners/297723598/1668036777")</f>
        <v>https://pbs.twimg.com/profile_banners/297723598/1668036777</v>
      </c>
      <c r="BI268" s="76"/>
      <c r="BJ268" s="76" t="s">
        <v>6360</v>
      </c>
      <c r="BK268" s="76" t="b">
        <v>0</v>
      </c>
      <c r="BL268" s="76"/>
      <c r="BM268" s="76" t="s">
        <v>66</v>
      </c>
      <c r="BN268" s="76" t="s">
        <v>6362</v>
      </c>
      <c r="BO268" s="83" t="str">
        <f>HYPERLINK("https://twitter.com/robertogadelha")</f>
        <v>https://twitter.com/robertogadelha</v>
      </c>
      <c r="BP268" s="2"/>
    </row>
    <row r="269" spans="1:68" x14ac:dyDescent="0.25">
      <c r="A269" s="62" t="s">
        <v>471</v>
      </c>
      <c r="B269" s="63"/>
      <c r="C269" s="63"/>
      <c r="D269" s="64"/>
      <c r="E269" s="66"/>
      <c r="F269" s="102" t="str">
        <f>HYPERLINK("https://pbs.twimg.com/profile_images/1668406966454976514/dGDemEaa_normal.jpg")</f>
        <v>https://pbs.twimg.com/profile_images/1668406966454976514/dGDemEaa_normal.jpg</v>
      </c>
      <c r="G269" s="63"/>
      <c r="H269" s="67"/>
      <c r="I269" s="68"/>
      <c r="J269" s="68"/>
      <c r="K269" s="67" t="s">
        <v>6628</v>
      </c>
      <c r="L269" s="71"/>
      <c r="M269" s="72"/>
      <c r="N269" s="72"/>
      <c r="O269" s="73"/>
      <c r="P269" s="74"/>
      <c r="Q269" s="74"/>
      <c r="R269" s="86"/>
      <c r="S269" s="86"/>
      <c r="T269" s="86"/>
      <c r="U269" s="86"/>
      <c r="V269" s="48"/>
      <c r="W269" s="48"/>
      <c r="X269" s="48"/>
      <c r="Y269" s="48"/>
      <c r="Z269" s="47"/>
      <c r="AA269" s="69">
        <v>269</v>
      </c>
      <c r="AB269" s="69"/>
      <c r="AC269" s="70"/>
      <c r="AD269" s="76" t="s">
        <v>5588</v>
      </c>
      <c r="AE269" s="81" t="s">
        <v>5256</v>
      </c>
      <c r="AF269" s="76">
        <v>694</v>
      </c>
      <c r="AG269" s="76">
        <v>759</v>
      </c>
      <c r="AH269" s="76">
        <v>57085</v>
      </c>
      <c r="AI269" s="76">
        <v>1</v>
      </c>
      <c r="AJ269" s="76">
        <v>72131</v>
      </c>
      <c r="AK269" s="76">
        <v>14895</v>
      </c>
      <c r="AL269" s="76" t="b">
        <v>0</v>
      </c>
      <c r="AM269" s="78">
        <v>44214.587118055555</v>
      </c>
      <c r="AN269" s="76" t="s">
        <v>5831</v>
      </c>
      <c r="AO269" s="76" t="s">
        <v>6099</v>
      </c>
      <c r="AP269" s="76"/>
      <c r="AQ269" s="76"/>
      <c r="AR269" s="76"/>
      <c r="AS269" s="76"/>
      <c r="AT269" s="76"/>
      <c r="AU269" s="76"/>
      <c r="AV269" s="76">
        <v>1.4690140535153999E+18</v>
      </c>
      <c r="AW269" s="76"/>
      <c r="AX269" s="76" t="b">
        <v>0</v>
      </c>
      <c r="AY269" s="76"/>
      <c r="AZ269" s="76"/>
      <c r="BA269" s="76" t="b">
        <v>0</v>
      </c>
      <c r="BB269" s="76" t="b">
        <v>0</v>
      </c>
      <c r="BC269" s="76" t="b">
        <v>1</v>
      </c>
      <c r="BD269" s="76" t="b">
        <v>0</v>
      </c>
      <c r="BE269" s="76" t="b">
        <v>1</v>
      </c>
      <c r="BF269" s="76" t="b">
        <v>0</v>
      </c>
      <c r="BG269" s="76" t="b">
        <v>1</v>
      </c>
      <c r="BH269" s="83" t="str">
        <f>HYPERLINK("https://pbs.twimg.com/profile_banners/1351168770031628292/1683422423")</f>
        <v>https://pbs.twimg.com/profile_banners/1351168770031628292/1683422423</v>
      </c>
      <c r="BI269" s="76" t="s">
        <v>6359</v>
      </c>
      <c r="BJ269" s="76" t="s">
        <v>6360</v>
      </c>
      <c r="BK269" s="76" t="b">
        <v>0</v>
      </c>
      <c r="BL269" s="76"/>
      <c r="BM269" s="76" t="s">
        <v>66</v>
      </c>
      <c r="BN269" s="76" t="s">
        <v>6362</v>
      </c>
      <c r="BO269" s="83" t="str">
        <f>HYPERLINK("https://twitter.com/narfortsac")</f>
        <v>https://twitter.com/narfortsac</v>
      </c>
      <c r="BP269" s="2"/>
    </row>
    <row r="270" spans="1:68" x14ac:dyDescent="0.25">
      <c r="A270" s="62" t="s">
        <v>472</v>
      </c>
      <c r="B270" s="63"/>
      <c r="C270" s="63"/>
      <c r="D270" s="64"/>
      <c r="E270" s="66"/>
      <c r="F270" s="102" t="str">
        <f>HYPERLINK("https://pbs.twimg.com/profile_images/1628503072363237382/wL8Ruzon_normal.jpg")</f>
        <v>https://pbs.twimg.com/profile_images/1628503072363237382/wL8Ruzon_normal.jpg</v>
      </c>
      <c r="G270" s="63"/>
      <c r="H270" s="67"/>
      <c r="I270" s="68"/>
      <c r="J270" s="68"/>
      <c r="K270" s="67" t="s">
        <v>6629</v>
      </c>
      <c r="L270" s="71"/>
      <c r="M270" s="72"/>
      <c r="N270" s="72"/>
      <c r="O270" s="73"/>
      <c r="P270" s="74"/>
      <c r="Q270" s="74"/>
      <c r="R270" s="86"/>
      <c r="S270" s="86"/>
      <c r="T270" s="86"/>
      <c r="U270" s="86"/>
      <c r="V270" s="48"/>
      <c r="W270" s="48"/>
      <c r="X270" s="48"/>
      <c r="Y270" s="48"/>
      <c r="Z270" s="47"/>
      <c r="AA270" s="69">
        <v>270</v>
      </c>
      <c r="AB270" s="69"/>
      <c r="AC270" s="70"/>
      <c r="AD270" s="76" t="s">
        <v>5589</v>
      </c>
      <c r="AE270" s="81" t="s">
        <v>5257</v>
      </c>
      <c r="AF270" s="76">
        <v>2</v>
      </c>
      <c r="AG270" s="76">
        <v>46</v>
      </c>
      <c r="AH270" s="76">
        <v>157</v>
      </c>
      <c r="AI270" s="76">
        <v>0</v>
      </c>
      <c r="AJ270" s="76">
        <v>206</v>
      </c>
      <c r="AK270" s="76">
        <v>11</v>
      </c>
      <c r="AL270" s="76" t="b">
        <v>0</v>
      </c>
      <c r="AM270" s="78">
        <v>44847.014907407407</v>
      </c>
      <c r="AN270" s="76"/>
      <c r="AO270" s="76" t="s">
        <v>6100</v>
      </c>
      <c r="AP270" s="83" t="str">
        <f>HYPERLINK("https://t.co/8U7EPNtFce")</f>
        <v>https://t.co/8U7EPNtFce</v>
      </c>
      <c r="AQ270" s="83" t="str">
        <f>HYPERLINK("https://wordpress.com/home/emersonassistentevirtual.wordpress.com")</f>
        <v>https://wordpress.com/home/emersonassistentevirtual.wordpress.com</v>
      </c>
      <c r="AR270" s="76" t="s">
        <v>6305</v>
      </c>
      <c r="AS270" s="76"/>
      <c r="AT270" s="76"/>
      <c r="AU270" s="76"/>
      <c r="AV270" s="76"/>
      <c r="AW270" s="83" t="str">
        <f>HYPERLINK("https://t.co/8U7EPNtFce")</f>
        <v>https://t.co/8U7EPNtFce</v>
      </c>
      <c r="AX270" s="76" t="b">
        <v>0</v>
      </c>
      <c r="AY270" s="76"/>
      <c r="AZ270" s="76"/>
      <c r="BA270" s="76" t="b">
        <v>0</v>
      </c>
      <c r="BB270" s="76" t="b">
        <v>1</v>
      </c>
      <c r="BC270" s="76" t="b">
        <v>1</v>
      </c>
      <c r="BD270" s="76" t="b">
        <v>0</v>
      </c>
      <c r="BE270" s="76" t="b">
        <v>0</v>
      </c>
      <c r="BF270" s="76" t="b">
        <v>0</v>
      </c>
      <c r="BG270" s="76" t="b">
        <v>0</v>
      </c>
      <c r="BH270" s="83" t="str">
        <f>HYPERLINK("https://pbs.twimg.com/profile_banners/1580352727108001792/1677100364")</f>
        <v>https://pbs.twimg.com/profile_banners/1580352727108001792/1677100364</v>
      </c>
      <c r="BI270" s="76"/>
      <c r="BJ270" s="76" t="s">
        <v>6360</v>
      </c>
      <c r="BK270" s="76" t="b">
        <v>0</v>
      </c>
      <c r="BL270" s="76"/>
      <c r="BM270" s="76" t="s">
        <v>66</v>
      </c>
      <c r="BN270" s="76" t="s">
        <v>6362</v>
      </c>
      <c r="BO270" s="83" t="str">
        <f>HYPERLINK("https://twitter.com/ass_virtual")</f>
        <v>https://twitter.com/ass_virtual</v>
      </c>
      <c r="BP270" s="2"/>
    </row>
    <row r="271" spans="1:68" x14ac:dyDescent="0.25">
      <c r="A271" s="62" t="s">
        <v>473</v>
      </c>
      <c r="B271" s="63"/>
      <c r="C271" s="63"/>
      <c r="D271" s="64"/>
      <c r="E271" s="66"/>
      <c r="F271" s="102" t="str">
        <f>HYPERLINK("https://pbs.twimg.com/profile_images/1638935200959799298/uhVI6aV0_normal.jpg")</f>
        <v>https://pbs.twimg.com/profile_images/1638935200959799298/uhVI6aV0_normal.jpg</v>
      </c>
      <c r="G271" s="63"/>
      <c r="H271" s="67"/>
      <c r="I271" s="68"/>
      <c r="J271" s="68"/>
      <c r="K271" s="67" t="s">
        <v>6630</v>
      </c>
      <c r="L271" s="71"/>
      <c r="M271" s="72"/>
      <c r="N271" s="72"/>
      <c r="O271" s="73"/>
      <c r="P271" s="74"/>
      <c r="Q271" s="74"/>
      <c r="R271" s="86"/>
      <c r="S271" s="86"/>
      <c r="T271" s="86"/>
      <c r="U271" s="86"/>
      <c r="V271" s="48"/>
      <c r="W271" s="48"/>
      <c r="X271" s="48"/>
      <c r="Y271" s="48"/>
      <c r="Z271" s="47"/>
      <c r="AA271" s="69">
        <v>271</v>
      </c>
      <c r="AB271" s="69"/>
      <c r="AC271" s="70"/>
      <c r="AD271" s="76" t="s">
        <v>5590</v>
      </c>
      <c r="AE271" s="81" t="s">
        <v>5258</v>
      </c>
      <c r="AF271" s="76">
        <v>7</v>
      </c>
      <c r="AG271" s="76">
        <v>7</v>
      </c>
      <c r="AH271" s="76">
        <v>72</v>
      </c>
      <c r="AI271" s="76">
        <v>1</v>
      </c>
      <c r="AJ271" s="76">
        <v>0</v>
      </c>
      <c r="AK271" s="76">
        <v>72</v>
      </c>
      <c r="AL271" s="76" t="b">
        <v>0</v>
      </c>
      <c r="AM271" s="78">
        <v>45008.670856481483</v>
      </c>
      <c r="AN271" s="76"/>
      <c r="AO271" s="76" t="s">
        <v>6101</v>
      </c>
      <c r="AP271" s="76"/>
      <c r="AQ271" s="76"/>
      <c r="AR271" s="76"/>
      <c r="AS271" s="76"/>
      <c r="AT271" s="76"/>
      <c r="AU271" s="76"/>
      <c r="AV271" s="76"/>
      <c r="AW271" s="76"/>
      <c r="AX271" s="76" t="b">
        <v>0</v>
      </c>
      <c r="AY271" s="76"/>
      <c r="AZ271" s="76"/>
      <c r="BA271" s="76" t="b">
        <v>0</v>
      </c>
      <c r="BB271" s="76" t="b">
        <v>1</v>
      </c>
      <c r="BC271" s="76" t="b">
        <v>1</v>
      </c>
      <c r="BD271" s="76" t="b">
        <v>0</v>
      </c>
      <c r="BE271" s="76" t="b">
        <v>0</v>
      </c>
      <c r="BF271" s="76" t="b">
        <v>0</v>
      </c>
      <c r="BG271" s="76" t="b">
        <v>0</v>
      </c>
      <c r="BH271" s="76"/>
      <c r="BI271" s="76"/>
      <c r="BJ271" s="76" t="s">
        <v>6360</v>
      </c>
      <c r="BK271" s="76" t="b">
        <v>0</v>
      </c>
      <c r="BL271" s="76"/>
      <c r="BM271" s="76" t="s">
        <v>66</v>
      </c>
      <c r="BN271" s="76" t="s">
        <v>6362</v>
      </c>
      <c r="BO271" s="83" t="str">
        <f>HYPERLINK("https://twitter.com/rnainvest")</f>
        <v>https://twitter.com/rnainvest</v>
      </c>
      <c r="BP271" s="2"/>
    </row>
    <row r="272" spans="1:68" x14ac:dyDescent="0.25">
      <c r="A272" s="62" t="s">
        <v>474</v>
      </c>
      <c r="B272" s="63"/>
      <c r="C272" s="63"/>
      <c r="D272" s="64"/>
      <c r="E272" s="66"/>
      <c r="F272" s="102" t="str">
        <f>HYPERLINK("https://pbs.twimg.com/profile_images/1470853897426288649/32Xgk8p6_normal.jpg")</f>
        <v>https://pbs.twimg.com/profile_images/1470853897426288649/32Xgk8p6_normal.jpg</v>
      </c>
      <c r="G272" s="63"/>
      <c r="H272" s="67"/>
      <c r="I272" s="68"/>
      <c r="J272" s="68"/>
      <c r="K272" s="67" t="s">
        <v>6631</v>
      </c>
      <c r="L272" s="71"/>
      <c r="M272" s="72"/>
      <c r="N272" s="72"/>
      <c r="O272" s="73"/>
      <c r="P272" s="74"/>
      <c r="Q272" s="74"/>
      <c r="R272" s="86"/>
      <c r="S272" s="86"/>
      <c r="T272" s="86"/>
      <c r="U272" s="86"/>
      <c r="V272" s="48"/>
      <c r="W272" s="48"/>
      <c r="X272" s="48"/>
      <c r="Y272" s="48"/>
      <c r="Z272" s="47"/>
      <c r="AA272" s="69">
        <v>272</v>
      </c>
      <c r="AB272" s="69"/>
      <c r="AC272" s="70"/>
      <c r="AD272" s="76" t="s">
        <v>5591</v>
      </c>
      <c r="AE272" s="81" t="s">
        <v>5718</v>
      </c>
      <c r="AF272" s="76">
        <v>32</v>
      </c>
      <c r="AG272" s="76">
        <v>188</v>
      </c>
      <c r="AH272" s="76">
        <v>235</v>
      </c>
      <c r="AI272" s="76">
        <v>0</v>
      </c>
      <c r="AJ272" s="76">
        <v>128</v>
      </c>
      <c r="AK272" s="76">
        <v>10</v>
      </c>
      <c r="AL272" s="76" t="b">
        <v>0</v>
      </c>
      <c r="AM272" s="78">
        <v>40772.622164351851</v>
      </c>
      <c r="AN272" s="76" t="s">
        <v>3415</v>
      </c>
      <c r="AO272" s="76"/>
      <c r="AP272" s="76"/>
      <c r="AQ272" s="76"/>
      <c r="AR272" s="76"/>
      <c r="AS272" s="76"/>
      <c r="AT272" s="76"/>
      <c r="AU272" s="76"/>
      <c r="AV272" s="76"/>
      <c r="AW272" s="76"/>
      <c r="AX272" s="76" t="b">
        <v>0</v>
      </c>
      <c r="AY272" s="76"/>
      <c r="AZ272" s="76"/>
      <c r="BA272" s="76" t="b">
        <v>1</v>
      </c>
      <c r="BB272" s="76" t="b">
        <v>1</v>
      </c>
      <c r="BC272" s="76" t="b">
        <v>1</v>
      </c>
      <c r="BD272" s="76" t="b">
        <v>0</v>
      </c>
      <c r="BE272" s="76" t="b">
        <v>0</v>
      </c>
      <c r="BF272" s="76" t="b">
        <v>0</v>
      </c>
      <c r="BG272" s="76" t="b">
        <v>0</v>
      </c>
      <c r="BH272" s="76"/>
      <c r="BI272" s="76"/>
      <c r="BJ272" s="76" t="s">
        <v>6360</v>
      </c>
      <c r="BK272" s="76" t="b">
        <v>0</v>
      </c>
      <c r="BL272" s="76"/>
      <c r="BM272" s="76" t="s">
        <v>66</v>
      </c>
      <c r="BN272" s="76" t="s">
        <v>6362</v>
      </c>
      <c r="BO272" s="83" t="str">
        <f>HYPERLINK("https://twitter.com/claudioguirao")</f>
        <v>https://twitter.com/claudioguirao</v>
      </c>
      <c r="BP272" s="2"/>
    </row>
    <row r="273" spans="1:68" x14ac:dyDescent="0.25">
      <c r="A273" s="62" t="s">
        <v>475</v>
      </c>
      <c r="B273" s="63"/>
      <c r="C273" s="63"/>
      <c r="D273" s="64"/>
      <c r="E273" s="66"/>
      <c r="F273" s="102" t="str">
        <f>HYPERLINK("https://pbs.twimg.com/profile_images/1584509275631656962/RUnUXbUY_normal.jpg")</f>
        <v>https://pbs.twimg.com/profile_images/1584509275631656962/RUnUXbUY_normal.jpg</v>
      </c>
      <c r="G273" s="63"/>
      <c r="H273" s="67"/>
      <c r="I273" s="68"/>
      <c r="J273" s="68"/>
      <c r="K273" s="67" t="s">
        <v>6632</v>
      </c>
      <c r="L273" s="71"/>
      <c r="M273" s="72"/>
      <c r="N273" s="72"/>
      <c r="O273" s="73"/>
      <c r="P273" s="74"/>
      <c r="Q273" s="74"/>
      <c r="R273" s="86"/>
      <c r="S273" s="86"/>
      <c r="T273" s="86"/>
      <c r="U273" s="86"/>
      <c r="V273" s="48"/>
      <c r="W273" s="48"/>
      <c r="X273" s="48"/>
      <c r="Y273" s="48"/>
      <c r="Z273" s="47"/>
      <c r="AA273" s="69">
        <v>273</v>
      </c>
      <c r="AB273" s="69"/>
      <c r="AC273" s="70"/>
      <c r="AD273" s="76" t="s">
        <v>5592</v>
      </c>
      <c r="AE273" s="81" t="s">
        <v>5719</v>
      </c>
      <c r="AF273" s="76">
        <v>240</v>
      </c>
      <c r="AG273" s="76">
        <v>67</v>
      </c>
      <c r="AH273" s="76">
        <v>693</v>
      </c>
      <c r="AI273" s="76">
        <v>6</v>
      </c>
      <c r="AJ273" s="76">
        <v>192</v>
      </c>
      <c r="AK273" s="76">
        <v>130</v>
      </c>
      <c r="AL273" s="76" t="b">
        <v>0</v>
      </c>
      <c r="AM273" s="78">
        <v>39942.442025462966</v>
      </c>
      <c r="AN273" s="76" t="s">
        <v>5776</v>
      </c>
      <c r="AO273" s="83" t="str">
        <f>HYPERLINK("https://t.co/x12jpA3cfp")</f>
        <v>https://t.co/x12jpA3cfp</v>
      </c>
      <c r="AP273" s="76"/>
      <c r="AQ273" s="76"/>
      <c r="AR273" s="76"/>
      <c r="AS273" s="83" t="str">
        <f>HYPERLINK("https://t.co/x12jpA3cfp")</f>
        <v>https://t.co/x12jpA3cfp</v>
      </c>
      <c r="AT273" s="83" t="str">
        <f>HYPERLINK("http://hiltonvieira.medium.com")</f>
        <v>http://hiltonvieira.medium.com</v>
      </c>
      <c r="AU273" s="76" t="s">
        <v>6358</v>
      </c>
      <c r="AV273" s="76"/>
      <c r="AW273" s="76"/>
      <c r="AX273" s="76" t="b">
        <v>0</v>
      </c>
      <c r="AY273" s="76"/>
      <c r="AZ273" s="76"/>
      <c r="BA273" s="76" t="b">
        <v>0</v>
      </c>
      <c r="BB273" s="76" t="b">
        <v>0</v>
      </c>
      <c r="BC273" s="76" t="b">
        <v>0</v>
      </c>
      <c r="BD273" s="76" t="b">
        <v>0</v>
      </c>
      <c r="BE273" s="76" t="b">
        <v>0</v>
      </c>
      <c r="BF273" s="76" t="b">
        <v>0</v>
      </c>
      <c r="BG273" s="76" t="b">
        <v>0</v>
      </c>
      <c r="BH273" s="83" t="str">
        <f>HYPERLINK("https://pbs.twimg.com/profile_banners/38833158/1666611428")</f>
        <v>https://pbs.twimg.com/profile_banners/38833158/1666611428</v>
      </c>
      <c r="BI273" s="76"/>
      <c r="BJ273" s="76" t="s">
        <v>6360</v>
      </c>
      <c r="BK273" s="76" t="b">
        <v>0</v>
      </c>
      <c r="BL273" s="76"/>
      <c r="BM273" s="76" t="s">
        <v>66</v>
      </c>
      <c r="BN273" s="76" t="s">
        <v>6362</v>
      </c>
      <c r="BO273" s="83" t="str">
        <f>HYPERLINK("https://twitter.com/hilvieira")</f>
        <v>https://twitter.com/hilvieira</v>
      </c>
      <c r="BP273" s="2"/>
    </row>
    <row r="274" spans="1:68" x14ac:dyDescent="0.25">
      <c r="A274" s="62" t="s">
        <v>476</v>
      </c>
      <c r="B274" s="63"/>
      <c r="C274" s="63"/>
      <c r="D274" s="64"/>
      <c r="E274" s="66"/>
      <c r="F274" s="102" t="str">
        <f>HYPERLINK("https://pbs.twimg.com/profile_images/1647317230160363521/47RPk1TN_normal.jpg")</f>
        <v>https://pbs.twimg.com/profile_images/1647317230160363521/47RPk1TN_normal.jpg</v>
      </c>
      <c r="G274" s="63"/>
      <c r="H274" s="67"/>
      <c r="I274" s="68"/>
      <c r="J274" s="68"/>
      <c r="K274" s="67" t="s">
        <v>6633</v>
      </c>
      <c r="L274" s="71"/>
      <c r="M274" s="72"/>
      <c r="N274" s="72"/>
      <c r="O274" s="73"/>
      <c r="P274" s="74"/>
      <c r="Q274" s="74"/>
      <c r="R274" s="86"/>
      <c r="S274" s="86"/>
      <c r="T274" s="86"/>
      <c r="U274" s="86"/>
      <c r="V274" s="48"/>
      <c r="W274" s="48"/>
      <c r="X274" s="48"/>
      <c r="Y274" s="48"/>
      <c r="Z274" s="47"/>
      <c r="AA274" s="69">
        <v>274</v>
      </c>
      <c r="AB274" s="69"/>
      <c r="AC274" s="70"/>
      <c r="AD274" s="76" t="s">
        <v>5593</v>
      </c>
      <c r="AE274" s="81" t="s">
        <v>5259</v>
      </c>
      <c r="AF274" s="76">
        <v>3</v>
      </c>
      <c r="AG274" s="76">
        <v>50</v>
      </c>
      <c r="AH274" s="76">
        <v>4</v>
      </c>
      <c r="AI274" s="76">
        <v>0</v>
      </c>
      <c r="AJ274" s="76">
        <v>26</v>
      </c>
      <c r="AK274" s="76">
        <v>0</v>
      </c>
      <c r="AL274" s="76" t="b">
        <v>0</v>
      </c>
      <c r="AM274" s="78">
        <v>43667.992488425924</v>
      </c>
      <c r="AN274" s="76" t="s">
        <v>5832</v>
      </c>
      <c r="AO274" s="76" t="s">
        <v>6102</v>
      </c>
      <c r="AP274" s="83" t="str">
        <f>HYPERLINK("https://t.co/Hog45Rm1FG")</f>
        <v>https://t.co/Hog45Rm1FG</v>
      </c>
      <c r="AQ274" s="83" t="str">
        <f>HYPERLINK("https://www.linkedin.com/in/l%C3%ADdiaaleixob87958a3")</f>
        <v>https://www.linkedin.com/in/l%C3%ADdiaaleixob87958a3</v>
      </c>
      <c r="AR274" s="76" t="s">
        <v>6306</v>
      </c>
      <c r="AS274" s="76"/>
      <c r="AT274" s="76"/>
      <c r="AU274" s="76"/>
      <c r="AV274" s="76"/>
      <c r="AW274" s="83" t="str">
        <f>HYPERLINK("https://t.co/Hog45Rm1FG")</f>
        <v>https://t.co/Hog45Rm1FG</v>
      </c>
      <c r="AX274" s="76" t="b">
        <v>0</v>
      </c>
      <c r="AY274" s="76"/>
      <c r="AZ274" s="76"/>
      <c r="BA274" s="76" t="b">
        <v>0</v>
      </c>
      <c r="BB274" s="76" t="b">
        <v>1</v>
      </c>
      <c r="BC274" s="76" t="b">
        <v>1</v>
      </c>
      <c r="BD274" s="76" t="b">
        <v>0</v>
      </c>
      <c r="BE274" s="76" t="b">
        <v>0</v>
      </c>
      <c r="BF274" s="76" t="b">
        <v>0</v>
      </c>
      <c r="BG274" s="76" t="b">
        <v>0</v>
      </c>
      <c r="BH274" s="83" t="str">
        <f>HYPERLINK("https://pbs.twimg.com/profile_banners/1153089569677545472/1681587215")</f>
        <v>https://pbs.twimg.com/profile_banners/1153089569677545472/1681587215</v>
      </c>
      <c r="BI274" s="76"/>
      <c r="BJ274" s="76" t="s">
        <v>6360</v>
      </c>
      <c r="BK274" s="76" t="b">
        <v>0</v>
      </c>
      <c r="BL274" s="76"/>
      <c r="BM274" s="76" t="s">
        <v>66</v>
      </c>
      <c r="BN274" s="76" t="s">
        <v>6362</v>
      </c>
      <c r="BO274" s="83" t="str">
        <f>HYPERLINK("https://twitter.com/lidialuciara")</f>
        <v>https://twitter.com/lidialuciara</v>
      </c>
      <c r="BP274" s="2"/>
    </row>
    <row r="275" spans="1:68" x14ac:dyDescent="0.25">
      <c r="A275" s="62" t="s">
        <v>504</v>
      </c>
      <c r="B275" s="63"/>
      <c r="C275" s="63"/>
      <c r="D275" s="64"/>
      <c r="E275" s="66"/>
      <c r="F275" s="102" t="str">
        <f>HYPERLINK("https://pbs.twimg.com/profile_images/1365833978050207745/naE6tUzw_normal.jpg")</f>
        <v>https://pbs.twimg.com/profile_images/1365833978050207745/naE6tUzw_normal.jpg</v>
      </c>
      <c r="G275" s="63"/>
      <c r="H275" s="67"/>
      <c r="I275" s="68"/>
      <c r="J275" s="68"/>
      <c r="K275" s="67" t="s">
        <v>6634</v>
      </c>
      <c r="L275" s="71"/>
      <c r="M275" s="72"/>
      <c r="N275" s="72"/>
      <c r="O275" s="73"/>
      <c r="P275" s="74"/>
      <c r="Q275" s="74"/>
      <c r="R275" s="86"/>
      <c r="S275" s="86"/>
      <c r="T275" s="86"/>
      <c r="U275" s="86"/>
      <c r="V275" s="48"/>
      <c r="W275" s="48"/>
      <c r="X275" s="48"/>
      <c r="Y275" s="48"/>
      <c r="Z275" s="47"/>
      <c r="AA275" s="69">
        <v>275</v>
      </c>
      <c r="AB275" s="69"/>
      <c r="AC275" s="70"/>
      <c r="AD275" s="76" t="s">
        <v>5594</v>
      </c>
      <c r="AE275" s="81" t="s">
        <v>5720</v>
      </c>
      <c r="AF275" s="76">
        <v>3699</v>
      </c>
      <c r="AG275" s="76">
        <v>872</v>
      </c>
      <c r="AH275" s="76">
        <v>45179</v>
      </c>
      <c r="AI275" s="76">
        <v>25</v>
      </c>
      <c r="AJ275" s="76">
        <v>312</v>
      </c>
      <c r="AK275" s="76">
        <v>578</v>
      </c>
      <c r="AL275" s="76" t="b">
        <v>0</v>
      </c>
      <c r="AM275" s="78">
        <v>40288.871458333335</v>
      </c>
      <c r="AN275" s="76" t="s">
        <v>5833</v>
      </c>
      <c r="AO275" s="76" t="s">
        <v>6103</v>
      </c>
      <c r="AP275" s="83" t="str">
        <f>HYPERLINK("https://t.co/o4FW9wcugB")</f>
        <v>https://t.co/o4FW9wcugB</v>
      </c>
      <c r="AQ275" s="83" t="str">
        <f>HYPERLINK("https://www.varginhaonline.com.br")</f>
        <v>https://www.varginhaonline.com.br</v>
      </c>
      <c r="AR275" s="76" t="s">
        <v>6307</v>
      </c>
      <c r="AS275" s="76"/>
      <c r="AT275" s="76"/>
      <c r="AU275" s="76"/>
      <c r="AV275" s="76"/>
      <c r="AW275" s="83" t="str">
        <f>HYPERLINK("https://t.co/o4FW9wcugB")</f>
        <v>https://t.co/o4FW9wcugB</v>
      </c>
      <c r="AX275" s="76" t="b">
        <v>0</v>
      </c>
      <c r="AY275" s="76"/>
      <c r="AZ275" s="76"/>
      <c r="BA275" s="76" t="b">
        <v>0</v>
      </c>
      <c r="BB275" s="76" t="b">
        <v>1</v>
      </c>
      <c r="BC275" s="76" t="b">
        <v>0</v>
      </c>
      <c r="BD275" s="76" t="b">
        <v>0</v>
      </c>
      <c r="BE275" s="76" t="b">
        <v>1</v>
      </c>
      <c r="BF275" s="76" t="b">
        <v>0</v>
      </c>
      <c r="BG275" s="76" t="b">
        <v>0</v>
      </c>
      <c r="BH275" s="83" t="str">
        <f>HYPERLINK("https://pbs.twimg.com/profile_banners/135272073/1537234779")</f>
        <v>https://pbs.twimg.com/profile_banners/135272073/1537234779</v>
      </c>
      <c r="BI275" s="76"/>
      <c r="BJ275" s="76" t="s">
        <v>6360</v>
      </c>
      <c r="BK275" s="76" t="b">
        <v>0</v>
      </c>
      <c r="BL275" s="76"/>
      <c r="BM275" s="76" t="s">
        <v>66</v>
      </c>
      <c r="BN275" s="76" t="s">
        <v>6362</v>
      </c>
      <c r="BO275" s="83" t="str">
        <f>HYPERLINK("https://twitter.com/varginha_online")</f>
        <v>https://twitter.com/varginha_online</v>
      </c>
      <c r="BP275" s="2"/>
    </row>
    <row r="276" spans="1:68" x14ac:dyDescent="0.25">
      <c r="A276" s="62" t="s">
        <v>477</v>
      </c>
      <c r="B276" s="63"/>
      <c r="C276" s="63"/>
      <c r="D276" s="64"/>
      <c r="E276" s="66"/>
      <c r="F276" s="102" t="str">
        <f>HYPERLINK("https://pbs.twimg.com/profile_images/1200125968008003585/QE86T9tb_normal.jpg")</f>
        <v>https://pbs.twimg.com/profile_images/1200125968008003585/QE86T9tb_normal.jpg</v>
      </c>
      <c r="G276" s="63"/>
      <c r="H276" s="67"/>
      <c r="I276" s="68"/>
      <c r="J276" s="68"/>
      <c r="K276" s="67" t="s">
        <v>6635</v>
      </c>
      <c r="L276" s="71"/>
      <c r="M276" s="72"/>
      <c r="N276" s="72"/>
      <c r="O276" s="73"/>
      <c r="P276" s="74"/>
      <c r="Q276" s="74"/>
      <c r="R276" s="86"/>
      <c r="S276" s="86"/>
      <c r="T276" s="86"/>
      <c r="U276" s="86"/>
      <c r="V276" s="48"/>
      <c r="W276" s="48"/>
      <c r="X276" s="48"/>
      <c r="Y276" s="48"/>
      <c r="Z276" s="47"/>
      <c r="AA276" s="69">
        <v>276</v>
      </c>
      <c r="AB276" s="69"/>
      <c r="AC276" s="70"/>
      <c r="AD276" s="76" t="s">
        <v>5595</v>
      </c>
      <c r="AE276" s="81" t="s">
        <v>5721</v>
      </c>
      <c r="AF276" s="76">
        <v>456</v>
      </c>
      <c r="AG276" s="76">
        <v>1614</v>
      </c>
      <c r="AH276" s="76">
        <v>1058</v>
      </c>
      <c r="AI276" s="76">
        <v>4</v>
      </c>
      <c r="AJ276" s="76">
        <v>479</v>
      </c>
      <c r="AK276" s="76">
        <v>201</v>
      </c>
      <c r="AL276" s="76" t="b">
        <v>0</v>
      </c>
      <c r="AM276" s="78">
        <v>40002.860706018517</v>
      </c>
      <c r="AN276" s="76" t="s">
        <v>5834</v>
      </c>
      <c r="AO276" s="76" t="s">
        <v>6104</v>
      </c>
      <c r="AP276" s="83" t="str">
        <f>HYPERLINK("https://t.co/1vWD0qlUk8")</f>
        <v>https://t.co/1vWD0qlUk8</v>
      </c>
      <c r="AQ276" s="83" t="str">
        <f>HYPERLINK("http://www.mdmcontabil.com.br")</f>
        <v>http://www.mdmcontabil.com.br</v>
      </c>
      <c r="AR276" s="76" t="s">
        <v>6308</v>
      </c>
      <c r="AS276" s="76"/>
      <c r="AT276" s="76"/>
      <c r="AU276" s="76"/>
      <c r="AV276" s="76">
        <v>1.2910988944499899E+18</v>
      </c>
      <c r="AW276" s="83" t="str">
        <f>HYPERLINK("https://t.co/1vWD0qlUk8")</f>
        <v>https://t.co/1vWD0qlUk8</v>
      </c>
      <c r="AX276" s="76" t="b">
        <v>0</v>
      </c>
      <c r="AY276" s="76"/>
      <c r="AZ276" s="76"/>
      <c r="BA276" s="76" t="b">
        <v>0</v>
      </c>
      <c r="BB276" s="76" t="b">
        <v>0</v>
      </c>
      <c r="BC276" s="76" t="b">
        <v>0</v>
      </c>
      <c r="BD276" s="76" t="b">
        <v>0</v>
      </c>
      <c r="BE276" s="76" t="b">
        <v>1</v>
      </c>
      <c r="BF276" s="76" t="b">
        <v>0</v>
      </c>
      <c r="BG276" s="76" t="b">
        <v>0</v>
      </c>
      <c r="BH276" s="83" t="str">
        <f>HYPERLINK("https://pbs.twimg.com/profile_banners/55021181/1645797884")</f>
        <v>https://pbs.twimg.com/profile_banners/55021181/1645797884</v>
      </c>
      <c r="BI276" s="76"/>
      <c r="BJ276" s="76" t="s">
        <v>6360</v>
      </c>
      <c r="BK276" s="76" t="b">
        <v>0</v>
      </c>
      <c r="BL276" s="76"/>
      <c r="BM276" s="76" t="s">
        <v>66</v>
      </c>
      <c r="BN276" s="76" t="s">
        <v>6362</v>
      </c>
      <c r="BO276" s="83" t="str">
        <f>HYPERLINK("https://twitter.com/mdmcontabil")</f>
        <v>https://twitter.com/mdmcontabil</v>
      </c>
      <c r="BP276" s="2"/>
    </row>
    <row r="277" spans="1:68" x14ac:dyDescent="0.25">
      <c r="A277" s="62" t="s">
        <v>478</v>
      </c>
      <c r="B277" s="63"/>
      <c r="C277" s="63"/>
      <c r="D277" s="64"/>
      <c r="E277" s="66"/>
      <c r="F277" s="102" t="str">
        <f>HYPERLINK("https://pbs.twimg.com/profile_images/1698681652585656320/miaH77I7_normal.jpg")</f>
        <v>https://pbs.twimg.com/profile_images/1698681652585656320/miaH77I7_normal.jpg</v>
      </c>
      <c r="G277" s="63"/>
      <c r="H277" s="67"/>
      <c r="I277" s="68"/>
      <c r="J277" s="68"/>
      <c r="K277" s="67" t="s">
        <v>6636</v>
      </c>
      <c r="L277" s="71"/>
      <c r="M277" s="72"/>
      <c r="N277" s="72"/>
      <c r="O277" s="73"/>
      <c r="P277" s="74"/>
      <c r="Q277" s="74"/>
      <c r="R277" s="86"/>
      <c r="S277" s="86"/>
      <c r="T277" s="86"/>
      <c r="U277" s="86"/>
      <c r="V277" s="48"/>
      <c r="W277" s="48"/>
      <c r="X277" s="48"/>
      <c r="Y277" s="48"/>
      <c r="Z277" s="47"/>
      <c r="AA277" s="69">
        <v>277</v>
      </c>
      <c r="AB277" s="69"/>
      <c r="AC277" s="70"/>
      <c r="AD277" s="76" t="s">
        <v>5596</v>
      </c>
      <c r="AE277" s="81" t="s">
        <v>5722</v>
      </c>
      <c r="AF277" s="76">
        <v>3406</v>
      </c>
      <c r="AG277" s="76">
        <v>3</v>
      </c>
      <c r="AH277" s="76">
        <v>5825</v>
      </c>
      <c r="AI277" s="76">
        <v>19</v>
      </c>
      <c r="AJ277" s="76">
        <v>311</v>
      </c>
      <c r="AK277" s="76">
        <v>1721</v>
      </c>
      <c r="AL277" s="76" t="b">
        <v>0</v>
      </c>
      <c r="AM277" s="78">
        <v>39992.734710648147</v>
      </c>
      <c r="AN277" s="76" t="s">
        <v>5835</v>
      </c>
      <c r="AO277" s="76" t="s">
        <v>6105</v>
      </c>
      <c r="AP277" s="83" t="str">
        <f>HYPERLINK("https://t.co/r3avzj3cAp")</f>
        <v>https://t.co/r3avzj3cAp</v>
      </c>
      <c r="AQ277" s="83" t="str">
        <f>HYPERLINK("http://embra.site/LMEB5N")</f>
        <v>http://embra.site/LMEB5N</v>
      </c>
      <c r="AR277" s="76" t="s">
        <v>6309</v>
      </c>
      <c r="AS277" s="76"/>
      <c r="AT277" s="76"/>
      <c r="AU277" s="76"/>
      <c r="AV277" s="76"/>
      <c r="AW277" s="83" t="str">
        <f>HYPERLINK("https://t.co/r3avzj3cAp")</f>
        <v>https://t.co/r3avzj3cAp</v>
      </c>
      <c r="AX277" s="76" t="b">
        <v>0</v>
      </c>
      <c r="AY277" s="76"/>
      <c r="AZ277" s="76"/>
      <c r="BA277" s="76" t="b">
        <v>1</v>
      </c>
      <c r="BB277" s="76" t="b">
        <v>1</v>
      </c>
      <c r="BC277" s="76" t="b">
        <v>0</v>
      </c>
      <c r="BD277" s="76" t="b">
        <v>0</v>
      </c>
      <c r="BE277" s="76" t="b">
        <v>0</v>
      </c>
      <c r="BF277" s="76" t="b">
        <v>0</v>
      </c>
      <c r="BG277" s="76" t="b">
        <v>0</v>
      </c>
      <c r="BH277" s="83" t="str">
        <f>HYPERLINK("https://pbs.twimg.com/profile_banners/51787459/1693832250")</f>
        <v>https://pbs.twimg.com/profile_banners/51787459/1693832250</v>
      </c>
      <c r="BI277" s="76"/>
      <c r="BJ277" s="76" t="s">
        <v>6360</v>
      </c>
      <c r="BK277" s="76" t="b">
        <v>0</v>
      </c>
      <c r="BL277" s="76"/>
      <c r="BM277" s="76" t="s">
        <v>66</v>
      </c>
      <c r="BN277" s="76" t="s">
        <v>6362</v>
      </c>
      <c r="BO277" s="83" t="str">
        <f>HYPERLINK("https://twitter.com/embracon")</f>
        <v>https://twitter.com/embracon</v>
      </c>
      <c r="BP277" s="2"/>
    </row>
    <row r="278" spans="1:68" x14ac:dyDescent="0.25">
      <c r="A278" s="62" t="s">
        <v>479</v>
      </c>
      <c r="B278" s="63"/>
      <c r="C278" s="63"/>
      <c r="D278" s="64"/>
      <c r="E278" s="66"/>
      <c r="F278" s="102" t="str">
        <f>HYPERLINK("https://pbs.twimg.com/profile_images/1697617809147129856/RtZQmZuG_normal.jpg")</f>
        <v>https://pbs.twimg.com/profile_images/1697617809147129856/RtZQmZuG_normal.jpg</v>
      </c>
      <c r="G278" s="63"/>
      <c r="H278" s="67"/>
      <c r="I278" s="68"/>
      <c r="J278" s="68"/>
      <c r="K278" s="67" t="s">
        <v>6637</v>
      </c>
      <c r="L278" s="71"/>
      <c r="M278" s="72"/>
      <c r="N278" s="72"/>
      <c r="O278" s="73"/>
      <c r="P278" s="74"/>
      <c r="Q278" s="74"/>
      <c r="R278" s="86"/>
      <c r="S278" s="86"/>
      <c r="T278" s="86"/>
      <c r="U278" s="86"/>
      <c r="V278" s="48"/>
      <c r="W278" s="48"/>
      <c r="X278" s="48"/>
      <c r="Y278" s="48"/>
      <c r="Z278" s="47"/>
      <c r="AA278" s="69">
        <v>278</v>
      </c>
      <c r="AB278" s="69"/>
      <c r="AC278" s="70"/>
      <c r="AD278" s="76" t="s">
        <v>5597</v>
      </c>
      <c r="AE278" s="81" t="s">
        <v>5260</v>
      </c>
      <c r="AF278" s="76">
        <v>0</v>
      </c>
      <c r="AG278" s="76">
        <v>2</v>
      </c>
      <c r="AH278" s="76">
        <v>195</v>
      </c>
      <c r="AI278" s="76">
        <v>0</v>
      </c>
      <c r="AJ278" s="76">
        <v>7</v>
      </c>
      <c r="AK278" s="76">
        <v>20</v>
      </c>
      <c r="AL278" s="76" t="b">
        <v>0</v>
      </c>
      <c r="AM278" s="78">
        <v>45170.604166666664</v>
      </c>
      <c r="AN278" s="76"/>
      <c r="AO278" s="76"/>
      <c r="AP278" s="76"/>
      <c r="AQ278" s="76"/>
      <c r="AR278" s="76"/>
      <c r="AS278" s="76"/>
      <c r="AT278" s="76"/>
      <c r="AU278" s="76"/>
      <c r="AV278" s="76"/>
      <c r="AW278" s="76"/>
      <c r="AX278" s="76" t="b">
        <v>0</v>
      </c>
      <c r="AY278" s="76"/>
      <c r="AZ278" s="76"/>
      <c r="BA278" s="76" t="b">
        <v>0</v>
      </c>
      <c r="BB278" s="76" t="b">
        <v>1</v>
      </c>
      <c r="BC278" s="76" t="b">
        <v>1</v>
      </c>
      <c r="BD278" s="76" t="b">
        <v>0</v>
      </c>
      <c r="BE278" s="76" t="b">
        <v>0</v>
      </c>
      <c r="BF278" s="76" t="b">
        <v>0</v>
      </c>
      <c r="BG278" s="76" t="b">
        <v>0</v>
      </c>
      <c r="BH278" s="76"/>
      <c r="BI278" s="76"/>
      <c r="BJ278" s="76" t="s">
        <v>6360</v>
      </c>
      <c r="BK278" s="76" t="b">
        <v>0</v>
      </c>
      <c r="BL278" s="76"/>
      <c r="BM278" s="76" t="s">
        <v>66</v>
      </c>
      <c r="BN278" s="76" t="s">
        <v>6362</v>
      </c>
      <c r="BO278" s="83" t="str">
        <f>HYPERLINK("https://twitter.com/guedesia")</f>
        <v>https://twitter.com/guedesia</v>
      </c>
      <c r="BP278" s="2"/>
    </row>
    <row r="279" spans="1:68" x14ac:dyDescent="0.25">
      <c r="A279" s="62" t="s">
        <v>480</v>
      </c>
      <c r="B279" s="63"/>
      <c r="C279" s="63"/>
      <c r="D279" s="64"/>
      <c r="E279" s="66"/>
      <c r="F279" s="102" t="str">
        <f>HYPERLINK("https://pbs.twimg.com/profile_images/1522270529243295746/TXJmk6A8_normal.jpg")</f>
        <v>https://pbs.twimg.com/profile_images/1522270529243295746/TXJmk6A8_normal.jpg</v>
      </c>
      <c r="G279" s="63"/>
      <c r="H279" s="67"/>
      <c r="I279" s="68"/>
      <c r="J279" s="68"/>
      <c r="K279" s="67" t="s">
        <v>6638</v>
      </c>
      <c r="L279" s="71"/>
      <c r="M279" s="72"/>
      <c r="N279" s="72"/>
      <c r="O279" s="73"/>
      <c r="P279" s="74"/>
      <c r="Q279" s="74"/>
      <c r="R279" s="86"/>
      <c r="S279" s="86"/>
      <c r="T279" s="86"/>
      <c r="U279" s="86"/>
      <c r="V279" s="48"/>
      <c r="W279" s="48"/>
      <c r="X279" s="48"/>
      <c r="Y279" s="48"/>
      <c r="Z279" s="47"/>
      <c r="AA279" s="69">
        <v>279</v>
      </c>
      <c r="AB279" s="69"/>
      <c r="AC279" s="70"/>
      <c r="AD279" s="76" t="s">
        <v>5598</v>
      </c>
      <c r="AE279" s="81" t="s">
        <v>5072</v>
      </c>
      <c r="AF279" s="76">
        <v>129</v>
      </c>
      <c r="AG279" s="76">
        <v>24</v>
      </c>
      <c r="AH279" s="76">
        <v>610</v>
      </c>
      <c r="AI279" s="76">
        <v>0</v>
      </c>
      <c r="AJ279" s="76">
        <v>186</v>
      </c>
      <c r="AK279" s="76">
        <v>75</v>
      </c>
      <c r="AL279" s="76" t="b">
        <v>0</v>
      </c>
      <c r="AM279" s="78">
        <v>44643.617546296293</v>
      </c>
      <c r="AN279" s="76" t="s">
        <v>3410</v>
      </c>
      <c r="AO279" s="76" t="s">
        <v>6106</v>
      </c>
      <c r="AP279" s="83" t="str">
        <f>HYPERLINK("https://t.co/Gk5KjT2Hm9")</f>
        <v>https://t.co/Gk5KjT2Hm9</v>
      </c>
      <c r="AQ279" s="83" t="str">
        <f>HYPERLINK("https://123passei.com.br")</f>
        <v>https://123passei.com.br</v>
      </c>
      <c r="AR279" s="76" t="s">
        <v>6310</v>
      </c>
      <c r="AS279" s="76"/>
      <c r="AT279" s="76"/>
      <c r="AU279" s="76"/>
      <c r="AV279" s="76"/>
      <c r="AW279" s="83" t="str">
        <f>HYPERLINK("https://t.co/Gk5KjT2Hm9")</f>
        <v>https://t.co/Gk5KjT2Hm9</v>
      </c>
      <c r="AX279" s="76" t="b">
        <v>0</v>
      </c>
      <c r="AY279" s="76"/>
      <c r="AZ279" s="76"/>
      <c r="BA279" s="76" t="b">
        <v>0</v>
      </c>
      <c r="BB279" s="76" t="b">
        <v>1</v>
      </c>
      <c r="BC279" s="76" t="b">
        <v>1</v>
      </c>
      <c r="BD279" s="76" t="b">
        <v>0</v>
      </c>
      <c r="BE279" s="76" t="b">
        <v>0</v>
      </c>
      <c r="BF279" s="76" t="b">
        <v>0</v>
      </c>
      <c r="BG279" s="76" t="b">
        <v>0</v>
      </c>
      <c r="BH279" s="83" t="str">
        <f>HYPERLINK("https://pbs.twimg.com/profile_banners/1506639991929196548/1666930069")</f>
        <v>https://pbs.twimg.com/profile_banners/1506639991929196548/1666930069</v>
      </c>
      <c r="BI279" s="76"/>
      <c r="BJ279" s="76" t="s">
        <v>6360</v>
      </c>
      <c r="BK279" s="76" t="b">
        <v>0</v>
      </c>
      <c r="BL279" s="76"/>
      <c r="BM279" s="76" t="s">
        <v>66</v>
      </c>
      <c r="BN279" s="76" t="s">
        <v>6362</v>
      </c>
      <c r="BO279" s="83" t="str">
        <f>HYPERLINK("https://twitter.com/123passei")</f>
        <v>https://twitter.com/123passei</v>
      </c>
      <c r="BP279" s="2"/>
    </row>
    <row r="280" spans="1:68" x14ac:dyDescent="0.25">
      <c r="A280" s="62" t="s">
        <v>481</v>
      </c>
      <c r="B280" s="63"/>
      <c r="C280" s="63"/>
      <c r="D280" s="64"/>
      <c r="E280" s="66"/>
      <c r="F280" s="102" t="str">
        <f>HYPERLINK("https://pbs.twimg.com/profile_images/1677082932316364800/oT-G6BKb_normal.jpg")</f>
        <v>https://pbs.twimg.com/profile_images/1677082932316364800/oT-G6BKb_normal.jpg</v>
      </c>
      <c r="G280" s="63"/>
      <c r="H280" s="67"/>
      <c r="I280" s="68"/>
      <c r="J280" s="68"/>
      <c r="K280" s="67" t="s">
        <v>6639</v>
      </c>
      <c r="L280" s="71"/>
      <c r="M280" s="72"/>
      <c r="N280" s="72"/>
      <c r="O280" s="73"/>
      <c r="P280" s="74"/>
      <c r="Q280" s="74"/>
      <c r="R280" s="86"/>
      <c r="S280" s="86"/>
      <c r="T280" s="86"/>
      <c r="U280" s="86"/>
      <c r="V280" s="48"/>
      <c r="W280" s="48"/>
      <c r="X280" s="48"/>
      <c r="Y280" s="48"/>
      <c r="Z280" s="47"/>
      <c r="AA280" s="69">
        <v>280</v>
      </c>
      <c r="AB280" s="69"/>
      <c r="AC280" s="70"/>
      <c r="AD280" s="76" t="s">
        <v>5599</v>
      </c>
      <c r="AE280" s="81" t="s">
        <v>5261</v>
      </c>
      <c r="AF280" s="76">
        <v>5</v>
      </c>
      <c r="AG280" s="76">
        <v>26</v>
      </c>
      <c r="AH280" s="76">
        <v>64</v>
      </c>
      <c r="AI280" s="76">
        <v>0</v>
      </c>
      <c r="AJ280" s="76">
        <v>60</v>
      </c>
      <c r="AK280" s="76">
        <v>27</v>
      </c>
      <c r="AL280" s="76" t="b">
        <v>0</v>
      </c>
      <c r="AM280" s="78">
        <v>44936.103217592594</v>
      </c>
      <c r="AN280" s="76"/>
      <c r="AO280" s="76" t="s">
        <v>6107</v>
      </c>
      <c r="AP280" s="83" t="str">
        <f>HYPERLINK("https://t.co/XY1hfcvpuV")</f>
        <v>https://t.co/XY1hfcvpuV</v>
      </c>
      <c r="AQ280" s="83" t="str">
        <f>HYPERLINK("https://youtube.com/@investidordequebrada")</f>
        <v>https://youtube.com/@investidordequebrada</v>
      </c>
      <c r="AR280" s="76" t="s">
        <v>6311</v>
      </c>
      <c r="AS280" s="76"/>
      <c r="AT280" s="76"/>
      <c r="AU280" s="76"/>
      <c r="AV280" s="76"/>
      <c r="AW280" s="83" t="str">
        <f>HYPERLINK("https://t.co/XY1hfcvpuV")</f>
        <v>https://t.co/XY1hfcvpuV</v>
      </c>
      <c r="AX280" s="76" t="b">
        <v>0</v>
      </c>
      <c r="AY280" s="76"/>
      <c r="AZ280" s="76"/>
      <c r="BA280" s="76" t="b">
        <v>0</v>
      </c>
      <c r="BB280" s="76" t="b">
        <v>1</v>
      </c>
      <c r="BC280" s="76" t="b">
        <v>1</v>
      </c>
      <c r="BD280" s="76" t="b">
        <v>0</v>
      </c>
      <c r="BE280" s="76" t="b">
        <v>1</v>
      </c>
      <c r="BF280" s="76" t="b">
        <v>0</v>
      </c>
      <c r="BG280" s="76" t="b">
        <v>0</v>
      </c>
      <c r="BH280" s="83" t="str">
        <f>HYPERLINK("https://pbs.twimg.com/profile_banners/1612637173190217728/1690768584")</f>
        <v>https://pbs.twimg.com/profile_banners/1612637173190217728/1690768584</v>
      </c>
      <c r="BI280" s="76"/>
      <c r="BJ280" s="76" t="s">
        <v>6360</v>
      </c>
      <c r="BK280" s="76" t="b">
        <v>0</v>
      </c>
      <c r="BL280" s="76"/>
      <c r="BM280" s="76" t="s">
        <v>66</v>
      </c>
      <c r="BN280" s="76" t="s">
        <v>6362</v>
      </c>
      <c r="BO280" s="83" t="str">
        <f>HYPERLINK("https://twitter.com/ierick_moraess")</f>
        <v>https://twitter.com/ierick_moraess</v>
      </c>
      <c r="BP280" s="2"/>
    </row>
    <row r="281" spans="1:68" x14ac:dyDescent="0.25">
      <c r="A281" s="62" t="s">
        <v>482</v>
      </c>
      <c r="B281" s="63"/>
      <c r="C281" s="63"/>
      <c r="D281" s="64"/>
      <c r="E281" s="66"/>
      <c r="F281" s="102" t="str">
        <f>HYPERLINK("https://pbs.twimg.com/profile_images/1423082110601072644/vrRKlm4v_normal.jpg")</f>
        <v>https://pbs.twimg.com/profile_images/1423082110601072644/vrRKlm4v_normal.jpg</v>
      </c>
      <c r="G281" s="63"/>
      <c r="H281" s="67"/>
      <c r="I281" s="68"/>
      <c r="J281" s="68"/>
      <c r="K281" s="67" t="s">
        <v>6640</v>
      </c>
      <c r="L281" s="71"/>
      <c r="M281" s="72"/>
      <c r="N281" s="72"/>
      <c r="O281" s="73"/>
      <c r="P281" s="74"/>
      <c r="Q281" s="74"/>
      <c r="R281" s="86"/>
      <c r="S281" s="86"/>
      <c r="T281" s="86"/>
      <c r="U281" s="86"/>
      <c r="V281" s="48"/>
      <c r="W281" s="48"/>
      <c r="X281" s="48"/>
      <c r="Y281" s="48"/>
      <c r="Z281" s="47"/>
      <c r="AA281" s="69">
        <v>281</v>
      </c>
      <c r="AB281" s="69"/>
      <c r="AC281" s="70"/>
      <c r="AD281" s="76" t="s">
        <v>5600</v>
      </c>
      <c r="AE281" s="81" t="s">
        <v>5262</v>
      </c>
      <c r="AF281" s="76">
        <v>60</v>
      </c>
      <c r="AG281" s="76">
        <v>10</v>
      </c>
      <c r="AH281" s="76">
        <v>49</v>
      </c>
      <c r="AI281" s="76">
        <v>0</v>
      </c>
      <c r="AJ281" s="76">
        <v>35</v>
      </c>
      <c r="AK281" s="76">
        <v>34</v>
      </c>
      <c r="AL281" s="76" t="b">
        <v>0</v>
      </c>
      <c r="AM281" s="78">
        <v>44394.586215277777</v>
      </c>
      <c r="AN281" s="76" t="s">
        <v>5836</v>
      </c>
      <c r="AO281" s="76" t="s">
        <v>6108</v>
      </c>
      <c r="AP281" s="83" t="str">
        <f>HYPERLINK("https://t.co/eoAYbX6BBt")</f>
        <v>https://t.co/eoAYbX6BBt</v>
      </c>
      <c r="AQ281" s="83" t="str">
        <f>HYPERLINK("https://www.crediconseg.com")</f>
        <v>https://www.crediconseg.com</v>
      </c>
      <c r="AR281" s="76" t="s">
        <v>6312</v>
      </c>
      <c r="AS281" s="76"/>
      <c r="AT281" s="76"/>
      <c r="AU281" s="76"/>
      <c r="AV281" s="76"/>
      <c r="AW281" s="83" t="str">
        <f>HYPERLINK("https://t.co/eoAYbX6BBt")</f>
        <v>https://t.co/eoAYbX6BBt</v>
      </c>
      <c r="AX281" s="76" t="b">
        <v>0</v>
      </c>
      <c r="AY281" s="76"/>
      <c r="AZ281" s="76"/>
      <c r="BA281" s="76" t="b">
        <v>0</v>
      </c>
      <c r="BB281" s="76" t="b">
        <v>1</v>
      </c>
      <c r="BC281" s="76" t="b">
        <v>1</v>
      </c>
      <c r="BD281" s="76" t="b">
        <v>0</v>
      </c>
      <c r="BE281" s="76" t="b">
        <v>0</v>
      </c>
      <c r="BF281" s="76" t="b">
        <v>0</v>
      </c>
      <c r="BG281" s="76" t="b">
        <v>0</v>
      </c>
      <c r="BH281" s="83" t="str">
        <f>HYPERLINK("https://pbs.twimg.com/profile_banners/1416398013468233730/1628124322")</f>
        <v>https://pbs.twimg.com/profile_banners/1416398013468233730/1628124322</v>
      </c>
      <c r="BI281" s="76"/>
      <c r="BJ281" s="76" t="s">
        <v>6360</v>
      </c>
      <c r="BK281" s="76" t="b">
        <v>0</v>
      </c>
      <c r="BL281" s="76"/>
      <c r="BM281" s="76" t="s">
        <v>66</v>
      </c>
      <c r="BN281" s="76" t="s">
        <v>6362</v>
      </c>
      <c r="BO281" s="83" t="str">
        <f>HYPERLINK("https://twitter.com/crediconsegbr")</f>
        <v>https://twitter.com/crediconsegbr</v>
      </c>
      <c r="BP281" s="2"/>
    </row>
    <row r="282" spans="1:68" x14ac:dyDescent="0.25">
      <c r="A282" s="62" t="s">
        <v>483</v>
      </c>
      <c r="B282" s="63"/>
      <c r="C282" s="63"/>
      <c r="D282" s="64"/>
      <c r="E282" s="66"/>
      <c r="F282" s="102" t="str">
        <f>HYPERLINK("https://pbs.twimg.com/profile_images/1414576179131072512/vS1i_s2K_normal.jpg")</f>
        <v>https://pbs.twimg.com/profile_images/1414576179131072512/vS1i_s2K_normal.jpg</v>
      </c>
      <c r="G282" s="63"/>
      <c r="H282" s="67"/>
      <c r="I282" s="68"/>
      <c r="J282" s="68"/>
      <c r="K282" s="67" t="s">
        <v>6641</v>
      </c>
      <c r="L282" s="71"/>
      <c r="M282" s="72"/>
      <c r="N282" s="72"/>
      <c r="O282" s="73"/>
      <c r="P282" s="74"/>
      <c r="Q282" s="74"/>
      <c r="R282" s="86"/>
      <c r="S282" s="86"/>
      <c r="T282" s="86"/>
      <c r="U282" s="86"/>
      <c r="V282" s="48"/>
      <c r="W282" s="48"/>
      <c r="X282" s="48"/>
      <c r="Y282" s="48"/>
      <c r="Z282" s="47"/>
      <c r="AA282" s="69">
        <v>282</v>
      </c>
      <c r="AB282" s="69"/>
      <c r="AC282" s="70"/>
      <c r="AD282" s="76" t="s">
        <v>5601</v>
      </c>
      <c r="AE282" s="81" t="s">
        <v>5723</v>
      </c>
      <c r="AF282" s="76">
        <v>1391</v>
      </c>
      <c r="AG282" s="76">
        <v>249</v>
      </c>
      <c r="AH282" s="76">
        <v>1957</v>
      </c>
      <c r="AI282" s="76">
        <v>13</v>
      </c>
      <c r="AJ282" s="76">
        <v>76</v>
      </c>
      <c r="AK282" s="76">
        <v>1347</v>
      </c>
      <c r="AL282" s="76" t="b">
        <v>0</v>
      </c>
      <c r="AM282" s="78">
        <v>40216.743333333332</v>
      </c>
      <c r="AN282" s="76" t="s">
        <v>5837</v>
      </c>
      <c r="AO282" s="76" t="s">
        <v>6109</v>
      </c>
      <c r="AP282" s="83" t="str">
        <f>HYPERLINK("https://t.co/7wAURk55tK")</f>
        <v>https://t.co/7wAURk55tK</v>
      </c>
      <c r="AQ282" s="83" t="str">
        <f>HYPERLINK("https://dividazero.com.br/")</f>
        <v>https://dividazero.com.br/</v>
      </c>
      <c r="AR282" s="76" t="s">
        <v>6313</v>
      </c>
      <c r="AS282" s="76"/>
      <c r="AT282" s="76"/>
      <c r="AU282" s="76"/>
      <c r="AV282" s="76"/>
      <c r="AW282" s="83" t="str">
        <f>HYPERLINK("https://t.co/7wAURk55tK")</f>
        <v>https://t.co/7wAURk55tK</v>
      </c>
      <c r="AX282" s="76" t="b">
        <v>0</v>
      </c>
      <c r="AY282" s="76"/>
      <c r="AZ282" s="76"/>
      <c r="BA282" s="76" t="b">
        <v>0</v>
      </c>
      <c r="BB282" s="76" t="b">
        <v>1</v>
      </c>
      <c r="BC282" s="76" t="b">
        <v>0</v>
      </c>
      <c r="BD282" s="76" t="b">
        <v>0</v>
      </c>
      <c r="BE282" s="76" t="b">
        <v>0</v>
      </c>
      <c r="BF282" s="76" t="b">
        <v>0</v>
      </c>
      <c r="BG282" s="76" t="b">
        <v>0</v>
      </c>
      <c r="BH282" s="76"/>
      <c r="BI282" s="76"/>
      <c r="BJ282" s="76" t="s">
        <v>6360</v>
      </c>
      <c r="BK282" s="76" t="b">
        <v>0</v>
      </c>
      <c r="BL282" s="76"/>
      <c r="BM282" s="76" t="s">
        <v>66</v>
      </c>
      <c r="BN282" s="76" t="s">
        <v>6362</v>
      </c>
      <c r="BO282" s="83" t="str">
        <f>HYPERLINK("https://twitter.com/dividazero")</f>
        <v>https://twitter.com/dividazero</v>
      </c>
      <c r="BP282" s="2"/>
    </row>
    <row r="283" spans="1:68" x14ac:dyDescent="0.25">
      <c r="A283" s="62" t="s">
        <v>484</v>
      </c>
      <c r="B283" s="63"/>
      <c r="C283" s="63"/>
      <c r="D283" s="64"/>
      <c r="E283" s="66"/>
      <c r="F283" s="102" t="str">
        <f>HYPERLINK("https://pbs.twimg.com/profile_images/1157457344336465920/rNRUUP4S_normal.jpg")</f>
        <v>https://pbs.twimg.com/profile_images/1157457344336465920/rNRUUP4S_normal.jpg</v>
      </c>
      <c r="G283" s="63"/>
      <c r="H283" s="67"/>
      <c r="I283" s="68"/>
      <c r="J283" s="68"/>
      <c r="K283" s="67" t="s">
        <v>6642</v>
      </c>
      <c r="L283" s="71"/>
      <c r="M283" s="72"/>
      <c r="N283" s="72"/>
      <c r="O283" s="73"/>
      <c r="P283" s="74"/>
      <c r="Q283" s="74"/>
      <c r="R283" s="86"/>
      <c r="S283" s="86"/>
      <c r="T283" s="86"/>
      <c r="U283" s="86"/>
      <c r="V283" s="48"/>
      <c r="W283" s="48"/>
      <c r="X283" s="48"/>
      <c r="Y283" s="48"/>
      <c r="Z283" s="47"/>
      <c r="AA283" s="69">
        <v>283</v>
      </c>
      <c r="AB283" s="69"/>
      <c r="AC283" s="70"/>
      <c r="AD283" s="76" t="s">
        <v>5602</v>
      </c>
      <c r="AE283" s="81" t="s">
        <v>5724</v>
      </c>
      <c r="AF283" s="76">
        <v>116</v>
      </c>
      <c r="AG283" s="76">
        <v>356</v>
      </c>
      <c r="AH283" s="76">
        <v>667</v>
      </c>
      <c r="AI283" s="76">
        <v>2</v>
      </c>
      <c r="AJ283" s="76">
        <v>8674</v>
      </c>
      <c r="AK283" s="76">
        <v>62</v>
      </c>
      <c r="AL283" s="76" t="b">
        <v>0</v>
      </c>
      <c r="AM283" s="78">
        <v>40492.387997685182</v>
      </c>
      <c r="AN283" s="76" t="s">
        <v>3415</v>
      </c>
      <c r="AO283" s="76" t="s">
        <v>6110</v>
      </c>
      <c r="AP283" s="76"/>
      <c r="AQ283" s="76"/>
      <c r="AR283" s="76"/>
      <c r="AS283" s="76"/>
      <c r="AT283" s="76"/>
      <c r="AU283" s="76"/>
      <c r="AV283" s="76">
        <v>1.3444639258663501E+18</v>
      </c>
      <c r="AW283" s="76"/>
      <c r="AX283" s="76" t="b">
        <v>0</v>
      </c>
      <c r="AY283" s="76"/>
      <c r="AZ283" s="76"/>
      <c r="BA283" s="76" t="b">
        <v>0</v>
      </c>
      <c r="BB283" s="76" t="b">
        <v>1</v>
      </c>
      <c r="BC283" s="76" t="b">
        <v>1</v>
      </c>
      <c r="BD283" s="76" t="b">
        <v>0</v>
      </c>
      <c r="BE283" s="76" t="b">
        <v>1</v>
      </c>
      <c r="BF283" s="76" t="b">
        <v>0</v>
      </c>
      <c r="BG283" s="76" t="b">
        <v>0</v>
      </c>
      <c r="BH283" s="83" t="str">
        <f>HYPERLINK("https://pbs.twimg.com/profile_banners/213998056/1560509852")</f>
        <v>https://pbs.twimg.com/profile_banners/213998056/1560509852</v>
      </c>
      <c r="BI283" s="76"/>
      <c r="BJ283" s="76" t="s">
        <v>6360</v>
      </c>
      <c r="BK283" s="76" t="b">
        <v>0</v>
      </c>
      <c r="BL283" s="76"/>
      <c r="BM283" s="76" t="s">
        <v>66</v>
      </c>
      <c r="BN283" s="76" t="s">
        <v>6362</v>
      </c>
      <c r="BO283" s="83" t="str">
        <f>HYPERLINK("https://twitter.com/adrianadelucca")</f>
        <v>https://twitter.com/adrianadelucca</v>
      </c>
      <c r="BP283" s="2"/>
    </row>
    <row r="284" spans="1:68" x14ac:dyDescent="0.25">
      <c r="A284" s="62" t="s">
        <v>534</v>
      </c>
      <c r="B284" s="63"/>
      <c r="C284" s="63"/>
      <c r="D284" s="64"/>
      <c r="E284" s="66"/>
      <c r="F284" s="102" t="str">
        <f>HYPERLINK("https://pbs.twimg.com/profile_images/808404276158545920/_IIpS4I2_normal.jpg")</f>
        <v>https://pbs.twimg.com/profile_images/808404276158545920/_IIpS4I2_normal.jpg</v>
      </c>
      <c r="G284" s="63"/>
      <c r="H284" s="67"/>
      <c r="I284" s="68"/>
      <c r="J284" s="68"/>
      <c r="K284" s="67" t="s">
        <v>6643</v>
      </c>
      <c r="L284" s="71"/>
      <c r="M284" s="72"/>
      <c r="N284" s="72"/>
      <c r="O284" s="73"/>
      <c r="P284" s="74"/>
      <c r="Q284" s="74"/>
      <c r="R284" s="86"/>
      <c r="S284" s="86"/>
      <c r="T284" s="86"/>
      <c r="U284" s="86"/>
      <c r="V284" s="48"/>
      <c r="W284" s="48"/>
      <c r="X284" s="48"/>
      <c r="Y284" s="48"/>
      <c r="Z284" s="47"/>
      <c r="AA284" s="69">
        <v>284</v>
      </c>
      <c r="AB284" s="69"/>
      <c r="AC284" s="70"/>
      <c r="AD284" s="76" t="s">
        <v>5603</v>
      </c>
      <c r="AE284" s="81" t="s">
        <v>5725</v>
      </c>
      <c r="AF284" s="76">
        <v>2615551</v>
      </c>
      <c r="AG284" s="76">
        <v>147</v>
      </c>
      <c r="AH284" s="76">
        <v>220073</v>
      </c>
      <c r="AI284" s="76">
        <v>8498</v>
      </c>
      <c r="AJ284" s="76">
        <v>0</v>
      </c>
      <c r="AK284" s="76">
        <v>3345</v>
      </c>
      <c r="AL284" s="76" t="b">
        <v>0</v>
      </c>
      <c r="AM284" s="78">
        <v>39920.80296296296</v>
      </c>
      <c r="AN284" s="76" t="s">
        <v>3410</v>
      </c>
      <c r="AO284" s="76" t="s">
        <v>6111</v>
      </c>
      <c r="AP284" s="83" t="str">
        <f>HYPERLINK("https://t.co/g6RlNmCczX")</f>
        <v>https://t.co/g6RlNmCczX</v>
      </c>
      <c r="AQ284" s="83" t="str">
        <f>HYPERLINK("http://valor.globo.com")</f>
        <v>http://valor.globo.com</v>
      </c>
      <c r="AR284" s="76" t="s">
        <v>6314</v>
      </c>
      <c r="AS284" s="76"/>
      <c r="AT284" s="76"/>
      <c r="AU284" s="76"/>
      <c r="AV284" s="76"/>
      <c r="AW284" s="83" t="str">
        <f>HYPERLINK("https://t.co/g6RlNmCczX")</f>
        <v>https://t.co/g6RlNmCczX</v>
      </c>
      <c r="AX284" s="76" t="b">
        <v>1</v>
      </c>
      <c r="AY284" s="76"/>
      <c r="AZ284" s="76"/>
      <c r="BA284" s="76" t="b">
        <v>0</v>
      </c>
      <c r="BB284" s="76" t="b">
        <v>1</v>
      </c>
      <c r="BC284" s="76" t="b">
        <v>0</v>
      </c>
      <c r="BD284" s="76" t="b">
        <v>0</v>
      </c>
      <c r="BE284" s="76" t="b">
        <v>1</v>
      </c>
      <c r="BF284" s="76" t="b">
        <v>0</v>
      </c>
      <c r="BG284" s="76" t="b">
        <v>0</v>
      </c>
      <c r="BH284" s="83" t="str">
        <f>HYPERLINK("https://pbs.twimg.com/profile_banners/32529120/1476886249")</f>
        <v>https://pbs.twimg.com/profile_banners/32529120/1476886249</v>
      </c>
      <c r="BI284" s="76"/>
      <c r="BJ284" s="76" t="s">
        <v>6360</v>
      </c>
      <c r="BK284" s="76" t="b">
        <v>0</v>
      </c>
      <c r="BL284" s="76"/>
      <c r="BM284" s="76" t="s">
        <v>65</v>
      </c>
      <c r="BN284" s="76" t="s">
        <v>6362</v>
      </c>
      <c r="BO284" s="83" t="str">
        <f>HYPERLINK("https://twitter.com/valoreconomico")</f>
        <v>https://twitter.com/valoreconomico</v>
      </c>
      <c r="BP284" s="2"/>
    </row>
    <row r="285" spans="1:68" x14ac:dyDescent="0.25">
      <c r="A285" s="62" t="s">
        <v>485</v>
      </c>
      <c r="B285" s="63"/>
      <c r="C285" s="63"/>
      <c r="D285" s="64"/>
      <c r="E285" s="66"/>
      <c r="F285" s="102" t="str">
        <f>HYPERLINK("https://pbs.twimg.com/profile_images/1697662376206557184/sGtI7yO__normal.jpg")</f>
        <v>https://pbs.twimg.com/profile_images/1697662376206557184/sGtI7yO__normal.jpg</v>
      </c>
      <c r="G285" s="63"/>
      <c r="H285" s="67"/>
      <c r="I285" s="68"/>
      <c r="J285" s="68"/>
      <c r="K285" s="67" t="s">
        <v>6644</v>
      </c>
      <c r="L285" s="71"/>
      <c r="M285" s="72"/>
      <c r="N285" s="72"/>
      <c r="O285" s="73"/>
      <c r="P285" s="74"/>
      <c r="Q285" s="74"/>
      <c r="R285" s="86"/>
      <c r="S285" s="86"/>
      <c r="T285" s="86"/>
      <c r="U285" s="86"/>
      <c r="V285" s="48"/>
      <c r="W285" s="48"/>
      <c r="X285" s="48"/>
      <c r="Y285" s="48"/>
      <c r="Z285" s="47"/>
      <c r="AA285" s="69">
        <v>285</v>
      </c>
      <c r="AB285" s="69"/>
      <c r="AC285" s="70"/>
      <c r="AD285" s="76" t="s">
        <v>5604</v>
      </c>
      <c r="AE285" s="81" t="s">
        <v>5263</v>
      </c>
      <c r="AF285" s="76">
        <v>2</v>
      </c>
      <c r="AG285" s="76">
        <v>11</v>
      </c>
      <c r="AH285" s="76">
        <v>56</v>
      </c>
      <c r="AI285" s="76">
        <v>0</v>
      </c>
      <c r="AJ285" s="76">
        <v>12</v>
      </c>
      <c r="AK285" s="76">
        <v>56</v>
      </c>
      <c r="AL285" s="76" t="b">
        <v>0</v>
      </c>
      <c r="AM285" s="78">
        <v>45082.82603009259</v>
      </c>
      <c r="AN285" s="76" t="s">
        <v>5838</v>
      </c>
      <c r="AO285" s="76" t="s">
        <v>6112</v>
      </c>
      <c r="AP285" s="83" t="str">
        <f>HYPERLINK("https://t.co/dWg8lvG9T2")</f>
        <v>https://t.co/dWg8lvG9T2</v>
      </c>
      <c r="AQ285" s="83" t="str">
        <f>HYPERLINK("http://fluir.ibgtaubate.com.br")</f>
        <v>http://fluir.ibgtaubate.com.br</v>
      </c>
      <c r="AR285" s="76" t="s">
        <v>6315</v>
      </c>
      <c r="AS285" s="76"/>
      <c r="AT285" s="76"/>
      <c r="AU285" s="76"/>
      <c r="AV285" s="76"/>
      <c r="AW285" s="83" t="str">
        <f>HYPERLINK("https://t.co/dWg8lvG9T2")</f>
        <v>https://t.co/dWg8lvG9T2</v>
      </c>
      <c r="AX285" s="76" t="b">
        <v>0</v>
      </c>
      <c r="AY285" s="76"/>
      <c r="AZ285" s="76"/>
      <c r="BA285" s="76" t="b">
        <v>0</v>
      </c>
      <c r="BB285" s="76" t="b">
        <v>1</v>
      </c>
      <c r="BC285" s="76" t="b">
        <v>1</v>
      </c>
      <c r="BD285" s="76" t="b">
        <v>0</v>
      </c>
      <c r="BE285" s="76" t="b">
        <v>0</v>
      </c>
      <c r="BF285" s="76" t="b">
        <v>0</v>
      </c>
      <c r="BG285" s="76" t="b">
        <v>0</v>
      </c>
      <c r="BH285" s="83" t="str">
        <f>HYPERLINK("https://pbs.twimg.com/profile_banners/1665807949309018115/1693589227")</f>
        <v>https://pbs.twimg.com/profile_banners/1665807949309018115/1693589227</v>
      </c>
      <c r="BI285" s="76"/>
      <c r="BJ285" s="76" t="s">
        <v>6360</v>
      </c>
      <c r="BK285" s="76" t="b">
        <v>0</v>
      </c>
      <c r="BL285" s="76"/>
      <c r="BM285" s="76" t="s">
        <v>66</v>
      </c>
      <c r="BN285" s="76" t="s">
        <v>6362</v>
      </c>
      <c r="BO285" s="83" t="str">
        <f>HYPERLINK("https://twitter.com/fluir_ibg")</f>
        <v>https://twitter.com/fluir_ibg</v>
      </c>
      <c r="BP285" s="2"/>
    </row>
    <row r="286" spans="1:68" x14ac:dyDescent="0.25">
      <c r="A286" s="62" t="s">
        <v>486</v>
      </c>
      <c r="B286" s="63"/>
      <c r="C286" s="63"/>
      <c r="D286" s="64"/>
      <c r="E286" s="66"/>
      <c r="F286" s="102" t="str">
        <f>HYPERLINK("https://pbs.twimg.com/profile_images/1625481051442147328/mgalMCqx_normal.jpg")</f>
        <v>https://pbs.twimg.com/profile_images/1625481051442147328/mgalMCqx_normal.jpg</v>
      </c>
      <c r="G286" s="63"/>
      <c r="H286" s="67"/>
      <c r="I286" s="68"/>
      <c r="J286" s="68"/>
      <c r="K286" s="67" t="s">
        <v>6645</v>
      </c>
      <c r="L286" s="71"/>
      <c r="M286" s="72"/>
      <c r="N286" s="72"/>
      <c r="O286" s="73"/>
      <c r="P286" s="74"/>
      <c r="Q286" s="74"/>
      <c r="R286" s="86"/>
      <c r="S286" s="86"/>
      <c r="T286" s="86"/>
      <c r="U286" s="86"/>
      <c r="V286" s="48"/>
      <c r="W286" s="48"/>
      <c r="X286" s="48"/>
      <c r="Y286" s="48"/>
      <c r="Z286" s="47"/>
      <c r="AA286" s="69">
        <v>286</v>
      </c>
      <c r="AB286" s="69"/>
      <c r="AC286" s="70"/>
      <c r="AD286" s="76" t="s">
        <v>5605</v>
      </c>
      <c r="AE286" s="81" t="s">
        <v>5264</v>
      </c>
      <c r="AF286" s="76">
        <v>0</v>
      </c>
      <c r="AG286" s="76">
        <v>24</v>
      </c>
      <c r="AH286" s="76">
        <v>23</v>
      </c>
      <c r="AI286" s="76">
        <v>0</v>
      </c>
      <c r="AJ286" s="76">
        <v>50</v>
      </c>
      <c r="AK286" s="76">
        <v>1</v>
      </c>
      <c r="AL286" s="76" t="b">
        <v>0</v>
      </c>
      <c r="AM286" s="78">
        <v>44845.071145833332</v>
      </c>
      <c r="AN286" s="76" t="s">
        <v>3420</v>
      </c>
      <c r="AO286" s="76" t="s">
        <v>6113</v>
      </c>
      <c r="AP286" s="76"/>
      <c r="AQ286" s="76"/>
      <c r="AR286" s="76"/>
      <c r="AS286" s="76"/>
      <c r="AT286" s="76"/>
      <c r="AU286" s="76"/>
      <c r="AV286" s="76"/>
      <c r="AW286" s="76"/>
      <c r="AX286" s="76" t="b">
        <v>0</v>
      </c>
      <c r="AY286" s="76"/>
      <c r="AZ286" s="76"/>
      <c r="BA286" s="76" t="b">
        <v>0</v>
      </c>
      <c r="BB286" s="76" t="b">
        <v>1</v>
      </c>
      <c r="BC286" s="76" t="b">
        <v>1</v>
      </c>
      <c r="BD286" s="76" t="b">
        <v>0</v>
      </c>
      <c r="BE286" s="76" t="b">
        <v>0</v>
      </c>
      <c r="BF286" s="76" t="b">
        <v>0</v>
      </c>
      <c r="BG286" s="76" t="b">
        <v>0</v>
      </c>
      <c r="BH286" s="83" t="str">
        <f>HYPERLINK("https://pbs.twimg.com/profile_banners/1579648477046374400/1665454311")</f>
        <v>https://pbs.twimg.com/profile_banners/1579648477046374400/1665454311</v>
      </c>
      <c r="BI286" s="76"/>
      <c r="BJ286" s="76" t="s">
        <v>6360</v>
      </c>
      <c r="BK286" s="76" t="b">
        <v>0</v>
      </c>
      <c r="BL286" s="76"/>
      <c r="BM286" s="76" t="s">
        <v>66</v>
      </c>
      <c r="BN286" s="76" t="s">
        <v>6362</v>
      </c>
      <c r="BO286" s="83" t="str">
        <f>HYPERLINK("https://twitter.com/casalconsorcio")</f>
        <v>https://twitter.com/casalconsorcio</v>
      </c>
      <c r="BP286" s="2"/>
    </row>
    <row r="287" spans="1:68" x14ac:dyDescent="0.25">
      <c r="A287" s="62" t="s">
        <v>487</v>
      </c>
      <c r="B287" s="63"/>
      <c r="C287" s="63"/>
      <c r="D287" s="64"/>
      <c r="E287" s="66"/>
      <c r="F287" s="102" t="str">
        <f>HYPERLINK("https://pbs.twimg.com/profile_images/1365830215365234688/8T5EUThb_normal.jpg")</f>
        <v>https://pbs.twimg.com/profile_images/1365830215365234688/8T5EUThb_normal.jpg</v>
      </c>
      <c r="G287" s="63"/>
      <c r="H287" s="67"/>
      <c r="I287" s="68"/>
      <c r="J287" s="68"/>
      <c r="K287" s="67" t="s">
        <v>6646</v>
      </c>
      <c r="L287" s="71"/>
      <c r="M287" s="72"/>
      <c r="N287" s="72"/>
      <c r="O287" s="73"/>
      <c r="P287" s="74"/>
      <c r="Q287" s="74"/>
      <c r="R287" s="86"/>
      <c r="S287" s="86"/>
      <c r="T287" s="86"/>
      <c r="U287" s="86"/>
      <c r="V287" s="48"/>
      <c r="W287" s="48"/>
      <c r="X287" s="48"/>
      <c r="Y287" s="48"/>
      <c r="Z287" s="47"/>
      <c r="AA287" s="69">
        <v>287</v>
      </c>
      <c r="AB287" s="69"/>
      <c r="AC287" s="70"/>
      <c r="AD287" s="76" t="s">
        <v>5606</v>
      </c>
      <c r="AE287" s="81" t="s">
        <v>5726</v>
      </c>
      <c r="AF287" s="76">
        <v>1534</v>
      </c>
      <c r="AG287" s="76">
        <v>1021</v>
      </c>
      <c r="AH287" s="76">
        <v>9930</v>
      </c>
      <c r="AI287" s="76">
        <v>9</v>
      </c>
      <c r="AJ287" s="76">
        <v>8878</v>
      </c>
      <c r="AK287" s="76">
        <v>4014</v>
      </c>
      <c r="AL287" s="76" t="b">
        <v>0</v>
      </c>
      <c r="AM287" s="78">
        <v>42206.937361111108</v>
      </c>
      <c r="AN287" s="76" t="s">
        <v>5839</v>
      </c>
      <c r="AO287" s="76" t="s">
        <v>6114</v>
      </c>
      <c r="AP287" s="83" t="str">
        <f>HYPERLINK("https://t.co/9jBdM6Nv0K")</f>
        <v>https://t.co/9jBdM6Nv0K</v>
      </c>
      <c r="AQ287" s="83" t="str">
        <f>HYPERLINK("http://www.radio54.com")</f>
        <v>http://www.radio54.com</v>
      </c>
      <c r="AR287" s="76" t="s">
        <v>6316</v>
      </c>
      <c r="AS287" s="83" t="str">
        <f>HYPERLINK("https://t.co/ca5tl54QXw")</f>
        <v>https://t.co/ca5tl54QXw</v>
      </c>
      <c r="AT287" s="83" t="str">
        <f>HYPERLINK("http://radio54.com")</f>
        <v>http://radio54.com</v>
      </c>
      <c r="AU287" s="76" t="s">
        <v>6316</v>
      </c>
      <c r="AV287" s="76"/>
      <c r="AW287" s="83" t="str">
        <f>HYPERLINK("https://t.co/9jBdM6Nv0K")</f>
        <v>https://t.co/9jBdM6Nv0K</v>
      </c>
      <c r="AX287" s="76" t="b">
        <v>0</v>
      </c>
      <c r="AY287" s="76"/>
      <c r="AZ287" s="76"/>
      <c r="BA287" s="76" t="b">
        <v>0</v>
      </c>
      <c r="BB287" s="76" t="b">
        <v>1</v>
      </c>
      <c r="BC287" s="76" t="b">
        <v>0</v>
      </c>
      <c r="BD287" s="76" t="b">
        <v>0</v>
      </c>
      <c r="BE287" s="76" t="b">
        <v>0</v>
      </c>
      <c r="BF287" s="76" t="b">
        <v>0</v>
      </c>
      <c r="BG287" s="76" t="b">
        <v>0</v>
      </c>
      <c r="BH287" s="83" t="str">
        <f>HYPERLINK("https://pbs.twimg.com/profile_banners/3386454485/1690643652")</f>
        <v>https://pbs.twimg.com/profile_banners/3386454485/1690643652</v>
      </c>
      <c r="BI287" s="76"/>
      <c r="BJ287" s="76" t="s">
        <v>6360</v>
      </c>
      <c r="BK287" s="76" t="b">
        <v>0</v>
      </c>
      <c r="BL287" s="76"/>
      <c r="BM287" s="76" t="s">
        <v>66</v>
      </c>
      <c r="BN287" s="76" t="s">
        <v>6362</v>
      </c>
      <c r="BO287" s="83" t="str">
        <f>HYPERLINK("https://twitter.com/radio54online")</f>
        <v>https://twitter.com/radio54online</v>
      </c>
      <c r="BP287" s="2"/>
    </row>
    <row r="288" spans="1:68" x14ac:dyDescent="0.25">
      <c r="A288" s="62" t="s">
        <v>489</v>
      </c>
      <c r="B288" s="63"/>
      <c r="C288" s="63"/>
      <c r="D288" s="64"/>
      <c r="E288" s="66"/>
      <c r="F288" s="102" t="str">
        <f>HYPERLINK("https://pbs.twimg.com/profile_images/1704901054918246400/bfda1RM7_normal.jpg")</f>
        <v>https://pbs.twimg.com/profile_images/1704901054918246400/bfda1RM7_normal.jpg</v>
      </c>
      <c r="G288" s="63"/>
      <c r="H288" s="67"/>
      <c r="I288" s="68"/>
      <c r="J288" s="68"/>
      <c r="K288" s="67" t="s">
        <v>6647</v>
      </c>
      <c r="L288" s="71"/>
      <c r="M288" s="72"/>
      <c r="N288" s="72"/>
      <c r="O288" s="73"/>
      <c r="P288" s="74"/>
      <c r="Q288" s="74"/>
      <c r="R288" s="86"/>
      <c r="S288" s="86"/>
      <c r="T288" s="86"/>
      <c r="U288" s="86"/>
      <c r="V288" s="48"/>
      <c r="W288" s="48"/>
      <c r="X288" s="48"/>
      <c r="Y288" s="48"/>
      <c r="Z288" s="47"/>
      <c r="AA288" s="69">
        <v>288</v>
      </c>
      <c r="AB288" s="69"/>
      <c r="AC288" s="70"/>
      <c r="AD288" s="76" t="s">
        <v>5607</v>
      </c>
      <c r="AE288" s="81" t="s">
        <v>5266</v>
      </c>
      <c r="AF288" s="76">
        <v>20</v>
      </c>
      <c r="AG288" s="76">
        <v>25</v>
      </c>
      <c r="AH288" s="76">
        <v>9</v>
      </c>
      <c r="AI288" s="76">
        <v>0</v>
      </c>
      <c r="AJ288" s="76">
        <v>193</v>
      </c>
      <c r="AK288" s="76">
        <v>1</v>
      </c>
      <c r="AL288" s="76" t="b">
        <v>0</v>
      </c>
      <c r="AM288" s="78">
        <v>42514.858229166668</v>
      </c>
      <c r="AN288" s="76"/>
      <c r="AO288" s="76" t="s">
        <v>6115</v>
      </c>
      <c r="AP288" s="83" t="str">
        <f>HYPERLINK("https://t.co/y56aDHe1Fq")</f>
        <v>https://t.co/y56aDHe1Fq</v>
      </c>
      <c r="AQ288" s="83" t="str">
        <f>HYPERLINK("https://instagram.com/financeiro.em.dia")</f>
        <v>https://instagram.com/financeiro.em.dia</v>
      </c>
      <c r="AR288" s="76" t="s">
        <v>6317</v>
      </c>
      <c r="AS288" s="76"/>
      <c r="AT288" s="76"/>
      <c r="AU288" s="76"/>
      <c r="AV288" s="76"/>
      <c r="AW288" s="83" t="str">
        <f>HYPERLINK("https://t.co/y56aDHe1Fq")</f>
        <v>https://t.co/y56aDHe1Fq</v>
      </c>
      <c r="AX288" s="76" t="b">
        <v>0</v>
      </c>
      <c r="AY288" s="76"/>
      <c r="AZ288" s="76"/>
      <c r="BA288" s="76" t="b">
        <v>0</v>
      </c>
      <c r="BB288" s="76" t="b">
        <v>0</v>
      </c>
      <c r="BC288" s="76" t="b">
        <v>0</v>
      </c>
      <c r="BD288" s="76" t="b">
        <v>0</v>
      </c>
      <c r="BE288" s="76" t="b">
        <v>0</v>
      </c>
      <c r="BF288" s="76" t="b">
        <v>0</v>
      </c>
      <c r="BG288" s="76" t="b">
        <v>0</v>
      </c>
      <c r="BH288" s="83" t="str">
        <f>HYPERLINK("https://pbs.twimg.com/profile_banners/735207707754549248/1695897529")</f>
        <v>https://pbs.twimg.com/profile_banners/735207707754549248/1695897529</v>
      </c>
      <c r="BI288" s="76"/>
      <c r="BJ288" s="76" t="s">
        <v>6360</v>
      </c>
      <c r="BK288" s="76" t="b">
        <v>0</v>
      </c>
      <c r="BL288" s="76"/>
      <c r="BM288" s="76" t="s">
        <v>66</v>
      </c>
      <c r="BN288" s="76" t="s">
        <v>6362</v>
      </c>
      <c r="BO288" s="83" t="str">
        <f>HYPERLINK("https://twitter.com/financeiroemdia")</f>
        <v>https://twitter.com/financeiroemdia</v>
      </c>
      <c r="BP288" s="2"/>
    </row>
    <row r="289" spans="1:68" x14ac:dyDescent="0.25">
      <c r="A289" s="62" t="s">
        <v>490</v>
      </c>
      <c r="B289" s="63"/>
      <c r="C289" s="63"/>
      <c r="D289" s="64"/>
      <c r="E289" s="66"/>
      <c r="F289" s="102" t="str">
        <f>HYPERLINK("https://pbs.twimg.com/profile_images/1638168581723635712/F_InepjI_normal.jpg")</f>
        <v>https://pbs.twimg.com/profile_images/1638168581723635712/F_InepjI_normal.jpg</v>
      </c>
      <c r="G289" s="63"/>
      <c r="H289" s="67"/>
      <c r="I289" s="68"/>
      <c r="J289" s="68"/>
      <c r="K289" s="67" t="s">
        <v>6648</v>
      </c>
      <c r="L289" s="71"/>
      <c r="M289" s="72"/>
      <c r="N289" s="72"/>
      <c r="O289" s="73"/>
      <c r="P289" s="74"/>
      <c r="Q289" s="74"/>
      <c r="R289" s="86"/>
      <c r="S289" s="86"/>
      <c r="T289" s="86"/>
      <c r="U289" s="86"/>
      <c r="V289" s="48"/>
      <c r="W289" s="48"/>
      <c r="X289" s="48"/>
      <c r="Y289" s="48"/>
      <c r="Z289" s="47"/>
      <c r="AA289" s="69">
        <v>289</v>
      </c>
      <c r="AB289" s="69"/>
      <c r="AC289" s="70"/>
      <c r="AD289" s="76" t="s">
        <v>5608</v>
      </c>
      <c r="AE289" s="81" t="s">
        <v>5727</v>
      </c>
      <c r="AF289" s="76">
        <v>13022</v>
      </c>
      <c r="AG289" s="76">
        <v>507</v>
      </c>
      <c r="AH289" s="76">
        <v>6023</v>
      </c>
      <c r="AI289" s="76">
        <v>102</v>
      </c>
      <c r="AJ289" s="76">
        <v>255</v>
      </c>
      <c r="AK289" s="76">
        <v>1939</v>
      </c>
      <c r="AL289" s="76" t="b">
        <v>0</v>
      </c>
      <c r="AM289" s="78">
        <v>40112.690960648149</v>
      </c>
      <c r="AN289" s="76" t="s">
        <v>5840</v>
      </c>
      <c r="AO289" s="76" t="s">
        <v>6116</v>
      </c>
      <c r="AP289" s="83" t="str">
        <f>HYPERLINK("https://t.co/RcDeUpP5wO")</f>
        <v>https://t.co/RcDeUpP5wO</v>
      </c>
      <c r="AQ289" s="83" t="str">
        <f>HYPERLINK("http://www.sebrae.com.br/para")</f>
        <v>http://www.sebrae.com.br/para</v>
      </c>
      <c r="AR289" s="76" t="s">
        <v>6318</v>
      </c>
      <c r="AS289" s="76"/>
      <c r="AT289" s="76"/>
      <c r="AU289" s="76"/>
      <c r="AV289" s="76"/>
      <c r="AW289" s="83" t="str">
        <f>HYPERLINK("https://t.co/RcDeUpP5wO")</f>
        <v>https://t.co/RcDeUpP5wO</v>
      </c>
      <c r="AX289" s="76" t="b">
        <v>0</v>
      </c>
      <c r="AY289" s="76"/>
      <c r="AZ289" s="76"/>
      <c r="BA289" s="76" t="b">
        <v>0</v>
      </c>
      <c r="BB289" s="76" t="b">
        <v>1</v>
      </c>
      <c r="BC289" s="76" t="b">
        <v>0</v>
      </c>
      <c r="BD289" s="76" t="b">
        <v>0</v>
      </c>
      <c r="BE289" s="76" t="b">
        <v>0</v>
      </c>
      <c r="BF289" s="76" t="b">
        <v>0</v>
      </c>
      <c r="BG289" s="76" t="b">
        <v>0</v>
      </c>
      <c r="BH289" s="83" t="str">
        <f>HYPERLINK("https://pbs.twimg.com/profile_banners/85354996/1695326085")</f>
        <v>https://pbs.twimg.com/profile_banners/85354996/1695326085</v>
      </c>
      <c r="BI289" s="76"/>
      <c r="BJ289" s="76" t="s">
        <v>6360</v>
      </c>
      <c r="BK289" s="76" t="b">
        <v>0</v>
      </c>
      <c r="BL289" s="76"/>
      <c r="BM289" s="76" t="s">
        <v>66</v>
      </c>
      <c r="BN289" s="76" t="s">
        <v>6362</v>
      </c>
      <c r="BO289" s="83" t="str">
        <f>HYPERLINK("https://twitter.com/sebraepa")</f>
        <v>https://twitter.com/sebraepa</v>
      </c>
      <c r="BP289" s="2"/>
    </row>
    <row r="290" spans="1:68" x14ac:dyDescent="0.25">
      <c r="A290" s="62" t="s">
        <v>491</v>
      </c>
      <c r="B290" s="63"/>
      <c r="C290" s="63"/>
      <c r="D290" s="64"/>
      <c r="E290" s="66"/>
      <c r="F290" s="102" t="str">
        <f>HYPERLINK("https://pbs.twimg.com/profile_images/496005777325166592/5Q-VWtvs_normal.jpeg")</f>
        <v>https://pbs.twimg.com/profile_images/496005777325166592/5Q-VWtvs_normal.jpeg</v>
      </c>
      <c r="G290" s="63"/>
      <c r="H290" s="67"/>
      <c r="I290" s="68"/>
      <c r="J290" s="68"/>
      <c r="K290" s="67" t="s">
        <v>6649</v>
      </c>
      <c r="L290" s="71"/>
      <c r="M290" s="72"/>
      <c r="N290" s="72"/>
      <c r="O290" s="73"/>
      <c r="P290" s="74"/>
      <c r="Q290" s="74"/>
      <c r="R290" s="86"/>
      <c r="S290" s="86"/>
      <c r="T290" s="86"/>
      <c r="U290" s="86"/>
      <c r="V290" s="48"/>
      <c r="W290" s="48"/>
      <c r="X290" s="48"/>
      <c r="Y290" s="48"/>
      <c r="Z290" s="47"/>
      <c r="AA290" s="69">
        <v>290</v>
      </c>
      <c r="AB290" s="69"/>
      <c r="AC290" s="70"/>
      <c r="AD290" s="76" t="s">
        <v>5609</v>
      </c>
      <c r="AE290" s="81" t="s">
        <v>5728</v>
      </c>
      <c r="AF290" s="76">
        <v>7044</v>
      </c>
      <c r="AG290" s="76">
        <v>3044</v>
      </c>
      <c r="AH290" s="76">
        <v>51523</v>
      </c>
      <c r="AI290" s="76">
        <v>100</v>
      </c>
      <c r="AJ290" s="76">
        <v>121</v>
      </c>
      <c r="AK290" s="76">
        <v>684</v>
      </c>
      <c r="AL290" s="76" t="b">
        <v>0</v>
      </c>
      <c r="AM290" s="78">
        <v>40230.742592592593</v>
      </c>
      <c r="AN290" s="76" t="s">
        <v>5841</v>
      </c>
      <c r="AO290" s="76" t="s">
        <v>6117</v>
      </c>
      <c r="AP290" s="83" t="str">
        <f>HYPERLINK("https://t.co/wyXpaebsvI")</f>
        <v>https://t.co/wyXpaebsvI</v>
      </c>
      <c r="AQ290" s="83" t="str">
        <f>HYPERLINK("https://www.facebook.com/pages/Blumenau-Agora/366196200075955")</f>
        <v>https://www.facebook.com/pages/Blumenau-Agora/366196200075955</v>
      </c>
      <c r="AR290" s="76" t="s">
        <v>6319</v>
      </c>
      <c r="AS290" s="76"/>
      <c r="AT290" s="76"/>
      <c r="AU290" s="76"/>
      <c r="AV290" s="76"/>
      <c r="AW290" s="83" t="str">
        <f>HYPERLINK("https://t.co/wyXpaebsvI")</f>
        <v>https://t.co/wyXpaebsvI</v>
      </c>
      <c r="AX290" s="76" t="b">
        <v>0</v>
      </c>
      <c r="AY290" s="76"/>
      <c r="AZ290" s="76"/>
      <c r="BA290" s="76" t="b">
        <v>0</v>
      </c>
      <c r="BB290" s="76" t="b">
        <v>1</v>
      </c>
      <c r="BC290" s="76" t="b">
        <v>0</v>
      </c>
      <c r="BD290" s="76" t="b">
        <v>0</v>
      </c>
      <c r="BE290" s="76" t="b">
        <v>0</v>
      </c>
      <c r="BF290" s="76" t="b">
        <v>0</v>
      </c>
      <c r="BG290" s="76" t="b">
        <v>0</v>
      </c>
      <c r="BH290" s="83" t="str">
        <f>HYPERLINK("https://pbs.twimg.com/profile_banners/116233438/1401557484")</f>
        <v>https://pbs.twimg.com/profile_banners/116233438/1401557484</v>
      </c>
      <c r="BI290" s="76"/>
      <c r="BJ290" s="76" t="s">
        <v>6360</v>
      </c>
      <c r="BK290" s="76" t="b">
        <v>0</v>
      </c>
      <c r="BL290" s="76"/>
      <c r="BM290" s="76" t="s">
        <v>66</v>
      </c>
      <c r="BN290" s="76" t="s">
        <v>6362</v>
      </c>
      <c r="BO290" s="83" t="str">
        <f>HYPERLINK("https://twitter.com/blumenauagora")</f>
        <v>https://twitter.com/blumenauagora</v>
      </c>
      <c r="BP290" s="2"/>
    </row>
    <row r="291" spans="1:68" x14ac:dyDescent="0.25">
      <c r="A291" s="62" t="s">
        <v>492</v>
      </c>
      <c r="B291" s="63"/>
      <c r="C291" s="63"/>
      <c r="D291" s="64"/>
      <c r="E291" s="66"/>
      <c r="F291" s="102" t="str">
        <f>HYPERLINK("https://pbs.twimg.com/profile_images/1642214481383104513/CSuLwrVo_normal.jpg")</f>
        <v>https://pbs.twimg.com/profile_images/1642214481383104513/CSuLwrVo_normal.jpg</v>
      </c>
      <c r="G291" s="63"/>
      <c r="H291" s="67"/>
      <c r="I291" s="68"/>
      <c r="J291" s="68"/>
      <c r="K291" s="67" t="s">
        <v>6650</v>
      </c>
      <c r="L291" s="71"/>
      <c r="M291" s="72"/>
      <c r="N291" s="72"/>
      <c r="O291" s="73"/>
      <c r="P291" s="74"/>
      <c r="Q291" s="74"/>
      <c r="R291" s="86"/>
      <c r="S291" s="86"/>
      <c r="T291" s="86"/>
      <c r="U291" s="86"/>
      <c r="V291" s="48"/>
      <c r="W291" s="48"/>
      <c r="X291" s="48"/>
      <c r="Y291" s="48"/>
      <c r="Z291" s="47"/>
      <c r="AA291" s="69">
        <v>291</v>
      </c>
      <c r="AB291" s="69"/>
      <c r="AC291" s="70"/>
      <c r="AD291" s="76" t="s">
        <v>5610</v>
      </c>
      <c r="AE291" s="81" t="s">
        <v>5729</v>
      </c>
      <c r="AF291" s="76">
        <v>9</v>
      </c>
      <c r="AG291" s="76">
        <v>107</v>
      </c>
      <c r="AH291" s="76">
        <v>227</v>
      </c>
      <c r="AI291" s="76">
        <v>0</v>
      </c>
      <c r="AJ291" s="76">
        <v>141</v>
      </c>
      <c r="AK291" s="76">
        <v>8</v>
      </c>
      <c r="AL291" s="76" t="b">
        <v>0</v>
      </c>
      <c r="AM291" s="78">
        <v>40338.879895833335</v>
      </c>
      <c r="AN291" s="76" t="s">
        <v>5842</v>
      </c>
      <c r="AO291" s="76" t="s">
        <v>6118</v>
      </c>
      <c r="AP291" s="83" t="str">
        <f>HYPERLINK("https://t.co/otPabn9GLk")</f>
        <v>https://t.co/otPabn9GLk</v>
      </c>
      <c r="AQ291" s="83" t="str">
        <f>HYPERLINK("https://www.youtube.com/@opoder.do.dinheiro")</f>
        <v>https://www.youtube.com/@opoder.do.dinheiro</v>
      </c>
      <c r="AR291" s="76" t="s">
        <v>6320</v>
      </c>
      <c r="AS291" s="76"/>
      <c r="AT291" s="76"/>
      <c r="AU291" s="76"/>
      <c r="AV291" s="76">
        <v>1.64656740029523E+18</v>
      </c>
      <c r="AW291" s="83" t="str">
        <f>HYPERLINK("https://t.co/otPabn9GLk")</f>
        <v>https://t.co/otPabn9GLk</v>
      </c>
      <c r="AX291" s="76" t="b">
        <v>0</v>
      </c>
      <c r="AY291" s="76"/>
      <c r="AZ291" s="76"/>
      <c r="BA291" s="76" t="b">
        <v>1</v>
      </c>
      <c r="BB291" s="76" t="b">
        <v>1</v>
      </c>
      <c r="BC291" s="76" t="b">
        <v>1</v>
      </c>
      <c r="BD291" s="76" t="b">
        <v>0</v>
      </c>
      <c r="BE291" s="76" t="b">
        <v>0</v>
      </c>
      <c r="BF291" s="76" t="b">
        <v>0</v>
      </c>
      <c r="BG291" s="76" t="b">
        <v>0</v>
      </c>
      <c r="BH291" s="83" t="str">
        <f>HYPERLINK("https://pbs.twimg.com/profile_banners/153904334/1685911236")</f>
        <v>https://pbs.twimg.com/profile_banners/153904334/1685911236</v>
      </c>
      <c r="BI291" s="76"/>
      <c r="BJ291" s="76" t="s">
        <v>6360</v>
      </c>
      <c r="BK291" s="76" t="b">
        <v>0</v>
      </c>
      <c r="BL291" s="76"/>
      <c r="BM291" s="76" t="s">
        <v>66</v>
      </c>
      <c r="BN291" s="76" t="s">
        <v>6362</v>
      </c>
      <c r="BO291" s="83" t="str">
        <f>HYPERLINK("https://twitter.com/paulonodigital")</f>
        <v>https://twitter.com/paulonodigital</v>
      </c>
      <c r="BP291" s="2"/>
    </row>
    <row r="292" spans="1:68" x14ac:dyDescent="0.25">
      <c r="A292" s="62" t="s">
        <v>493</v>
      </c>
      <c r="B292" s="63"/>
      <c r="C292" s="63"/>
      <c r="D292" s="64"/>
      <c r="E292" s="66"/>
      <c r="F292" s="102" t="str">
        <f>HYPERLINK("https://pbs.twimg.com/profile_images/1679956426137952258/gd3LrX5L_normal.jpg")</f>
        <v>https://pbs.twimg.com/profile_images/1679956426137952258/gd3LrX5L_normal.jpg</v>
      </c>
      <c r="G292" s="63"/>
      <c r="H292" s="67"/>
      <c r="I292" s="68"/>
      <c r="J292" s="68"/>
      <c r="K292" s="67" t="s">
        <v>6651</v>
      </c>
      <c r="L292" s="71"/>
      <c r="M292" s="72"/>
      <c r="N292" s="72"/>
      <c r="O292" s="73"/>
      <c r="P292" s="74"/>
      <c r="Q292" s="74"/>
      <c r="R292" s="86"/>
      <c r="S292" s="86"/>
      <c r="T292" s="86"/>
      <c r="U292" s="86"/>
      <c r="V292" s="48"/>
      <c r="W292" s="48"/>
      <c r="X292" s="48"/>
      <c r="Y292" s="48"/>
      <c r="Z292" s="47"/>
      <c r="AA292" s="69">
        <v>292</v>
      </c>
      <c r="AB292" s="69"/>
      <c r="AC292" s="70"/>
      <c r="AD292" s="76" t="s">
        <v>5611</v>
      </c>
      <c r="AE292" s="81" t="s">
        <v>5267</v>
      </c>
      <c r="AF292" s="76">
        <v>2</v>
      </c>
      <c r="AG292" s="76">
        <v>26</v>
      </c>
      <c r="AH292" s="76">
        <v>10</v>
      </c>
      <c r="AI292" s="76">
        <v>0</v>
      </c>
      <c r="AJ292" s="76">
        <v>9</v>
      </c>
      <c r="AK292" s="76">
        <v>0</v>
      </c>
      <c r="AL292" s="76" t="b">
        <v>0</v>
      </c>
      <c r="AM292" s="78">
        <v>45121.866967592592</v>
      </c>
      <c r="AN292" s="76"/>
      <c r="AO292" s="76"/>
      <c r="AP292" s="76"/>
      <c r="AQ292" s="76"/>
      <c r="AR292" s="76"/>
      <c r="AS292" s="76"/>
      <c r="AT292" s="76"/>
      <c r="AU292" s="76"/>
      <c r="AV292" s="76"/>
      <c r="AW292" s="76"/>
      <c r="AX292" s="76" t="b">
        <v>0</v>
      </c>
      <c r="AY292" s="76"/>
      <c r="AZ292" s="76"/>
      <c r="BA292" s="76" t="b">
        <v>0</v>
      </c>
      <c r="BB292" s="76" t="b">
        <v>1</v>
      </c>
      <c r="BC292" s="76" t="b">
        <v>1</v>
      </c>
      <c r="BD292" s="76" t="b">
        <v>0</v>
      </c>
      <c r="BE292" s="76" t="b">
        <v>0</v>
      </c>
      <c r="BF292" s="76" t="b">
        <v>0</v>
      </c>
      <c r="BG292" s="76" t="b">
        <v>0</v>
      </c>
      <c r="BH292" s="76"/>
      <c r="BI292" s="76"/>
      <c r="BJ292" s="76" t="s">
        <v>6360</v>
      </c>
      <c r="BK292" s="76" t="b">
        <v>0</v>
      </c>
      <c r="BL292" s="76"/>
      <c r="BM292" s="76" t="s">
        <v>66</v>
      </c>
      <c r="BN292" s="76" t="s">
        <v>6362</v>
      </c>
      <c r="BO292" s="83" t="str">
        <f>HYPERLINK("https://twitter.com/lnogueiralucas")</f>
        <v>https://twitter.com/lnogueiralucas</v>
      </c>
      <c r="BP292" s="2"/>
    </row>
    <row r="293" spans="1:68" x14ac:dyDescent="0.25">
      <c r="A293" s="62" t="s">
        <v>494</v>
      </c>
      <c r="B293" s="63"/>
      <c r="C293" s="63"/>
      <c r="D293" s="64"/>
      <c r="E293" s="66"/>
      <c r="F293" s="102" t="str">
        <f>HYPERLINK("https://pbs.twimg.com/profile_images/1655730014036410370/oanuJbGR_normal.jpg")</f>
        <v>https://pbs.twimg.com/profile_images/1655730014036410370/oanuJbGR_normal.jpg</v>
      </c>
      <c r="G293" s="63"/>
      <c r="H293" s="67"/>
      <c r="I293" s="68"/>
      <c r="J293" s="68"/>
      <c r="K293" s="67" t="s">
        <v>6652</v>
      </c>
      <c r="L293" s="71"/>
      <c r="M293" s="72"/>
      <c r="N293" s="72"/>
      <c r="O293" s="73"/>
      <c r="P293" s="74"/>
      <c r="Q293" s="74"/>
      <c r="R293" s="86"/>
      <c r="S293" s="86"/>
      <c r="T293" s="86"/>
      <c r="U293" s="86"/>
      <c r="V293" s="48"/>
      <c r="W293" s="48"/>
      <c r="X293" s="48"/>
      <c r="Y293" s="48"/>
      <c r="Z293" s="47"/>
      <c r="AA293" s="69">
        <v>293</v>
      </c>
      <c r="AB293" s="69"/>
      <c r="AC293" s="70"/>
      <c r="AD293" s="76" t="s">
        <v>5612</v>
      </c>
      <c r="AE293" s="81" t="s">
        <v>5268</v>
      </c>
      <c r="AF293" s="76">
        <v>0</v>
      </c>
      <c r="AG293" s="76">
        <v>1</v>
      </c>
      <c r="AH293" s="76">
        <v>9</v>
      </c>
      <c r="AI293" s="76">
        <v>0</v>
      </c>
      <c r="AJ293" s="76">
        <v>0</v>
      </c>
      <c r="AK293" s="76">
        <v>9</v>
      </c>
      <c r="AL293" s="76" t="b">
        <v>0</v>
      </c>
      <c r="AM293" s="78">
        <v>45055.015868055554</v>
      </c>
      <c r="AN293" s="76"/>
      <c r="AO293" s="76"/>
      <c r="AP293" s="76"/>
      <c r="AQ293" s="76"/>
      <c r="AR293" s="76"/>
      <c r="AS293" s="76"/>
      <c r="AT293" s="76"/>
      <c r="AU293" s="76"/>
      <c r="AV293" s="76"/>
      <c r="AW293" s="76"/>
      <c r="AX293" s="76" t="b">
        <v>0</v>
      </c>
      <c r="AY293" s="76"/>
      <c r="AZ293" s="76"/>
      <c r="BA293" s="76" t="b">
        <v>0</v>
      </c>
      <c r="BB293" s="76" t="b">
        <v>1</v>
      </c>
      <c r="BC293" s="76" t="b">
        <v>1</v>
      </c>
      <c r="BD293" s="76" t="b">
        <v>0</v>
      </c>
      <c r="BE293" s="76" t="b">
        <v>0</v>
      </c>
      <c r="BF293" s="76" t="b">
        <v>0</v>
      </c>
      <c r="BG293" s="76" t="b">
        <v>0</v>
      </c>
      <c r="BH293" s="76"/>
      <c r="BI293" s="76"/>
      <c r="BJ293" s="76" t="s">
        <v>6360</v>
      </c>
      <c r="BK293" s="76" t="b">
        <v>0</v>
      </c>
      <c r="BL293" s="76"/>
      <c r="BM293" s="76" t="s">
        <v>66</v>
      </c>
      <c r="BN293" s="76" t="s">
        <v>6362</v>
      </c>
      <c r="BO293" s="83" t="str">
        <f>HYPERLINK("https://twitter.com/cristina201820")</f>
        <v>https://twitter.com/cristina201820</v>
      </c>
      <c r="BP293" s="2"/>
    </row>
    <row r="294" spans="1:68" x14ac:dyDescent="0.25">
      <c r="A294" s="62" t="s">
        <v>495</v>
      </c>
      <c r="B294" s="63"/>
      <c r="C294" s="63"/>
      <c r="D294" s="64"/>
      <c r="E294" s="66"/>
      <c r="F294" s="102" t="str">
        <f>HYPERLINK("https://pbs.twimg.com/profile_images/1648621062857392130/PWzogkLU_normal.jpg")</f>
        <v>https://pbs.twimg.com/profile_images/1648621062857392130/PWzogkLU_normal.jpg</v>
      </c>
      <c r="G294" s="63"/>
      <c r="H294" s="67"/>
      <c r="I294" s="68"/>
      <c r="J294" s="68"/>
      <c r="K294" s="67" t="s">
        <v>6653</v>
      </c>
      <c r="L294" s="71"/>
      <c r="M294" s="72"/>
      <c r="N294" s="72"/>
      <c r="O294" s="73"/>
      <c r="P294" s="74"/>
      <c r="Q294" s="74"/>
      <c r="R294" s="86"/>
      <c r="S294" s="86"/>
      <c r="T294" s="86"/>
      <c r="U294" s="86"/>
      <c r="V294" s="48"/>
      <c r="W294" s="48"/>
      <c r="X294" s="48"/>
      <c r="Y294" s="48"/>
      <c r="Z294" s="47"/>
      <c r="AA294" s="69">
        <v>294</v>
      </c>
      <c r="AB294" s="69"/>
      <c r="AC294" s="70"/>
      <c r="AD294" s="76" t="s">
        <v>5613</v>
      </c>
      <c r="AE294" s="81" t="s">
        <v>5730</v>
      </c>
      <c r="AF294" s="76">
        <v>89</v>
      </c>
      <c r="AG294" s="76">
        <v>553</v>
      </c>
      <c r="AH294" s="76">
        <v>274</v>
      </c>
      <c r="AI294" s="76">
        <v>0</v>
      </c>
      <c r="AJ294" s="76">
        <v>371</v>
      </c>
      <c r="AK294" s="76">
        <v>18</v>
      </c>
      <c r="AL294" s="76" t="b">
        <v>0</v>
      </c>
      <c r="AM294" s="78">
        <v>42177.864895833336</v>
      </c>
      <c r="AN294" s="76" t="s">
        <v>3410</v>
      </c>
      <c r="AO294" s="76" t="s">
        <v>6119</v>
      </c>
      <c r="AP294" s="83" t="str">
        <f>HYPERLINK("https://t.co/h0pPtaFfNB")</f>
        <v>https://t.co/h0pPtaFfNB</v>
      </c>
      <c r="AQ294" s="83" t="str">
        <f>HYPERLINK("http://linktr.ee/romero.financas")</f>
        <v>http://linktr.ee/romero.financas</v>
      </c>
      <c r="AR294" s="76" t="s">
        <v>6321</v>
      </c>
      <c r="AS294" s="76"/>
      <c r="AT294" s="76"/>
      <c r="AU294" s="76"/>
      <c r="AV294" s="76"/>
      <c r="AW294" s="83" t="str">
        <f>HYPERLINK("https://t.co/h0pPtaFfNB")</f>
        <v>https://t.co/h0pPtaFfNB</v>
      </c>
      <c r="AX294" s="76" t="b">
        <v>0</v>
      </c>
      <c r="AY294" s="76"/>
      <c r="AZ294" s="76"/>
      <c r="BA294" s="76" t="b">
        <v>1</v>
      </c>
      <c r="BB294" s="76" t="b">
        <v>0</v>
      </c>
      <c r="BC294" s="76" t="b">
        <v>1</v>
      </c>
      <c r="BD294" s="76" t="b">
        <v>0</v>
      </c>
      <c r="BE294" s="76" t="b">
        <v>1</v>
      </c>
      <c r="BF294" s="76" t="b">
        <v>0</v>
      </c>
      <c r="BG294" s="76" t="b">
        <v>0</v>
      </c>
      <c r="BH294" s="83" t="str">
        <f>HYPERLINK("https://pbs.twimg.com/profile_banners/3341974577/1572475499")</f>
        <v>https://pbs.twimg.com/profile_banners/3341974577/1572475499</v>
      </c>
      <c r="BI294" s="76"/>
      <c r="BJ294" s="76" t="s">
        <v>6360</v>
      </c>
      <c r="BK294" s="76" t="b">
        <v>0</v>
      </c>
      <c r="BL294" s="76"/>
      <c r="BM294" s="76" t="s">
        <v>66</v>
      </c>
      <c r="BN294" s="76" t="s">
        <v>6362</v>
      </c>
      <c r="BO294" s="83" t="str">
        <f>HYPERLINK("https://twitter.com/romerofinancas")</f>
        <v>https://twitter.com/romerofinancas</v>
      </c>
      <c r="BP294" s="2"/>
    </row>
    <row r="295" spans="1:68" x14ac:dyDescent="0.25">
      <c r="A295" s="62" t="s">
        <v>496</v>
      </c>
      <c r="B295" s="63"/>
      <c r="C295" s="63"/>
      <c r="D295" s="64"/>
      <c r="E295" s="66"/>
      <c r="F295" s="102" t="str">
        <f>HYPERLINK("https://pbs.twimg.com/profile_images/1649855069355909121/SaNTSIuQ_normal.jpg")</f>
        <v>https://pbs.twimg.com/profile_images/1649855069355909121/SaNTSIuQ_normal.jpg</v>
      </c>
      <c r="G295" s="63"/>
      <c r="H295" s="67"/>
      <c r="I295" s="68"/>
      <c r="J295" s="68"/>
      <c r="K295" s="67" t="s">
        <v>6654</v>
      </c>
      <c r="L295" s="71"/>
      <c r="M295" s="72"/>
      <c r="N295" s="72"/>
      <c r="O295" s="73"/>
      <c r="P295" s="74"/>
      <c r="Q295" s="74"/>
      <c r="R295" s="86"/>
      <c r="S295" s="86"/>
      <c r="T295" s="86"/>
      <c r="U295" s="86"/>
      <c r="V295" s="48"/>
      <c r="W295" s="48"/>
      <c r="X295" s="48"/>
      <c r="Y295" s="48"/>
      <c r="Z295" s="47"/>
      <c r="AA295" s="69">
        <v>295</v>
      </c>
      <c r="AB295" s="69"/>
      <c r="AC295" s="70"/>
      <c r="AD295" s="76" t="s">
        <v>5614</v>
      </c>
      <c r="AE295" s="81" t="s">
        <v>5269</v>
      </c>
      <c r="AF295" s="76">
        <v>7</v>
      </c>
      <c r="AG295" s="76">
        <v>6</v>
      </c>
      <c r="AH295" s="76">
        <v>628</v>
      </c>
      <c r="AI295" s="76">
        <v>0</v>
      </c>
      <c r="AJ295" s="76">
        <v>62</v>
      </c>
      <c r="AK295" s="76">
        <v>82</v>
      </c>
      <c r="AL295" s="76" t="b">
        <v>0</v>
      </c>
      <c r="AM295" s="78">
        <v>44389.352268518516</v>
      </c>
      <c r="AN295" s="76" t="s">
        <v>5843</v>
      </c>
      <c r="AO295" s="76" t="s">
        <v>6120</v>
      </c>
      <c r="AP295" s="83" t="str">
        <f>HYPERLINK("https://t.co/if8J4Pvl4s")</f>
        <v>https://t.co/if8J4Pvl4s</v>
      </c>
      <c r="AQ295" s="83" t="str">
        <f>HYPERLINK("https://linktr.ee/maniampodcast")</f>
        <v>https://linktr.ee/maniampodcast</v>
      </c>
      <c r="AR295" s="76" t="s">
        <v>6322</v>
      </c>
      <c r="AS295" s="76"/>
      <c r="AT295" s="76"/>
      <c r="AU295" s="76"/>
      <c r="AV295" s="76">
        <v>1.6785694536409001E+18</v>
      </c>
      <c r="AW295" s="83" t="str">
        <f>HYPERLINK("https://t.co/if8J4Pvl4s")</f>
        <v>https://t.co/if8J4Pvl4s</v>
      </c>
      <c r="AX295" s="76" t="b">
        <v>0</v>
      </c>
      <c r="AY295" s="76"/>
      <c r="AZ295" s="76"/>
      <c r="BA295" s="76" t="b">
        <v>0</v>
      </c>
      <c r="BB295" s="76" t="b">
        <v>1</v>
      </c>
      <c r="BC295" s="76" t="b">
        <v>1</v>
      </c>
      <c r="BD295" s="76" t="b">
        <v>0</v>
      </c>
      <c r="BE295" s="76" t="b">
        <v>0</v>
      </c>
      <c r="BF295" s="76" t="b">
        <v>0</v>
      </c>
      <c r="BG295" s="76" t="b">
        <v>0</v>
      </c>
      <c r="BH295" s="83" t="str">
        <f>HYPERLINK("https://pbs.twimg.com/profile_banners/1414501510285758466/1682191075")</f>
        <v>https://pbs.twimg.com/profile_banners/1414501510285758466/1682191075</v>
      </c>
      <c r="BI295" s="76"/>
      <c r="BJ295" s="76" t="s">
        <v>6360</v>
      </c>
      <c r="BK295" s="76" t="b">
        <v>0</v>
      </c>
      <c r="BL295" s="76"/>
      <c r="BM295" s="76" t="s">
        <v>66</v>
      </c>
      <c r="BN295" s="76" t="s">
        <v>6362</v>
      </c>
      <c r="BO295" s="83" t="str">
        <f>HYPERLINK("https://twitter.com/maniam_podcast")</f>
        <v>https://twitter.com/maniam_podcast</v>
      </c>
      <c r="BP295" s="2"/>
    </row>
    <row r="296" spans="1:68" x14ac:dyDescent="0.25">
      <c r="A296" s="62" t="s">
        <v>497</v>
      </c>
      <c r="B296" s="63"/>
      <c r="C296" s="63"/>
      <c r="D296" s="64"/>
      <c r="E296" s="66"/>
      <c r="F296" s="102" t="str">
        <f>HYPERLINK("https://pbs.twimg.com/profile_images/464224594920869888/lNekW1Va_normal.jpeg")</f>
        <v>https://pbs.twimg.com/profile_images/464224594920869888/lNekW1Va_normal.jpeg</v>
      </c>
      <c r="G296" s="63"/>
      <c r="H296" s="67"/>
      <c r="I296" s="68"/>
      <c r="J296" s="68"/>
      <c r="K296" s="67" t="s">
        <v>6655</v>
      </c>
      <c r="L296" s="71"/>
      <c r="M296" s="72"/>
      <c r="N296" s="72"/>
      <c r="O296" s="73"/>
      <c r="P296" s="74"/>
      <c r="Q296" s="74"/>
      <c r="R296" s="86"/>
      <c r="S296" s="86"/>
      <c r="T296" s="86"/>
      <c r="U296" s="86"/>
      <c r="V296" s="48"/>
      <c r="W296" s="48"/>
      <c r="X296" s="48"/>
      <c r="Y296" s="48"/>
      <c r="Z296" s="47"/>
      <c r="AA296" s="69">
        <v>296</v>
      </c>
      <c r="AB296" s="69"/>
      <c r="AC296" s="70"/>
      <c r="AD296" s="76" t="s">
        <v>5615</v>
      </c>
      <c r="AE296" s="81" t="s">
        <v>5731</v>
      </c>
      <c r="AF296" s="76">
        <v>14</v>
      </c>
      <c r="AG296" s="76">
        <v>34</v>
      </c>
      <c r="AH296" s="76">
        <v>3086</v>
      </c>
      <c r="AI296" s="76">
        <v>0</v>
      </c>
      <c r="AJ296" s="76">
        <v>1</v>
      </c>
      <c r="AK296" s="76">
        <v>1574</v>
      </c>
      <c r="AL296" s="76" t="b">
        <v>0</v>
      </c>
      <c r="AM296" s="78">
        <v>41767.083483796298</v>
      </c>
      <c r="AN296" s="76" t="s">
        <v>5844</v>
      </c>
      <c r="AO296" s="76" t="s">
        <v>6121</v>
      </c>
      <c r="AP296" s="83" t="str">
        <f>HYPERLINK("http://t.co/wqN4beJ110")</f>
        <v>http://t.co/wqN4beJ110</v>
      </c>
      <c r="AQ296" s="83" t="str">
        <f>HYPERLINK("http://majeseg.com.br/")</f>
        <v>http://majeseg.com.br/</v>
      </c>
      <c r="AR296" s="76" t="s">
        <v>6323</v>
      </c>
      <c r="AS296" s="76"/>
      <c r="AT296" s="76"/>
      <c r="AU296" s="76"/>
      <c r="AV296" s="76"/>
      <c r="AW296" s="83" t="str">
        <f>HYPERLINK("http://t.co/wqN4beJ110")</f>
        <v>http://t.co/wqN4beJ110</v>
      </c>
      <c r="AX296" s="76" t="b">
        <v>0</v>
      </c>
      <c r="AY296" s="76"/>
      <c r="AZ296" s="76"/>
      <c r="BA296" s="76" t="b">
        <v>0</v>
      </c>
      <c r="BB296" s="76" t="b">
        <v>0</v>
      </c>
      <c r="BC296" s="76" t="b">
        <v>0</v>
      </c>
      <c r="BD296" s="76" t="b">
        <v>0</v>
      </c>
      <c r="BE296" s="76" t="b">
        <v>0</v>
      </c>
      <c r="BF296" s="76" t="b">
        <v>0</v>
      </c>
      <c r="BG296" s="76" t="b">
        <v>0</v>
      </c>
      <c r="BH296" s="83" t="str">
        <f>HYPERLINK("https://pbs.twimg.com/profile_banners/2483025594/1399515333")</f>
        <v>https://pbs.twimg.com/profile_banners/2483025594/1399515333</v>
      </c>
      <c r="BI296" s="76"/>
      <c r="BJ296" s="76" t="s">
        <v>6360</v>
      </c>
      <c r="BK296" s="76" t="b">
        <v>0</v>
      </c>
      <c r="BL296" s="76"/>
      <c r="BM296" s="76" t="s">
        <v>66</v>
      </c>
      <c r="BN296" s="76" t="s">
        <v>6362</v>
      </c>
      <c r="BO296" s="83" t="str">
        <f>HYPERLINK("https://twitter.com/majesegseguros")</f>
        <v>https://twitter.com/majesegseguros</v>
      </c>
      <c r="BP296" s="2"/>
    </row>
    <row r="297" spans="1:68" x14ac:dyDescent="0.25">
      <c r="A297" s="62" t="s">
        <v>498</v>
      </c>
      <c r="B297" s="63"/>
      <c r="C297" s="63"/>
      <c r="D297" s="64"/>
      <c r="E297" s="66"/>
      <c r="F297" s="102" t="str">
        <f>HYPERLINK("https://pbs.twimg.com/profile_images/1592865105192128512/sfPc7zOs_normal.jpg")</f>
        <v>https://pbs.twimg.com/profile_images/1592865105192128512/sfPc7zOs_normal.jpg</v>
      </c>
      <c r="G297" s="63"/>
      <c r="H297" s="67"/>
      <c r="I297" s="68"/>
      <c r="J297" s="68"/>
      <c r="K297" s="67" t="s">
        <v>6656</v>
      </c>
      <c r="L297" s="71"/>
      <c r="M297" s="72"/>
      <c r="N297" s="72"/>
      <c r="O297" s="73"/>
      <c r="P297" s="74"/>
      <c r="Q297" s="74"/>
      <c r="R297" s="86"/>
      <c r="S297" s="86"/>
      <c r="T297" s="86"/>
      <c r="U297" s="86"/>
      <c r="V297" s="48"/>
      <c r="W297" s="48"/>
      <c r="X297" s="48"/>
      <c r="Y297" s="48"/>
      <c r="Z297" s="47"/>
      <c r="AA297" s="69">
        <v>297</v>
      </c>
      <c r="AB297" s="69"/>
      <c r="AC297" s="70"/>
      <c r="AD297" s="76" t="s">
        <v>5616</v>
      </c>
      <c r="AE297" s="81" t="s">
        <v>5732</v>
      </c>
      <c r="AF297" s="76">
        <v>8</v>
      </c>
      <c r="AG297" s="76">
        <v>140</v>
      </c>
      <c r="AH297" s="76">
        <v>90</v>
      </c>
      <c r="AI297" s="76">
        <v>0</v>
      </c>
      <c r="AJ297" s="76">
        <v>1683</v>
      </c>
      <c r="AK297" s="76">
        <v>8</v>
      </c>
      <c r="AL297" s="76" t="b">
        <v>0</v>
      </c>
      <c r="AM297" s="78">
        <v>41070.039953703701</v>
      </c>
      <c r="AN297" s="76" t="s">
        <v>5845</v>
      </c>
      <c r="AO297" s="76" t="s">
        <v>6122</v>
      </c>
      <c r="AP297" s="83" t="str">
        <f>HYPERLINK("https://t.co/YEpLjyvTpf")</f>
        <v>https://t.co/YEpLjyvTpf</v>
      </c>
      <c r="AQ297" s="83" t="str">
        <f>HYPERLINK("http://www.makingadifference.com.br")</f>
        <v>http://www.makingadifference.com.br</v>
      </c>
      <c r="AR297" s="76" t="s">
        <v>6324</v>
      </c>
      <c r="AS297" s="76"/>
      <c r="AT297" s="76"/>
      <c r="AU297" s="76"/>
      <c r="AV297" s="76"/>
      <c r="AW297" s="83" t="str">
        <f>HYPERLINK("https://t.co/YEpLjyvTpf")</f>
        <v>https://t.co/YEpLjyvTpf</v>
      </c>
      <c r="AX297" s="76" t="b">
        <v>0</v>
      </c>
      <c r="AY297" s="76"/>
      <c r="AZ297" s="76"/>
      <c r="BA297" s="76" t="b">
        <v>0</v>
      </c>
      <c r="BB297" s="76" t="b">
        <v>1</v>
      </c>
      <c r="BC297" s="76" t="b">
        <v>1</v>
      </c>
      <c r="BD297" s="76" t="b">
        <v>0</v>
      </c>
      <c r="BE297" s="76" t="b">
        <v>0</v>
      </c>
      <c r="BF297" s="76" t="b">
        <v>0</v>
      </c>
      <c r="BG297" s="76" t="b">
        <v>0</v>
      </c>
      <c r="BH297" s="83" t="str">
        <f>HYPERLINK("https://pbs.twimg.com/profile_banners/604061758/1668603621")</f>
        <v>https://pbs.twimg.com/profile_banners/604061758/1668603621</v>
      </c>
      <c r="BI297" s="76"/>
      <c r="BJ297" s="76" t="s">
        <v>6360</v>
      </c>
      <c r="BK297" s="76" t="b">
        <v>0</v>
      </c>
      <c r="BL297" s="76"/>
      <c r="BM297" s="76" t="s">
        <v>66</v>
      </c>
      <c r="BN297" s="76" t="s">
        <v>6362</v>
      </c>
      <c r="BO297" s="83" t="str">
        <f>HYPERLINK("https://twitter.com/making_differen")</f>
        <v>https://twitter.com/making_differen</v>
      </c>
      <c r="BP297" s="2"/>
    </row>
    <row r="298" spans="1:68" x14ac:dyDescent="0.25">
      <c r="A298" s="62" t="s">
        <v>499</v>
      </c>
      <c r="B298" s="63"/>
      <c r="C298" s="63"/>
      <c r="D298" s="64"/>
      <c r="E298" s="66"/>
      <c r="F298" s="102" t="str">
        <f>HYPERLINK("https://pbs.twimg.com/profile_images/1556655153419280384/IjlH4rOp_normal.jpg")</f>
        <v>https://pbs.twimg.com/profile_images/1556655153419280384/IjlH4rOp_normal.jpg</v>
      </c>
      <c r="G298" s="63"/>
      <c r="H298" s="67"/>
      <c r="I298" s="68"/>
      <c r="J298" s="68"/>
      <c r="K298" s="67" t="s">
        <v>6657</v>
      </c>
      <c r="L298" s="71"/>
      <c r="M298" s="72"/>
      <c r="N298" s="72"/>
      <c r="O298" s="73"/>
      <c r="P298" s="74"/>
      <c r="Q298" s="74"/>
      <c r="R298" s="86"/>
      <c r="S298" s="86"/>
      <c r="T298" s="86"/>
      <c r="U298" s="86"/>
      <c r="V298" s="48"/>
      <c r="W298" s="48"/>
      <c r="X298" s="48"/>
      <c r="Y298" s="48"/>
      <c r="Z298" s="47"/>
      <c r="AA298" s="69">
        <v>298</v>
      </c>
      <c r="AB298" s="69"/>
      <c r="AC298" s="70"/>
      <c r="AD298" s="76" t="s">
        <v>5617</v>
      </c>
      <c r="AE298" s="81" t="s">
        <v>5270</v>
      </c>
      <c r="AF298" s="76">
        <v>2</v>
      </c>
      <c r="AG298" s="76">
        <v>1</v>
      </c>
      <c r="AH298" s="76">
        <v>53</v>
      </c>
      <c r="AI298" s="76">
        <v>0</v>
      </c>
      <c r="AJ298" s="76">
        <v>0</v>
      </c>
      <c r="AK298" s="76">
        <v>53</v>
      </c>
      <c r="AL298" s="76" t="b">
        <v>0</v>
      </c>
      <c r="AM298" s="78">
        <v>44565.06113425926</v>
      </c>
      <c r="AN298" s="76" t="s">
        <v>5846</v>
      </c>
      <c r="AO298" s="76" t="s">
        <v>6123</v>
      </c>
      <c r="AP298" s="83" t="str">
        <f>HYPERLINK("https://t.co/eZzkGFaDPT")</f>
        <v>https://t.co/eZzkGFaDPT</v>
      </c>
      <c r="AQ298" s="83" t="str">
        <f>HYPERLINK("http://www.guarucont.com.br")</f>
        <v>http://www.guarucont.com.br</v>
      </c>
      <c r="AR298" s="76" t="s">
        <v>6325</v>
      </c>
      <c r="AS298" s="76"/>
      <c r="AT298" s="76"/>
      <c r="AU298" s="76"/>
      <c r="AV298" s="76"/>
      <c r="AW298" s="83" t="str">
        <f>HYPERLINK("https://t.co/eZzkGFaDPT")</f>
        <v>https://t.co/eZzkGFaDPT</v>
      </c>
      <c r="AX298" s="76" t="b">
        <v>0</v>
      </c>
      <c r="AY298" s="76"/>
      <c r="AZ298" s="76"/>
      <c r="BA298" s="76" t="b">
        <v>0</v>
      </c>
      <c r="BB298" s="76" t="b">
        <v>1</v>
      </c>
      <c r="BC298" s="76" t="b">
        <v>1</v>
      </c>
      <c r="BD298" s="76" t="b">
        <v>0</v>
      </c>
      <c r="BE298" s="76" t="b">
        <v>0</v>
      </c>
      <c r="BF298" s="76" t="b">
        <v>0</v>
      </c>
      <c r="BG298" s="76" t="b">
        <v>0</v>
      </c>
      <c r="BH298" s="76"/>
      <c r="BI298" s="76"/>
      <c r="BJ298" s="76" t="s">
        <v>6360</v>
      </c>
      <c r="BK298" s="76" t="b">
        <v>0</v>
      </c>
      <c r="BL298" s="76"/>
      <c r="BM298" s="76" t="s">
        <v>66</v>
      </c>
      <c r="BN298" s="76" t="s">
        <v>6362</v>
      </c>
      <c r="BO298" s="83" t="str">
        <f>HYPERLINK("https://twitter.com/guaruconto")</f>
        <v>https://twitter.com/guaruconto</v>
      </c>
      <c r="BP298" s="2"/>
    </row>
    <row r="299" spans="1:68" x14ac:dyDescent="0.25">
      <c r="A299" s="62" t="s">
        <v>500</v>
      </c>
      <c r="B299" s="63"/>
      <c r="C299" s="63"/>
      <c r="D299" s="64"/>
      <c r="E299" s="66"/>
      <c r="F299" s="102" t="str">
        <f>HYPERLINK("https://pbs.twimg.com/profile_images/1553730260256038913/ZtRvJWhx_normal.jpg")</f>
        <v>https://pbs.twimg.com/profile_images/1553730260256038913/ZtRvJWhx_normal.jpg</v>
      </c>
      <c r="G299" s="63"/>
      <c r="H299" s="67"/>
      <c r="I299" s="68"/>
      <c r="J299" s="68"/>
      <c r="K299" s="67" t="s">
        <v>6658</v>
      </c>
      <c r="L299" s="71"/>
      <c r="M299" s="72"/>
      <c r="N299" s="72"/>
      <c r="O299" s="73"/>
      <c r="P299" s="74"/>
      <c r="Q299" s="74"/>
      <c r="R299" s="86"/>
      <c r="S299" s="86"/>
      <c r="T299" s="86"/>
      <c r="U299" s="86"/>
      <c r="V299" s="48"/>
      <c r="W299" s="48"/>
      <c r="X299" s="48"/>
      <c r="Y299" s="48"/>
      <c r="Z299" s="47"/>
      <c r="AA299" s="69">
        <v>299</v>
      </c>
      <c r="AB299" s="69"/>
      <c r="AC299" s="70"/>
      <c r="AD299" s="76" t="s">
        <v>5618</v>
      </c>
      <c r="AE299" s="81" t="s">
        <v>5271</v>
      </c>
      <c r="AF299" s="76">
        <v>19</v>
      </c>
      <c r="AG299" s="76">
        <v>74</v>
      </c>
      <c r="AH299" s="76">
        <v>69</v>
      </c>
      <c r="AI299" s="76">
        <v>0</v>
      </c>
      <c r="AJ299" s="76">
        <v>36</v>
      </c>
      <c r="AK299" s="76">
        <v>5</v>
      </c>
      <c r="AL299" s="76" t="b">
        <v>0</v>
      </c>
      <c r="AM299" s="78">
        <v>43966.467951388891</v>
      </c>
      <c r="AN299" s="76" t="s">
        <v>5847</v>
      </c>
      <c r="AO299" s="76" t="s">
        <v>6124</v>
      </c>
      <c r="AP299" s="76"/>
      <c r="AQ299" s="76"/>
      <c r="AR299" s="76"/>
      <c r="AS299" s="76"/>
      <c r="AT299" s="76"/>
      <c r="AU299" s="76"/>
      <c r="AV299" s="76"/>
      <c r="AW299" s="76"/>
      <c r="AX299" s="76" t="b">
        <v>0</v>
      </c>
      <c r="AY299" s="76"/>
      <c r="AZ299" s="76"/>
      <c r="BA299" s="76" t="b">
        <v>0</v>
      </c>
      <c r="BB299" s="76" t="b">
        <v>1</v>
      </c>
      <c r="BC299" s="76" t="b">
        <v>1</v>
      </c>
      <c r="BD299" s="76" t="b">
        <v>0</v>
      </c>
      <c r="BE299" s="76" t="b">
        <v>0</v>
      </c>
      <c r="BF299" s="76" t="b">
        <v>0</v>
      </c>
      <c r="BG299" s="76" t="b">
        <v>0</v>
      </c>
      <c r="BH299" s="76"/>
      <c r="BI299" s="76"/>
      <c r="BJ299" s="76" t="s">
        <v>6360</v>
      </c>
      <c r="BK299" s="76" t="b">
        <v>0</v>
      </c>
      <c r="BL299" s="76"/>
      <c r="BM299" s="76" t="s">
        <v>66</v>
      </c>
      <c r="BN299" s="76" t="s">
        <v>6362</v>
      </c>
      <c r="BO299" s="83" t="str">
        <f>HYPERLINK("https://twitter.com/leidesalomao")</f>
        <v>https://twitter.com/leidesalomao</v>
      </c>
      <c r="BP299" s="2"/>
    </row>
    <row r="300" spans="1:68" x14ac:dyDescent="0.25">
      <c r="A300" s="62" t="s">
        <v>501</v>
      </c>
      <c r="B300" s="63"/>
      <c r="C300" s="63"/>
      <c r="D300" s="64"/>
      <c r="E300" s="66"/>
      <c r="F300" s="102" t="str">
        <f>HYPERLINK("https://pbs.twimg.com/profile_images/1328021585350025217/H4jzJqXW_normal.jpg")</f>
        <v>https://pbs.twimg.com/profile_images/1328021585350025217/H4jzJqXW_normal.jpg</v>
      </c>
      <c r="G300" s="63"/>
      <c r="H300" s="67"/>
      <c r="I300" s="68"/>
      <c r="J300" s="68"/>
      <c r="K300" s="67" t="s">
        <v>6659</v>
      </c>
      <c r="L300" s="71"/>
      <c r="M300" s="72"/>
      <c r="N300" s="72"/>
      <c r="O300" s="73"/>
      <c r="P300" s="74"/>
      <c r="Q300" s="74"/>
      <c r="R300" s="86"/>
      <c r="S300" s="86"/>
      <c r="T300" s="86"/>
      <c r="U300" s="86"/>
      <c r="V300" s="48"/>
      <c r="W300" s="48"/>
      <c r="X300" s="48"/>
      <c r="Y300" s="48"/>
      <c r="Z300" s="47"/>
      <c r="AA300" s="69">
        <v>300</v>
      </c>
      <c r="AB300" s="69"/>
      <c r="AC300" s="70"/>
      <c r="AD300" s="76" t="s">
        <v>5619</v>
      </c>
      <c r="AE300" s="81" t="s">
        <v>5073</v>
      </c>
      <c r="AF300" s="76">
        <v>19</v>
      </c>
      <c r="AG300" s="76">
        <v>122</v>
      </c>
      <c r="AH300" s="76">
        <v>26</v>
      </c>
      <c r="AI300" s="76">
        <v>1</v>
      </c>
      <c r="AJ300" s="76">
        <v>79</v>
      </c>
      <c r="AK300" s="76">
        <v>0</v>
      </c>
      <c r="AL300" s="76" t="b">
        <v>0</v>
      </c>
      <c r="AM300" s="78">
        <v>41522.571157407408</v>
      </c>
      <c r="AN300" s="76"/>
      <c r="AO300" s="76"/>
      <c r="AP300" s="76"/>
      <c r="AQ300" s="76"/>
      <c r="AR300" s="76"/>
      <c r="AS300" s="76"/>
      <c r="AT300" s="76"/>
      <c r="AU300" s="76"/>
      <c r="AV300" s="76"/>
      <c r="AW300" s="76"/>
      <c r="AX300" s="76" t="b">
        <v>0</v>
      </c>
      <c r="AY300" s="76"/>
      <c r="AZ300" s="76"/>
      <c r="BA300" s="76" t="b">
        <v>0</v>
      </c>
      <c r="BB300" s="76" t="b">
        <v>1</v>
      </c>
      <c r="BC300" s="76" t="b">
        <v>1</v>
      </c>
      <c r="BD300" s="76" t="b">
        <v>0</v>
      </c>
      <c r="BE300" s="76" t="b">
        <v>1</v>
      </c>
      <c r="BF300" s="76" t="b">
        <v>0</v>
      </c>
      <c r="BG300" s="76" t="b">
        <v>0</v>
      </c>
      <c r="BH300" s="76"/>
      <c r="BI300" s="76"/>
      <c r="BJ300" s="76" t="s">
        <v>6360</v>
      </c>
      <c r="BK300" s="76" t="b">
        <v>0</v>
      </c>
      <c r="BL300" s="76"/>
      <c r="BM300" s="76" t="s">
        <v>66</v>
      </c>
      <c r="BN300" s="76" t="s">
        <v>6362</v>
      </c>
      <c r="BO300" s="83" t="str">
        <f>HYPERLINK("https://twitter.com/oluizbaur")</f>
        <v>https://twitter.com/oluizbaur</v>
      </c>
      <c r="BP300" s="2"/>
    </row>
    <row r="301" spans="1:68" x14ac:dyDescent="0.25">
      <c r="A301" s="62" t="s">
        <v>502</v>
      </c>
      <c r="B301" s="63"/>
      <c r="C301" s="63"/>
      <c r="D301" s="64"/>
      <c r="E301" s="66"/>
      <c r="F301" s="102" t="str">
        <f>HYPERLINK("https://abs.twimg.com/sticky/default_profile_images/default_profile_normal.png")</f>
        <v>https://abs.twimg.com/sticky/default_profile_images/default_profile_normal.png</v>
      </c>
      <c r="G301" s="63"/>
      <c r="H301" s="67"/>
      <c r="I301" s="68"/>
      <c r="J301" s="68"/>
      <c r="K301" s="67" t="s">
        <v>6660</v>
      </c>
      <c r="L301" s="71"/>
      <c r="M301" s="72"/>
      <c r="N301" s="72"/>
      <c r="O301" s="73"/>
      <c r="P301" s="74"/>
      <c r="Q301" s="74"/>
      <c r="R301" s="86"/>
      <c r="S301" s="86"/>
      <c r="T301" s="86"/>
      <c r="U301" s="86"/>
      <c r="V301" s="48"/>
      <c r="W301" s="48"/>
      <c r="X301" s="48"/>
      <c r="Y301" s="48"/>
      <c r="Z301" s="47"/>
      <c r="AA301" s="69">
        <v>301</v>
      </c>
      <c r="AB301" s="69"/>
      <c r="AC301" s="70"/>
      <c r="AD301" s="76" t="s">
        <v>5620</v>
      </c>
      <c r="AE301" s="81" t="s">
        <v>5272</v>
      </c>
      <c r="AF301" s="76">
        <v>1</v>
      </c>
      <c r="AG301" s="76">
        <v>2</v>
      </c>
      <c r="AH301" s="76">
        <v>39</v>
      </c>
      <c r="AI301" s="76">
        <v>0</v>
      </c>
      <c r="AJ301" s="76">
        <v>0</v>
      </c>
      <c r="AK301" s="76">
        <v>39</v>
      </c>
      <c r="AL301" s="76" t="b">
        <v>0</v>
      </c>
      <c r="AM301" s="78">
        <v>44990.916319444441</v>
      </c>
      <c r="AN301" s="76"/>
      <c r="AO301" s="76"/>
      <c r="AP301" s="76"/>
      <c r="AQ301" s="76"/>
      <c r="AR301" s="76"/>
      <c r="AS301" s="76"/>
      <c r="AT301" s="76"/>
      <c r="AU301" s="76"/>
      <c r="AV301" s="76"/>
      <c r="AW301" s="76"/>
      <c r="AX301" s="76" t="b">
        <v>0</v>
      </c>
      <c r="AY301" s="76"/>
      <c r="AZ301" s="76"/>
      <c r="BA301" s="76" t="b">
        <v>0</v>
      </c>
      <c r="BB301" s="76" t="b">
        <v>1</v>
      </c>
      <c r="BC301" s="76" t="b">
        <v>1</v>
      </c>
      <c r="BD301" s="76" t="b">
        <v>1</v>
      </c>
      <c r="BE301" s="76" t="b">
        <v>0</v>
      </c>
      <c r="BF301" s="76" t="b">
        <v>0</v>
      </c>
      <c r="BG301" s="76" t="b">
        <v>0</v>
      </c>
      <c r="BH301" s="76"/>
      <c r="BI301" s="76"/>
      <c r="BJ301" s="76" t="s">
        <v>6360</v>
      </c>
      <c r="BK301" s="76" t="b">
        <v>0</v>
      </c>
      <c r="BL301" s="76"/>
      <c r="BM301" s="76" t="s">
        <v>66</v>
      </c>
      <c r="BN301" s="76" t="s">
        <v>6362</v>
      </c>
      <c r="BO301" s="83" t="str">
        <f>HYPERLINK("https://twitter.com/lp4planejamento")</f>
        <v>https://twitter.com/lp4planejamento</v>
      </c>
      <c r="BP301" s="2"/>
    </row>
    <row r="302" spans="1:68" x14ac:dyDescent="0.25">
      <c r="A302" s="62" t="s">
        <v>503</v>
      </c>
      <c r="B302" s="63"/>
      <c r="C302" s="63"/>
      <c r="D302" s="64"/>
      <c r="E302" s="66"/>
      <c r="F302" s="102" t="str">
        <f>HYPERLINK("https://pbs.twimg.com/profile_images/1623640075601846272/vxD1huUj_normal.jpg")</f>
        <v>https://pbs.twimg.com/profile_images/1623640075601846272/vxD1huUj_normal.jpg</v>
      </c>
      <c r="G302" s="63"/>
      <c r="H302" s="67"/>
      <c r="I302" s="68"/>
      <c r="J302" s="68"/>
      <c r="K302" s="67" t="s">
        <v>6661</v>
      </c>
      <c r="L302" s="71"/>
      <c r="M302" s="72"/>
      <c r="N302" s="72"/>
      <c r="O302" s="73"/>
      <c r="P302" s="74"/>
      <c r="Q302" s="74"/>
      <c r="R302" s="86"/>
      <c r="S302" s="86"/>
      <c r="T302" s="86"/>
      <c r="U302" s="86"/>
      <c r="V302" s="48"/>
      <c r="W302" s="48"/>
      <c r="X302" s="48"/>
      <c r="Y302" s="48"/>
      <c r="Z302" s="47"/>
      <c r="AA302" s="69">
        <v>302</v>
      </c>
      <c r="AB302" s="69"/>
      <c r="AC302" s="70"/>
      <c r="AD302" s="76" t="s">
        <v>5621</v>
      </c>
      <c r="AE302" s="81" t="s">
        <v>5273</v>
      </c>
      <c r="AF302" s="76">
        <v>1</v>
      </c>
      <c r="AG302" s="76">
        <v>11</v>
      </c>
      <c r="AH302" s="76">
        <v>3</v>
      </c>
      <c r="AI302" s="76">
        <v>0</v>
      </c>
      <c r="AJ302" s="76">
        <v>0</v>
      </c>
      <c r="AK302" s="76">
        <v>2</v>
      </c>
      <c r="AL302" s="76" t="b">
        <v>0</v>
      </c>
      <c r="AM302" s="78">
        <v>44966.074571759258</v>
      </c>
      <c r="AN302" s="76" t="s">
        <v>5848</v>
      </c>
      <c r="AO302" s="76" t="s">
        <v>6125</v>
      </c>
      <c r="AP302" s="76"/>
      <c r="AQ302" s="76"/>
      <c r="AR302" s="76"/>
      <c r="AS302" s="76"/>
      <c r="AT302" s="76"/>
      <c r="AU302" s="76"/>
      <c r="AV302" s="76"/>
      <c r="AW302" s="76"/>
      <c r="AX302" s="76" t="b">
        <v>0</v>
      </c>
      <c r="AY302" s="76"/>
      <c r="AZ302" s="76"/>
      <c r="BA302" s="76" t="b">
        <v>0</v>
      </c>
      <c r="BB302" s="76" t="b">
        <v>1</v>
      </c>
      <c r="BC302" s="76" t="b">
        <v>1</v>
      </c>
      <c r="BD302" s="76" t="b">
        <v>0</v>
      </c>
      <c r="BE302" s="76" t="b">
        <v>0</v>
      </c>
      <c r="BF302" s="76" t="b">
        <v>0</v>
      </c>
      <c r="BG302" s="76" t="b">
        <v>0</v>
      </c>
      <c r="BH302" s="83" t="str">
        <f>HYPERLINK("https://pbs.twimg.com/profile_banners/1623498711245459456/1675941048")</f>
        <v>https://pbs.twimg.com/profile_banners/1623498711245459456/1675941048</v>
      </c>
      <c r="BI302" s="76"/>
      <c r="BJ302" s="76" t="s">
        <v>6360</v>
      </c>
      <c r="BK302" s="76" t="b">
        <v>0</v>
      </c>
      <c r="BL302" s="76"/>
      <c r="BM302" s="76" t="s">
        <v>66</v>
      </c>
      <c r="BN302" s="76" t="s">
        <v>6362</v>
      </c>
      <c r="BO302" s="83" t="str">
        <f>HYPERLINK("https://twitter.com/eduarda62753236")</f>
        <v>https://twitter.com/eduarda62753236</v>
      </c>
      <c r="BP302" s="2"/>
    </row>
    <row r="303" spans="1:68" x14ac:dyDescent="0.25">
      <c r="A303" s="62" t="s">
        <v>505</v>
      </c>
      <c r="B303" s="63"/>
      <c r="C303" s="63"/>
      <c r="D303" s="64"/>
      <c r="E303" s="66"/>
      <c r="F303" s="102" t="str">
        <f>HYPERLINK("https://pbs.twimg.com/profile_images/1706843210608201728/6b38qu3d_normal.jpg")</f>
        <v>https://pbs.twimg.com/profile_images/1706843210608201728/6b38qu3d_normal.jpg</v>
      </c>
      <c r="G303" s="63"/>
      <c r="H303" s="67"/>
      <c r="I303" s="68"/>
      <c r="J303" s="68"/>
      <c r="K303" s="67" t="s">
        <v>6662</v>
      </c>
      <c r="L303" s="71"/>
      <c r="M303" s="72"/>
      <c r="N303" s="72"/>
      <c r="O303" s="73"/>
      <c r="P303" s="74"/>
      <c r="Q303" s="74"/>
      <c r="R303" s="86"/>
      <c r="S303" s="86"/>
      <c r="T303" s="86"/>
      <c r="U303" s="86"/>
      <c r="V303" s="48"/>
      <c r="W303" s="48"/>
      <c r="X303" s="48"/>
      <c r="Y303" s="48"/>
      <c r="Z303" s="47"/>
      <c r="AA303" s="69">
        <v>303</v>
      </c>
      <c r="AB303" s="69"/>
      <c r="AC303" s="70"/>
      <c r="AD303" s="76" t="s">
        <v>5622</v>
      </c>
      <c r="AE303" s="81" t="s">
        <v>5274</v>
      </c>
      <c r="AF303" s="76">
        <v>42</v>
      </c>
      <c r="AG303" s="76">
        <v>109</v>
      </c>
      <c r="AH303" s="76">
        <v>1054</v>
      </c>
      <c r="AI303" s="76">
        <v>3</v>
      </c>
      <c r="AJ303" s="76">
        <v>2848</v>
      </c>
      <c r="AK303" s="76">
        <v>106</v>
      </c>
      <c r="AL303" s="76" t="b">
        <v>0</v>
      </c>
      <c r="AM303" s="78">
        <v>44911.918842592589</v>
      </c>
      <c r="AN303" s="76" t="s">
        <v>3415</v>
      </c>
      <c r="AO303" s="76"/>
      <c r="AP303" s="83" t="str">
        <f>HYPERLINK("https://t.co/Q7ip4W8BRy")</f>
        <v>https://t.co/Q7ip4W8BRy</v>
      </c>
      <c r="AQ303" s="83" t="str">
        <f>HYPERLINK("http://bento.me/cesarkato")</f>
        <v>http://bento.me/cesarkato</v>
      </c>
      <c r="AR303" s="76" t="s">
        <v>6326</v>
      </c>
      <c r="AS303" s="76"/>
      <c r="AT303" s="76"/>
      <c r="AU303" s="76"/>
      <c r="AV303" s="76"/>
      <c r="AW303" s="83" t="str">
        <f>HYPERLINK("https://t.co/Q7ip4W8BRy")</f>
        <v>https://t.co/Q7ip4W8BRy</v>
      </c>
      <c r="AX303" s="76" t="b">
        <v>0</v>
      </c>
      <c r="AY303" s="76"/>
      <c r="AZ303" s="76"/>
      <c r="BA303" s="76" t="b">
        <v>0</v>
      </c>
      <c r="BB303" s="76" t="b">
        <v>1</v>
      </c>
      <c r="BC303" s="76" t="b">
        <v>1</v>
      </c>
      <c r="BD303" s="76" t="b">
        <v>0</v>
      </c>
      <c r="BE303" s="76" t="b">
        <v>1</v>
      </c>
      <c r="BF303" s="76" t="b">
        <v>0</v>
      </c>
      <c r="BG303" s="76" t="b">
        <v>0</v>
      </c>
      <c r="BH303" s="83" t="str">
        <f>HYPERLINK("https://pbs.twimg.com/profile_banners/1603873155159842827/1671230372")</f>
        <v>https://pbs.twimg.com/profile_banners/1603873155159842827/1671230372</v>
      </c>
      <c r="BI303" s="76"/>
      <c r="BJ303" s="76" t="s">
        <v>6360</v>
      </c>
      <c r="BK303" s="76" t="b">
        <v>0</v>
      </c>
      <c r="BL303" s="76"/>
      <c r="BM303" s="76" t="s">
        <v>66</v>
      </c>
      <c r="BN303" s="76" t="s">
        <v>6362</v>
      </c>
      <c r="BO303" s="83" t="str">
        <f>HYPERLINK("https://twitter.com/ocesarkato")</f>
        <v>https://twitter.com/ocesarkato</v>
      </c>
      <c r="BP303" s="2"/>
    </row>
    <row r="304" spans="1:68" x14ac:dyDescent="0.25">
      <c r="A304" s="62" t="s">
        <v>535</v>
      </c>
      <c r="B304" s="63"/>
      <c r="C304" s="63"/>
      <c r="D304" s="64"/>
      <c r="E304" s="66"/>
      <c r="F304" s="102" t="str">
        <f>HYPERLINK("https://pbs.twimg.com/profile_images/1159581161548652550/WrTZHwXQ_normal.jpg")</f>
        <v>https://pbs.twimg.com/profile_images/1159581161548652550/WrTZHwXQ_normal.jpg</v>
      </c>
      <c r="G304" s="63"/>
      <c r="H304" s="67"/>
      <c r="I304" s="68"/>
      <c r="J304" s="68"/>
      <c r="K304" s="67" t="s">
        <v>6663</v>
      </c>
      <c r="L304" s="71"/>
      <c r="M304" s="72"/>
      <c r="N304" s="72"/>
      <c r="O304" s="73"/>
      <c r="P304" s="74"/>
      <c r="Q304" s="74"/>
      <c r="R304" s="86"/>
      <c r="S304" s="86"/>
      <c r="T304" s="86"/>
      <c r="U304" s="86"/>
      <c r="V304" s="48"/>
      <c r="W304" s="48"/>
      <c r="X304" s="48"/>
      <c r="Y304" s="48"/>
      <c r="Z304" s="47"/>
      <c r="AA304" s="69">
        <v>304</v>
      </c>
      <c r="AB304" s="69"/>
      <c r="AC304" s="70"/>
      <c r="AD304" s="76" t="s">
        <v>5623</v>
      </c>
      <c r="AE304" s="81" t="s">
        <v>5733</v>
      </c>
      <c r="AF304" s="76">
        <v>10580</v>
      </c>
      <c r="AG304" s="76">
        <v>26</v>
      </c>
      <c r="AH304" s="76">
        <v>4345</v>
      </c>
      <c r="AI304" s="76">
        <v>82</v>
      </c>
      <c r="AJ304" s="76">
        <v>980</v>
      </c>
      <c r="AK304" s="76">
        <v>1555</v>
      </c>
      <c r="AL304" s="76" t="b">
        <v>0</v>
      </c>
      <c r="AM304" s="78">
        <v>40843.792060185187</v>
      </c>
      <c r="AN304" s="76" t="s">
        <v>3410</v>
      </c>
      <c r="AO304" s="76" t="s">
        <v>6126</v>
      </c>
      <c r="AP304" s="83" t="str">
        <f>HYPERLINK("https://t.co/ZGpgf0mrrT")</f>
        <v>https://t.co/ZGpgf0mrrT</v>
      </c>
      <c r="AQ304" s="83" t="str">
        <f>HYPERLINK("http://www.anbima.com.br")</f>
        <v>http://www.anbima.com.br</v>
      </c>
      <c r="AR304" s="76" t="s">
        <v>6327</v>
      </c>
      <c r="AS304" s="76"/>
      <c r="AT304" s="76"/>
      <c r="AU304" s="76"/>
      <c r="AV304" s="76"/>
      <c r="AW304" s="83" t="str">
        <f>HYPERLINK("https://t.co/ZGpgf0mrrT")</f>
        <v>https://t.co/ZGpgf0mrrT</v>
      </c>
      <c r="AX304" s="76" t="b">
        <v>0</v>
      </c>
      <c r="AY304" s="76"/>
      <c r="AZ304" s="76"/>
      <c r="BA304" s="76" t="b">
        <v>1</v>
      </c>
      <c r="BB304" s="76" t="b">
        <v>1</v>
      </c>
      <c r="BC304" s="76" t="b">
        <v>0</v>
      </c>
      <c r="BD304" s="76" t="b">
        <v>0</v>
      </c>
      <c r="BE304" s="76" t="b">
        <v>0</v>
      </c>
      <c r="BF304" s="76" t="b">
        <v>0</v>
      </c>
      <c r="BG304" s="76" t="b">
        <v>0</v>
      </c>
      <c r="BH304" s="83" t="str">
        <f>HYPERLINK("https://pbs.twimg.com/profile_banners/399598534/1672943911")</f>
        <v>https://pbs.twimg.com/profile_banners/399598534/1672943911</v>
      </c>
      <c r="BI304" s="76"/>
      <c r="BJ304" s="76" t="s">
        <v>6360</v>
      </c>
      <c r="BK304" s="76" t="b">
        <v>0</v>
      </c>
      <c r="BL304" s="76"/>
      <c r="BM304" s="76" t="s">
        <v>65</v>
      </c>
      <c r="BN304" s="76" t="s">
        <v>6362</v>
      </c>
      <c r="BO304" s="83" t="str">
        <f>HYPERLINK("https://twitter.com/anbima_br")</f>
        <v>https://twitter.com/anbima_br</v>
      </c>
      <c r="BP304" s="2"/>
    </row>
    <row r="305" spans="1:68" x14ac:dyDescent="0.25">
      <c r="A305" s="62" t="s">
        <v>506</v>
      </c>
      <c r="B305" s="63"/>
      <c r="C305" s="63"/>
      <c r="D305" s="64"/>
      <c r="E305" s="66"/>
      <c r="F305" s="102" t="str">
        <f>HYPERLINK("https://pbs.twimg.com/profile_images/1517820485064867842/hG9izvPU_normal.jpg")</f>
        <v>https://pbs.twimg.com/profile_images/1517820485064867842/hG9izvPU_normal.jpg</v>
      </c>
      <c r="G305" s="63"/>
      <c r="H305" s="67"/>
      <c r="I305" s="68"/>
      <c r="J305" s="68"/>
      <c r="K305" s="67" t="s">
        <v>6664</v>
      </c>
      <c r="L305" s="71"/>
      <c r="M305" s="72"/>
      <c r="N305" s="72"/>
      <c r="O305" s="73"/>
      <c r="P305" s="74"/>
      <c r="Q305" s="74"/>
      <c r="R305" s="86"/>
      <c r="S305" s="86"/>
      <c r="T305" s="86"/>
      <c r="U305" s="86"/>
      <c r="V305" s="48"/>
      <c r="W305" s="48"/>
      <c r="X305" s="48"/>
      <c r="Y305" s="48"/>
      <c r="Z305" s="47"/>
      <c r="AA305" s="69">
        <v>305</v>
      </c>
      <c r="AB305" s="69"/>
      <c r="AC305" s="70"/>
      <c r="AD305" s="76" t="s">
        <v>5624</v>
      </c>
      <c r="AE305" s="81" t="s">
        <v>5275</v>
      </c>
      <c r="AF305" s="76">
        <v>395</v>
      </c>
      <c r="AG305" s="76">
        <v>3</v>
      </c>
      <c r="AH305" s="76">
        <v>12930</v>
      </c>
      <c r="AI305" s="76">
        <v>4</v>
      </c>
      <c r="AJ305" s="76">
        <v>135</v>
      </c>
      <c r="AK305" s="76">
        <v>1858</v>
      </c>
      <c r="AL305" s="76" t="b">
        <v>0</v>
      </c>
      <c r="AM305" s="78">
        <v>42594.446342592593</v>
      </c>
      <c r="AN305" s="76" t="s">
        <v>5849</v>
      </c>
      <c r="AO305" s="76"/>
      <c r="AP305" s="83" t="str">
        <f>HYPERLINK("https://t.co/pOb4jJWEUK")</f>
        <v>https://t.co/pOb4jJWEUK</v>
      </c>
      <c r="AQ305" s="83" t="str">
        <f>HYPERLINK("http://www.holisticinvestment.in")</f>
        <v>http://www.holisticinvestment.in</v>
      </c>
      <c r="AR305" s="76" t="s">
        <v>5624</v>
      </c>
      <c r="AS305" s="76"/>
      <c r="AT305" s="76"/>
      <c r="AU305" s="76"/>
      <c r="AV305" s="76"/>
      <c r="AW305" s="83" t="str">
        <f>HYPERLINK("https://t.co/pOb4jJWEUK")</f>
        <v>https://t.co/pOb4jJWEUK</v>
      </c>
      <c r="AX305" s="76" t="b">
        <v>0</v>
      </c>
      <c r="AY305" s="76"/>
      <c r="AZ305" s="76"/>
      <c r="BA305" s="76" t="b">
        <v>1</v>
      </c>
      <c r="BB305" s="76" t="b">
        <v>1</v>
      </c>
      <c r="BC305" s="76" t="b">
        <v>0</v>
      </c>
      <c r="BD305" s="76" t="b">
        <v>0</v>
      </c>
      <c r="BE305" s="76" t="b">
        <v>1</v>
      </c>
      <c r="BF305" s="76" t="b">
        <v>0</v>
      </c>
      <c r="BG305" s="76" t="b">
        <v>0</v>
      </c>
      <c r="BH305" s="83" t="str">
        <f>HYPERLINK("https://pbs.twimg.com/profile_banners/764049471151886336/1552737947")</f>
        <v>https://pbs.twimg.com/profile_banners/764049471151886336/1552737947</v>
      </c>
      <c r="BI305" s="76"/>
      <c r="BJ305" s="76" t="s">
        <v>6360</v>
      </c>
      <c r="BK305" s="76" t="b">
        <v>0</v>
      </c>
      <c r="BL305" s="76"/>
      <c r="BM305" s="76" t="s">
        <v>66</v>
      </c>
      <c r="BN305" s="76" t="s">
        <v>6362</v>
      </c>
      <c r="BO305" s="83" t="str">
        <f>HYPERLINK("https://twitter.com/holistic_invest")</f>
        <v>https://twitter.com/holistic_invest</v>
      </c>
      <c r="BP305" s="2"/>
    </row>
    <row r="306" spans="1:68" x14ac:dyDescent="0.25">
      <c r="A306" s="62" t="s">
        <v>508</v>
      </c>
      <c r="B306" s="63"/>
      <c r="C306" s="63"/>
      <c r="D306" s="64"/>
      <c r="E306" s="66"/>
      <c r="F306" s="102" t="str">
        <f>HYPERLINK("https://pbs.twimg.com/profile_images/1586513059538944002/VN-S0mCF_normal.jpg")</f>
        <v>https://pbs.twimg.com/profile_images/1586513059538944002/VN-S0mCF_normal.jpg</v>
      </c>
      <c r="G306" s="63"/>
      <c r="H306" s="67"/>
      <c r="I306" s="68"/>
      <c r="J306" s="68"/>
      <c r="K306" s="67" t="s">
        <v>6665</v>
      </c>
      <c r="L306" s="71"/>
      <c r="M306" s="72"/>
      <c r="N306" s="72"/>
      <c r="O306" s="73"/>
      <c r="P306" s="74"/>
      <c r="Q306" s="74"/>
      <c r="R306" s="86"/>
      <c r="S306" s="86"/>
      <c r="T306" s="86"/>
      <c r="U306" s="86"/>
      <c r="V306" s="48"/>
      <c r="W306" s="48"/>
      <c r="X306" s="48"/>
      <c r="Y306" s="48"/>
      <c r="Z306" s="47"/>
      <c r="AA306" s="69">
        <v>306</v>
      </c>
      <c r="AB306" s="69"/>
      <c r="AC306" s="70"/>
      <c r="AD306" s="76" t="s">
        <v>5625</v>
      </c>
      <c r="AE306" s="81" t="s">
        <v>5277</v>
      </c>
      <c r="AF306" s="76">
        <v>15</v>
      </c>
      <c r="AG306" s="76">
        <v>191</v>
      </c>
      <c r="AH306" s="76">
        <v>2513</v>
      </c>
      <c r="AI306" s="76">
        <v>0</v>
      </c>
      <c r="AJ306" s="76">
        <v>4151</v>
      </c>
      <c r="AK306" s="76">
        <v>110</v>
      </c>
      <c r="AL306" s="76" t="b">
        <v>0</v>
      </c>
      <c r="AM306" s="78">
        <v>44767.892592592594</v>
      </c>
      <c r="AN306" s="76"/>
      <c r="AO306" s="76" t="s">
        <v>6127</v>
      </c>
      <c r="AP306" s="76"/>
      <c r="AQ306" s="76"/>
      <c r="AR306" s="76"/>
      <c r="AS306" s="76"/>
      <c r="AT306" s="76"/>
      <c r="AU306" s="76"/>
      <c r="AV306" s="76">
        <v>1.67928741405601E+18</v>
      </c>
      <c r="AW306" s="76"/>
      <c r="AX306" s="76" t="b">
        <v>0</v>
      </c>
      <c r="AY306" s="76"/>
      <c r="AZ306" s="76"/>
      <c r="BA306" s="76" t="b">
        <v>0</v>
      </c>
      <c r="BB306" s="76" t="b">
        <v>0</v>
      </c>
      <c r="BC306" s="76" t="b">
        <v>1</v>
      </c>
      <c r="BD306" s="76" t="b">
        <v>0</v>
      </c>
      <c r="BE306" s="76" t="b">
        <v>0</v>
      </c>
      <c r="BF306" s="76" t="b">
        <v>0</v>
      </c>
      <c r="BG306" s="76" t="b">
        <v>0</v>
      </c>
      <c r="BH306" s="83" t="str">
        <f>HYPERLINK("https://pbs.twimg.com/profile_banners/1551679889773846531/1685413201")</f>
        <v>https://pbs.twimg.com/profile_banners/1551679889773846531/1685413201</v>
      </c>
      <c r="BI306" s="76"/>
      <c r="BJ306" s="76" t="s">
        <v>6360</v>
      </c>
      <c r="BK306" s="76" t="b">
        <v>0</v>
      </c>
      <c r="BL306" s="76"/>
      <c r="BM306" s="76" t="s">
        <v>66</v>
      </c>
      <c r="BN306" s="76" t="s">
        <v>6362</v>
      </c>
      <c r="BO306" s="83" t="str">
        <f>HYPERLINK("https://twitter.com/caah_sou2")</f>
        <v>https://twitter.com/caah_sou2</v>
      </c>
      <c r="BP306" s="2"/>
    </row>
    <row r="307" spans="1:68" x14ac:dyDescent="0.25">
      <c r="A307" s="62" t="s">
        <v>509</v>
      </c>
      <c r="B307" s="63"/>
      <c r="C307" s="63"/>
      <c r="D307" s="64"/>
      <c r="E307" s="66"/>
      <c r="F307" s="102" t="str">
        <f>HYPERLINK("https://pbs.twimg.com/profile_images/1637084825243852800/vgQBsMiN_normal.jpg")</f>
        <v>https://pbs.twimg.com/profile_images/1637084825243852800/vgQBsMiN_normal.jpg</v>
      </c>
      <c r="G307" s="63"/>
      <c r="H307" s="67"/>
      <c r="I307" s="68"/>
      <c r="J307" s="68"/>
      <c r="K307" s="67" t="s">
        <v>6666</v>
      </c>
      <c r="L307" s="71"/>
      <c r="M307" s="72"/>
      <c r="N307" s="72"/>
      <c r="O307" s="73"/>
      <c r="P307" s="74"/>
      <c r="Q307" s="74"/>
      <c r="R307" s="86"/>
      <c r="S307" s="86"/>
      <c r="T307" s="86"/>
      <c r="U307" s="86"/>
      <c r="V307" s="48"/>
      <c r="W307" s="48"/>
      <c r="X307" s="48"/>
      <c r="Y307" s="48"/>
      <c r="Z307" s="47"/>
      <c r="AA307" s="69">
        <v>307</v>
      </c>
      <c r="AB307" s="69"/>
      <c r="AC307" s="70"/>
      <c r="AD307" s="76" t="s">
        <v>5626</v>
      </c>
      <c r="AE307" s="81" t="s">
        <v>5278</v>
      </c>
      <c r="AF307" s="76">
        <v>17</v>
      </c>
      <c r="AG307" s="76">
        <v>77</v>
      </c>
      <c r="AH307" s="76">
        <v>298</v>
      </c>
      <c r="AI307" s="76">
        <v>0</v>
      </c>
      <c r="AJ307" s="76">
        <v>220</v>
      </c>
      <c r="AK307" s="76">
        <v>0</v>
      </c>
      <c r="AL307" s="76" t="b">
        <v>0</v>
      </c>
      <c r="AM307" s="78">
        <v>43972.905555555553</v>
      </c>
      <c r="AN307" s="76" t="s">
        <v>5850</v>
      </c>
      <c r="AO307" s="76" t="s">
        <v>6128</v>
      </c>
      <c r="AP307" s="83" t="str">
        <f>HYPERLINK("https://t.co/8hmmMMqNwP")</f>
        <v>https://t.co/8hmmMMqNwP</v>
      </c>
      <c r="AQ307" s="83" t="str">
        <f>HYPERLINK("https://instagram.com/adori.almeida")</f>
        <v>https://instagram.com/adori.almeida</v>
      </c>
      <c r="AR307" s="76" t="s">
        <v>6328</v>
      </c>
      <c r="AS307" s="76"/>
      <c r="AT307" s="76"/>
      <c r="AU307" s="76"/>
      <c r="AV307" s="76">
        <v>1.64317019136115E+18</v>
      </c>
      <c r="AW307" s="83" t="str">
        <f>HYPERLINK("https://t.co/8hmmMMqNwP")</f>
        <v>https://t.co/8hmmMMqNwP</v>
      </c>
      <c r="AX307" s="76" t="b">
        <v>0</v>
      </c>
      <c r="AY307" s="76"/>
      <c r="AZ307" s="76"/>
      <c r="BA307" s="76" t="b">
        <v>0</v>
      </c>
      <c r="BB307" s="76" t="b">
        <v>1</v>
      </c>
      <c r="BC307" s="76" t="b">
        <v>1</v>
      </c>
      <c r="BD307" s="76" t="b">
        <v>0</v>
      </c>
      <c r="BE307" s="76" t="b">
        <v>1</v>
      </c>
      <c r="BF307" s="76" t="b">
        <v>0</v>
      </c>
      <c r="BG307" s="76" t="b">
        <v>0</v>
      </c>
      <c r="BH307" s="83" t="str">
        <f>HYPERLINK("https://pbs.twimg.com/profile_banners/1263586326487564290/1679147441")</f>
        <v>https://pbs.twimg.com/profile_banners/1263586326487564290/1679147441</v>
      </c>
      <c r="BI307" s="76"/>
      <c r="BJ307" s="76" t="s">
        <v>6360</v>
      </c>
      <c r="BK307" s="76" t="b">
        <v>0</v>
      </c>
      <c r="BL307" s="76"/>
      <c r="BM307" s="76" t="s">
        <v>66</v>
      </c>
      <c r="BN307" s="76" t="s">
        <v>6362</v>
      </c>
      <c r="BO307" s="83" t="str">
        <f>HYPERLINK("https://twitter.com/adorialmeida")</f>
        <v>https://twitter.com/adorialmeida</v>
      </c>
      <c r="BP307" s="2"/>
    </row>
    <row r="308" spans="1:68" x14ac:dyDescent="0.25">
      <c r="A308" s="62" t="s">
        <v>510</v>
      </c>
      <c r="B308" s="63"/>
      <c r="C308" s="63"/>
      <c r="D308" s="64"/>
      <c r="E308" s="66"/>
      <c r="F308" s="102" t="str">
        <f>HYPERLINK("https://pbs.twimg.com/profile_images/1665081532455821312/Yh2qs3r3_normal.jpg")</f>
        <v>https://pbs.twimg.com/profile_images/1665081532455821312/Yh2qs3r3_normal.jpg</v>
      </c>
      <c r="G308" s="63"/>
      <c r="H308" s="67"/>
      <c r="I308" s="68"/>
      <c r="J308" s="68"/>
      <c r="K308" s="67" t="s">
        <v>6667</v>
      </c>
      <c r="L308" s="71"/>
      <c r="M308" s="72"/>
      <c r="N308" s="72"/>
      <c r="O308" s="73"/>
      <c r="P308" s="74"/>
      <c r="Q308" s="74"/>
      <c r="R308" s="86"/>
      <c r="S308" s="86"/>
      <c r="T308" s="86"/>
      <c r="U308" s="86"/>
      <c r="V308" s="48"/>
      <c r="W308" s="48"/>
      <c r="X308" s="48"/>
      <c r="Y308" s="48"/>
      <c r="Z308" s="47"/>
      <c r="AA308" s="69">
        <v>308</v>
      </c>
      <c r="AB308" s="69"/>
      <c r="AC308" s="70"/>
      <c r="AD308" s="76" t="s">
        <v>5627</v>
      </c>
      <c r="AE308" s="81" t="s">
        <v>5279</v>
      </c>
      <c r="AF308" s="76">
        <v>106345</v>
      </c>
      <c r="AG308" s="76">
        <v>0</v>
      </c>
      <c r="AH308" s="76">
        <v>488</v>
      </c>
      <c r="AI308" s="76">
        <v>61</v>
      </c>
      <c r="AJ308" s="76">
        <v>194</v>
      </c>
      <c r="AK308" s="76">
        <v>265</v>
      </c>
      <c r="AL308" s="76" t="b">
        <v>0</v>
      </c>
      <c r="AM308" s="78">
        <v>43953.634398148148</v>
      </c>
      <c r="AN308" s="76" t="s">
        <v>3410</v>
      </c>
      <c r="AO308" s="76" t="s">
        <v>6129</v>
      </c>
      <c r="AP308" s="83" t="str">
        <f>HYPERLINK("https://t.co/Qsy3zizQUp")</f>
        <v>https://t.co/Qsy3zizQUp</v>
      </c>
      <c r="AQ308" s="83" t="str">
        <f>HYPERLINK("https://www.amazon.com.br/dp/B07PN1MF14")</f>
        <v>https://www.amazon.com.br/dp/B07PN1MF14</v>
      </c>
      <c r="AR308" s="76" t="s">
        <v>6329</v>
      </c>
      <c r="AS308" s="76"/>
      <c r="AT308" s="76"/>
      <c r="AU308" s="76"/>
      <c r="AV308" s="76">
        <v>1.6667696975665999E+18</v>
      </c>
      <c r="AW308" s="83" t="str">
        <f>HYPERLINK("https://t.co/Qsy3zizQUp")</f>
        <v>https://t.co/Qsy3zizQUp</v>
      </c>
      <c r="AX308" s="76" t="b">
        <v>1</v>
      </c>
      <c r="AY308" s="76"/>
      <c r="AZ308" s="76"/>
      <c r="BA308" s="76" t="b">
        <v>0</v>
      </c>
      <c r="BB308" s="76" t="b">
        <v>0</v>
      </c>
      <c r="BC308" s="76" t="b">
        <v>1</v>
      </c>
      <c r="BD308" s="76" t="b">
        <v>0</v>
      </c>
      <c r="BE308" s="76" t="b">
        <v>1</v>
      </c>
      <c r="BF308" s="76" t="b">
        <v>0</v>
      </c>
      <c r="BG308" s="76" t="b">
        <v>0</v>
      </c>
      <c r="BH308" s="83" t="str">
        <f>HYPERLINK("https://pbs.twimg.com/profile_banners/1256602692220260355/1685821170")</f>
        <v>https://pbs.twimg.com/profile_banners/1256602692220260355/1685821170</v>
      </c>
      <c r="BI308" s="76"/>
      <c r="BJ308" s="76" t="s">
        <v>6360</v>
      </c>
      <c r="BK308" s="76" t="b">
        <v>0</v>
      </c>
      <c r="BL308" s="76"/>
      <c r="BM308" s="76" t="s">
        <v>66</v>
      </c>
      <c r="BN308" s="76" t="s">
        <v>6362</v>
      </c>
      <c r="BO308" s="83" t="str">
        <f>HYPERLINK("https://twitter.com/mat_financeira")</f>
        <v>https://twitter.com/mat_financeira</v>
      </c>
      <c r="BP308" s="2"/>
    </row>
    <row r="309" spans="1:68" x14ac:dyDescent="0.25">
      <c r="A309" s="62" t="s">
        <v>511</v>
      </c>
      <c r="B309" s="63"/>
      <c r="C309" s="63"/>
      <c r="D309" s="64"/>
      <c r="E309" s="66"/>
      <c r="F309" s="102" t="str">
        <f>HYPERLINK("https://pbs.twimg.com/profile_images/1375178916239904776/Jwh1A_yK_normal.jpg")</f>
        <v>https://pbs.twimg.com/profile_images/1375178916239904776/Jwh1A_yK_normal.jpg</v>
      </c>
      <c r="G309" s="63"/>
      <c r="H309" s="67"/>
      <c r="I309" s="68"/>
      <c r="J309" s="68"/>
      <c r="K309" s="67" t="s">
        <v>6668</v>
      </c>
      <c r="L309" s="71"/>
      <c r="M309" s="72"/>
      <c r="N309" s="72"/>
      <c r="O309" s="73"/>
      <c r="P309" s="74"/>
      <c r="Q309" s="74"/>
      <c r="R309" s="86"/>
      <c r="S309" s="86"/>
      <c r="T309" s="86"/>
      <c r="U309" s="86"/>
      <c r="V309" s="48"/>
      <c r="W309" s="48"/>
      <c r="X309" s="48"/>
      <c r="Y309" s="48"/>
      <c r="Z309" s="47"/>
      <c r="AA309" s="69">
        <v>309</v>
      </c>
      <c r="AB309" s="69"/>
      <c r="AC309" s="70"/>
      <c r="AD309" s="76" t="s">
        <v>5628</v>
      </c>
      <c r="AE309" s="81" t="s">
        <v>5734</v>
      </c>
      <c r="AF309" s="76">
        <v>19</v>
      </c>
      <c r="AG309" s="76">
        <v>22</v>
      </c>
      <c r="AH309" s="76">
        <v>100</v>
      </c>
      <c r="AI309" s="76">
        <v>0</v>
      </c>
      <c r="AJ309" s="76">
        <v>54</v>
      </c>
      <c r="AK309" s="76">
        <v>2</v>
      </c>
      <c r="AL309" s="76" t="b">
        <v>0</v>
      </c>
      <c r="AM309" s="78">
        <v>41310.880231481482</v>
      </c>
      <c r="AN309" s="76" t="s">
        <v>5851</v>
      </c>
      <c r="AO309" s="76" t="s">
        <v>6130</v>
      </c>
      <c r="AP309" s="83" t="str">
        <f>HYPERLINK("https://t.co/NGrOrPRMPq")</f>
        <v>https://t.co/NGrOrPRMPq</v>
      </c>
      <c r="AQ309" s="83" t="str">
        <f>HYPERLINK("https://www.supreste.com.br")</f>
        <v>https://www.supreste.com.br</v>
      </c>
      <c r="AR309" s="76" t="s">
        <v>6330</v>
      </c>
      <c r="AS309" s="76"/>
      <c r="AT309" s="76"/>
      <c r="AU309" s="76"/>
      <c r="AV309" s="76"/>
      <c r="AW309" s="83" t="str">
        <f>HYPERLINK("https://t.co/NGrOrPRMPq")</f>
        <v>https://t.co/NGrOrPRMPq</v>
      </c>
      <c r="AX309" s="76" t="b">
        <v>0</v>
      </c>
      <c r="AY309" s="76"/>
      <c r="AZ309" s="76"/>
      <c r="BA309" s="76" t="b">
        <v>0</v>
      </c>
      <c r="BB309" s="76" t="b">
        <v>1</v>
      </c>
      <c r="BC309" s="76" t="b">
        <v>1</v>
      </c>
      <c r="BD309" s="76" t="b">
        <v>0</v>
      </c>
      <c r="BE309" s="76" t="b">
        <v>0</v>
      </c>
      <c r="BF309" s="76" t="b">
        <v>0</v>
      </c>
      <c r="BG309" s="76" t="b">
        <v>0</v>
      </c>
      <c r="BH309" s="83" t="str">
        <f>HYPERLINK("https://pbs.twimg.com/profile_banners/1152068936/1360172159")</f>
        <v>https://pbs.twimg.com/profile_banners/1152068936/1360172159</v>
      </c>
      <c r="BI309" s="76"/>
      <c r="BJ309" s="76" t="s">
        <v>6360</v>
      </c>
      <c r="BK309" s="76" t="b">
        <v>0</v>
      </c>
      <c r="BL309" s="76"/>
      <c r="BM309" s="76" t="s">
        <v>66</v>
      </c>
      <c r="BN309" s="76" t="s">
        <v>6362</v>
      </c>
      <c r="BO309" s="83" t="str">
        <f>HYPERLINK("https://twitter.com/limaclayson")</f>
        <v>https://twitter.com/limaclayson</v>
      </c>
      <c r="BP309" s="2"/>
    </row>
    <row r="310" spans="1:68" x14ac:dyDescent="0.25">
      <c r="A310" s="62" t="s">
        <v>512</v>
      </c>
      <c r="B310" s="63"/>
      <c r="C310" s="63"/>
      <c r="D310" s="64"/>
      <c r="E310" s="66"/>
      <c r="F310" s="102" t="str">
        <f>HYPERLINK("https://pbs.twimg.com/profile_images/1347188810921242627/AADjTJ-9_normal.png")</f>
        <v>https://pbs.twimg.com/profile_images/1347188810921242627/AADjTJ-9_normal.png</v>
      </c>
      <c r="G310" s="63"/>
      <c r="H310" s="67"/>
      <c r="I310" s="68"/>
      <c r="J310" s="68"/>
      <c r="K310" s="67" t="s">
        <v>6669</v>
      </c>
      <c r="L310" s="71"/>
      <c r="M310" s="72"/>
      <c r="N310" s="72"/>
      <c r="O310" s="73"/>
      <c r="P310" s="74"/>
      <c r="Q310" s="74"/>
      <c r="R310" s="86"/>
      <c r="S310" s="86"/>
      <c r="T310" s="86"/>
      <c r="U310" s="86"/>
      <c r="V310" s="48"/>
      <c r="W310" s="48"/>
      <c r="X310" s="48"/>
      <c r="Y310" s="48"/>
      <c r="Z310" s="47"/>
      <c r="AA310" s="69">
        <v>310</v>
      </c>
      <c r="AB310" s="69"/>
      <c r="AC310" s="70"/>
      <c r="AD310" s="76" t="s">
        <v>5629</v>
      </c>
      <c r="AE310" s="81" t="s">
        <v>5280</v>
      </c>
      <c r="AF310" s="76">
        <v>4</v>
      </c>
      <c r="AG310" s="76">
        <v>9</v>
      </c>
      <c r="AH310" s="76">
        <v>257</v>
      </c>
      <c r="AI310" s="76">
        <v>0</v>
      </c>
      <c r="AJ310" s="76">
        <v>95</v>
      </c>
      <c r="AK310" s="76">
        <v>223</v>
      </c>
      <c r="AL310" s="76" t="b">
        <v>0</v>
      </c>
      <c r="AM310" s="78">
        <v>44203.55505787037</v>
      </c>
      <c r="AN310" s="76" t="s">
        <v>3435</v>
      </c>
      <c r="AO310" s="76" t="s">
        <v>6131</v>
      </c>
      <c r="AP310" s="83" t="str">
        <f>HYPERLINK("https://t.co/PTw86qBqqe")</f>
        <v>https://t.co/PTw86qBqqe</v>
      </c>
      <c r="AQ310" s="83" t="str">
        <f>HYPERLINK("http://gestaumdigital.com.br/")</f>
        <v>http://gestaumdigital.com.br/</v>
      </c>
      <c r="AR310" s="76" t="s">
        <v>6331</v>
      </c>
      <c r="AS310" s="76"/>
      <c r="AT310" s="76"/>
      <c r="AU310" s="76"/>
      <c r="AV310" s="76">
        <v>1.6114438097993101E+18</v>
      </c>
      <c r="AW310" s="83" t="str">
        <f>HYPERLINK("https://t.co/PTw86qBqqe")</f>
        <v>https://t.co/PTw86qBqqe</v>
      </c>
      <c r="AX310" s="76" t="b">
        <v>0</v>
      </c>
      <c r="AY310" s="76"/>
      <c r="AZ310" s="76"/>
      <c r="BA310" s="76" t="b">
        <v>0</v>
      </c>
      <c r="BB310" s="76" t="b">
        <v>1</v>
      </c>
      <c r="BC310" s="76" t="b">
        <v>1</v>
      </c>
      <c r="BD310" s="76" t="b">
        <v>0</v>
      </c>
      <c r="BE310" s="76" t="b">
        <v>0</v>
      </c>
      <c r="BF310" s="76" t="b">
        <v>0</v>
      </c>
      <c r="BG310" s="76" t="b">
        <v>0</v>
      </c>
      <c r="BH310" s="83" t="str">
        <f>HYPERLINK("https://pbs.twimg.com/profile_banners/1347170919643541504/1610029817")</f>
        <v>https://pbs.twimg.com/profile_banners/1347170919643541504/1610029817</v>
      </c>
      <c r="BI310" s="76"/>
      <c r="BJ310" s="76" t="s">
        <v>6360</v>
      </c>
      <c r="BK310" s="76" t="b">
        <v>0</v>
      </c>
      <c r="BL310" s="76"/>
      <c r="BM310" s="76" t="s">
        <v>66</v>
      </c>
      <c r="BN310" s="76" t="s">
        <v>6362</v>
      </c>
      <c r="BO310" s="83" t="str">
        <f>HYPERLINK("https://twitter.com/gestaumdigital")</f>
        <v>https://twitter.com/gestaumdigital</v>
      </c>
      <c r="BP310" s="2"/>
    </row>
    <row r="311" spans="1:68" x14ac:dyDescent="0.25">
      <c r="A311" s="62" t="s">
        <v>513</v>
      </c>
      <c r="B311" s="63"/>
      <c r="C311" s="63"/>
      <c r="D311" s="64"/>
      <c r="E311" s="66"/>
      <c r="F311" s="102" t="str">
        <f>HYPERLINK("https://pbs.twimg.com/profile_images/1476747087643557889/GbtzTnGb_normal.jpg")</f>
        <v>https://pbs.twimg.com/profile_images/1476747087643557889/GbtzTnGb_normal.jpg</v>
      </c>
      <c r="G311" s="63"/>
      <c r="H311" s="67"/>
      <c r="I311" s="68"/>
      <c r="J311" s="68"/>
      <c r="K311" s="67" t="s">
        <v>6670</v>
      </c>
      <c r="L311" s="71"/>
      <c r="M311" s="72"/>
      <c r="N311" s="72"/>
      <c r="O311" s="73"/>
      <c r="P311" s="74"/>
      <c r="Q311" s="74"/>
      <c r="R311" s="86"/>
      <c r="S311" s="86"/>
      <c r="T311" s="86"/>
      <c r="U311" s="86"/>
      <c r="V311" s="48"/>
      <c r="W311" s="48"/>
      <c r="X311" s="48"/>
      <c r="Y311" s="48"/>
      <c r="Z311" s="47"/>
      <c r="AA311" s="69">
        <v>311</v>
      </c>
      <c r="AB311" s="69"/>
      <c r="AC311" s="70"/>
      <c r="AD311" s="76" t="s">
        <v>5630</v>
      </c>
      <c r="AE311" s="81" t="s">
        <v>5281</v>
      </c>
      <c r="AF311" s="76">
        <v>1</v>
      </c>
      <c r="AG311" s="76">
        <v>9</v>
      </c>
      <c r="AH311" s="76">
        <v>10</v>
      </c>
      <c r="AI311" s="76">
        <v>0</v>
      </c>
      <c r="AJ311" s="76">
        <v>43</v>
      </c>
      <c r="AK311" s="76">
        <v>4</v>
      </c>
      <c r="AL311" s="76" t="b">
        <v>0</v>
      </c>
      <c r="AM311" s="78">
        <v>44561.082743055558</v>
      </c>
      <c r="AN311" s="76" t="s">
        <v>5852</v>
      </c>
      <c r="AO311" s="76" t="s">
        <v>6132</v>
      </c>
      <c r="AP311" s="76"/>
      <c r="AQ311" s="76"/>
      <c r="AR311" s="76"/>
      <c r="AS311" s="76"/>
      <c r="AT311" s="76"/>
      <c r="AU311" s="76"/>
      <c r="AV311" s="76">
        <v>1.66072232072014E+18</v>
      </c>
      <c r="AW311" s="76"/>
      <c r="AX311" s="76" t="b">
        <v>0</v>
      </c>
      <c r="AY311" s="76"/>
      <c r="AZ311" s="76"/>
      <c r="BA311" s="76" t="b">
        <v>1</v>
      </c>
      <c r="BB311" s="76" t="b">
        <v>1</v>
      </c>
      <c r="BC311" s="76" t="b">
        <v>1</v>
      </c>
      <c r="BD311" s="76" t="b">
        <v>0</v>
      </c>
      <c r="BE311" s="76" t="b">
        <v>0</v>
      </c>
      <c r="BF311" s="76" t="b">
        <v>0</v>
      </c>
      <c r="BG311" s="76" t="b">
        <v>0</v>
      </c>
      <c r="BH311" s="83" t="str">
        <f>HYPERLINK("https://pbs.twimg.com/profile_banners/1476734569542037538/1641412223")</f>
        <v>https://pbs.twimg.com/profile_banners/1476734569542037538/1641412223</v>
      </c>
      <c r="BI311" s="76"/>
      <c r="BJ311" s="76" t="s">
        <v>6360</v>
      </c>
      <c r="BK311" s="76" t="b">
        <v>0</v>
      </c>
      <c r="BL311" s="76"/>
      <c r="BM311" s="76" t="s">
        <v>66</v>
      </c>
      <c r="BN311" s="76" t="s">
        <v>6362</v>
      </c>
      <c r="BO311" s="83" t="str">
        <f>HYPERLINK("https://twitter.com/seshat_e")</f>
        <v>https://twitter.com/seshat_e</v>
      </c>
      <c r="BP311" s="2"/>
    </row>
    <row r="312" spans="1:68" x14ac:dyDescent="0.25">
      <c r="A312" s="62" t="s">
        <v>514</v>
      </c>
      <c r="B312" s="63"/>
      <c r="C312" s="63"/>
      <c r="D312" s="64"/>
      <c r="E312" s="66"/>
      <c r="F312" s="102" t="str">
        <f>HYPERLINK("https://pbs.twimg.com/profile_images/1669683146231513089/meqwzjyL_normal.jpg")</f>
        <v>https://pbs.twimg.com/profile_images/1669683146231513089/meqwzjyL_normal.jpg</v>
      </c>
      <c r="G312" s="63"/>
      <c r="H312" s="67"/>
      <c r="I312" s="68"/>
      <c r="J312" s="68"/>
      <c r="K312" s="67" t="s">
        <v>6671</v>
      </c>
      <c r="L312" s="71"/>
      <c r="M312" s="72"/>
      <c r="N312" s="72"/>
      <c r="O312" s="73"/>
      <c r="P312" s="74"/>
      <c r="Q312" s="74"/>
      <c r="R312" s="86"/>
      <c r="S312" s="86"/>
      <c r="T312" s="86"/>
      <c r="U312" s="86"/>
      <c r="V312" s="48"/>
      <c r="W312" s="48"/>
      <c r="X312" s="48"/>
      <c r="Y312" s="48"/>
      <c r="Z312" s="47"/>
      <c r="AA312" s="69">
        <v>312</v>
      </c>
      <c r="AB312" s="69"/>
      <c r="AC312" s="70"/>
      <c r="AD312" s="76" t="s">
        <v>5631</v>
      </c>
      <c r="AE312" s="81" t="s">
        <v>5282</v>
      </c>
      <c r="AF312" s="76">
        <v>2</v>
      </c>
      <c r="AG312" s="76">
        <v>17</v>
      </c>
      <c r="AH312" s="76">
        <v>25</v>
      </c>
      <c r="AI312" s="76">
        <v>0</v>
      </c>
      <c r="AJ312" s="76">
        <v>87</v>
      </c>
      <c r="AK312" s="76">
        <v>3</v>
      </c>
      <c r="AL312" s="76" t="b">
        <v>0</v>
      </c>
      <c r="AM312" s="78">
        <v>44600.501886574071</v>
      </c>
      <c r="AN312" s="76" t="s">
        <v>3410</v>
      </c>
      <c r="AO312" s="76" t="s">
        <v>6133</v>
      </c>
      <c r="AP312" s="83" t="str">
        <f>HYPERLINK("https://t.co/0OFreh1Gtp")</f>
        <v>https://t.co/0OFreh1Gtp</v>
      </c>
      <c r="AQ312" s="83" t="str">
        <f>HYPERLINK("https://instagram.com/consorciobylizi?igshid=MjEwN2IyYWYwYw==")</f>
        <v>https://instagram.com/consorciobylizi?igshid=MjEwN2IyYWYwYw==</v>
      </c>
      <c r="AR312" s="76" t="s">
        <v>6332</v>
      </c>
      <c r="AS312" s="76"/>
      <c r="AT312" s="76"/>
      <c r="AU312" s="76"/>
      <c r="AV312" s="76"/>
      <c r="AW312" s="83" t="str">
        <f>HYPERLINK("https://t.co/0OFreh1Gtp")</f>
        <v>https://t.co/0OFreh1Gtp</v>
      </c>
      <c r="AX312" s="76" t="b">
        <v>0</v>
      </c>
      <c r="AY312" s="76"/>
      <c r="AZ312" s="76"/>
      <c r="BA312" s="76" t="b">
        <v>1</v>
      </c>
      <c r="BB312" s="76" t="b">
        <v>1</v>
      </c>
      <c r="BC312" s="76" t="b">
        <v>1</v>
      </c>
      <c r="BD312" s="76" t="b">
        <v>0</v>
      </c>
      <c r="BE312" s="76" t="b">
        <v>0</v>
      </c>
      <c r="BF312" s="76" t="b">
        <v>0</v>
      </c>
      <c r="BG312" s="76" t="b">
        <v>0</v>
      </c>
      <c r="BH312" s="76"/>
      <c r="BI312" s="76"/>
      <c r="BJ312" s="76" t="s">
        <v>6360</v>
      </c>
      <c r="BK312" s="76" t="b">
        <v>0</v>
      </c>
      <c r="BL312" s="76"/>
      <c r="BM312" s="76" t="s">
        <v>66</v>
      </c>
      <c r="BN312" s="76" t="s">
        <v>6362</v>
      </c>
      <c r="BO312" s="83" t="str">
        <f>HYPERLINK("https://twitter.com/malfinanciada")</f>
        <v>https://twitter.com/malfinanciada</v>
      </c>
      <c r="BP312" s="2"/>
    </row>
    <row r="313" spans="1:68" x14ac:dyDescent="0.25">
      <c r="A313" s="62" t="s">
        <v>515</v>
      </c>
      <c r="B313" s="63"/>
      <c r="C313" s="63"/>
      <c r="D313" s="64"/>
      <c r="E313" s="66"/>
      <c r="F313" s="102" t="str">
        <f>HYPERLINK("https://pbs.twimg.com/profile_images/1607894409235861504/jx-hnjZD_normal.jpg")</f>
        <v>https://pbs.twimg.com/profile_images/1607894409235861504/jx-hnjZD_normal.jpg</v>
      </c>
      <c r="G313" s="63"/>
      <c r="H313" s="67"/>
      <c r="I313" s="68"/>
      <c r="J313" s="68"/>
      <c r="K313" s="67" t="s">
        <v>6672</v>
      </c>
      <c r="L313" s="71"/>
      <c r="M313" s="72"/>
      <c r="N313" s="72"/>
      <c r="O313" s="73"/>
      <c r="P313" s="74"/>
      <c r="Q313" s="74"/>
      <c r="R313" s="86"/>
      <c r="S313" s="86"/>
      <c r="T313" s="86"/>
      <c r="U313" s="86"/>
      <c r="V313" s="48"/>
      <c r="W313" s="48"/>
      <c r="X313" s="48"/>
      <c r="Y313" s="48"/>
      <c r="Z313" s="47"/>
      <c r="AA313" s="69">
        <v>313</v>
      </c>
      <c r="AB313" s="69"/>
      <c r="AC313" s="70"/>
      <c r="AD313" s="76" t="s">
        <v>5632</v>
      </c>
      <c r="AE313" s="81" t="s">
        <v>5283</v>
      </c>
      <c r="AF313" s="76">
        <v>28</v>
      </c>
      <c r="AG313" s="76">
        <v>128</v>
      </c>
      <c r="AH313" s="76">
        <v>747</v>
      </c>
      <c r="AI313" s="76">
        <v>0</v>
      </c>
      <c r="AJ313" s="76">
        <v>174</v>
      </c>
      <c r="AK313" s="76">
        <v>729</v>
      </c>
      <c r="AL313" s="76" t="b">
        <v>0</v>
      </c>
      <c r="AM313" s="78">
        <v>43049.545405092591</v>
      </c>
      <c r="AN313" s="76" t="s">
        <v>5853</v>
      </c>
      <c r="AO313" s="76" t="s">
        <v>6134</v>
      </c>
      <c r="AP313" s="83" t="str">
        <f>HYPERLINK("https://t.co/Npdh8ArGQA")</f>
        <v>https://t.co/Npdh8ArGQA</v>
      </c>
      <c r="AQ313" s="83" t="str">
        <f>HYPERLINK("https://tclsolucoes.com.br/")</f>
        <v>https://tclsolucoes.com.br/</v>
      </c>
      <c r="AR313" s="76" t="s">
        <v>6333</v>
      </c>
      <c r="AS313" s="76"/>
      <c r="AT313" s="76"/>
      <c r="AU313" s="76"/>
      <c r="AV313" s="76"/>
      <c r="AW313" s="83" t="str">
        <f>HYPERLINK("https://t.co/Npdh8ArGQA")</f>
        <v>https://t.co/Npdh8ArGQA</v>
      </c>
      <c r="AX313" s="76" t="b">
        <v>0</v>
      </c>
      <c r="AY313" s="76"/>
      <c r="AZ313" s="76"/>
      <c r="BA313" s="76" t="b">
        <v>0</v>
      </c>
      <c r="BB313" s="76" t="b">
        <v>1</v>
      </c>
      <c r="BC313" s="76" t="b">
        <v>0</v>
      </c>
      <c r="BD313" s="76" t="b">
        <v>0</v>
      </c>
      <c r="BE313" s="76" t="b">
        <v>0</v>
      </c>
      <c r="BF313" s="76" t="b">
        <v>0</v>
      </c>
      <c r="BG313" s="76" t="b">
        <v>0</v>
      </c>
      <c r="BH313" s="83" t="str">
        <f>HYPERLINK("https://pbs.twimg.com/profile_banners/928971851598049280/1562869134")</f>
        <v>https://pbs.twimg.com/profile_banners/928971851598049280/1562869134</v>
      </c>
      <c r="BI313" s="76"/>
      <c r="BJ313" s="76" t="s">
        <v>6360</v>
      </c>
      <c r="BK313" s="76" t="b">
        <v>0</v>
      </c>
      <c r="BL313" s="76"/>
      <c r="BM313" s="76" t="s">
        <v>66</v>
      </c>
      <c r="BN313" s="76" t="s">
        <v>6362</v>
      </c>
      <c r="BO313" s="83" t="str">
        <f>HYPERLINK("https://twitter.com/tclsolucoes")</f>
        <v>https://twitter.com/tclsolucoes</v>
      </c>
      <c r="BP313" s="2"/>
    </row>
    <row r="314" spans="1:68" x14ac:dyDescent="0.25">
      <c r="A314" s="87" t="s">
        <v>516</v>
      </c>
      <c r="B314" s="88"/>
      <c r="C314" s="88"/>
      <c r="D314" s="89"/>
      <c r="E314" s="90"/>
      <c r="F314" s="103" t="str">
        <f>HYPERLINK("https://pbs.twimg.com/profile_images/1676998988828901387/zp-XB2N8_normal.jpg")</f>
        <v>https://pbs.twimg.com/profile_images/1676998988828901387/zp-XB2N8_normal.jpg</v>
      </c>
      <c r="G314" s="88"/>
      <c r="H314" s="91"/>
      <c r="I314" s="92"/>
      <c r="J314" s="92"/>
      <c r="K314" s="91" t="s">
        <v>6673</v>
      </c>
      <c r="L314" s="93"/>
      <c r="M314" s="94"/>
      <c r="N314" s="94"/>
      <c r="O314" s="95"/>
      <c r="P314" s="96"/>
      <c r="Q314" s="96"/>
      <c r="R314" s="97"/>
      <c r="S314" s="97"/>
      <c r="T314" s="97"/>
      <c r="U314" s="97"/>
      <c r="V314" s="98"/>
      <c r="W314" s="98"/>
      <c r="X314" s="98"/>
      <c r="Y314" s="98"/>
      <c r="Z314" s="99"/>
      <c r="AA314" s="100">
        <v>314</v>
      </c>
      <c r="AB314" s="100"/>
      <c r="AC314" s="101"/>
      <c r="AD314" s="76" t="s">
        <v>5633</v>
      </c>
      <c r="AE314" s="81" t="s">
        <v>5074</v>
      </c>
      <c r="AF314" s="76">
        <v>0</v>
      </c>
      <c r="AG314" s="76">
        <v>7</v>
      </c>
      <c r="AH314" s="76">
        <v>31</v>
      </c>
      <c r="AI314" s="76">
        <v>0</v>
      </c>
      <c r="AJ314" s="76">
        <v>11</v>
      </c>
      <c r="AK314" s="76">
        <v>0</v>
      </c>
      <c r="AL314" s="76" t="b">
        <v>0</v>
      </c>
      <c r="AM314" s="78">
        <v>45113.704097222224</v>
      </c>
      <c r="AN314" s="76"/>
      <c r="AO314" s="76" t="s">
        <v>6135</v>
      </c>
      <c r="AP314" s="76"/>
      <c r="AQ314" s="76"/>
      <c r="AR314" s="76"/>
      <c r="AS314" s="76"/>
      <c r="AT314" s="76"/>
      <c r="AU314" s="76"/>
      <c r="AV314" s="76"/>
      <c r="AW314" s="76"/>
      <c r="AX314" s="76" t="b">
        <v>0</v>
      </c>
      <c r="AY314" s="76"/>
      <c r="AZ314" s="76"/>
      <c r="BA314" s="76" t="b">
        <v>0</v>
      </c>
      <c r="BB314" s="76" t="b">
        <v>1</v>
      </c>
      <c r="BC314" s="76" t="b">
        <v>1</v>
      </c>
      <c r="BD314" s="76" t="b">
        <v>0</v>
      </c>
      <c r="BE314" s="76" t="b">
        <v>0</v>
      </c>
      <c r="BF314" s="76" t="b">
        <v>0</v>
      </c>
      <c r="BG314" s="76" t="b">
        <v>0</v>
      </c>
      <c r="BH314" s="76"/>
      <c r="BI314" s="76"/>
      <c r="BJ314" s="76" t="s">
        <v>6360</v>
      </c>
      <c r="BK314" s="76" t="b">
        <v>0</v>
      </c>
      <c r="BL314" s="76"/>
      <c r="BM314" s="76" t="s">
        <v>66</v>
      </c>
      <c r="BN314" s="76" t="s">
        <v>6362</v>
      </c>
      <c r="BO314" s="83" t="str">
        <f>HYPERLINK("https://twitter.com/pedrocarva3004")</f>
        <v>https://twitter.com/pedrocarva3004</v>
      </c>
      <c r="BP314" s="2"/>
    </row>
    <row r="315" spans="1:68" x14ac:dyDescent="0.25">
      <c r="A315" s="87" t="s">
        <v>2013</v>
      </c>
      <c r="B315" s="88"/>
      <c r="C315" s="88"/>
      <c r="D315" s="89"/>
      <c r="E315" s="90"/>
      <c r="F315" s="103" t="str">
        <f>HYPERLINK("https://pbs.twimg.com/profile_images/1273356834011860996/-Ejc007h_normal.jpg")</f>
        <v>https://pbs.twimg.com/profile_images/1273356834011860996/-Ejc007h_normal.jpg</v>
      </c>
      <c r="G315" s="88" t="s">
        <v>51</v>
      </c>
      <c r="H315" s="91"/>
      <c r="I315" s="92"/>
      <c r="J315" s="92"/>
      <c r="K315" s="91" t="s">
        <v>6674</v>
      </c>
      <c r="L315" s="93"/>
      <c r="M315" s="94"/>
      <c r="N315" s="94"/>
      <c r="O315" s="95"/>
      <c r="P315" s="96"/>
      <c r="Q315" s="96"/>
      <c r="R315" s="97"/>
      <c r="S315" s="97"/>
      <c r="T315" s="97"/>
      <c r="U315" s="97"/>
      <c r="V315" s="98"/>
      <c r="W315" s="98"/>
      <c r="X315" s="98"/>
      <c r="Y315" s="98"/>
      <c r="Z315" s="99"/>
      <c r="AA315" s="100">
        <v>315</v>
      </c>
      <c r="AB315" s="100"/>
      <c r="AC315" s="101"/>
      <c r="AD315" s="76" t="s">
        <v>5634</v>
      </c>
      <c r="AE315" s="81" t="s">
        <v>5735</v>
      </c>
      <c r="AF315" s="76">
        <v>289415</v>
      </c>
      <c r="AG315" s="76">
        <v>399</v>
      </c>
      <c r="AH315" s="76">
        <v>18135</v>
      </c>
      <c r="AI315" s="76">
        <v>1699</v>
      </c>
      <c r="AJ315" s="76">
        <v>42169</v>
      </c>
      <c r="AK315" s="76">
        <v>7781</v>
      </c>
      <c r="AL315" s="76" t="b">
        <v>0</v>
      </c>
      <c r="AM315" s="78">
        <v>41721.999421296299</v>
      </c>
      <c r="AN315" s="76" t="s">
        <v>5800</v>
      </c>
      <c r="AO315" s="76" t="s">
        <v>6136</v>
      </c>
      <c r="AP315" s="83" t="str">
        <f>HYPERLINK("https://t.co/ykzAtM2B76")</f>
        <v>https://t.co/ykzAtM2B76</v>
      </c>
      <c r="AQ315" s="83" t="str">
        <f>HYPERLINK("https://www.xp.com.br/vaitourinho")</f>
        <v>https://www.xp.com.br/vaitourinho</v>
      </c>
      <c r="AR315" s="76" t="s">
        <v>6334</v>
      </c>
      <c r="AS315" s="76"/>
      <c r="AT315" s="76"/>
      <c r="AU315" s="76"/>
      <c r="AV315" s="76">
        <v>1.5899798810600599E+18</v>
      </c>
      <c r="AW315" s="83" t="str">
        <f>HYPERLINK("https://t.co/ykzAtM2B76")</f>
        <v>https://t.co/ykzAtM2B76</v>
      </c>
      <c r="AX315" s="76" t="b">
        <v>1</v>
      </c>
      <c r="AY315" s="76"/>
      <c r="AZ315" s="76"/>
      <c r="BA315" s="76" t="b">
        <v>0</v>
      </c>
      <c r="BB315" s="76" t="b">
        <v>0</v>
      </c>
      <c r="BC315" s="76" t="b">
        <v>0</v>
      </c>
      <c r="BD315" s="76" t="b">
        <v>0</v>
      </c>
      <c r="BE315" s="76" t="b">
        <v>1</v>
      </c>
      <c r="BF315" s="76" t="b">
        <v>0</v>
      </c>
      <c r="BG315" s="76" t="b">
        <v>0</v>
      </c>
      <c r="BH315" s="83" t="str">
        <f>HYPERLINK("https://pbs.twimg.com/profile_banners/2408015736/1633481433")</f>
        <v>https://pbs.twimg.com/profile_banners/2408015736/1633481433</v>
      </c>
      <c r="BI315" s="76"/>
      <c r="BJ315" s="76" t="s">
        <v>6360</v>
      </c>
      <c r="BK315" s="76" t="b">
        <v>0</v>
      </c>
      <c r="BL315" s="76"/>
      <c r="BM315" s="76" t="s">
        <v>65</v>
      </c>
      <c r="BN315" s="76" t="s">
        <v>6362</v>
      </c>
      <c r="BO315" s="83" t="str">
        <f>HYPERLINK("https://twitter.com/pablospyer")</f>
        <v>https://twitter.com/pablospyer</v>
      </c>
      <c r="BP315" s="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15" xr:uid="{00000000-0002-0000-0100-000000000000}"/>
    <dataValidation allowBlank="1" errorTitle="Invalid Vertex Visibility" error="You have entered an unrecognized vertex visibility.  Try selecting from the drop-down list instead." sqref="BP3" xr:uid="{00000000-0002-0000-0100-000001000000}"/>
    <dataValidation allowBlank="1" showErrorMessage="1" sqref="BP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15"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15"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15"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15"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15" xr:uid="{00000000-0002-0000-0100-000007000000}"/>
    <dataValidation allowBlank="1" showInputMessage="1" errorTitle="Invalid Vertex Image Key" promptTitle="Vertex Tooltip" prompt="Enter optional text that will pop up when the mouse is hovered over the vertex." sqref="K3:K315"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15"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15"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15" xr:uid="{00000000-0002-0000-0100-00000B000000}"/>
    <dataValidation allowBlank="1" showInputMessage="1" promptTitle="Vertex Label Fill Color" prompt="To select an optional fill color for the Label shape, right-click and select Select Color on the right-click menu." sqref="I3:I315" xr:uid="{00000000-0002-0000-0100-00000C000000}"/>
    <dataValidation allowBlank="1" showInputMessage="1" errorTitle="Invalid Vertex Image Key" promptTitle="Vertex Image File" prompt="Enter the path to an image file.  Hover over the column header for examples." sqref="F3:F315" xr:uid="{00000000-0002-0000-0100-00000D000000}"/>
    <dataValidation allowBlank="1" showInputMessage="1" promptTitle="Vertex Color" prompt="To select an optional vertex color, right-click and select Select Color on the right-click menu." sqref="B3:B315"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15"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15"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15"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15" xr:uid="{00000000-0002-0000-0100-000012000000}">
      <formula1>ValidVertexLabelPositions</formula1>
    </dataValidation>
    <dataValidation allowBlank="1" showInputMessage="1" showErrorMessage="1" promptTitle="Vertex Name" prompt="Enter the name of the vertex." sqref="A3:A315"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bestFit="1" customWidth="1"/>
    <col min="2" max="2" width="16.85546875" bestFit="1" customWidth="1"/>
    <col min="4" max="5" width="9.140625" customWidth="1"/>
  </cols>
  <sheetData>
    <row r="1" spans="1:1" x14ac:dyDescent="0.25">
      <c r="A1" t="s">
        <v>49</v>
      </c>
    </row>
    <row r="2" spans="1:1" ht="15" customHeight="1" x14ac:dyDescent="0.25"/>
    <row r="3" spans="1:1" ht="15" customHeight="1" x14ac:dyDescent="0.25">
      <c r="A3" s="29" t="s">
        <v>50</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2" t="s">
        <v>39</v>
      </c>
      <c r="C1" s="53"/>
      <c r="D1" s="53"/>
      <c r="E1" s="54"/>
      <c r="F1" s="51" t="s">
        <v>43</v>
      </c>
      <c r="G1" s="55" t="s">
        <v>44</v>
      </c>
      <c r="H1" s="56"/>
      <c r="I1" s="57" t="s">
        <v>40</v>
      </c>
      <c r="J1" s="58"/>
      <c r="K1" s="59" t="s">
        <v>42</v>
      </c>
      <c r="L1" s="60"/>
      <c r="M1" s="60"/>
      <c r="N1" s="60"/>
      <c r="O1" s="60"/>
      <c r="P1" s="60"/>
      <c r="Q1" s="60"/>
      <c r="R1" s="60"/>
      <c r="S1" s="60"/>
      <c r="T1" s="60"/>
      <c r="U1" s="60"/>
      <c r="V1" s="60"/>
      <c r="W1" s="60"/>
      <c r="X1" s="60"/>
    </row>
    <row r="2" spans="1:24" s="7" customFormat="1" ht="30" customHeight="1" x14ac:dyDescent="0.2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25">
      <c r="A3" s="11"/>
      <c r="B3" s="12"/>
      <c r="C3" s="12"/>
      <c r="D3" s="12"/>
      <c r="E3" s="12"/>
      <c r="F3" s="13"/>
      <c r="G3" s="61"/>
      <c r="H3" s="61"/>
      <c r="I3" s="49"/>
      <c r="J3" s="49"/>
      <c r="K3" s="44"/>
      <c r="L3" s="44"/>
      <c r="M3" s="44"/>
      <c r="N3" s="44"/>
      <c r="O3" s="44"/>
      <c r="P3" s="44"/>
      <c r="Q3" s="44"/>
      <c r="R3" s="44"/>
      <c r="S3" s="44"/>
      <c r="T3" s="44"/>
      <c r="U3" s="44"/>
      <c r="V3" s="44"/>
      <c r="W3" s="45"/>
      <c r="X3" s="45"/>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tabSelected="1" topLeftCell="A20" workbookViewId="0">
      <selection activeCell="B32" sqref="B3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75" thickTop="1" x14ac:dyDescent="0.25">
      <c r="A2" s="32" t="s">
        <v>6678</v>
      </c>
      <c r="B2" s="32" t="s">
        <v>6677</v>
      </c>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25">
      <c r="A3" s="104"/>
      <c r="B3" s="104"/>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25">
      <c r="A4" s="32" t="s">
        <v>146</v>
      </c>
      <c r="B4" s="32">
        <v>313</v>
      </c>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25">
      <c r="A5" s="104"/>
      <c r="B5" s="104"/>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25">
      <c r="A6" s="32" t="s">
        <v>148</v>
      </c>
      <c r="B6" s="32">
        <v>224</v>
      </c>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25">
      <c r="A7" s="32" t="s">
        <v>149</v>
      </c>
      <c r="B7" s="32">
        <v>676</v>
      </c>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25">
      <c r="A8" s="32" t="s">
        <v>150</v>
      </c>
      <c r="B8" s="32">
        <v>900</v>
      </c>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25">
      <c r="A9" s="104"/>
      <c r="B9" s="104"/>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25">
      <c r="A10" s="32" t="s">
        <v>151</v>
      </c>
      <c r="B10" s="32">
        <v>868</v>
      </c>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25">
      <c r="A11" s="104"/>
      <c r="B11" s="104"/>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25">
      <c r="A12" s="32" t="s">
        <v>170</v>
      </c>
      <c r="B12" s="32">
        <v>0</v>
      </c>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25">
      <c r="A13" s="32" t="s">
        <v>171</v>
      </c>
      <c r="B13" s="32">
        <v>0</v>
      </c>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25">
      <c r="A14" s="104"/>
      <c r="B14" s="104"/>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25">
      <c r="A15" s="32" t="s">
        <v>152</v>
      </c>
      <c r="B15" s="32">
        <v>284</v>
      </c>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25">
      <c r="A16" s="32" t="s">
        <v>153</v>
      </c>
      <c r="B16" s="32">
        <v>264</v>
      </c>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25">
      <c r="A17" s="32" t="s">
        <v>154</v>
      </c>
      <c r="B17" s="32">
        <v>5</v>
      </c>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25">
      <c r="A18" s="32" t="s">
        <v>155</v>
      </c>
      <c r="B18" s="32">
        <v>129</v>
      </c>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25">
      <c r="A19" s="104"/>
      <c r="B19" s="104"/>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25">
      <c r="A20" s="32" t="s">
        <v>156</v>
      </c>
      <c r="B20" s="32">
        <v>2</v>
      </c>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25">
      <c r="A21" s="32" t="s">
        <v>157</v>
      </c>
      <c r="B21" s="32">
        <v>0.28140700000000002</v>
      </c>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25">
      <c r="A22" s="104"/>
      <c r="B22" s="104"/>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25">
      <c r="A23" s="32" t="s">
        <v>158</v>
      </c>
      <c r="B23" s="32">
        <v>3.0720078643401327E-4</v>
      </c>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25">
      <c r="A24" s="32" t="s">
        <v>6679</v>
      </c>
      <c r="B24" s="32" t="s">
        <v>6695</v>
      </c>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25">
      <c r="A25" s="104"/>
      <c r="B25" s="104"/>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25">
      <c r="A26" s="32" t="s">
        <v>6680</v>
      </c>
      <c r="B26" s="32" t="s">
        <v>6696</v>
      </c>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25">
      <c r="A27" s="104"/>
      <c r="B27" s="104"/>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25">
      <c r="A28" s="32" t="s">
        <v>6681</v>
      </c>
      <c r="B28" s="32" t="s">
        <v>85</v>
      </c>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25">
      <c r="A29" s="32" t="s">
        <v>6682</v>
      </c>
      <c r="B29" s="32" t="s">
        <v>85</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25">
      <c r="A30" s="104"/>
      <c r="B30" s="104"/>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25">
      <c r="A31" s="32" t="s">
        <v>6683</v>
      </c>
      <c r="B31" s="32" t="s">
        <v>6697</v>
      </c>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25">
      <c r="A32" s="32" t="s">
        <v>6684</v>
      </c>
      <c r="B32" s="32" t="s">
        <v>6698</v>
      </c>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25">
      <c r="A33" s="32" t="s">
        <v>6685</v>
      </c>
      <c r="B33" s="32" t="s">
        <v>6699</v>
      </c>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25">
      <c r="A34" s="32" t="s">
        <v>6686</v>
      </c>
      <c r="B34" s="32" t="s">
        <v>85</v>
      </c>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25">
      <c r="A35" s="32" t="s">
        <v>6687</v>
      </c>
      <c r="B35" s="32" t="s">
        <v>85</v>
      </c>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25">
      <c r="A36" s="32" t="s">
        <v>6688</v>
      </c>
      <c r="B36" s="32" t="s">
        <v>85</v>
      </c>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25">
      <c r="A37" s="32" t="s">
        <v>6689</v>
      </c>
      <c r="B37" s="32" t="s">
        <v>85</v>
      </c>
    </row>
    <row r="38" spans="1:21" x14ac:dyDescent="0.25">
      <c r="A38" s="32" t="s">
        <v>6690</v>
      </c>
      <c r="B38" s="32" t="s">
        <v>85</v>
      </c>
    </row>
    <row r="39" spans="1:21" x14ac:dyDescent="0.25">
      <c r="A39" s="32" t="s">
        <v>6691</v>
      </c>
      <c r="B39" s="32" t="s">
        <v>85</v>
      </c>
    </row>
    <row r="40" spans="1:21" x14ac:dyDescent="0.25">
      <c r="A40" s="32" t="s">
        <v>21</v>
      </c>
      <c r="B40" s="32" t="s">
        <v>85</v>
      </c>
    </row>
    <row r="41" spans="1:21" x14ac:dyDescent="0.25">
      <c r="A41" s="32" t="s">
        <v>6692</v>
      </c>
      <c r="B41" s="32" t="s">
        <v>85</v>
      </c>
    </row>
    <row r="42" spans="1:21" x14ac:dyDescent="0.25">
      <c r="A42" s="32" t="s">
        <v>6693</v>
      </c>
      <c r="B42" s="32" t="s">
        <v>85</v>
      </c>
    </row>
    <row r="43" spans="1:21" x14ac:dyDescent="0.25">
      <c r="A43" s="32" t="s">
        <v>6694</v>
      </c>
      <c r="B43" s="32" t="s">
        <v>85</v>
      </c>
    </row>
    <row r="60" spans="1:2" x14ac:dyDescent="0.25">
      <c r="A60" t="s">
        <v>163</v>
      </c>
      <c r="B60" t="s">
        <v>17</v>
      </c>
    </row>
    <row r="61" spans="1:2" x14ac:dyDescent="0.25">
      <c r="A61" s="31"/>
      <c r="B61" s="31"/>
    </row>
    <row r="74" spans="1:2" x14ac:dyDescent="0.25">
      <c r="A74" s="31" t="s">
        <v>81</v>
      </c>
      <c r="B74" s="44" t="str">
        <f>IF(COUNT(Vertices[Degree])&gt;0, D2, NoMetricMessage)</f>
        <v>Not Available</v>
      </c>
    </row>
    <row r="75" spans="1:2" x14ac:dyDescent="0.25">
      <c r="A75" s="31" t="s">
        <v>82</v>
      </c>
      <c r="B75" s="44" t="str">
        <f>IF(COUNT(Vertices[Degree])&gt;0, D36, NoMetricMessage)</f>
        <v>Not Available</v>
      </c>
    </row>
    <row r="76" spans="1:2" x14ac:dyDescent="0.25">
      <c r="A76" s="31" t="s">
        <v>83</v>
      </c>
      <c r="B76" s="45" t="str">
        <f>IFERROR(AVERAGE(Vertices[Degree]),NoMetricMessage)</f>
        <v>Not Available</v>
      </c>
    </row>
    <row r="77" spans="1:2" x14ac:dyDescent="0.25">
      <c r="A77" s="31" t="s">
        <v>84</v>
      </c>
      <c r="B77" s="45" t="str">
        <f>IFERROR(MEDIAN(Vertices[Degree]),NoMetricMessage)</f>
        <v>Not Available</v>
      </c>
    </row>
    <row r="88" spans="1:2" x14ac:dyDescent="0.25">
      <c r="A88" s="31" t="s">
        <v>88</v>
      </c>
      <c r="B88" s="44" t="str">
        <f>IF(COUNT(Vertices[In-Degree])&gt;0, F2, NoMetricMessage)</f>
        <v>Not Available</v>
      </c>
    </row>
    <row r="89" spans="1:2" x14ac:dyDescent="0.25">
      <c r="A89" s="31" t="s">
        <v>89</v>
      </c>
      <c r="B89" s="44" t="str">
        <f>IF(COUNT(Vertices[In-Degree])&gt;0, F36, NoMetricMessage)</f>
        <v>Not Available</v>
      </c>
    </row>
    <row r="90" spans="1:2" x14ac:dyDescent="0.25">
      <c r="A90" s="31" t="s">
        <v>90</v>
      </c>
      <c r="B90" s="45" t="str">
        <f>IFERROR(AVERAGE(Vertices[In-Degree]),NoMetricMessage)</f>
        <v>Not Available</v>
      </c>
    </row>
    <row r="91" spans="1:2" x14ac:dyDescent="0.25">
      <c r="A91" s="31" t="s">
        <v>91</v>
      </c>
      <c r="B91" s="45" t="str">
        <f>IFERROR(MEDIAN(Vertices[In-Degree]),NoMetricMessage)</f>
        <v>Not Available</v>
      </c>
    </row>
    <row r="102" spans="1:2" x14ac:dyDescent="0.25">
      <c r="A102" s="31" t="s">
        <v>94</v>
      </c>
      <c r="B102" s="44" t="str">
        <f>IF(COUNT(Vertices[Out-Degree])&gt;0, H2, NoMetricMessage)</f>
        <v>Not Available</v>
      </c>
    </row>
    <row r="103" spans="1:2" x14ac:dyDescent="0.25">
      <c r="A103" s="31" t="s">
        <v>95</v>
      </c>
      <c r="B103" s="44" t="str">
        <f>IF(COUNT(Vertices[Out-Degree])&gt;0, H36, NoMetricMessage)</f>
        <v>Not Available</v>
      </c>
    </row>
    <row r="104" spans="1:2" x14ac:dyDescent="0.25">
      <c r="A104" s="31" t="s">
        <v>96</v>
      </c>
      <c r="B104" s="45" t="str">
        <f>IFERROR(AVERAGE(Vertices[Out-Degree]),NoMetricMessage)</f>
        <v>Not Available</v>
      </c>
    </row>
    <row r="105" spans="1:2" x14ac:dyDescent="0.25">
      <c r="A105" s="31" t="s">
        <v>97</v>
      </c>
      <c r="B105" s="45" t="str">
        <f>IFERROR(MEDIAN(Vertices[Out-Degree]),NoMetricMessage)</f>
        <v>Not Available</v>
      </c>
    </row>
    <row r="116" spans="1:2" x14ac:dyDescent="0.25">
      <c r="A116" s="31" t="s">
        <v>100</v>
      </c>
      <c r="B116" s="45" t="str">
        <f>IF(COUNT(Vertices[Betweenness Centrality])&gt;0, J2, NoMetricMessage)</f>
        <v>Not Available</v>
      </c>
    </row>
    <row r="117" spans="1:2" x14ac:dyDescent="0.25">
      <c r="A117" s="31" t="s">
        <v>101</v>
      </c>
      <c r="B117" s="45" t="str">
        <f>IF(COUNT(Vertices[Betweenness Centrality])&gt;0, J36, NoMetricMessage)</f>
        <v>Not Available</v>
      </c>
    </row>
    <row r="118" spans="1:2" x14ac:dyDescent="0.25">
      <c r="A118" s="31" t="s">
        <v>102</v>
      </c>
      <c r="B118" s="45" t="str">
        <f>IFERROR(AVERAGE(Vertices[Betweenness Centrality]),NoMetricMessage)</f>
        <v>Not Available</v>
      </c>
    </row>
    <row r="119" spans="1:2" x14ac:dyDescent="0.25">
      <c r="A119" s="31" t="s">
        <v>103</v>
      </c>
      <c r="B119" s="45" t="str">
        <f>IFERROR(MEDIAN(Vertices[Betweenness Centrality]),NoMetricMessage)</f>
        <v>Not Available</v>
      </c>
    </row>
    <row r="130" spans="1:2" x14ac:dyDescent="0.25">
      <c r="A130" s="31" t="s">
        <v>106</v>
      </c>
      <c r="B130" s="45" t="str">
        <f>IF(COUNT(Vertices[Closeness Centrality])&gt;0, L2, NoMetricMessage)</f>
        <v>Not Available</v>
      </c>
    </row>
    <row r="131" spans="1:2" x14ac:dyDescent="0.25">
      <c r="A131" s="31" t="s">
        <v>107</v>
      </c>
      <c r="B131" s="45" t="str">
        <f>IF(COUNT(Vertices[Closeness Centrality])&gt;0, L36, NoMetricMessage)</f>
        <v>Not Available</v>
      </c>
    </row>
    <row r="132" spans="1:2" x14ac:dyDescent="0.25">
      <c r="A132" s="31" t="s">
        <v>108</v>
      </c>
      <c r="B132" s="45" t="str">
        <f>IFERROR(AVERAGE(Vertices[Closeness Centrality]),NoMetricMessage)</f>
        <v>Not Available</v>
      </c>
    </row>
    <row r="133" spans="1:2" x14ac:dyDescent="0.25">
      <c r="A133" s="31" t="s">
        <v>109</v>
      </c>
      <c r="B133" s="45" t="str">
        <f>IFERROR(MEDIAN(Vertices[Closeness Centrality]),NoMetricMessage)</f>
        <v>Not Available</v>
      </c>
    </row>
    <row r="144" spans="1:2" x14ac:dyDescent="0.25">
      <c r="A144" s="31" t="s">
        <v>112</v>
      </c>
      <c r="B144" s="45" t="str">
        <f>IF(COUNT(Vertices[Eigenvector Centrality])&gt;0, N2, NoMetricMessage)</f>
        <v>Not Available</v>
      </c>
    </row>
    <row r="145" spans="1:2" x14ac:dyDescent="0.25">
      <c r="A145" s="31" t="s">
        <v>113</v>
      </c>
      <c r="B145" s="45" t="str">
        <f>IF(COUNT(Vertices[Eigenvector Centrality])&gt;0, N36, NoMetricMessage)</f>
        <v>Not Available</v>
      </c>
    </row>
    <row r="146" spans="1:2" x14ac:dyDescent="0.25">
      <c r="A146" s="31" t="s">
        <v>114</v>
      </c>
      <c r="B146" s="45" t="str">
        <f>IFERROR(AVERAGE(Vertices[Eigenvector Centrality]),NoMetricMessage)</f>
        <v>Not Available</v>
      </c>
    </row>
    <row r="147" spans="1:2" x14ac:dyDescent="0.25">
      <c r="A147" s="31" t="s">
        <v>115</v>
      </c>
      <c r="B147" s="45" t="str">
        <f>IFERROR(MEDIAN(Vertices[Eigenvector Centrality]),NoMetricMessage)</f>
        <v>Not Available</v>
      </c>
    </row>
    <row r="158" spans="1:2" x14ac:dyDescent="0.25">
      <c r="A158" s="31" t="s">
        <v>140</v>
      </c>
      <c r="B158" s="45" t="str">
        <f>IF(COUNT(Vertices[PageRank])&gt;0, P2, NoMetricMessage)</f>
        <v>Not Available</v>
      </c>
    </row>
    <row r="159" spans="1:2" x14ac:dyDescent="0.25">
      <c r="A159" s="31" t="s">
        <v>141</v>
      </c>
      <c r="B159" s="45" t="str">
        <f>IF(COUNT(Vertices[PageRank])&gt;0, P36, NoMetricMessage)</f>
        <v>Not Available</v>
      </c>
    </row>
    <row r="160" spans="1:2" x14ac:dyDescent="0.25">
      <c r="A160" s="31" t="s">
        <v>142</v>
      </c>
      <c r="B160" s="45" t="str">
        <f>IFERROR(AVERAGE(Vertices[PageRank]),NoMetricMessage)</f>
        <v>Not Available</v>
      </c>
    </row>
    <row r="161" spans="1:2" x14ac:dyDescent="0.25">
      <c r="A161" s="31" t="s">
        <v>143</v>
      </c>
      <c r="B161" s="45" t="str">
        <f>IFERROR(MEDIAN(Vertices[PageRank]),NoMetricMessage)</f>
        <v>Not Available</v>
      </c>
    </row>
    <row r="172" spans="1:2" x14ac:dyDescent="0.25">
      <c r="A172" s="31" t="s">
        <v>118</v>
      </c>
      <c r="B172" s="45" t="str">
        <f>IF(COUNT(Vertices[Clustering Coefficient])&gt;0, R2, NoMetricMessage)</f>
        <v>Not Available</v>
      </c>
    </row>
    <row r="173" spans="1:2" x14ac:dyDescent="0.25">
      <c r="A173" s="31" t="s">
        <v>119</v>
      </c>
      <c r="B173" s="45" t="str">
        <f>IF(COUNT(Vertices[Clustering Coefficient])&gt;0, R36, NoMetricMessage)</f>
        <v>Not Available</v>
      </c>
    </row>
    <row r="174" spans="1:2" x14ac:dyDescent="0.25">
      <c r="A174" s="31" t="s">
        <v>120</v>
      </c>
      <c r="B174" s="45" t="str">
        <f>IFERROR(AVERAGE(Vertices[Clustering Coefficient]),NoMetricMessage)</f>
        <v>Not Available</v>
      </c>
    </row>
    <row r="175" spans="1:2" x14ac:dyDescent="0.2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6677</v>
      </c>
    </row>
    <row r="4" spans="1:18" x14ac:dyDescent="0.25">
      <c r="A4" s="1" t="s">
        <v>53</v>
      </c>
      <c r="B4" s="1" t="s">
        <v>134</v>
      </c>
      <c r="C4" t="s">
        <v>53</v>
      </c>
      <c r="D4" t="s">
        <v>57</v>
      </c>
      <c r="E4" t="s">
        <v>57</v>
      </c>
      <c r="F4" s="1" t="s">
        <v>53</v>
      </c>
      <c r="G4">
        <v>0</v>
      </c>
      <c r="H4" t="s">
        <v>69</v>
      </c>
      <c r="J4" t="s">
        <v>78</v>
      </c>
    </row>
    <row r="5" spans="1:18" ht="409.5" x14ac:dyDescent="0.25">
      <c r="A5">
        <v>1</v>
      </c>
      <c r="B5" s="1" t="s">
        <v>135</v>
      </c>
      <c r="C5" t="s">
        <v>51</v>
      </c>
      <c r="D5" t="s">
        <v>58</v>
      </c>
      <c r="E5" t="s">
        <v>58</v>
      </c>
      <c r="F5">
        <v>1</v>
      </c>
      <c r="G5">
        <v>1</v>
      </c>
      <c r="H5" t="s">
        <v>70</v>
      </c>
      <c r="J5" t="s">
        <v>172</v>
      </c>
      <c r="K5" s="7" t="s">
        <v>6706</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ht="409.5" x14ac:dyDescent="0.25">
      <c r="A8"/>
      <c r="B8">
        <v>2</v>
      </c>
      <c r="C8">
        <v>2</v>
      </c>
      <c r="D8" t="s">
        <v>61</v>
      </c>
      <c r="E8" t="s">
        <v>61</v>
      </c>
      <c r="H8" t="s">
        <v>73</v>
      </c>
      <c r="J8" t="s">
        <v>176</v>
      </c>
      <c r="K8" s="7" t="s">
        <v>6676</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B3244-0A5E-43E5-9316-2935C4C325DA}">
  <dimension ref="A1:B7"/>
  <sheetViews>
    <sheetView workbookViewId="0"/>
  </sheetViews>
  <sheetFormatPr defaultRowHeight="15" x14ac:dyDescent="0.25"/>
  <cols>
    <col min="1" max="1" width="6.5703125" bestFit="1" customWidth="1"/>
    <col min="2" max="2" width="8.42578125" bestFit="1" customWidth="1"/>
  </cols>
  <sheetData>
    <row r="1" spans="1:2" ht="15" customHeight="1" x14ac:dyDescent="0.25">
      <c r="A1" s="7" t="s">
        <v>6700</v>
      </c>
      <c r="B1" s="7" t="s">
        <v>17</v>
      </c>
    </row>
    <row r="2" spans="1:2" x14ac:dyDescent="0.25">
      <c r="A2" s="76" t="s">
        <v>6701</v>
      </c>
      <c r="B2" s="76"/>
    </row>
    <row r="3" spans="1:2" x14ac:dyDescent="0.25">
      <c r="A3" s="77" t="s">
        <v>6702</v>
      </c>
      <c r="B3" s="76"/>
    </row>
    <row r="4" spans="1:2" x14ac:dyDescent="0.25">
      <c r="A4" s="77" t="s">
        <v>6703</v>
      </c>
      <c r="B4" s="76"/>
    </row>
    <row r="5" spans="1:2" x14ac:dyDescent="0.25">
      <c r="A5" s="77" t="s">
        <v>6704</v>
      </c>
      <c r="B5" s="76"/>
    </row>
    <row r="6" spans="1:2" x14ac:dyDescent="0.25">
      <c r="A6" s="77" t="s">
        <v>6705</v>
      </c>
      <c r="B6" s="76"/>
    </row>
    <row r="7" spans="1:2" x14ac:dyDescent="0.25">
      <c r="A7" s="77" t="s">
        <v>5310</v>
      </c>
      <c r="B7" s="76"/>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A7D4BF2-36DC-41D0-994B-93F413AAA5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Mauricio Fernandes</cp:lastModifiedBy>
  <dcterms:created xsi:type="dcterms:W3CDTF">2008-01-30T00:41:58Z</dcterms:created>
  <dcterms:modified xsi:type="dcterms:W3CDTF">2023-09-28T12:09:15Z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